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ib\Downloads\documents-export-2013-01-24\"/>
    </mc:Choice>
  </mc:AlternateContent>
  <bookViews>
    <workbookView xWindow="0" yWindow="0" windowWidth="16380" windowHeight="8190" tabRatio="307" activeTab="4"/>
  </bookViews>
  <sheets>
    <sheet name="BBP complete" sheetId="1" r:id="rId1"/>
    <sheet name="Hoja2" sheetId="2" r:id="rId2"/>
    <sheet name="Hoja3" sheetId="3" r:id="rId3"/>
    <sheet name="DV-IDENTITY-0" sheetId="4" state="hidden" r:id="rId4"/>
    <sheet name="Minima" sheetId="5" r:id="rId5"/>
  </sheets>
  <calcPr calcId="152511" iterateDelta="1E-4"/>
</workbook>
</file>

<file path=xl/calcChain.xml><?xml version="1.0" encoding="utf-8"?>
<calcChain xmlns="http://schemas.openxmlformats.org/spreadsheetml/2006/main">
  <c r="Q42" i="5" l="1"/>
  <c r="P42" i="5"/>
  <c r="Q45" i="5"/>
  <c r="P45" i="5"/>
  <c r="R35" i="5"/>
  <c r="R33" i="5"/>
  <c r="R29" i="5"/>
  <c r="R27" i="5"/>
  <c r="R23" i="5"/>
  <c r="R21" i="5"/>
  <c r="R17" i="5"/>
  <c r="R15" i="5"/>
  <c r="R11" i="5"/>
  <c r="R4" i="5"/>
  <c r="R6" i="5"/>
  <c r="R8" i="5"/>
  <c r="R12" i="5"/>
  <c r="R14" i="5"/>
  <c r="R18" i="5"/>
  <c r="R20" i="5"/>
  <c r="R24" i="5"/>
  <c r="R26" i="5"/>
  <c r="R30" i="5"/>
  <c r="R32" i="5"/>
  <c r="R36" i="5"/>
  <c r="R38" i="5"/>
  <c r="R2" i="5"/>
  <c r="N38" i="5"/>
  <c r="N2" i="5"/>
  <c r="M58" i="5" l="1"/>
  <c r="M52" i="5"/>
  <c r="M69" i="5"/>
  <c r="M51" i="5"/>
  <c r="M50" i="5"/>
  <c r="M49" i="5"/>
  <c r="M48" i="5"/>
  <c r="M47" i="5"/>
  <c r="M63" i="5"/>
  <c r="M62" i="5"/>
  <c r="M44" i="5"/>
  <c r="M55" i="5"/>
  <c r="M60" i="5"/>
  <c r="M54" i="5"/>
  <c r="M57" i="5"/>
  <c r="M59" i="5"/>
  <c r="M68" i="5"/>
  <c r="M67" i="5"/>
  <c r="M66" i="5"/>
  <c r="M65" i="5"/>
  <c r="M64" i="5"/>
  <c r="M46" i="5"/>
  <c r="M45" i="5"/>
  <c r="M42" i="5"/>
  <c r="M61" i="5"/>
  <c r="M43" i="5"/>
  <c r="M53" i="5"/>
  <c r="M70" i="5"/>
  <c r="L38" i="5" l="1"/>
  <c r="K38" i="5"/>
  <c r="L36" i="5"/>
  <c r="K36" i="5"/>
  <c r="L35" i="5"/>
  <c r="K35" i="5"/>
  <c r="L33" i="5"/>
  <c r="K33" i="5"/>
  <c r="L32" i="5"/>
  <c r="K32" i="5"/>
  <c r="L30" i="5"/>
  <c r="K30" i="5"/>
  <c r="L29" i="5"/>
  <c r="K29" i="5"/>
  <c r="L27" i="5"/>
  <c r="K27" i="5"/>
  <c r="L26" i="5"/>
  <c r="K26" i="5"/>
  <c r="L24" i="5"/>
  <c r="K24" i="5"/>
  <c r="L23" i="5"/>
  <c r="K23" i="5"/>
  <c r="L21" i="5"/>
  <c r="K21" i="5"/>
  <c r="L20" i="5"/>
  <c r="K20" i="5"/>
  <c r="L18" i="5"/>
  <c r="K18" i="5"/>
  <c r="L17" i="5"/>
  <c r="K17" i="5"/>
  <c r="L15" i="5"/>
  <c r="K15" i="5"/>
  <c r="L14" i="5"/>
  <c r="K14" i="5"/>
  <c r="L12" i="5"/>
  <c r="K12" i="5"/>
  <c r="L11" i="5"/>
  <c r="K11" i="5"/>
  <c r="L9" i="5"/>
  <c r="K9" i="5"/>
  <c r="L8" i="5"/>
  <c r="K8" i="5"/>
  <c r="L6" i="5"/>
  <c r="K6" i="5"/>
  <c r="L4" i="5"/>
  <c r="K4" i="5"/>
  <c r="L2" i="5"/>
  <c r="K2" i="5"/>
  <c r="DJ192" i="4"/>
  <c r="DG192" i="4"/>
  <c r="DF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IV191" i="4"/>
  <c r="IU191" i="4"/>
  <c r="IT191" i="4"/>
  <c r="IS191" i="4"/>
  <c r="IR191" i="4"/>
  <c r="IQ191" i="4"/>
  <c r="IP191" i="4"/>
  <c r="IO191" i="4"/>
  <c r="IN191" i="4"/>
  <c r="IM191" i="4"/>
  <c r="IL191" i="4"/>
  <c r="IK191" i="4"/>
  <c r="IJ191" i="4"/>
  <c r="II191" i="4"/>
  <c r="IH191" i="4"/>
  <c r="IG191" i="4"/>
  <c r="IF191" i="4"/>
  <c r="IE191" i="4"/>
  <c r="ID191" i="4"/>
  <c r="IC191" i="4"/>
  <c r="IB191" i="4"/>
  <c r="IA191" i="4"/>
  <c r="HZ191" i="4"/>
  <c r="HY191" i="4"/>
  <c r="HX191" i="4"/>
  <c r="HW191" i="4"/>
  <c r="HV191" i="4"/>
  <c r="HU191" i="4"/>
  <c r="HT191" i="4"/>
  <c r="HS191" i="4"/>
  <c r="HR191" i="4"/>
  <c r="HQ191" i="4"/>
  <c r="HP191" i="4"/>
  <c r="HO191" i="4"/>
  <c r="HN191" i="4"/>
  <c r="HM191" i="4"/>
  <c r="HL191" i="4"/>
  <c r="HK191" i="4"/>
  <c r="HJ191" i="4"/>
  <c r="HI191" i="4"/>
  <c r="HH191" i="4"/>
  <c r="HG191" i="4"/>
  <c r="HF191" i="4"/>
  <c r="HE191" i="4"/>
  <c r="HD191" i="4"/>
  <c r="HC191" i="4"/>
  <c r="HB191" i="4"/>
  <c r="HA191" i="4"/>
  <c r="GZ191" i="4"/>
  <c r="GY191" i="4"/>
  <c r="GX191" i="4"/>
  <c r="GW191" i="4"/>
  <c r="GV191" i="4"/>
  <c r="GU191" i="4"/>
  <c r="GT191" i="4"/>
  <c r="GS191" i="4"/>
  <c r="GR191" i="4"/>
  <c r="GQ191" i="4"/>
  <c r="GP191" i="4"/>
  <c r="GO191" i="4"/>
  <c r="GN191" i="4"/>
  <c r="GM191" i="4"/>
  <c r="GL191" i="4"/>
  <c r="GK191" i="4"/>
  <c r="GJ191" i="4"/>
  <c r="GI191" i="4"/>
  <c r="GH191" i="4"/>
  <c r="GG191" i="4"/>
  <c r="GF191" i="4"/>
  <c r="GE191" i="4"/>
  <c r="GD191" i="4"/>
  <c r="GC191" i="4"/>
  <c r="GB191" i="4"/>
  <c r="GA191" i="4"/>
  <c r="FZ191" i="4"/>
  <c r="FY191" i="4"/>
  <c r="FX191" i="4"/>
  <c r="FW191" i="4"/>
  <c r="FV191" i="4"/>
  <c r="FU191" i="4"/>
  <c r="FT191" i="4"/>
  <c r="FS191" i="4"/>
  <c r="FR191" i="4"/>
  <c r="FQ191" i="4"/>
  <c r="FP191" i="4"/>
  <c r="FO191" i="4"/>
  <c r="FN191" i="4"/>
  <c r="FM191" i="4"/>
  <c r="FL191" i="4"/>
  <c r="FK191" i="4"/>
  <c r="FJ191" i="4"/>
  <c r="FI191" i="4"/>
  <c r="FH191" i="4"/>
  <c r="FG191" i="4"/>
  <c r="FF191" i="4"/>
  <c r="FE191" i="4"/>
  <c r="FD191" i="4"/>
  <c r="FC191" i="4"/>
  <c r="FB191" i="4"/>
  <c r="FA191" i="4"/>
  <c r="EZ191" i="4"/>
  <c r="EY191" i="4"/>
  <c r="EX191" i="4"/>
  <c r="EW191" i="4"/>
  <c r="EV191" i="4"/>
  <c r="EU191" i="4"/>
  <c r="ET191" i="4"/>
  <c r="ES191" i="4"/>
  <c r="ER191" i="4"/>
  <c r="EQ191" i="4"/>
  <c r="EP191" i="4"/>
  <c r="EO191" i="4"/>
  <c r="EN191" i="4"/>
  <c r="EM191" i="4"/>
  <c r="EL191" i="4"/>
  <c r="EK191" i="4"/>
  <c r="EJ191" i="4"/>
  <c r="EI191" i="4"/>
  <c r="EH191" i="4"/>
  <c r="EG191" i="4"/>
  <c r="EF191" i="4"/>
  <c r="EE191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IV190" i="4"/>
  <c r="IU190" i="4"/>
  <c r="IT190" i="4"/>
  <c r="IS190" i="4"/>
  <c r="IR190" i="4"/>
  <c r="IQ190" i="4"/>
  <c r="IP190" i="4"/>
  <c r="IO190" i="4"/>
  <c r="IN190" i="4"/>
  <c r="IM190" i="4"/>
  <c r="IL190" i="4"/>
  <c r="IK190" i="4"/>
  <c r="IJ190" i="4"/>
  <c r="II190" i="4"/>
  <c r="IH190" i="4"/>
  <c r="IG190" i="4"/>
  <c r="IF190" i="4"/>
  <c r="IE190" i="4"/>
  <c r="ID190" i="4"/>
  <c r="IC190" i="4"/>
  <c r="IB190" i="4"/>
  <c r="IA190" i="4"/>
  <c r="HZ190" i="4"/>
  <c r="HY190" i="4"/>
  <c r="HX190" i="4"/>
  <c r="HW190" i="4"/>
  <c r="HV190" i="4"/>
  <c r="HU190" i="4"/>
  <c r="HT190" i="4"/>
  <c r="HS190" i="4"/>
  <c r="HR190" i="4"/>
  <c r="HQ190" i="4"/>
  <c r="HP190" i="4"/>
  <c r="HO190" i="4"/>
  <c r="HN190" i="4"/>
  <c r="HM190" i="4"/>
  <c r="HL190" i="4"/>
  <c r="HK190" i="4"/>
  <c r="HJ190" i="4"/>
  <c r="HI190" i="4"/>
  <c r="HH190" i="4"/>
  <c r="HG190" i="4"/>
  <c r="HF190" i="4"/>
  <c r="HE190" i="4"/>
  <c r="HD190" i="4"/>
  <c r="HC190" i="4"/>
  <c r="HB190" i="4"/>
  <c r="HA190" i="4"/>
  <c r="GZ190" i="4"/>
  <c r="GY190" i="4"/>
  <c r="GX190" i="4"/>
  <c r="GW190" i="4"/>
  <c r="GV190" i="4"/>
  <c r="GU190" i="4"/>
  <c r="GT190" i="4"/>
  <c r="GS190" i="4"/>
  <c r="GR190" i="4"/>
  <c r="GQ190" i="4"/>
  <c r="GP190" i="4"/>
  <c r="GO190" i="4"/>
  <c r="GN190" i="4"/>
  <c r="GM190" i="4"/>
  <c r="GL190" i="4"/>
  <c r="GK190" i="4"/>
  <c r="GJ190" i="4"/>
  <c r="GI190" i="4"/>
  <c r="GH190" i="4"/>
  <c r="GG190" i="4"/>
  <c r="GF190" i="4"/>
  <c r="GE190" i="4"/>
  <c r="GD190" i="4"/>
  <c r="GC190" i="4"/>
  <c r="GB190" i="4"/>
  <c r="GA190" i="4"/>
  <c r="FZ190" i="4"/>
  <c r="FY190" i="4"/>
  <c r="FX190" i="4"/>
  <c r="FW190" i="4"/>
  <c r="FV190" i="4"/>
  <c r="FU190" i="4"/>
  <c r="FT190" i="4"/>
  <c r="FS190" i="4"/>
  <c r="FR190" i="4"/>
  <c r="FQ190" i="4"/>
  <c r="FP190" i="4"/>
  <c r="FO190" i="4"/>
  <c r="FN190" i="4"/>
  <c r="FM190" i="4"/>
  <c r="FL190" i="4"/>
  <c r="FK190" i="4"/>
  <c r="FJ190" i="4"/>
  <c r="FI190" i="4"/>
  <c r="FH190" i="4"/>
  <c r="FG190" i="4"/>
  <c r="FF190" i="4"/>
  <c r="FE190" i="4"/>
  <c r="FD190" i="4"/>
  <c r="FC190" i="4"/>
  <c r="FB190" i="4"/>
  <c r="FA190" i="4"/>
  <c r="EZ190" i="4"/>
  <c r="EY190" i="4"/>
  <c r="EX190" i="4"/>
  <c r="EW190" i="4"/>
  <c r="EV190" i="4"/>
  <c r="EU190" i="4"/>
  <c r="ET190" i="4"/>
  <c r="ES190" i="4"/>
  <c r="ER190" i="4"/>
  <c r="EQ190" i="4"/>
  <c r="EP190" i="4"/>
  <c r="EO190" i="4"/>
  <c r="EN190" i="4"/>
  <c r="EM190" i="4"/>
  <c r="EL190" i="4"/>
  <c r="EK190" i="4"/>
  <c r="EJ190" i="4"/>
  <c r="EI190" i="4"/>
  <c r="EH190" i="4"/>
  <c r="EG190" i="4"/>
  <c r="EF190" i="4"/>
  <c r="EE190" i="4"/>
  <c r="ED190" i="4"/>
  <c r="EC190" i="4"/>
  <c r="EB190" i="4"/>
  <c r="EA190" i="4"/>
  <c r="DZ190" i="4"/>
  <c r="DY190" i="4"/>
  <c r="DX190" i="4"/>
  <c r="DW190" i="4"/>
  <c r="DV190" i="4"/>
  <c r="DU190" i="4"/>
  <c r="DT190" i="4"/>
  <c r="DS190" i="4"/>
  <c r="DR190" i="4"/>
  <c r="DQ190" i="4"/>
  <c r="DP190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IV189" i="4"/>
  <c r="IU189" i="4"/>
  <c r="IT189" i="4"/>
  <c r="IS189" i="4"/>
  <c r="IR189" i="4"/>
  <c r="IQ189" i="4"/>
  <c r="IP189" i="4"/>
  <c r="IO189" i="4"/>
  <c r="IN189" i="4"/>
  <c r="IM189" i="4"/>
  <c r="IL189" i="4"/>
  <c r="IK189" i="4"/>
  <c r="IJ189" i="4"/>
  <c r="II189" i="4"/>
  <c r="IH189" i="4"/>
  <c r="IG189" i="4"/>
  <c r="IF189" i="4"/>
  <c r="IE189" i="4"/>
  <c r="ID189" i="4"/>
  <c r="IC189" i="4"/>
  <c r="IB189" i="4"/>
  <c r="IA189" i="4"/>
  <c r="HZ189" i="4"/>
  <c r="HY189" i="4"/>
  <c r="HX189" i="4"/>
  <c r="HW189" i="4"/>
  <c r="HV189" i="4"/>
  <c r="HU189" i="4"/>
  <c r="HT189" i="4"/>
  <c r="HS189" i="4"/>
  <c r="HR189" i="4"/>
  <c r="HQ189" i="4"/>
  <c r="HP189" i="4"/>
  <c r="HO189" i="4"/>
  <c r="HN189" i="4"/>
  <c r="HM189" i="4"/>
  <c r="HL189" i="4"/>
  <c r="HK189" i="4"/>
  <c r="HJ189" i="4"/>
  <c r="HI189" i="4"/>
  <c r="HH189" i="4"/>
  <c r="HG189" i="4"/>
  <c r="HF189" i="4"/>
  <c r="HE189" i="4"/>
  <c r="HD189" i="4"/>
  <c r="HC189" i="4"/>
  <c r="HB189" i="4"/>
  <c r="HA189" i="4"/>
  <c r="GZ189" i="4"/>
  <c r="GY189" i="4"/>
  <c r="GX189" i="4"/>
  <c r="GW189" i="4"/>
  <c r="GV189" i="4"/>
  <c r="GU189" i="4"/>
  <c r="GT189" i="4"/>
  <c r="GS189" i="4"/>
  <c r="GR189" i="4"/>
  <c r="GQ189" i="4"/>
  <c r="GP189" i="4"/>
  <c r="GO189" i="4"/>
  <c r="GN189" i="4"/>
  <c r="GM189" i="4"/>
  <c r="GL189" i="4"/>
  <c r="GK189" i="4"/>
  <c r="GJ189" i="4"/>
  <c r="GI189" i="4"/>
  <c r="GH189" i="4"/>
  <c r="GG189" i="4"/>
  <c r="GF189" i="4"/>
  <c r="GE189" i="4"/>
  <c r="GD189" i="4"/>
  <c r="GC189" i="4"/>
  <c r="GB189" i="4"/>
  <c r="GA189" i="4"/>
  <c r="FZ189" i="4"/>
  <c r="FY189" i="4"/>
  <c r="FX189" i="4"/>
  <c r="FW189" i="4"/>
  <c r="FV189" i="4"/>
  <c r="FU189" i="4"/>
  <c r="FT189" i="4"/>
  <c r="FS189" i="4"/>
  <c r="FR189" i="4"/>
  <c r="FQ189" i="4"/>
  <c r="FP189" i="4"/>
  <c r="FO189" i="4"/>
  <c r="FN189" i="4"/>
  <c r="FM189" i="4"/>
  <c r="FL189" i="4"/>
  <c r="FK189" i="4"/>
  <c r="FJ189" i="4"/>
  <c r="FI189" i="4"/>
  <c r="FH189" i="4"/>
  <c r="FG189" i="4"/>
  <c r="FF189" i="4"/>
  <c r="FE189" i="4"/>
  <c r="FD189" i="4"/>
  <c r="FC189" i="4"/>
  <c r="FB189" i="4"/>
  <c r="FA189" i="4"/>
  <c r="EZ189" i="4"/>
  <c r="EY189" i="4"/>
  <c r="EX189" i="4"/>
  <c r="EW189" i="4"/>
  <c r="EV189" i="4"/>
  <c r="EU189" i="4"/>
  <c r="ET189" i="4"/>
  <c r="ES189" i="4"/>
  <c r="ER189" i="4"/>
  <c r="EQ189" i="4"/>
  <c r="EP189" i="4"/>
  <c r="EO189" i="4"/>
  <c r="EN189" i="4"/>
  <c r="EM189" i="4"/>
  <c r="EL189" i="4"/>
  <c r="EK189" i="4"/>
  <c r="EJ189" i="4"/>
  <c r="EI189" i="4"/>
  <c r="EH189" i="4"/>
  <c r="EG189" i="4"/>
  <c r="EF189" i="4"/>
  <c r="EE189" i="4"/>
  <c r="ED189" i="4"/>
  <c r="EC189" i="4"/>
  <c r="EB189" i="4"/>
  <c r="EA189" i="4"/>
  <c r="DZ189" i="4"/>
  <c r="DY189" i="4"/>
  <c r="DX189" i="4"/>
  <c r="DW189" i="4"/>
  <c r="DV189" i="4"/>
  <c r="DU189" i="4"/>
  <c r="DT189" i="4"/>
  <c r="DS189" i="4"/>
  <c r="DR189" i="4"/>
  <c r="DQ189" i="4"/>
  <c r="DP189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IV188" i="4"/>
  <c r="IU188" i="4"/>
  <c r="IT188" i="4"/>
  <c r="IS188" i="4"/>
  <c r="IR188" i="4"/>
  <c r="IQ188" i="4"/>
  <c r="IP188" i="4"/>
  <c r="IO188" i="4"/>
  <c r="IN188" i="4"/>
  <c r="IM188" i="4"/>
  <c r="IL188" i="4"/>
  <c r="IK188" i="4"/>
  <c r="IJ188" i="4"/>
  <c r="II188" i="4"/>
  <c r="IH188" i="4"/>
  <c r="IG188" i="4"/>
  <c r="IF188" i="4"/>
  <c r="IE188" i="4"/>
  <c r="ID188" i="4"/>
  <c r="IC188" i="4"/>
  <c r="IB188" i="4"/>
  <c r="IA188" i="4"/>
  <c r="HZ188" i="4"/>
  <c r="HY188" i="4"/>
  <c r="HX188" i="4"/>
  <c r="HW188" i="4"/>
  <c r="HV188" i="4"/>
  <c r="HU188" i="4"/>
  <c r="HT188" i="4"/>
  <c r="HS188" i="4"/>
  <c r="HR188" i="4"/>
  <c r="HQ188" i="4"/>
  <c r="HP188" i="4"/>
  <c r="HO188" i="4"/>
  <c r="HN188" i="4"/>
  <c r="HM188" i="4"/>
  <c r="HL188" i="4"/>
  <c r="HK188" i="4"/>
  <c r="HJ188" i="4"/>
  <c r="HI188" i="4"/>
  <c r="HH188" i="4"/>
  <c r="HG188" i="4"/>
  <c r="HF188" i="4"/>
  <c r="HE188" i="4"/>
  <c r="HD188" i="4"/>
  <c r="HC188" i="4"/>
  <c r="HB188" i="4"/>
  <c r="HA188" i="4"/>
  <c r="GZ188" i="4"/>
  <c r="GY188" i="4"/>
  <c r="GX188" i="4"/>
  <c r="GW188" i="4"/>
  <c r="GV188" i="4"/>
  <c r="GU188" i="4"/>
  <c r="GT188" i="4"/>
  <c r="GS188" i="4"/>
  <c r="GR188" i="4"/>
  <c r="GQ188" i="4"/>
  <c r="GP188" i="4"/>
  <c r="GO188" i="4"/>
  <c r="GN188" i="4"/>
  <c r="GM188" i="4"/>
  <c r="GL188" i="4"/>
  <c r="GK188" i="4"/>
  <c r="GJ188" i="4"/>
  <c r="GI188" i="4"/>
  <c r="GH188" i="4"/>
  <c r="GG188" i="4"/>
  <c r="GF188" i="4"/>
  <c r="GE188" i="4"/>
  <c r="GD188" i="4"/>
  <c r="GC188" i="4"/>
  <c r="GB188" i="4"/>
  <c r="GA188" i="4"/>
  <c r="FZ188" i="4"/>
  <c r="FY188" i="4"/>
  <c r="FX188" i="4"/>
  <c r="FW188" i="4"/>
  <c r="FV188" i="4"/>
  <c r="FU188" i="4"/>
  <c r="FT188" i="4"/>
  <c r="FS188" i="4"/>
  <c r="FR188" i="4"/>
  <c r="FQ188" i="4"/>
  <c r="FP188" i="4"/>
  <c r="FO188" i="4"/>
  <c r="FN188" i="4"/>
  <c r="FM188" i="4"/>
  <c r="FL188" i="4"/>
  <c r="FK188" i="4"/>
  <c r="FJ188" i="4"/>
  <c r="FI188" i="4"/>
  <c r="FH188" i="4"/>
  <c r="FG188" i="4"/>
  <c r="FF188" i="4"/>
  <c r="FE188" i="4"/>
  <c r="FD188" i="4"/>
  <c r="FC188" i="4"/>
  <c r="FB188" i="4"/>
  <c r="FA188" i="4"/>
  <c r="EZ188" i="4"/>
  <c r="EY188" i="4"/>
  <c r="EX188" i="4"/>
  <c r="EW188" i="4"/>
  <c r="EV188" i="4"/>
  <c r="EU188" i="4"/>
  <c r="ET188" i="4"/>
  <c r="ES188" i="4"/>
  <c r="ER188" i="4"/>
  <c r="EQ188" i="4"/>
  <c r="EP188" i="4"/>
  <c r="EO188" i="4"/>
  <c r="EN188" i="4"/>
  <c r="EM188" i="4"/>
  <c r="EL188" i="4"/>
  <c r="EK188" i="4"/>
  <c r="EJ188" i="4"/>
  <c r="EI188" i="4"/>
  <c r="EH188" i="4"/>
  <c r="EG188" i="4"/>
  <c r="EF188" i="4"/>
  <c r="EE188" i="4"/>
  <c r="ED188" i="4"/>
  <c r="EC188" i="4"/>
  <c r="EB188" i="4"/>
  <c r="EA188" i="4"/>
  <c r="DZ188" i="4"/>
  <c r="DY188" i="4"/>
  <c r="DX188" i="4"/>
  <c r="DW188" i="4"/>
  <c r="DV188" i="4"/>
  <c r="DU188" i="4"/>
  <c r="DT188" i="4"/>
  <c r="DS188" i="4"/>
  <c r="DR188" i="4"/>
  <c r="DQ188" i="4"/>
  <c r="DP188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IV187" i="4"/>
  <c r="IU187" i="4"/>
  <c r="IT187" i="4"/>
  <c r="IS187" i="4"/>
  <c r="IR187" i="4"/>
  <c r="IQ187" i="4"/>
  <c r="IP187" i="4"/>
  <c r="IO187" i="4"/>
  <c r="IN187" i="4"/>
  <c r="IM187" i="4"/>
  <c r="IL187" i="4"/>
  <c r="IK187" i="4"/>
  <c r="IJ187" i="4"/>
  <c r="II187" i="4"/>
  <c r="IH187" i="4"/>
  <c r="IG187" i="4"/>
  <c r="IF187" i="4"/>
  <c r="IE187" i="4"/>
  <c r="ID187" i="4"/>
  <c r="IC187" i="4"/>
  <c r="IB187" i="4"/>
  <c r="IA187" i="4"/>
  <c r="HZ187" i="4"/>
  <c r="HY187" i="4"/>
  <c r="HX187" i="4"/>
  <c r="HW187" i="4"/>
  <c r="HV187" i="4"/>
  <c r="HU187" i="4"/>
  <c r="HT187" i="4"/>
  <c r="HS187" i="4"/>
  <c r="HR187" i="4"/>
  <c r="HQ187" i="4"/>
  <c r="HP187" i="4"/>
  <c r="HO187" i="4"/>
  <c r="HN187" i="4"/>
  <c r="HM187" i="4"/>
  <c r="HL187" i="4"/>
  <c r="HK187" i="4"/>
  <c r="HJ187" i="4"/>
  <c r="HI187" i="4"/>
  <c r="HH187" i="4"/>
  <c r="HG187" i="4"/>
  <c r="HF187" i="4"/>
  <c r="HE187" i="4"/>
  <c r="HD187" i="4"/>
  <c r="HC187" i="4"/>
  <c r="HB187" i="4"/>
  <c r="HA187" i="4"/>
  <c r="GZ187" i="4"/>
  <c r="GY187" i="4"/>
  <c r="GX187" i="4"/>
  <c r="GW187" i="4"/>
  <c r="GV187" i="4"/>
  <c r="GU187" i="4"/>
  <c r="GT187" i="4"/>
  <c r="GS187" i="4"/>
  <c r="GR187" i="4"/>
  <c r="GQ187" i="4"/>
  <c r="GP187" i="4"/>
  <c r="GO187" i="4"/>
  <c r="GN187" i="4"/>
  <c r="GM187" i="4"/>
  <c r="GL187" i="4"/>
  <c r="GK187" i="4"/>
  <c r="GJ187" i="4"/>
  <c r="GI187" i="4"/>
  <c r="GH187" i="4"/>
  <c r="GG187" i="4"/>
  <c r="GF187" i="4"/>
  <c r="GE187" i="4"/>
  <c r="GD187" i="4"/>
  <c r="GC187" i="4"/>
  <c r="GB187" i="4"/>
  <c r="GA187" i="4"/>
  <c r="FZ187" i="4"/>
  <c r="FY187" i="4"/>
  <c r="FX187" i="4"/>
  <c r="FW187" i="4"/>
  <c r="FV187" i="4"/>
  <c r="FU187" i="4"/>
  <c r="FT187" i="4"/>
  <c r="FS187" i="4"/>
  <c r="FR187" i="4"/>
  <c r="FQ187" i="4"/>
  <c r="FP187" i="4"/>
  <c r="FO187" i="4"/>
  <c r="FN187" i="4"/>
  <c r="FM187" i="4"/>
  <c r="FL187" i="4"/>
  <c r="FK187" i="4"/>
  <c r="FJ187" i="4"/>
  <c r="FI187" i="4"/>
  <c r="FH187" i="4"/>
  <c r="FG187" i="4"/>
  <c r="FF187" i="4"/>
  <c r="FE187" i="4"/>
  <c r="FD187" i="4"/>
  <c r="FC187" i="4"/>
  <c r="FB187" i="4"/>
  <c r="FA187" i="4"/>
  <c r="EZ187" i="4"/>
  <c r="EY187" i="4"/>
  <c r="EX187" i="4"/>
  <c r="EW187" i="4"/>
  <c r="EV187" i="4"/>
  <c r="EU187" i="4"/>
  <c r="ET187" i="4"/>
  <c r="ES187" i="4"/>
  <c r="ER187" i="4"/>
  <c r="EQ187" i="4"/>
  <c r="EP187" i="4"/>
  <c r="EO187" i="4"/>
  <c r="EN187" i="4"/>
  <c r="EM187" i="4"/>
  <c r="EL187" i="4"/>
  <c r="EK187" i="4"/>
  <c r="EJ187" i="4"/>
  <c r="EI187" i="4"/>
  <c r="EH187" i="4"/>
  <c r="EG187" i="4"/>
  <c r="EF187" i="4"/>
  <c r="EE187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J187" i="4"/>
  <c r="I187" i="4"/>
  <c r="H187" i="4"/>
  <c r="G187" i="4"/>
  <c r="F187" i="4"/>
  <c r="E187" i="4"/>
  <c r="D187" i="4"/>
  <c r="C187" i="4"/>
  <c r="B187" i="4"/>
  <c r="A187" i="4"/>
  <c r="IV186" i="4"/>
  <c r="IU186" i="4"/>
  <c r="IT186" i="4"/>
  <c r="IS186" i="4"/>
  <c r="IR186" i="4"/>
  <c r="IQ186" i="4"/>
  <c r="IP186" i="4"/>
  <c r="IO186" i="4"/>
  <c r="IN186" i="4"/>
  <c r="IM186" i="4"/>
  <c r="IL186" i="4"/>
  <c r="IK186" i="4"/>
  <c r="IJ186" i="4"/>
  <c r="II186" i="4"/>
  <c r="IH186" i="4"/>
  <c r="IG186" i="4"/>
  <c r="IF186" i="4"/>
  <c r="IE186" i="4"/>
  <c r="ID186" i="4"/>
  <c r="IC186" i="4"/>
  <c r="IB186" i="4"/>
  <c r="IA186" i="4"/>
  <c r="HZ186" i="4"/>
  <c r="HY186" i="4"/>
  <c r="HX186" i="4"/>
  <c r="HW186" i="4"/>
  <c r="HV186" i="4"/>
  <c r="HU186" i="4"/>
  <c r="HT186" i="4"/>
  <c r="HS186" i="4"/>
  <c r="HR186" i="4"/>
  <c r="HQ186" i="4"/>
  <c r="HP186" i="4"/>
  <c r="HO186" i="4"/>
  <c r="HN186" i="4"/>
  <c r="HM186" i="4"/>
  <c r="HL186" i="4"/>
  <c r="HK186" i="4"/>
  <c r="HJ186" i="4"/>
  <c r="HI186" i="4"/>
  <c r="HH186" i="4"/>
  <c r="HG186" i="4"/>
  <c r="HF186" i="4"/>
  <c r="HE186" i="4"/>
  <c r="HD186" i="4"/>
  <c r="HC186" i="4"/>
  <c r="HB186" i="4"/>
  <c r="HA186" i="4"/>
  <c r="GZ186" i="4"/>
  <c r="GY186" i="4"/>
  <c r="GX186" i="4"/>
  <c r="GW186" i="4"/>
  <c r="GV186" i="4"/>
  <c r="GU186" i="4"/>
  <c r="GT186" i="4"/>
  <c r="GS186" i="4"/>
  <c r="GR186" i="4"/>
  <c r="GQ186" i="4"/>
  <c r="GP186" i="4"/>
  <c r="GO186" i="4"/>
  <c r="GN186" i="4"/>
  <c r="GM186" i="4"/>
  <c r="GL186" i="4"/>
  <c r="GK186" i="4"/>
  <c r="GJ186" i="4"/>
  <c r="GI186" i="4"/>
  <c r="GH186" i="4"/>
  <c r="GG186" i="4"/>
  <c r="GF186" i="4"/>
  <c r="GE186" i="4"/>
  <c r="GD186" i="4"/>
  <c r="GC186" i="4"/>
  <c r="GB186" i="4"/>
  <c r="GA186" i="4"/>
  <c r="FZ186" i="4"/>
  <c r="FY186" i="4"/>
  <c r="FX186" i="4"/>
  <c r="FW186" i="4"/>
  <c r="FV186" i="4"/>
  <c r="FU186" i="4"/>
  <c r="FT186" i="4"/>
  <c r="FS186" i="4"/>
  <c r="FR186" i="4"/>
  <c r="FQ186" i="4"/>
  <c r="FP186" i="4"/>
  <c r="FO186" i="4"/>
  <c r="FN186" i="4"/>
  <c r="FM186" i="4"/>
  <c r="FL186" i="4"/>
  <c r="FK186" i="4"/>
  <c r="FJ186" i="4"/>
  <c r="FI186" i="4"/>
  <c r="FH186" i="4"/>
  <c r="FG186" i="4"/>
  <c r="FF186" i="4"/>
  <c r="FE186" i="4"/>
  <c r="FD186" i="4"/>
  <c r="FC186" i="4"/>
  <c r="FB186" i="4"/>
  <c r="FA186" i="4"/>
  <c r="EZ186" i="4"/>
  <c r="EY186" i="4"/>
  <c r="EX186" i="4"/>
  <c r="EW186" i="4"/>
  <c r="EV186" i="4"/>
  <c r="EU186" i="4"/>
  <c r="ET186" i="4"/>
  <c r="ES186" i="4"/>
  <c r="ER186" i="4"/>
  <c r="EQ186" i="4"/>
  <c r="EP186" i="4"/>
  <c r="EO186" i="4"/>
  <c r="EN186" i="4"/>
  <c r="EM186" i="4"/>
  <c r="EL186" i="4"/>
  <c r="EK186" i="4"/>
  <c r="EJ186" i="4"/>
  <c r="EI186" i="4"/>
  <c r="EH186" i="4"/>
  <c r="EG186" i="4"/>
  <c r="EF186" i="4"/>
  <c r="EE186" i="4"/>
  <c r="ED186" i="4"/>
  <c r="EC186" i="4"/>
  <c r="EB186" i="4"/>
  <c r="EA186" i="4"/>
  <c r="DZ186" i="4"/>
  <c r="DY186" i="4"/>
  <c r="DX186" i="4"/>
  <c r="DW186" i="4"/>
  <c r="DV186" i="4"/>
  <c r="DU186" i="4"/>
  <c r="DT186" i="4"/>
  <c r="DS186" i="4"/>
  <c r="DR186" i="4"/>
  <c r="DQ186" i="4"/>
  <c r="DP186" i="4"/>
  <c r="DO186" i="4"/>
  <c r="DN186" i="4"/>
  <c r="DM186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IV185" i="4"/>
  <c r="IU185" i="4"/>
  <c r="IT185" i="4"/>
  <c r="IS185" i="4"/>
  <c r="IR185" i="4"/>
  <c r="IQ185" i="4"/>
  <c r="IP185" i="4"/>
  <c r="IO185" i="4"/>
  <c r="IN185" i="4"/>
  <c r="IM185" i="4"/>
  <c r="IL185" i="4"/>
  <c r="IK185" i="4"/>
  <c r="IJ185" i="4"/>
  <c r="II185" i="4"/>
  <c r="IH185" i="4"/>
  <c r="IG185" i="4"/>
  <c r="IF185" i="4"/>
  <c r="IE185" i="4"/>
  <c r="ID185" i="4"/>
  <c r="IC185" i="4"/>
  <c r="IB185" i="4"/>
  <c r="IA185" i="4"/>
  <c r="HZ185" i="4"/>
  <c r="HY185" i="4"/>
  <c r="HX185" i="4"/>
  <c r="HW185" i="4"/>
  <c r="HV185" i="4"/>
  <c r="HU185" i="4"/>
  <c r="HT185" i="4"/>
  <c r="HS185" i="4"/>
  <c r="HR185" i="4"/>
  <c r="HQ185" i="4"/>
  <c r="HP185" i="4"/>
  <c r="HO185" i="4"/>
  <c r="HN185" i="4"/>
  <c r="HM185" i="4"/>
  <c r="HL185" i="4"/>
  <c r="HK185" i="4"/>
  <c r="HJ185" i="4"/>
  <c r="HI185" i="4"/>
  <c r="HH185" i="4"/>
  <c r="HG185" i="4"/>
  <c r="HF185" i="4"/>
  <c r="HE185" i="4"/>
  <c r="HD185" i="4"/>
  <c r="HC185" i="4"/>
  <c r="HB185" i="4"/>
  <c r="HA185" i="4"/>
  <c r="GZ185" i="4"/>
  <c r="GY185" i="4"/>
  <c r="GX185" i="4"/>
  <c r="GW185" i="4"/>
  <c r="GV185" i="4"/>
  <c r="GU185" i="4"/>
  <c r="GT185" i="4"/>
  <c r="GS185" i="4"/>
  <c r="GR185" i="4"/>
  <c r="GQ185" i="4"/>
  <c r="GP185" i="4"/>
  <c r="GO185" i="4"/>
  <c r="GN185" i="4"/>
  <c r="GM185" i="4"/>
  <c r="GL185" i="4"/>
  <c r="GK185" i="4"/>
  <c r="GJ185" i="4"/>
  <c r="GI185" i="4"/>
  <c r="GH185" i="4"/>
  <c r="GG185" i="4"/>
  <c r="GF185" i="4"/>
  <c r="GE185" i="4"/>
  <c r="GD185" i="4"/>
  <c r="GC185" i="4"/>
  <c r="GB185" i="4"/>
  <c r="GA185" i="4"/>
  <c r="FZ185" i="4"/>
  <c r="FY185" i="4"/>
  <c r="FX185" i="4"/>
  <c r="FW185" i="4"/>
  <c r="FV185" i="4"/>
  <c r="FU185" i="4"/>
  <c r="FT185" i="4"/>
  <c r="FS185" i="4"/>
  <c r="FR185" i="4"/>
  <c r="FQ185" i="4"/>
  <c r="FP185" i="4"/>
  <c r="FO185" i="4"/>
  <c r="FN185" i="4"/>
  <c r="FM185" i="4"/>
  <c r="FL185" i="4"/>
  <c r="FK185" i="4"/>
  <c r="FJ185" i="4"/>
  <c r="FI185" i="4"/>
  <c r="FH185" i="4"/>
  <c r="FG185" i="4"/>
  <c r="FF185" i="4"/>
  <c r="FE185" i="4"/>
  <c r="FD185" i="4"/>
  <c r="FC185" i="4"/>
  <c r="FB185" i="4"/>
  <c r="FA185" i="4"/>
  <c r="EZ185" i="4"/>
  <c r="EY185" i="4"/>
  <c r="EX185" i="4"/>
  <c r="EW185" i="4"/>
  <c r="EV185" i="4"/>
  <c r="EU185" i="4"/>
  <c r="ET185" i="4"/>
  <c r="ES185" i="4"/>
  <c r="ER185" i="4"/>
  <c r="EQ185" i="4"/>
  <c r="EP185" i="4"/>
  <c r="EO185" i="4"/>
  <c r="EN185" i="4"/>
  <c r="EM185" i="4"/>
  <c r="EL185" i="4"/>
  <c r="EK185" i="4"/>
  <c r="EJ185" i="4"/>
  <c r="EI185" i="4"/>
  <c r="EH185" i="4"/>
  <c r="EG185" i="4"/>
  <c r="EF185" i="4"/>
  <c r="EE185" i="4"/>
  <c r="ED185" i="4"/>
  <c r="EC185" i="4"/>
  <c r="EB185" i="4"/>
  <c r="EA185" i="4"/>
  <c r="DZ185" i="4"/>
  <c r="DY185" i="4"/>
  <c r="DX185" i="4"/>
  <c r="DW185" i="4"/>
  <c r="DV185" i="4"/>
  <c r="DU185" i="4"/>
  <c r="DT185" i="4"/>
  <c r="DS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IV184" i="4"/>
  <c r="IU184" i="4"/>
  <c r="IT184" i="4"/>
  <c r="IS184" i="4"/>
  <c r="IR184" i="4"/>
  <c r="IQ184" i="4"/>
  <c r="IP184" i="4"/>
  <c r="IO184" i="4"/>
  <c r="IN184" i="4"/>
  <c r="IM184" i="4"/>
  <c r="IL184" i="4"/>
  <c r="IK184" i="4"/>
  <c r="IJ184" i="4"/>
  <c r="II184" i="4"/>
  <c r="IH184" i="4"/>
  <c r="IG184" i="4"/>
  <c r="IF184" i="4"/>
  <c r="IE184" i="4"/>
  <c r="ID184" i="4"/>
  <c r="IC184" i="4"/>
  <c r="IB184" i="4"/>
  <c r="IA184" i="4"/>
  <c r="HZ184" i="4"/>
  <c r="HY184" i="4"/>
  <c r="HX184" i="4"/>
  <c r="HW184" i="4"/>
  <c r="HV184" i="4"/>
  <c r="HU184" i="4"/>
  <c r="HT184" i="4"/>
  <c r="HS184" i="4"/>
  <c r="HR184" i="4"/>
  <c r="HQ184" i="4"/>
  <c r="HP184" i="4"/>
  <c r="HO184" i="4"/>
  <c r="HN184" i="4"/>
  <c r="HM184" i="4"/>
  <c r="HL184" i="4"/>
  <c r="HK184" i="4"/>
  <c r="HJ184" i="4"/>
  <c r="HI184" i="4"/>
  <c r="HH184" i="4"/>
  <c r="HG184" i="4"/>
  <c r="HF184" i="4"/>
  <c r="HE184" i="4"/>
  <c r="HD184" i="4"/>
  <c r="HC184" i="4"/>
  <c r="HB184" i="4"/>
  <c r="HA184" i="4"/>
  <c r="GZ184" i="4"/>
  <c r="GY184" i="4"/>
  <c r="GX184" i="4"/>
  <c r="GW184" i="4"/>
  <c r="GV184" i="4"/>
  <c r="GU184" i="4"/>
  <c r="GT184" i="4"/>
  <c r="GS184" i="4"/>
  <c r="GR184" i="4"/>
  <c r="GQ184" i="4"/>
  <c r="GP184" i="4"/>
  <c r="GO184" i="4"/>
  <c r="GN184" i="4"/>
  <c r="GM184" i="4"/>
  <c r="GL184" i="4"/>
  <c r="GK184" i="4"/>
  <c r="GJ184" i="4"/>
  <c r="GI184" i="4"/>
  <c r="GH184" i="4"/>
  <c r="GG184" i="4"/>
  <c r="GF184" i="4"/>
  <c r="GE184" i="4"/>
  <c r="GD184" i="4"/>
  <c r="GC184" i="4"/>
  <c r="GB184" i="4"/>
  <c r="GA184" i="4"/>
  <c r="FZ184" i="4"/>
  <c r="FY184" i="4"/>
  <c r="FX184" i="4"/>
  <c r="FW184" i="4"/>
  <c r="FV184" i="4"/>
  <c r="FU184" i="4"/>
  <c r="FT184" i="4"/>
  <c r="FS184" i="4"/>
  <c r="FR184" i="4"/>
  <c r="FQ184" i="4"/>
  <c r="FP184" i="4"/>
  <c r="FO184" i="4"/>
  <c r="FN184" i="4"/>
  <c r="FM184" i="4"/>
  <c r="FL184" i="4"/>
  <c r="FK184" i="4"/>
  <c r="FJ184" i="4"/>
  <c r="FI184" i="4"/>
  <c r="FH184" i="4"/>
  <c r="FG184" i="4"/>
  <c r="FF184" i="4"/>
  <c r="FE184" i="4"/>
  <c r="FD184" i="4"/>
  <c r="FC184" i="4"/>
  <c r="FB184" i="4"/>
  <c r="FA184" i="4"/>
  <c r="EZ184" i="4"/>
  <c r="EY184" i="4"/>
  <c r="EX184" i="4"/>
  <c r="EW184" i="4"/>
  <c r="EV184" i="4"/>
  <c r="EU184" i="4"/>
  <c r="ET184" i="4"/>
  <c r="ES184" i="4"/>
  <c r="ER184" i="4"/>
  <c r="EQ184" i="4"/>
  <c r="EP184" i="4"/>
  <c r="EO184" i="4"/>
  <c r="EN184" i="4"/>
  <c r="EM184" i="4"/>
  <c r="EL184" i="4"/>
  <c r="EK184" i="4"/>
  <c r="EJ184" i="4"/>
  <c r="EI184" i="4"/>
  <c r="EH184" i="4"/>
  <c r="EG184" i="4"/>
  <c r="EF184" i="4"/>
  <c r="EE184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IV183" i="4"/>
  <c r="IU183" i="4"/>
  <c r="IT183" i="4"/>
  <c r="IS183" i="4"/>
  <c r="IR183" i="4"/>
  <c r="IQ183" i="4"/>
  <c r="IP183" i="4"/>
  <c r="IO183" i="4"/>
  <c r="IN183" i="4"/>
  <c r="IM183" i="4"/>
  <c r="IL183" i="4"/>
  <c r="IK183" i="4"/>
  <c r="IJ183" i="4"/>
  <c r="II183" i="4"/>
  <c r="IH183" i="4"/>
  <c r="IG183" i="4"/>
  <c r="IF183" i="4"/>
  <c r="IE183" i="4"/>
  <c r="ID183" i="4"/>
  <c r="IC183" i="4"/>
  <c r="IB183" i="4"/>
  <c r="IA183" i="4"/>
  <c r="HZ183" i="4"/>
  <c r="HY183" i="4"/>
  <c r="HX183" i="4"/>
  <c r="HW183" i="4"/>
  <c r="HV183" i="4"/>
  <c r="HU183" i="4"/>
  <c r="HT183" i="4"/>
  <c r="HS183" i="4"/>
  <c r="HR183" i="4"/>
  <c r="HQ183" i="4"/>
  <c r="HP183" i="4"/>
  <c r="HO183" i="4"/>
  <c r="HN183" i="4"/>
  <c r="HM183" i="4"/>
  <c r="HL183" i="4"/>
  <c r="HK183" i="4"/>
  <c r="HJ183" i="4"/>
  <c r="HI183" i="4"/>
  <c r="HH183" i="4"/>
  <c r="HG183" i="4"/>
  <c r="HF183" i="4"/>
  <c r="HE183" i="4"/>
  <c r="HD183" i="4"/>
  <c r="HC183" i="4"/>
  <c r="HB183" i="4"/>
  <c r="HA183" i="4"/>
  <c r="GZ183" i="4"/>
  <c r="GY183" i="4"/>
  <c r="GX183" i="4"/>
  <c r="GW183" i="4"/>
  <c r="GV183" i="4"/>
  <c r="GU183" i="4"/>
  <c r="GT183" i="4"/>
  <c r="GS183" i="4"/>
  <c r="GR183" i="4"/>
  <c r="GQ183" i="4"/>
  <c r="GP183" i="4"/>
  <c r="GO183" i="4"/>
  <c r="GN183" i="4"/>
  <c r="GM183" i="4"/>
  <c r="GL183" i="4"/>
  <c r="GK183" i="4"/>
  <c r="GJ183" i="4"/>
  <c r="GI183" i="4"/>
  <c r="GH183" i="4"/>
  <c r="GG183" i="4"/>
  <c r="GF183" i="4"/>
  <c r="GE183" i="4"/>
  <c r="GD183" i="4"/>
  <c r="GC183" i="4"/>
  <c r="GB183" i="4"/>
  <c r="GA183" i="4"/>
  <c r="FZ183" i="4"/>
  <c r="FY183" i="4"/>
  <c r="FX183" i="4"/>
  <c r="FW183" i="4"/>
  <c r="FV183" i="4"/>
  <c r="FU183" i="4"/>
  <c r="FT183" i="4"/>
  <c r="FS183" i="4"/>
  <c r="FR183" i="4"/>
  <c r="FQ183" i="4"/>
  <c r="FP183" i="4"/>
  <c r="FO183" i="4"/>
  <c r="FN183" i="4"/>
  <c r="FM183" i="4"/>
  <c r="FL183" i="4"/>
  <c r="FK183" i="4"/>
  <c r="FJ183" i="4"/>
  <c r="FI183" i="4"/>
  <c r="FH183" i="4"/>
  <c r="FG183" i="4"/>
  <c r="FF183" i="4"/>
  <c r="FE183" i="4"/>
  <c r="FD183" i="4"/>
  <c r="FC183" i="4"/>
  <c r="FB183" i="4"/>
  <c r="FA183" i="4"/>
  <c r="EZ183" i="4"/>
  <c r="EY183" i="4"/>
  <c r="EX183" i="4"/>
  <c r="EW183" i="4"/>
  <c r="EV183" i="4"/>
  <c r="EU183" i="4"/>
  <c r="ET183" i="4"/>
  <c r="ES183" i="4"/>
  <c r="ER183" i="4"/>
  <c r="EQ183" i="4"/>
  <c r="EP183" i="4"/>
  <c r="EO183" i="4"/>
  <c r="EN183" i="4"/>
  <c r="EM183" i="4"/>
  <c r="EL183" i="4"/>
  <c r="EK183" i="4"/>
  <c r="EJ183" i="4"/>
  <c r="EI183" i="4"/>
  <c r="EH183" i="4"/>
  <c r="EG183" i="4"/>
  <c r="EF183" i="4"/>
  <c r="EE183" i="4"/>
  <c r="ED183" i="4"/>
  <c r="EC183" i="4"/>
  <c r="EB183" i="4"/>
  <c r="EA183" i="4"/>
  <c r="DZ183" i="4"/>
  <c r="DY183" i="4"/>
  <c r="DX183" i="4"/>
  <c r="DW183" i="4"/>
  <c r="DV183" i="4"/>
  <c r="DU183" i="4"/>
  <c r="DT183" i="4"/>
  <c r="DS183" i="4"/>
  <c r="DR183" i="4"/>
  <c r="DQ183" i="4"/>
  <c r="DP183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IV182" i="4"/>
  <c r="IU182" i="4"/>
  <c r="IT182" i="4"/>
  <c r="IS182" i="4"/>
  <c r="IR182" i="4"/>
  <c r="IQ182" i="4"/>
  <c r="IP182" i="4"/>
  <c r="IO182" i="4"/>
  <c r="IN182" i="4"/>
  <c r="IM182" i="4"/>
  <c r="IL182" i="4"/>
  <c r="IK182" i="4"/>
  <c r="IJ182" i="4"/>
  <c r="II182" i="4"/>
  <c r="IH182" i="4"/>
  <c r="IG182" i="4"/>
  <c r="IF182" i="4"/>
  <c r="IE182" i="4"/>
  <c r="ID182" i="4"/>
  <c r="IC182" i="4"/>
  <c r="IB182" i="4"/>
  <c r="IA182" i="4"/>
  <c r="HZ182" i="4"/>
  <c r="HY182" i="4"/>
  <c r="HX182" i="4"/>
  <c r="HW182" i="4"/>
  <c r="HV182" i="4"/>
  <c r="HU182" i="4"/>
  <c r="HT182" i="4"/>
  <c r="HS182" i="4"/>
  <c r="HR182" i="4"/>
  <c r="HQ182" i="4"/>
  <c r="HP182" i="4"/>
  <c r="HO182" i="4"/>
  <c r="HN182" i="4"/>
  <c r="HM182" i="4"/>
  <c r="HL182" i="4"/>
  <c r="HK182" i="4"/>
  <c r="HJ182" i="4"/>
  <c r="HI182" i="4"/>
  <c r="HH182" i="4"/>
  <c r="HG182" i="4"/>
  <c r="HF182" i="4"/>
  <c r="HE182" i="4"/>
  <c r="HD182" i="4"/>
  <c r="HC182" i="4"/>
  <c r="HB182" i="4"/>
  <c r="HA182" i="4"/>
  <c r="GZ182" i="4"/>
  <c r="GY182" i="4"/>
  <c r="GX182" i="4"/>
  <c r="GW182" i="4"/>
  <c r="GV182" i="4"/>
  <c r="GU182" i="4"/>
  <c r="GT182" i="4"/>
  <c r="GS182" i="4"/>
  <c r="GR182" i="4"/>
  <c r="GQ182" i="4"/>
  <c r="GP182" i="4"/>
  <c r="GO182" i="4"/>
  <c r="GN182" i="4"/>
  <c r="GM182" i="4"/>
  <c r="GL182" i="4"/>
  <c r="GK182" i="4"/>
  <c r="GJ182" i="4"/>
  <c r="GI182" i="4"/>
  <c r="GH182" i="4"/>
  <c r="GG182" i="4"/>
  <c r="GF182" i="4"/>
  <c r="GE182" i="4"/>
  <c r="GD182" i="4"/>
  <c r="GC182" i="4"/>
  <c r="GB182" i="4"/>
  <c r="GA182" i="4"/>
  <c r="FZ182" i="4"/>
  <c r="FY182" i="4"/>
  <c r="FX182" i="4"/>
  <c r="FW182" i="4"/>
  <c r="FV182" i="4"/>
  <c r="FU182" i="4"/>
  <c r="FT182" i="4"/>
  <c r="FS182" i="4"/>
  <c r="FR182" i="4"/>
  <c r="FQ182" i="4"/>
  <c r="FP182" i="4"/>
  <c r="FO182" i="4"/>
  <c r="FN182" i="4"/>
  <c r="FM182" i="4"/>
  <c r="FL182" i="4"/>
  <c r="FK182" i="4"/>
  <c r="FJ182" i="4"/>
  <c r="FI182" i="4"/>
  <c r="FH182" i="4"/>
  <c r="FG182" i="4"/>
  <c r="FF182" i="4"/>
  <c r="FE182" i="4"/>
  <c r="FD182" i="4"/>
  <c r="FC182" i="4"/>
  <c r="FB182" i="4"/>
  <c r="FA182" i="4"/>
  <c r="EZ182" i="4"/>
  <c r="EY182" i="4"/>
  <c r="EX182" i="4"/>
  <c r="EW182" i="4"/>
  <c r="EV182" i="4"/>
  <c r="EU182" i="4"/>
  <c r="ET182" i="4"/>
  <c r="ES182" i="4"/>
  <c r="ER182" i="4"/>
  <c r="EQ182" i="4"/>
  <c r="EP182" i="4"/>
  <c r="EO182" i="4"/>
  <c r="EN182" i="4"/>
  <c r="EM182" i="4"/>
  <c r="EL182" i="4"/>
  <c r="EK182" i="4"/>
  <c r="EJ182" i="4"/>
  <c r="EI182" i="4"/>
  <c r="EH182" i="4"/>
  <c r="EG182" i="4"/>
  <c r="EF182" i="4"/>
  <c r="EE182" i="4"/>
  <c r="ED182" i="4"/>
  <c r="EC182" i="4"/>
  <c r="EB182" i="4"/>
  <c r="EA182" i="4"/>
  <c r="DZ182" i="4"/>
  <c r="DY182" i="4"/>
  <c r="DX182" i="4"/>
  <c r="DW182" i="4"/>
  <c r="DV182" i="4"/>
  <c r="DU182" i="4"/>
  <c r="DT182" i="4"/>
  <c r="DS182" i="4"/>
  <c r="DR182" i="4"/>
  <c r="DQ182" i="4"/>
  <c r="DP182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IV181" i="4"/>
  <c r="IU181" i="4"/>
  <c r="IT181" i="4"/>
  <c r="IS181" i="4"/>
  <c r="IR181" i="4"/>
  <c r="IQ181" i="4"/>
  <c r="IP181" i="4"/>
  <c r="IO181" i="4"/>
  <c r="IN181" i="4"/>
  <c r="IM181" i="4"/>
  <c r="IL181" i="4"/>
  <c r="IK181" i="4"/>
  <c r="IJ181" i="4"/>
  <c r="II181" i="4"/>
  <c r="IH181" i="4"/>
  <c r="IG181" i="4"/>
  <c r="IF181" i="4"/>
  <c r="IE181" i="4"/>
  <c r="ID181" i="4"/>
  <c r="IC181" i="4"/>
  <c r="IB181" i="4"/>
  <c r="IA181" i="4"/>
  <c r="HZ181" i="4"/>
  <c r="HY181" i="4"/>
  <c r="HX181" i="4"/>
  <c r="HW181" i="4"/>
  <c r="HV181" i="4"/>
  <c r="HU181" i="4"/>
  <c r="HT181" i="4"/>
  <c r="HS181" i="4"/>
  <c r="HR181" i="4"/>
  <c r="HQ181" i="4"/>
  <c r="HP181" i="4"/>
  <c r="HO181" i="4"/>
  <c r="HN181" i="4"/>
  <c r="HM181" i="4"/>
  <c r="HL181" i="4"/>
  <c r="HK181" i="4"/>
  <c r="HJ181" i="4"/>
  <c r="HI181" i="4"/>
  <c r="HH181" i="4"/>
  <c r="HG181" i="4"/>
  <c r="HF181" i="4"/>
  <c r="HE181" i="4"/>
  <c r="HD181" i="4"/>
  <c r="HC181" i="4"/>
  <c r="HB181" i="4"/>
  <c r="HA181" i="4"/>
  <c r="GZ181" i="4"/>
  <c r="GY181" i="4"/>
  <c r="GX181" i="4"/>
  <c r="GW181" i="4"/>
  <c r="GV181" i="4"/>
  <c r="GU181" i="4"/>
  <c r="GT181" i="4"/>
  <c r="GS181" i="4"/>
  <c r="GR181" i="4"/>
  <c r="GQ181" i="4"/>
  <c r="GP181" i="4"/>
  <c r="GO181" i="4"/>
  <c r="GN181" i="4"/>
  <c r="GM181" i="4"/>
  <c r="GL181" i="4"/>
  <c r="GK181" i="4"/>
  <c r="GJ181" i="4"/>
  <c r="GI181" i="4"/>
  <c r="GH181" i="4"/>
  <c r="GG181" i="4"/>
  <c r="GF181" i="4"/>
  <c r="GE181" i="4"/>
  <c r="GD181" i="4"/>
  <c r="GC181" i="4"/>
  <c r="GB181" i="4"/>
  <c r="GA181" i="4"/>
  <c r="FZ181" i="4"/>
  <c r="FY181" i="4"/>
  <c r="FX181" i="4"/>
  <c r="FW181" i="4"/>
  <c r="FV181" i="4"/>
  <c r="FU181" i="4"/>
  <c r="FT181" i="4"/>
  <c r="FS181" i="4"/>
  <c r="FR181" i="4"/>
  <c r="FQ181" i="4"/>
  <c r="FP181" i="4"/>
  <c r="FO181" i="4"/>
  <c r="FN181" i="4"/>
  <c r="FM181" i="4"/>
  <c r="FL181" i="4"/>
  <c r="FK181" i="4"/>
  <c r="FJ181" i="4"/>
  <c r="FI181" i="4"/>
  <c r="FH181" i="4"/>
  <c r="FG181" i="4"/>
  <c r="FF181" i="4"/>
  <c r="FE181" i="4"/>
  <c r="FD181" i="4"/>
  <c r="FC181" i="4"/>
  <c r="FB181" i="4"/>
  <c r="FA181" i="4"/>
  <c r="EZ181" i="4"/>
  <c r="EY181" i="4"/>
  <c r="EX181" i="4"/>
  <c r="EW181" i="4"/>
  <c r="EV181" i="4"/>
  <c r="EU181" i="4"/>
  <c r="ET181" i="4"/>
  <c r="ES181" i="4"/>
  <c r="ER181" i="4"/>
  <c r="EQ181" i="4"/>
  <c r="EP181" i="4"/>
  <c r="EO181" i="4"/>
  <c r="EN181" i="4"/>
  <c r="EM181" i="4"/>
  <c r="EL181" i="4"/>
  <c r="EK181" i="4"/>
  <c r="EJ181" i="4"/>
  <c r="EI181" i="4"/>
  <c r="EH181" i="4"/>
  <c r="EG181" i="4"/>
  <c r="EF181" i="4"/>
  <c r="EE181" i="4"/>
  <c r="ED181" i="4"/>
  <c r="EC181" i="4"/>
  <c r="EB181" i="4"/>
  <c r="EA181" i="4"/>
  <c r="DZ181" i="4"/>
  <c r="DY181" i="4"/>
  <c r="DX181" i="4"/>
  <c r="DW181" i="4"/>
  <c r="DV181" i="4"/>
  <c r="DU181" i="4"/>
  <c r="DT181" i="4"/>
  <c r="DS181" i="4"/>
  <c r="DR181" i="4"/>
  <c r="DQ181" i="4"/>
  <c r="DP181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IV180" i="4"/>
  <c r="IU180" i="4"/>
  <c r="IT180" i="4"/>
  <c r="IS180" i="4"/>
  <c r="IR180" i="4"/>
  <c r="IQ180" i="4"/>
  <c r="IP180" i="4"/>
  <c r="IO180" i="4"/>
  <c r="IN180" i="4"/>
  <c r="IM180" i="4"/>
  <c r="IL180" i="4"/>
  <c r="IK180" i="4"/>
  <c r="IJ180" i="4"/>
  <c r="II180" i="4"/>
  <c r="IH180" i="4"/>
  <c r="IG180" i="4"/>
  <c r="IF180" i="4"/>
  <c r="IE180" i="4"/>
  <c r="ID180" i="4"/>
  <c r="IC180" i="4"/>
  <c r="IB180" i="4"/>
  <c r="IA180" i="4"/>
  <c r="HZ180" i="4"/>
  <c r="HY180" i="4"/>
  <c r="HX180" i="4"/>
  <c r="HW180" i="4"/>
  <c r="HV180" i="4"/>
  <c r="HU180" i="4"/>
  <c r="HT180" i="4"/>
  <c r="HS180" i="4"/>
  <c r="HR180" i="4"/>
  <c r="HQ180" i="4"/>
  <c r="HP180" i="4"/>
  <c r="HO180" i="4"/>
  <c r="HN180" i="4"/>
  <c r="HM180" i="4"/>
  <c r="HL180" i="4"/>
  <c r="HK180" i="4"/>
  <c r="HJ180" i="4"/>
  <c r="HI180" i="4"/>
  <c r="HH180" i="4"/>
  <c r="HG180" i="4"/>
  <c r="HF180" i="4"/>
  <c r="HE180" i="4"/>
  <c r="HD180" i="4"/>
  <c r="HC180" i="4"/>
  <c r="HB180" i="4"/>
  <c r="HA180" i="4"/>
  <c r="GZ180" i="4"/>
  <c r="GY180" i="4"/>
  <c r="GX180" i="4"/>
  <c r="GW180" i="4"/>
  <c r="GV180" i="4"/>
  <c r="GU180" i="4"/>
  <c r="GT180" i="4"/>
  <c r="GS180" i="4"/>
  <c r="GR180" i="4"/>
  <c r="GQ180" i="4"/>
  <c r="GP180" i="4"/>
  <c r="GO180" i="4"/>
  <c r="GN180" i="4"/>
  <c r="GM180" i="4"/>
  <c r="GL180" i="4"/>
  <c r="GK180" i="4"/>
  <c r="GJ180" i="4"/>
  <c r="GI180" i="4"/>
  <c r="GH180" i="4"/>
  <c r="GG180" i="4"/>
  <c r="GF180" i="4"/>
  <c r="GE180" i="4"/>
  <c r="GD180" i="4"/>
  <c r="GC180" i="4"/>
  <c r="GB180" i="4"/>
  <c r="GA180" i="4"/>
  <c r="FZ180" i="4"/>
  <c r="FY180" i="4"/>
  <c r="FX180" i="4"/>
  <c r="FW180" i="4"/>
  <c r="FV180" i="4"/>
  <c r="FU180" i="4"/>
  <c r="FT180" i="4"/>
  <c r="FS180" i="4"/>
  <c r="FR180" i="4"/>
  <c r="FQ180" i="4"/>
  <c r="FP180" i="4"/>
  <c r="FO180" i="4"/>
  <c r="FN180" i="4"/>
  <c r="FM180" i="4"/>
  <c r="FL180" i="4"/>
  <c r="FK180" i="4"/>
  <c r="FJ180" i="4"/>
  <c r="FI180" i="4"/>
  <c r="FH180" i="4"/>
  <c r="FG180" i="4"/>
  <c r="FF180" i="4"/>
  <c r="FE180" i="4"/>
  <c r="FD180" i="4"/>
  <c r="FC180" i="4"/>
  <c r="FB180" i="4"/>
  <c r="FA180" i="4"/>
  <c r="EZ180" i="4"/>
  <c r="EY180" i="4"/>
  <c r="EX180" i="4"/>
  <c r="EW180" i="4"/>
  <c r="EV180" i="4"/>
  <c r="EU180" i="4"/>
  <c r="ET180" i="4"/>
  <c r="ES180" i="4"/>
  <c r="ER180" i="4"/>
  <c r="EQ180" i="4"/>
  <c r="EP180" i="4"/>
  <c r="EO180" i="4"/>
  <c r="EN180" i="4"/>
  <c r="EM180" i="4"/>
  <c r="EL180" i="4"/>
  <c r="EK180" i="4"/>
  <c r="EJ180" i="4"/>
  <c r="EI180" i="4"/>
  <c r="EH180" i="4"/>
  <c r="EG180" i="4"/>
  <c r="EF180" i="4"/>
  <c r="EE180" i="4"/>
  <c r="ED180" i="4"/>
  <c r="EC180" i="4"/>
  <c r="EB180" i="4"/>
  <c r="EA180" i="4"/>
  <c r="DZ180" i="4"/>
  <c r="DY180" i="4"/>
  <c r="DX180" i="4"/>
  <c r="DW180" i="4"/>
  <c r="DV180" i="4"/>
  <c r="DU180" i="4"/>
  <c r="DT180" i="4"/>
  <c r="DS180" i="4"/>
  <c r="DR180" i="4"/>
  <c r="DQ180" i="4"/>
  <c r="DP180" i="4"/>
  <c r="DO180" i="4"/>
  <c r="DN180" i="4"/>
  <c r="DM180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IV179" i="4"/>
  <c r="IU179" i="4"/>
  <c r="IT179" i="4"/>
  <c r="IS179" i="4"/>
  <c r="IR179" i="4"/>
  <c r="IQ179" i="4"/>
  <c r="IP179" i="4"/>
  <c r="IO179" i="4"/>
  <c r="IN179" i="4"/>
  <c r="IM179" i="4"/>
  <c r="IL179" i="4"/>
  <c r="IK179" i="4"/>
  <c r="IJ179" i="4"/>
  <c r="II179" i="4"/>
  <c r="IH179" i="4"/>
  <c r="IG179" i="4"/>
  <c r="IF179" i="4"/>
  <c r="IE179" i="4"/>
  <c r="ID179" i="4"/>
  <c r="IC179" i="4"/>
  <c r="IB179" i="4"/>
  <c r="IA179" i="4"/>
  <c r="HZ179" i="4"/>
  <c r="HY179" i="4"/>
  <c r="HX179" i="4"/>
  <c r="HW179" i="4"/>
  <c r="HV179" i="4"/>
  <c r="HU179" i="4"/>
  <c r="HT179" i="4"/>
  <c r="HS179" i="4"/>
  <c r="HR179" i="4"/>
  <c r="HQ179" i="4"/>
  <c r="HP179" i="4"/>
  <c r="HO179" i="4"/>
  <c r="HN179" i="4"/>
  <c r="HM179" i="4"/>
  <c r="HL179" i="4"/>
  <c r="HK179" i="4"/>
  <c r="HJ179" i="4"/>
  <c r="HI179" i="4"/>
  <c r="HH179" i="4"/>
  <c r="HG179" i="4"/>
  <c r="HF179" i="4"/>
  <c r="HE179" i="4"/>
  <c r="HD179" i="4"/>
  <c r="HC179" i="4"/>
  <c r="HB179" i="4"/>
  <c r="HA179" i="4"/>
  <c r="GZ179" i="4"/>
  <c r="GY179" i="4"/>
  <c r="GX179" i="4"/>
  <c r="GW179" i="4"/>
  <c r="GV179" i="4"/>
  <c r="GU179" i="4"/>
  <c r="GT179" i="4"/>
  <c r="GS179" i="4"/>
  <c r="GR179" i="4"/>
  <c r="GQ179" i="4"/>
  <c r="GP179" i="4"/>
  <c r="GO179" i="4"/>
  <c r="GN179" i="4"/>
  <c r="GM179" i="4"/>
  <c r="GL179" i="4"/>
  <c r="GK179" i="4"/>
  <c r="GJ179" i="4"/>
  <c r="GI179" i="4"/>
  <c r="GH179" i="4"/>
  <c r="GG179" i="4"/>
  <c r="GF179" i="4"/>
  <c r="GE179" i="4"/>
  <c r="GD179" i="4"/>
  <c r="GC179" i="4"/>
  <c r="GB179" i="4"/>
  <c r="GA179" i="4"/>
  <c r="FZ179" i="4"/>
  <c r="FY179" i="4"/>
  <c r="FX179" i="4"/>
  <c r="FW179" i="4"/>
  <c r="FV179" i="4"/>
  <c r="FU179" i="4"/>
  <c r="FT179" i="4"/>
  <c r="FS179" i="4"/>
  <c r="FR179" i="4"/>
  <c r="FQ179" i="4"/>
  <c r="FP179" i="4"/>
  <c r="FO179" i="4"/>
  <c r="FN179" i="4"/>
  <c r="FM179" i="4"/>
  <c r="FL179" i="4"/>
  <c r="FK179" i="4"/>
  <c r="FJ179" i="4"/>
  <c r="FI179" i="4"/>
  <c r="FH179" i="4"/>
  <c r="FG179" i="4"/>
  <c r="FF179" i="4"/>
  <c r="FE179" i="4"/>
  <c r="FD179" i="4"/>
  <c r="FC179" i="4"/>
  <c r="FB179" i="4"/>
  <c r="FA179" i="4"/>
  <c r="EZ179" i="4"/>
  <c r="EY179" i="4"/>
  <c r="EX179" i="4"/>
  <c r="EW179" i="4"/>
  <c r="EV179" i="4"/>
  <c r="EU179" i="4"/>
  <c r="ET179" i="4"/>
  <c r="ES179" i="4"/>
  <c r="ER179" i="4"/>
  <c r="EQ179" i="4"/>
  <c r="EP179" i="4"/>
  <c r="EO179" i="4"/>
  <c r="EN179" i="4"/>
  <c r="EM179" i="4"/>
  <c r="EL179" i="4"/>
  <c r="EK179" i="4"/>
  <c r="EJ179" i="4"/>
  <c r="EI179" i="4"/>
  <c r="EH179" i="4"/>
  <c r="EG179" i="4"/>
  <c r="EF179" i="4"/>
  <c r="EE179" i="4"/>
  <c r="ED179" i="4"/>
  <c r="EC179" i="4"/>
  <c r="EB179" i="4"/>
  <c r="EA179" i="4"/>
  <c r="DZ179" i="4"/>
  <c r="DY179" i="4"/>
  <c r="DX179" i="4"/>
  <c r="DW179" i="4"/>
  <c r="DV179" i="4"/>
  <c r="DU179" i="4"/>
  <c r="DT179" i="4"/>
  <c r="DS179" i="4"/>
  <c r="DR179" i="4"/>
  <c r="DQ179" i="4"/>
  <c r="DP179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IV178" i="4"/>
  <c r="IU178" i="4"/>
  <c r="IT178" i="4"/>
  <c r="IS178" i="4"/>
  <c r="IR178" i="4"/>
  <c r="IQ178" i="4"/>
  <c r="IP178" i="4"/>
  <c r="IO178" i="4"/>
  <c r="IN178" i="4"/>
  <c r="IM178" i="4"/>
  <c r="IL178" i="4"/>
  <c r="IK178" i="4"/>
  <c r="IJ178" i="4"/>
  <c r="II178" i="4"/>
  <c r="IH178" i="4"/>
  <c r="IG178" i="4"/>
  <c r="IF178" i="4"/>
  <c r="IE178" i="4"/>
  <c r="ID178" i="4"/>
  <c r="IC178" i="4"/>
  <c r="IB178" i="4"/>
  <c r="IA178" i="4"/>
  <c r="HZ178" i="4"/>
  <c r="HY178" i="4"/>
  <c r="HX178" i="4"/>
  <c r="HW178" i="4"/>
  <c r="HV178" i="4"/>
  <c r="HU178" i="4"/>
  <c r="HT178" i="4"/>
  <c r="HS178" i="4"/>
  <c r="HR178" i="4"/>
  <c r="HQ178" i="4"/>
  <c r="HP178" i="4"/>
  <c r="HO178" i="4"/>
  <c r="HN178" i="4"/>
  <c r="HM178" i="4"/>
  <c r="HL178" i="4"/>
  <c r="HK178" i="4"/>
  <c r="HJ178" i="4"/>
  <c r="HI178" i="4"/>
  <c r="HH178" i="4"/>
  <c r="HG178" i="4"/>
  <c r="HF178" i="4"/>
  <c r="HE178" i="4"/>
  <c r="HD178" i="4"/>
  <c r="HC178" i="4"/>
  <c r="HB178" i="4"/>
  <c r="HA178" i="4"/>
  <c r="GZ178" i="4"/>
  <c r="GY178" i="4"/>
  <c r="GX178" i="4"/>
  <c r="GW178" i="4"/>
  <c r="GV178" i="4"/>
  <c r="GU178" i="4"/>
  <c r="GT178" i="4"/>
  <c r="GS178" i="4"/>
  <c r="GR178" i="4"/>
  <c r="GQ178" i="4"/>
  <c r="GP178" i="4"/>
  <c r="GO178" i="4"/>
  <c r="GN178" i="4"/>
  <c r="GM178" i="4"/>
  <c r="GL178" i="4"/>
  <c r="GK178" i="4"/>
  <c r="GJ178" i="4"/>
  <c r="GI178" i="4"/>
  <c r="GH178" i="4"/>
  <c r="GG178" i="4"/>
  <c r="GF178" i="4"/>
  <c r="GE178" i="4"/>
  <c r="GD178" i="4"/>
  <c r="GC178" i="4"/>
  <c r="GB178" i="4"/>
  <c r="GA178" i="4"/>
  <c r="FZ178" i="4"/>
  <c r="FY178" i="4"/>
  <c r="FX178" i="4"/>
  <c r="FW178" i="4"/>
  <c r="FV178" i="4"/>
  <c r="FU178" i="4"/>
  <c r="FT178" i="4"/>
  <c r="FS178" i="4"/>
  <c r="FR178" i="4"/>
  <c r="FQ178" i="4"/>
  <c r="FP178" i="4"/>
  <c r="FO178" i="4"/>
  <c r="FN178" i="4"/>
  <c r="FM178" i="4"/>
  <c r="FL178" i="4"/>
  <c r="FK178" i="4"/>
  <c r="FJ178" i="4"/>
  <c r="FI178" i="4"/>
  <c r="FH178" i="4"/>
  <c r="FG178" i="4"/>
  <c r="FF178" i="4"/>
  <c r="FE178" i="4"/>
  <c r="FD178" i="4"/>
  <c r="FC178" i="4"/>
  <c r="FB178" i="4"/>
  <c r="FA178" i="4"/>
  <c r="EZ178" i="4"/>
  <c r="EY178" i="4"/>
  <c r="EX178" i="4"/>
  <c r="EW178" i="4"/>
  <c r="EV178" i="4"/>
  <c r="EU178" i="4"/>
  <c r="ET178" i="4"/>
  <c r="ES178" i="4"/>
  <c r="ER178" i="4"/>
  <c r="EQ178" i="4"/>
  <c r="EP178" i="4"/>
  <c r="EO178" i="4"/>
  <c r="EN178" i="4"/>
  <c r="EM178" i="4"/>
  <c r="EL178" i="4"/>
  <c r="EK178" i="4"/>
  <c r="EJ178" i="4"/>
  <c r="EI178" i="4"/>
  <c r="EH178" i="4"/>
  <c r="EG178" i="4"/>
  <c r="EF178" i="4"/>
  <c r="EE178" i="4"/>
  <c r="ED178" i="4"/>
  <c r="EC178" i="4"/>
  <c r="EB178" i="4"/>
  <c r="EA178" i="4"/>
  <c r="DZ178" i="4"/>
  <c r="DY178" i="4"/>
  <c r="DX178" i="4"/>
  <c r="DW178" i="4"/>
  <c r="DV178" i="4"/>
  <c r="DU178" i="4"/>
  <c r="DT178" i="4"/>
  <c r="DS178" i="4"/>
  <c r="DR178" i="4"/>
  <c r="DQ178" i="4"/>
  <c r="DP178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IV177" i="4"/>
  <c r="IU177" i="4"/>
  <c r="IT177" i="4"/>
  <c r="IS177" i="4"/>
  <c r="IR177" i="4"/>
  <c r="IQ177" i="4"/>
  <c r="IP177" i="4"/>
  <c r="IO177" i="4"/>
  <c r="IN177" i="4"/>
  <c r="IM177" i="4"/>
  <c r="IL177" i="4"/>
  <c r="IK177" i="4"/>
  <c r="IJ177" i="4"/>
  <c r="II177" i="4"/>
  <c r="IH177" i="4"/>
  <c r="IG177" i="4"/>
  <c r="IF177" i="4"/>
  <c r="IE177" i="4"/>
  <c r="ID177" i="4"/>
  <c r="IC177" i="4"/>
  <c r="IB177" i="4"/>
  <c r="IA177" i="4"/>
  <c r="HZ177" i="4"/>
  <c r="HY177" i="4"/>
  <c r="HX177" i="4"/>
  <c r="HW177" i="4"/>
  <c r="HV177" i="4"/>
  <c r="HU177" i="4"/>
  <c r="HT177" i="4"/>
  <c r="HS177" i="4"/>
  <c r="HR177" i="4"/>
  <c r="HQ177" i="4"/>
  <c r="HP177" i="4"/>
  <c r="HO177" i="4"/>
  <c r="HN177" i="4"/>
  <c r="HM177" i="4"/>
  <c r="HL177" i="4"/>
  <c r="HK177" i="4"/>
  <c r="HJ177" i="4"/>
  <c r="HI177" i="4"/>
  <c r="HH177" i="4"/>
  <c r="HG177" i="4"/>
  <c r="HF177" i="4"/>
  <c r="HE177" i="4"/>
  <c r="HD177" i="4"/>
  <c r="HC177" i="4"/>
  <c r="HB177" i="4"/>
  <c r="HA177" i="4"/>
  <c r="GZ177" i="4"/>
  <c r="GY177" i="4"/>
  <c r="GX177" i="4"/>
  <c r="GW177" i="4"/>
  <c r="GV177" i="4"/>
  <c r="GU177" i="4"/>
  <c r="GT177" i="4"/>
  <c r="GS177" i="4"/>
  <c r="GR177" i="4"/>
  <c r="GQ177" i="4"/>
  <c r="GP177" i="4"/>
  <c r="GO177" i="4"/>
  <c r="GN177" i="4"/>
  <c r="GM177" i="4"/>
  <c r="GL177" i="4"/>
  <c r="GK177" i="4"/>
  <c r="GJ177" i="4"/>
  <c r="GI177" i="4"/>
  <c r="GH177" i="4"/>
  <c r="GG177" i="4"/>
  <c r="GF177" i="4"/>
  <c r="GE177" i="4"/>
  <c r="GD177" i="4"/>
  <c r="GC177" i="4"/>
  <c r="GB177" i="4"/>
  <c r="GA177" i="4"/>
  <c r="FZ177" i="4"/>
  <c r="FY177" i="4"/>
  <c r="FX177" i="4"/>
  <c r="FW177" i="4"/>
  <c r="FV177" i="4"/>
  <c r="FU177" i="4"/>
  <c r="FT177" i="4"/>
  <c r="FS177" i="4"/>
  <c r="FR177" i="4"/>
  <c r="FQ177" i="4"/>
  <c r="FP177" i="4"/>
  <c r="FO177" i="4"/>
  <c r="FN177" i="4"/>
  <c r="FM177" i="4"/>
  <c r="FL177" i="4"/>
  <c r="FK177" i="4"/>
  <c r="FJ177" i="4"/>
  <c r="FI177" i="4"/>
  <c r="FH177" i="4"/>
  <c r="FG177" i="4"/>
  <c r="FF177" i="4"/>
  <c r="FE177" i="4"/>
  <c r="FD177" i="4"/>
  <c r="FC177" i="4"/>
  <c r="FB177" i="4"/>
  <c r="FA177" i="4"/>
  <c r="EZ177" i="4"/>
  <c r="EY177" i="4"/>
  <c r="EX177" i="4"/>
  <c r="EW177" i="4"/>
  <c r="EV177" i="4"/>
  <c r="EU177" i="4"/>
  <c r="ET177" i="4"/>
  <c r="ES177" i="4"/>
  <c r="ER177" i="4"/>
  <c r="EQ177" i="4"/>
  <c r="EP177" i="4"/>
  <c r="EO177" i="4"/>
  <c r="EN177" i="4"/>
  <c r="EM177" i="4"/>
  <c r="EL177" i="4"/>
  <c r="EK177" i="4"/>
  <c r="EJ177" i="4"/>
  <c r="EI177" i="4"/>
  <c r="EH177" i="4"/>
  <c r="EG177" i="4"/>
  <c r="EF177" i="4"/>
  <c r="EE177" i="4"/>
  <c r="ED177" i="4"/>
  <c r="EC177" i="4"/>
  <c r="EB177" i="4"/>
  <c r="EA177" i="4"/>
  <c r="DZ177" i="4"/>
  <c r="DY177" i="4"/>
  <c r="DX177" i="4"/>
  <c r="DW177" i="4"/>
  <c r="DV177" i="4"/>
  <c r="DU177" i="4"/>
  <c r="DT177" i="4"/>
  <c r="DS177" i="4"/>
  <c r="DR177" i="4"/>
  <c r="DQ177" i="4"/>
  <c r="DP177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IV176" i="4"/>
  <c r="IU176" i="4"/>
  <c r="IT176" i="4"/>
  <c r="IS176" i="4"/>
  <c r="IR176" i="4"/>
  <c r="IQ176" i="4"/>
  <c r="IP176" i="4"/>
  <c r="IO176" i="4"/>
  <c r="IN176" i="4"/>
  <c r="IM176" i="4"/>
  <c r="IL176" i="4"/>
  <c r="IK176" i="4"/>
  <c r="IJ176" i="4"/>
  <c r="II176" i="4"/>
  <c r="IH176" i="4"/>
  <c r="IG176" i="4"/>
  <c r="IF176" i="4"/>
  <c r="IE176" i="4"/>
  <c r="ID176" i="4"/>
  <c r="IC176" i="4"/>
  <c r="IB176" i="4"/>
  <c r="IA176" i="4"/>
  <c r="HZ176" i="4"/>
  <c r="HY176" i="4"/>
  <c r="HX176" i="4"/>
  <c r="HW176" i="4"/>
  <c r="HV176" i="4"/>
  <c r="HU176" i="4"/>
  <c r="HT176" i="4"/>
  <c r="HS176" i="4"/>
  <c r="HR176" i="4"/>
  <c r="HQ176" i="4"/>
  <c r="HP176" i="4"/>
  <c r="HO176" i="4"/>
  <c r="HN176" i="4"/>
  <c r="HM176" i="4"/>
  <c r="HL176" i="4"/>
  <c r="HK176" i="4"/>
  <c r="HJ176" i="4"/>
  <c r="HI176" i="4"/>
  <c r="HH176" i="4"/>
  <c r="HG176" i="4"/>
  <c r="HF176" i="4"/>
  <c r="HE176" i="4"/>
  <c r="HD176" i="4"/>
  <c r="HC176" i="4"/>
  <c r="HB176" i="4"/>
  <c r="HA176" i="4"/>
  <c r="GZ176" i="4"/>
  <c r="GY176" i="4"/>
  <c r="GX176" i="4"/>
  <c r="GW176" i="4"/>
  <c r="GV176" i="4"/>
  <c r="GU176" i="4"/>
  <c r="GT176" i="4"/>
  <c r="GS176" i="4"/>
  <c r="GR176" i="4"/>
  <c r="GQ176" i="4"/>
  <c r="GP176" i="4"/>
  <c r="GO176" i="4"/>
  <c r="GN176" i="4"/>
  <c r="GM176" i="4"/>
  <c r="GL176" i="4"/>
  <c r="GK176" i="4"/>
  <c r="GJ176" i="4"/>
  <c r="GI176" i="4"/>
  <c r="GH176" i="4"/>
  <c r="GG176" i="4"/>
  <c r="GF176" i="4"/>
  <c r="GE176" i="4"/>
  <c r="GD176" i="4"/>
  <c r="GC176" i="4"/>
  <c r="GB176" i="4"/>
  <c r="GA176" i="4"/>
  <c r="FZ176" i="4"/>
  <c r="FY176" i="4"/>
  <c r="FX176" i="4"/>
  <c r="FW176" i="4"/>
  <c r="FV176" i="4"/>
  <c r="FU176" i="4"/>
  <c r="FT176" i="4"/>
  <c r="FS176" i="4"/>
  <c r="FR176" i="4"/>
  <c r="FQ176" i="4"/>
  <c r="FP176" i="4"/>
  <c r="FO176" i="4"/>
  <c r="FN176" i="4"/>
  <c r="FM176" i="4"/>
  <c r="FL176" i="4"/>
  <c r="FK176" i="4"/>
  <c r="FJ176" i="4"/>
  <c r="FI176" i="4"/>
  <c r="FH176" i="4"/>
  <c r="FG176" i="4"/>
  <c r="FF176" i="4"/>
  <c r="FE176" i="4"/>
  <c r="FD176" i="4"/>
  <c r="FC176" i="4"/>
  <c r="FB176" i="4"/>
  <c r="FA176" i="4"/>
  <c r="EZ176" i="4"/>
  <c r="EY176" i="4"/>
  <c r="EX176" i="4"/>
  <c r="EW176" i="4"/>
  <c r="EV176" i="4"/>
  <c r="EU176" i="4"/>
  <c r="ET176" i="4"/>
  <c r="ES176" i="4"/>
  <c r="ER176" i="4"/>
  <c r="EQ176" i="4"/>
  <c r="EP176" i="4"/>
  <c r="EO176" i="4"/>
  <c r="EN176" i="4"/>
  <c r="EM176" i="4"/>
  <c r="EL176" i="4"/>
  <c r="EK176" i="4"/>
  <c r="EJ176" i="4"/>
  <c r="EI176" i="4"/>
  <c r="EH176" i="4"/>
  <c r="EG176" i="4"/>
  <c r="EF176" i="4"/>
  <c r="EE176" i="4"/>
  <c r="ED176" i="4"/>
  <c r="EC176" i="4"/>
  <c r="EB176" i="4"/>
  <c r="EA176" i="4"/>
  <c r="DZ176" i="4"/>
  <c r="DY176" i="4"/>
  <c r="DX176" i="4"/>
  <c r="DW176" i="4"/>
  <c r="DV176" i="4"/>
  <c r="DU176" i="4"/>
  <c r="DT176" i="4"/>
  <c r="DS176" i="4"/>
  <c r="DR176" i="4"/>
  <c r="DQ176" i="4"/>
  <c r="DP176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IV175" i="4"/>
  <c r="IU175" i="4"/>
  <c r="IT175" i="4"/>
  <c r="IS175" i="4"/>
  <c r="IR175" i="4"/>
  <c r="IQ175" i="4"/>
  <c r="IP175" i="4"/>
  <c r="IO175" i="4"/>
  <c r="IN175" i="4"/>
  <c r="IM175" i="4"/>
  <c r="IL175" i="4"/>
  <c r="IK175" i="4"/>
  <c r="IJ175" i="4"/>
  <c r="II175" i="4"/>
  <c r="IH175" i="4"/>
  <c r="IG175" i="4"/>
  <c r="IF175" i="4"/>
  <c r="IE175" i="4"/>
  <c r="ID175" i="4"/>
  <c r="IC175" i="4"/>
  <c r="IB175" i="4"/>
  <c r="IA175" i="4"/>
  <c r="HZ175" i="4"/>
  <c r="HY175" i="4"/>
  <c r="HX175" i="4"/>
  <c r="HW175" i="4"/>
  <c r="HV175" i="4"/>
  <c r="HU175" i="4"/>
  <c r="HT175" i="4"/>
  <c r="HS175" i="4"/>
  <c r="HR175" i="4"/>
  <c r="HQ175" i="4"/>
  <c r="HP175" i="4"/>
  <c r="HO175" i="4"/>
  <c r="HN175" i="4"/>
  <c r="HM175" i="4"/>
  <c r="HL175" i="4"/>
  <c r="HK175" i="4"/>
  <c r="HJ175" i="4"/>
  <c r="HI175" i="4"/>
  <c r="HH175" i="4"/>
  <c r="HG175" i="4"/>
  <c r="HF175" i="4"/>
  <c r="HE175" i="4"/>
  <c r="HD175" i="4"/>
  <c r="HC175" i="4"/>
  <c r="HB175" i="4"/>
  <c r="HA175" i="4"/>
  <c r="GZ175" i="4"/>
  <c r="GY175" i="4"/>
  <c r="GX175" i="4"/>
  <c r="GW175" i="4"/>
  <c r="GV175" i="4"/>
  <c r="GU175" i="4"/>
  <c r="GT175" i="4"/>
  <c r="GS175" i="4"/>
  <c r="GR175" i="4"/>
  <c r="GQ175" i="4"/>
  <c r="GP175" i="4"/>
  <c r="GO175" i="4"/>
  <c r="GN175" i="4"/>
  <c r="GM175" i="4"/>
  <c r="GL175" i="4"/>
  <c r="GK175" i="4"/>
  <c r="GJ175" i="4"/>
  <c r="GI175" i="4"/>
  <c r="GH175" i="4"/>
  <c r="GG175" i="4"/>
  <c r="GF175" i="4"/>
  <c r="GE175" i="4"/>
  <c r="GD175" i="4"/>
  <c r="GC175" i="4"/>
  <c r="GB175" i="4"/>
  <c r="GA175" i="4"/>
  <c r="FZ175" i="4"/>
  <c r="FY175" i="4"/>
  <c r="FX175" i="4"/>
  <c r="FW175" i="4"/>
  <c r="FV175" i="4"/>
  <c r="FU175" i="4"/>
  <c r="FT175" i="4"/>
  <c r="FS175" i="4"/>
  <c r="FR175" i="4"/>
  <c r="FQ175" i="4"/>
  <c r="FP175" i="4"/>
  <c r="FO175" i="4"/>
  <c r="FN175" i="4"/>
  <c r="FM175" i="4"/>
  <c r="FL175" i="4"/>
  <c r="FK175" i="4"/>
  <c r="FJ175" i="4"/>
  <c r="FI175" i="4"/>
  <c r="FH175" i="4"/>
  <c r="FG175" i="4"/>
  <c r="FF175" i="4"/>
  <c r="FE175" i="4"/>
  <c r="FD175" i="4"/>
  <c r="FC175" i="4"/>
  <c r="FB175" i="4"/>
  <c r="FA175" i="4"/>
  <c r="EZ175" i="4"/>
  <c r="EY175" i="4"/>
  <c r="EX175" i="4"/>
  <c r="EW175" i="4"/>
  <c r="EV175" i="4"/>
  <c r="EU175" i="4"/>
  <c r="ET175" i="4"/>
  <c r="ES175" i="4"/>
  <c r="ER175" i="4"/>
  <c r="EQ175" i="4"/>
  <c r="EP175" i="4"/>
  <c r="EO175" i="4"/>
  <c r="EN175" i="4"/>
  <c r="EM175" i="4"/>
  <c r="EL175" i="4"/>
  <c r="EK175" i="4"/>
  <c r="EJ175" i="4"/>
  <c r="EI175" i="4"/>
  <c r="EH175" i="4"/>
  <c r="EG175" i="4"/>
  <c r="EF175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IV174" i="4"/>
  <c r="IU174" i="4"/>
  <c r="IT174" i="4"/>
  <c r="IS174" i="4"/>
  <c r="IR174" i="4"/>
  <c r="IQ174" i="4"/>
  <c r="IP174" i="4"/>
  <c r="IO174" i="4"/>
  <c r="IN174" i="4"/>
  <c r="IM174" i="4"/>
  <c r="IL174" i="4"/>
  <c r="IK174" i="4"/>
  <c r="IJ174" i="4"/>
  <c r="II174" i="4"/>
  <c r="IH174" i="4"/>
  <c r="IG174" i="4"/>
  <c r="IF174" i="4"/>
  <c r="IE174" i="4"/>
  <c r="ID174" i="4"/>
  <c r="IC174" i="4"/>
  <c r="IB174" i="4"/>
  <c r="IA174" i="4"/>
  <c r="HZ174" i="4"/>
  <c r="HY174" i="4"/>
  <c r="HX174" i="4"/>
  <c r="HW174" i="4"/>
  <c r="HV174" i="4"/>
  <c r="HU174" i="4"/>
  <c r="HT174" i="4"/>
  <c r="HS174" i="4"/>
  <c r="HR174" i="4"/>
  <c r="HQ174" i="4"/>
  <c r="HP174" i="4"/>
  <c r="HO174" i="4"/>
  <c r="HN174" i="4"/>
  <c r="HM174" i="4"/>
  <c r="HL174" i="4"/>
  <c r="HK174" i="4"/>
  <c r="HJ174" i="4"/>
  <c r="HI174" i="4"/>
  <c r="HH174" i="4"/>
  <c r="HG174" i="4"/>
  <c r="HF174" i="4"/>
  <c r="HE174" i="4"/>
  <c r="HD174" i="4"/>
  <c r="HC174" i="4"/>
  <c r="HB174" i="4"/>
  <c r="HA174" i="4"/>
  <c r="GZ174" i="4"/>
  <c r="GY174" i="4"/>
  <c r="GX174" i="4"/>
  <c r="GW174" i="4"/>
  <c r="GV174" i="4"/>
  <c r="GU174" i="4"/>
  <c r="GT174" i="4"/>
  <c r="GS174" i="4"/>
  <c r="GR174" i="4"/>
  <c r="GQ174" i="4"/>
  <c r="GP174" i="4"/>
  <c r="GO174" i="4"/>
  <c r="GN174" i="4"/>
  <c r="GM174" i="4"/>
  <c r="GL174" i="4"/>
  <c r="GK174" i="4"/>
  <c r="GJ174" i="4"/>
  <c r="GI174" i="4"/>
  <c r="GH174" i="4"/>
  <c r="GG174" i="4"/>
  <c r="GF174" i="4"/>
  <c r="GE174" i="4"/>
  <c r="GD174" i="4"/>
  <c r="GC174" i="4"/>
  <c r="GB174" i="4"/>
  <c r="GA174" i="4"/>
  <c r="FZ174" i="4"/>
  <c r="FY174" i="4"/>
  <c r="FX174" i="4"/>
  <c r="FW174" i="4"/>
  <c r="FV174" i="4"/>
  <c r="FU174" i="4"/>
  <c r="FT174" i="4"/>
  <c r="FS174" i="4"/>
  <c r="FR174" i="4"/>
  <c r="FQ174" i="4"/>
  <c r="FP174" i="4"/>
  <c r="FO174" i="4"/>
  <c r="FN174" i="4"/>
  <c r="FM174" i="4"/>
  <c r="FL174" i="4"/>
  <c r="FK174" i="4"/>
  <c r="FJ174" i="4"/>
  <c r="FI174" i="4"/>
  <c r="FH174" i="4"/>
  <c r="FG174" i="4"/>
  <c r="FF174" i="4"/>
  <c r="FE174" i="4"/>
  <c r="FD174" i="4"/>
  <c r="FC174" i="4"/>
  <c r="FB174" i="4"/>
  <c r="FA174" i="4"/>
  <c r="EZ174" i="4"/>
  <c r="EY174" i="4"/>
  <c r="EX174" i="4"/>
  <c r="EW174" i="4"/>
  <c r="EV174" i="4"/>
  <c r="EU174" i="4"/>
  <c r="ET174" i="4"/>
  <c r="ES174" i="4"/>
  <c r="ER174" i="4"/>
  <c r="EQ174" i="4"/>
  <c r="EP174" i="4"/>
  <c r="EO174" i="4"/>
  <c r="EN174" i="4"/>
  <c r="EM174" i="4"/>
  <c r="EL174" i="4"/>
  <c r="EK174" i="4"/>
  <c r="EJ174" i="4"/>
  <c r="EI174" i="4"/>
  <c r="EH174" i="4"/>
  <c r="EG174" i="4"/>
  <c r="EF174" i="4"/>
  <c r="EE174" i="4"/>
  <c r="ED174" i="4"/>
  <c r="EC174" i="4"/>
  <c r="EB174" i="4"/>
  <c r="EA174" i="4"/>
  <c r="DZ174" i="4"/>
  <c r="DY174" i="4"/>
  <c r="DX174" i="4"/>
  <c r="DW174" i="4"/>
  <c r="DV174" i="4"/>
  <c r="DU174" i="4"/>
  <c r="DT174" i="4"/>
  <c r="DS174" i="4"/>
  <c r="DR174" i="4"/>
  <c r="DQ174" i="4"/>
  <c r="DP174" i="4"/>
  <c r="DO174" i="4"/>
  <c r="DN174" i="4"/>
  <c r="DM174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IV173" i="4"/>
  <c r="IU173" i="4"/>
  <c r="IT173" i="4"/>
  <c r="IS173" i="4"/>
  <c r="IR173" i="4"/>
  <c r="IQ173" i="4"/>
  <c r="IP173" i="4"/>
  <c r="IO173" i="4"/>
  <c r="IN173" i="4"/>
  <c r="IM173" i="4"/>
  <c r="IL173" i="4"/>
  <c r="IK173" i="4"/>
  <c r="IJ173" i="4"/>
  <c r="II173" i="4"/>
  <c r="IH173" i="4"/>
  <c r="IG173" i="4"/>
  <c r="IF173" i="4"/>
  <c r="IE173" i="4"/>
  <c r="ID173" i="4"/>
  <c r="IC173" i="4"/>
  <c r="IB173" i="4"/>
  <c r="IA173" i="4"/>
  <c r="HZ173" i="4"/>
  <c r="HY173" i="4"/>
  <c r="HX173" i="4"/>
  <c r="HW173" i="4"/>
  <c r="HV173" i="4"/>
  <c r="HU173" i="4"/>
  <c r="HT173" i="4"/>
  <c r="HS173" i="4"/>
  <c r="HR173" i="4"/>
  <c r="HQ173" i="4"/>
  <c r="HP173" i="4"/>
  <c r="HO173" i="4"/>
  <c r="HN173" i="4"/>
  <c r="HM173" i="4"/>
  <c r="HL173" i="4"/>
  <c r="HK173" i="4"/>
  <c r="HJ173" i="4"/>
  <c r="HI173" i="4"/>
  <c r="HH173" i="4"/>
  <c r="HG173" i="4"/>
  <c r="HF173" i="4"/>
  <c r="HE173" i="4"/>
  <c r="HD173" i="4"/>
  <c r="HC173" i="4"/>
  <c r="HB173" i="4"/>
  <c r="HA173" i="4"/>
  <c r="GZ173" i="4"/>
  <c r="GY173" i="4"/>
  <c r="GX173" i="4"/>
  <c r="GW173" i="4"/>
  <c r="GV173" i="4"/>
  <c r="GU173" i="4"/>
  <c r="GT173" i="4"/>
  <c r="GS173" i="4"/>
  <c r="GR173" i="4"/>
  <c r="GQ173" i="4"/>
  <c r="GP173" i="4"/>
  <c r="GO173" i="4"/>
  <c r="GN173" i="4"/>
  <c r="GM173" i="4"/>
  <c r="GL173" i="4"/>
  <c r="GK173" i="4"/>
  <c r="GJ173" i="4"/>
  <c r="GI173" i="4"/>
  <c r="GH173" i="4"/>
  <c r="GG173" i="4"/>
  <c r="GF173" i="4"/>
  <c r="GE173" i="4"/>
  <c r="GD173" i="4"/>
  <c r="GC173" i="4"/>
  <c r="GB173" i="4"/>
  <c r="GA173" i="4"/>
  <c r="FZ173" i="4"/>
  <c r="FY173" i="4"/>
  <c r="FX173" i="4"/>
  <c r="FW173" i="4"/>
  <c r="FV173" i="4"/>
  <c r="FU173" i="4"/>
  <c r="FT173" i="4"/>
  <c r="FS173" i="4"/>
  <c r="FR173" i="4"/>
  <c r="FQ173" i="4"/>
  <c r="FP173" i="4"/>
  <c r="FO173" i="4"/>
  <c r="FN173" i="4"/>
  <c r="FM173" i="4"/>
  <c r="FL173" i="4"/>
  <c r="FK173" i="4"/>
  <c r="FJ173" i="4"/>
  <c r="FI173" i="4"/>
  <c r="FH173" i="4"/>
  <c r="FG173" i="4"/>
  <c r="FF173" i="4"/>
  <c r="FE173" i="4"/>
  <c r="FD173" i="4"/>
  <c r="FC173" i="4"/>
  <c r="FB173" i="4"/>
  <c r="FA173" i="4"/>
  <c r="EZ173" i="4"/>
  <c r="EY173" i="4"/>
  <c r="EX173" i="4"/>
  <c r="EW173" i="4"/>
  <c r="EV173" i="4"/>
  <c r="EU173" i="4"/>
  <c r="ET173" i="4"/>
  <c r="ES173" i="4"/>
  <c r="ER173" i="4"/>
  <c r="EQ173" i="4"/>
  <c r="EP173" i="4"/>
  <c r="EO173" i="4"/>
  <c r="EN173" i="4"/>
  <c r="EM173" i="4"/>
  <c r="EL173" i="4"/>
  <c r="EK173" i="4"/>
  <c r="EJ173" i="4"/>
  <c r="EI173" i="4"/>
  <c r="EH173" i="4"/>
  <c r="EG173" i="4"/>
  <c r="EF173" i="4"/>
  <c r="EE173" i="4"/>
  <c r="ED173" i="4"/>
  <c r="EC173" i="4"/>
  <c r="EB173" i="4"/>
  <c r="EA173" i="4"/>
  <c r="DZ173" i="4"/>
  <c r="DY173" i="4"/>
  <c r="DX173" i="4"/>
  <c r="DW173" i="4"/>
  <c r="DV173" i="4"/>
  <c r="DU173" i="4"/>
  <c r="DT173" i="4"/>
  <c r="DS173" i="4"/>
  <c r="DR173" i="4"/>
  <c r="DQ173" i="4"/>
  <c r="DP173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IV172" i="4"/>
  <c r="IU172" i="4"/>
  <c r="IT172" i="4"/>
  <c r="IS172" i="4"/>
  <c r="IR172" i="4"/>
  <c r="IQ172" i="4"/>
  <c r="IP172" i="4"/>
  <c r="IO172" i="4"/>
  <c r="IN172" i="4"/>
  <c r="IM172" i="4"/>
  <c r="IL172" i="4"/>
  <c r="IK172" i="4"/>
  <c r="IJ172" i="4"/>
  <c r="II172" i="4"/>
  <c r="IH172" i="4"/>
  <c r="IG172" i="4"/>
  <c r="IF172" i="4"/>
  <c r="IE172" i="4"/>
  <c r="ID172" i="4"/>
  <c r="IC172" i="4"/>
  <c r="IB172" i="4"/>
  <c r="IA172" i="4"/>
  <c r="HZ172" i="4"/>
  <c r="HY172" i="4"/>
  <c r="HX172" i="4"/>
  <c r="HW172" i="4"/>
  <c r="HV172" i="4"/>
  <c r="HU172" i="4"/>
  <c r="HT172" i="4"/>
  <c r="HS172" i="4"/>
  <c r="HR172" i="4"/>
  <c r="HQ172" i="4"/>
  <c r="HP172" i="4"/>
  <c r="HO172" i="4"/>
  <c r="HN172" i="4"/>
  <c r="HM172" i="4"/>
  <c r="HL172" i="4"/>
  <c r="HK172" i="4"/>
  <c r="HJ172" i="4"/>
  <c r="HI172" i="4"/>
  <c r="HH172" i="4"/>
  <c r="HG172" i="4"/>
  <c r="HF172" i="4"/>
  <c r="HE172" i="4"/>
  <c r="HD172" i="4"/>
  <c r="HC172" i="4"/>
  <c r="HB172" i="4"/>
  <c r="HA172" i="4"/>
  <c r="GZ172" i="4"/>
  <c r="GY172" i="4"/>
  <c r="GX172" i="4"/>
  <c r="GW172" i="4"/>
  <c r="GV172" i="4"/>
  <c r="GU172" i="4"/>
  <c r="GT172" i="4"/>
  <c r="GS172" i="4"/>
  <c r="GR172" i="4"/>
  <c r="GQ172" i="4"/>
  <c r="GP172" i="4"/>
  <c r="GO172" i="4"/>
  <c r="GN172" i="4"/>
  <c r="GM172" i="4"/>
  <c r="GL172" i="4"/>
  <c r="GK172" i="4"/>
  <c r="GJ172" i="4"/>
  <c r="GI172" i="4"/>
  <c r="GH172" i="4"/>
  <c r="GG172" i="4"/>
  <c r="GF172" i="4"/>
  <c r="GE172" i="4"/>
  <c r="GD172" i="4"/>
  <c r="GC172" i="4"/>
  <c r="GB172" i="4"/>
  <c r="GA172" i="4"/>
  <c r="FZ172" i="4"/>
  <c r="FY172" i="4"/>
  <c r="FX172" i="4"/>
  <c r="FW172" i="4"/>
  <c r="FV172" i="4"/>
  <c r="FU172" i="4"/>
  <c r="FT172" i="4"/>
  <c r="FS172" i="4"/>
  <c r="FR172" i="4"/>
  <c r="FQ172" i="4"/>
  <c r="FP172" i="4"/>
  <c r="FO172" i="4"/>
  <c r="FN172" i="4"/>
  <c r="FM172" i="4"/>
  <c r="FL172" i="4"/>
  <c r="FK172" i="4"/>
  <c r="FJ172" i="4"/>
  <c r="FI172" i="4"/>
  <c r="FH172" i="4"/>
  <c r="FG172" i="4"/>
  <c r="FF172" i="4"/>
  <c r="FE172" i="4"/>
  <c r="FD172" i="4"/>
  <c r="FC172" i="4"/>
  <c r="FB172" i="4"/>
  <c r="FA172" i="4"/>
  <c r="EZ172" i="4"/>
  <c r="EY172" i="4"/>
  <c r="EX172" i="4"/>
  <c r="EW172" i="4"/>
  <c r="EV172" i="4"/>
  <c r="EU172" i="4"/>
  <c r="ET172" i="4"/>
  <c r="ES172" i="4"/>
  <c r="ER172" i="4"/>
  <c r="EQ172" i="4"/>
  <c r="EP172" i="4"/>
  <c r="EO172" i="4"/>
  <c r="EN172" i="4"/>
  <c r="EM172" i="4"/>
  <c r="EL172" i="4"/>
  <c r="EK172" i="4"/>
  <c r="EJ172" i="4"/>
  <c r="EI172" i="4"/>
  <c r="EH172" i="4"/>
  <c r="EG172" i="4"/>
  <c r="EF172" i="4"/>
  <c r="EE172" i="4"/>
  <c r="ED172" i="4"/>
  <c r="EC172" i="4"/>
  <c r="EB172" i="4"/>
  <c r="EA172" i="4"/>
  <c r="DZ172" i="4"/>
  <c r="DY172" i="4"/>
  <c r="DX172" i="4"/>
  <c r="DW172" i="4"/>
  <c r="DV172" i="4"/>
  <c r="DU172" i="4"/>
  <c r="DT172" i="4"/>
  <c r="DS172" i="4"/>
  <c r="DR172" i="4"/>
  <c r="DQ172" i="4"/>
  <c r="DP172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IV171" i="4"/>
  <c r="IU171" i="4"/>
  <c r="IT171" i="4"/>
  <c r="IS171" i="4"/>
  <c r="IR171" i="4"/>
  <c r="IQ171" i="4"/>
  <c r="IP171" i="4"/>
  <c r="IO171" i="4"/>
  <c r="IN171" i="4"/>
  <c r="IM171" i="4"/>
  <c r="IL171" i="4"/>
  <c r="IK171" i="4"/>
  <c r="IJ171" i="4"/>
  <c r="II171" i="4"/>
  <c r="IH171" i="4"/>
  <c r="IG171" i="4"/>
  <c r="IF171" i="4"/>
  <c r="IE171" i="4"/>
  <c r="ID171" i="4"/>
  <c r="IC171" i="4"/>
  <c r="IB171" i="4"/>
  <c r="IA171" i="4"/>
  <c r="HZ171" i="4"/>
  <c r="HY171" i="4"/>
  <c r="HX171" i="4"/>
  <c r="HW171" i="4"/>
  <c r="HV171" i="4"/>
  <c r="HU171" i="4"/>
  <c r="HT171" i="4"/>
  <c r="HS171" i="4"/>
  <c r="HR171" i="4"/>
  <c r="HQ171" i="4"/>
  <c r="HP171" i="4"/>
  <c r="HO171" i="4"/>
  <c r="HN171" i="4"/>
  <c r="HM171" i="4"/>
  <c r="HL171" i="4"/>
  <c r="HK171" i="4"/>
  <c r="HJ171" i="4"/>
  <c r="HI171" i="4"/>
  <c r="HH171" i="4"/>
  <c r="HG171" i="4"/>
  <c r="HF171" i="4"/>
  <c r="HE171" i="4"/>
  <c r="HD171" i="4"/>
  <c r="HC171" i="4"/>
  <c r="HB171" i="4"/>
  <c r="HA171" i="4"/>
  <c r="GZ171" i="4"/>
  <c r="GY171" i="4"/>
  <c r="GX171" i="4"/>
  <c r="GW171" i="4"/>
  <c r="GV171" i="4"/>
  <c r="GU171" i="4"/>
  <c r="GT171" i="4"/>
  <c r="GS171" i="4"/>
  <c r="GR171" i="4"/>
  <c r="GQ171" i="4"/>
  <c r="GP171" i="4"/>
  <c r="GO171" i="4"/>
  <c r="GN171" i="4"/>
  <c r="GM171" i="4"/>
  <c r="GL171" i="4"/>
  <c r="GK171" i="4"/>
  <c r="GJ171" i="4"/>
  <c r="GI171" i="4"/>
  <c r="GH171" i="4"/>
  <c r="GG171" i="4"/>
  <c r="GF171" i="4"/>
  <c r="GE171" i="4"/>
  <c r="GD171" i="4"/>
  <c r="GC171" i="4"/>
  <c r="GB171" i="4"/>
  <c r="GA171" i="4"/>
  <c r="FZ171" i="4"/>
  <c r="FY171" i="4"/>
  <c r="FX171" i="4"/>
  <c r="FW171" i="4"/>
  <c r="FV171" i="4"/>
  <c r="FU171" i="4"/>
  <c r="FT171" i="4"/>
  <c r="FS171" i="4"/>
  <c r="FR171" i="4"/>
  <c r="FQ171" i="4"/>
  <c r="FP171" i="4"/>
  <c r="FO171" i="4"/>
  <c r="FN171" i="4"/>
  <c r="FM171" i="4"/>
  <c r="FL171" i="4"/>
  <c r="FK171" i="4"/>
  <c r="FJ171" i="4"/>
  <c r="FI171" i="4"/>
  <c r="FH171" i="4"/>
  <c r="FG171" i="4"/>
  <c r="FF171" i="4"/>
  <c r="FE171" i="4"/>
  <c r="FD171" i="4"/>
  <c r="FC171" i="4"/>
  <c r="FB171" i="4"/>
  <c r="FA171" i="4"/>
  <c r="EZ171" i="4"/>
  <c r="EY171" i="4"/>
  <c r="EX171" i="4"/>
  <c r="EW171" i="4"/>
  <c r="EV171" i="4"/>
  <c r="EU171" i="4"/>
  <c r="ET171" i="4"/>
  <c r="ES171" i="4"/>
  <c r="ER171" i="4"/>
  <c r="EQ171" i="4"/>
  <c r="EP171" i="4"/>
  <c r="EO171" i="4"/>
  <c r="EN171" i="4"/>
  <c r="EM171" i="4"/>
  <c r="EL171" i="4"/>
  <c r="EK171" i="4"/>
  <c r="EJ171" i="4"/>
  <c r="EI171" i="4"/>
  <c r="EH171" i="4"/>
  <c r="EG171" i="4"/>
  <c r="EF171" i="4"/>
  <c r="EE171" i="4"/>
  <c r="ED171" i="4"/>
  <c r="EC171" i="4"/>
  <c r="EB171" i="4"/>
  <c r="EA171" i="4"/>
  <c r="DZ171" i="4"/>
  <c r="DY171" i="4"/>
  <c r="DX171" i="4"/>
  <c r="DW171" i="4"/>
  <c r="DV171" i="4"/>
  <c r="DU171" i="4"/>
  <c r="DT171" i="4"/>
  <c r="DS171" i="4"/>
  <c r="DR171" i="4"/>
  <c r="DQ171" i="4"/>
  <c r="DP171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IV170" i="4"/>
  <c r="IU170" i="4"/>
  <c r="IT170" i="4"/>
  <c r="IS170" i="4"/>
  <c r="IR170" i="4"/>
  <c r="IQ170" i="4"/>
  <c r="IP170" i="4"/>
  <c r="IO170" i="4"/>
  <c r="IN170" i="4"/>
  <c r="IM170" i="4"/>
  <c r="IL170" i="4"/>
  <c r="IK170" i="4"/>
  <c r="IJ170" i="4"/>
  <c r="II170" i="4"/>
  <c r="IH170" i="4"/>
  <c r="IG170" i="4"/>
  <c r="IF170" i="4"/>
  <c r="IE170" i="4"/>
  <c r="ID170" i="4"/>
  <c r="IC170" i="4"/>
  <c r="IB170" i="4"/>
  <c r="IA170" i="4"/>
  <c r="HZ170" i="4"/>
  <c r="HY170" i="4"/>
  <c r="HX170" i="4"/>
  <c r="HW170" i="4"/>
  <c r="HV170" i="4"/>
  <c r="HU170" i="4"/>
  <c r="HT170" i="4"/>
  <c r="HS170" i="4"/>
  <c r="HR170" i="4"/>
  <c r="HQ170" i="4"/>
  <c r="HP170" i="4"/>
  <c r="HO170" i="4"/>
  <c r="HN170" i="4"/>
  <c r="HM170" i="4"/>
  <c r="HL170" i="4"/>
  <c r="HK170" i="4"/>
  <c r="HJ170" i="4"/>
  <c r="HI170" i="4"/>
  <c r="HH170" i="4"/>
  <c r="HG170" i="4"/>
  <c r="HF170" i="4"/>
  <c r="HE170" i="4"/>
  <c r="HD170" i="4"/>
  <c r="HC170" i="4"/>
  <c r="HB170" i="4"/>
  <c r="HA170" i="4"/>
  <c r="GZ170" i="4"/>
  <c r="GY170" i="4"/>
  <c r="GX170" i="4"/>
  <c r="GW170" i="4"/>
  <c r="GV170" i="4"/>
  <c r="GU170" i="4"/>
  <c r="GT170" i="4"/>
  <c r="GS170" i="4"/>
  <c r="GR170" i="4"/>
  <c r="GQ170" i="4"/>
  <c r="GP170" i="4"/>
  <c r="GO170" i="4"/>
  <c r="GN170" i="4"/>
  <c r="GM170" i="4"/>
  <c r="GL170" i="4"/>
  <c r="GK170" i="4"/>
  <c r="GJ170" i="4"/>
  <c r="GI170" i="4"/>
  <c r="GH170" i="4"/>
  <c r="GG170" i="4"/>
  <c r="GF170" i="4"/>
  <c r="GE170" i="4"/>
  <c r="GD170" i="4"/>
  <c r="GC170" i="4"/>
  <c r="GB170" i="4"/>
  <c r="GA170" i="4"/>
  <c r="FZ170" i="4"/>
  <c r="FY170" i="4"/>
  <c r="FX170" i="4"/>
  <c r="FW170" i="4"/>
  <c r="FV170" i="4"/>
  <c r="FU170" i="4"/>
  <c r="FT170" i="4"/>
  <c r="FS170" i="4"/>
  <c r="FR170" i="4"/>
  <c r="FQ170" i="4"/>
  <c r="FP170" i="4"/>
  <c r="FO170" i="4"/>
  <c r="FN170" i="4"/>
  <c r="FM170" i="4"/>
  <c r="FL170" i="4"/>
  <c r="FK170" i="4"/>
  <c r="FJ170" i="4"/>
  <c r="FI170" i="4"/>
  <c r="FH170" i="4"/>
  <c r="FG170" i="4"/>
  <c r="FF170" i="4"/>
  <c r="FE170" i="4"/>
  <c r="FD170" i="4"/>
  <c r="FC170" i="4"/>
  <c r="FB170" i="4"/>
  <c r="FA170" i="4"/>
  <c r="EZ170" i="4"/>
  <c r="EY170" i="4"/>
  <c r="EX170" i="4"/>
  <c r="EW170" i="4"/>
  <c r="EV170" i="4"/>
  <c r="EU170" i="4"/>
  <c r="ET170" i="4"/>
  <c r="ES170" i="4"/>
  <c r="ER170" i="4"/>
  <c r="EQ170" i="4"/>
  <c r="EP170" i="4"/>
  <c r="EO170" i="4"/>
  <c r="EN170" i="4"/>
  <c r="EM170" i="4"/>
  <c r="EL170" i="4"/>
  <c r="EK170" i="4"/>
  <c r="EJ170" i="4"/>
  <c r="EI170" i="4"/>
  <c r="EH170" i="4"/>
  <c r="EG170" i="4"/>
  <c r="EF170" i="4"/>
  <c r="EE170" i="4"/>
  <c r="ED170" i="4"/>
  <c r="EC170" i="4"/>
  <c r="EB170" i="4"/>
  <c r="EA170" i="4"/>
  <c r="DZ170" i="4"/>
  <c r="DY170" i="4"/>
  <c r="DX170" i="4"/>
  <c r="DW170" i="4"/>
  <c r="DV170" i="4"/>
  <c r="DU170" i="4"/>
  <c r="DT170" i="4"/>
  <c r="DS170" i="4"/>
  <c r="DR170" i="4"/>
  <c r="DQ170" i="4"/>
  <c r="DP170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IV169" i="4"/>
  <c r="IU169" i="4"/>
  <c r="IT169" i="4"/>
  <c r="IS169" i="4"/>
  <c r="IR169" i="4"/>
  <c r="IQ169" i="4"/>
  <c r="IP169" i="4"/>
  <c r="IO169" i="4"/>
  <c r="IN169" i="4"/>
  <c r="IM169" i="4"/>
  <c r="IL169" i="4"/>
  <c r="IK169" i="4"/>
  <c r="IJ169" i="4"/>
  <c r="II169" i="4"/>
  <c r="IH169" i="4"/>
  <c r="IG169" i="4"/>
  <c r="IF169" i="4"/>
  <c r="IE169" i="4"/>
  <c r="ID169" i="4"/>
  <c r="IC169" i="4"/>
  <c r="IB169" i="4"/>
  <c r="IA169" i="4"/>
  <c r="HZ169" i="4"/>
  <c r="HY169" i="4"/>
  <c r="HX169" i="4"/>
  <c r="HW169" i="4"/>
  <c r="HV169" i="4"/>
  <c r="HU169" i="4"/>
  <c r="HT169" i="4"/>
  <c r="HS169" i="4"/>
  <c r="HR169" i="4"/>
  <c r="HQ169" i="4"/>
  <c r="HP169" i="4"/>
  <c r="HO169" i="4"/>
  <c r="HN169" i="4"/>
  <c r="HM169" i="4"/>
  <c r="HL169" i="4"/>
  <c r="HK169" i="4"/>
  <c r="HJ169" i="4"/>
  <c r="HI169" i="4"/>
  <c r="HH169" i="4"/>
  <c r="HG169" i="4"/>
  <c r="HF169" i="4"/>
  <c r="HE169" i="4"/>
  <c r="HD169" i="4"/>
  <c r="HC169" i="4"/>
  <c r="HB169" i="4"/>
  <c r="HA169" i="4"/>
  <c r="GZ169" i="4"/>
  <c r="GY169" i="4"/>
  <c r="GX169" i="4"/>
  <c r="GW169" i="4"/>
  <c r="GV169" i="4"/>
  <c r="GU169" i="4"/>
  <c r="GT169" i="4"/>
  <c r="GS169" i="4"/>
  <c r="GR169" i="4"/>
  <c r="GQ169" i="4"/>
  <c r="GP169" i="4"/>
  <c r="GO169" i="4"/>
  <c r="GN169" i="4"/>
  <c r="GM169" i="4"/>
  <c r="GL169" i="4"/>
  <c r="GK169" i="4"/>
  <c r="GJ169" i="4"/>
  <c r="GI169" i="4"/>
  <c r="GH169" i="4"/>
  <c r="GG169" i="4"/>
  <c r="GF169" i="4"/>
  <c r="GE169" i="4"/>
  <c r="GD169" i="4"/>
  <c r="GC169" i="4"/>
  <c r="GB169" i="4"/>
  <c r="GA169" i="4"/>
  <c r="FZ169" i="4"/>
  <c r="FY169" i="4"/>
  <c r="FX169" i="4"/>
  <c r="FW169" i="4"/>
  <c r="FV169" i="4"/>
  <c r="FU169" i="4"/>
  <c r="FT169" i="4"/>
  <c r="FS169" i="4"/>
  <c r="FR169" i="4"/>
  <c r="FQ169" i="4"/>
  <c r="FP169" i="4"/>
  <c r="FO169" i="4"/>
  <c r="FN169" i="4"/>
  <c r="FM169" i="4"/>
  <c r="FL169" i="4"/>
  <c r="FK169" i="4"/>
  <c r="FJ169" i="4"/>
  <c r="FI169" i="4"/>
  <c r="FH169" i="4"/>
  <c r="FG169" i="4"/>
  <c r="FF169" i="4"/>
  <c r="FE169" i="4"/>
  <c r="FD169" i="4"/>
  <c r="FC169" i="4"/>
  <c r="FB169" i="4"/>
  <c r="FA169" i="4"/>
  <c r="EZ169" i="4"/>
  <c r="EY169" i="4"/>
  <c r="EX169" i="4"/>
  <c r="EW169" i="4"/>
  <c r="EV169" i="4"/>
  <c r="EU169" i="4"/>
  <c r="ET169" i="4"/>
  <c r="ES169" i="4"/>
  <c r="ER169" i="4"/>
  <c r="EQ169" i="4"/>
  <c r="EP169" i="4"/>
  <c r="EO169" i="4"/>
  <c r="EN169" i="4"/>
  <c r="EM169" i="4"/>
  <c r="EL169" i="4"/>
  <c r="EK169" i="4"/>
  <c r="EJ169" i="4"/>
  <c r="EI169" i="4"/>
  <c r="EH169" i="4"/>
  <c r="EG169" i="4"/>
  <c r="EF169" i="4"/>
  <c r="EE169" i="4"/>
  <c r="ED169" i="4"/>
  <c r="EC169" i="4"/>
  <c r="EB169" i="4"/>
  <c r="EA169" i="4"/>
  <c r="DZ169" i="4"/>
  <c r="DY169" i="4"/>
  <c r="DX169" i="4"/>
  <c r="DW169" i="4"/>
  <c r="DV169" i="4"/>
  <c r="DU169" i="4"/>
  <c r="DT169" i="4"/>
  <c r="DS169" i="4"/>
  <c r="DR169" i="4"/>
  <c r="DQ169" i="4"/>
  <c r="DP169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IV168" i="4"/>
  <c r="IU168" i="4"/>
  <c r="IT168" i="4"/>
  <c r="IS168" i="4"/>
  <c r="IR168" i="4"/>
  <c r="IQ168" i="4"/>
  <c r="IP168" i="4"/>
  <c r="IO168" i="4"/>
  <c r="IN168" i="4"/>
  <c r="IM168" i="4"/>
  <c r="IL168" i="4"/>
  <c r="IK168" i="4"/>
  <c r="IJ168" i="4"/>
  <c r="II168" i="4"/>
  <c r="IH168" i="4"/>
  <c r="IG168" i="4"/>
  <c r="IF168" i="4"/>
  <c r="IE168" i="4"/>
  <c r="ID168" i="4"/>
  <c r="IC168" i="4"/>
  <c r="IB168" i="4"/>
  <c r="IA168" i="4"/>
  <c r="HZ168" i="4"/>
  <c r="HY168" i="4"/>
  <c r="HX168" i="4"/>
  <c r="HW168" i="4"/>
  <c r="HV168" i="4"/>
  <c r="HU168" i="4"/>
  <c r="HT168" i="4"/>
  <c r="HS168" i="4"/>
  <c r="HR168" i="4"/>
  <c r="HQ168" i="4"/>
  <c r="HP168" i="4"/>
  <c r="HO168" i="4"/>
  <c r="HN168" i="4"/>
  <c r="HM168" i="4"/>
  <c r="HL168" i="4"/>
  <c r="HK168" i="4"/>
  <c r="HJ168" i="4"/>
  <c r="HI168" i="4"/>
  <c r="HH168" i="4"/>
  <c r="HG168" i="4"/>
  <c r="HF168" i="4"/>
  <c r="HE168" i="4"/>
  <c r="HD168" i="4"/>
  <c r="HC168" i="4"/>
  <c r="HB168" i="4"/>
  <c r="HA168" i="4"/>
  <c r="GZ168" i="4"/>
  <c r="GY168" i="4"/>
  <c r="GX168" i="4"/>
  <c r="GW168" i="4"/>
  <c r="GV168" i="4"/>
  <c r="GU168" i="4"/>
  <c r="GT168" i="4"/>
  <c r="GS168" i="4"/>
  <c r="GR168" i="4"/>
  <c r="GQ168" i="4"/>
  <c r="GP168" i="4"/>
  <c r="GO168" i="4"/>
  <c r="GN168" i="4"/>
  <c r="GM168" i="4"/>
  <c r="GL168" i="4"/>
  <c r="GK168" i="4"/>
  <c r="GJ168" i="4"/>
  <c r="GI168" i="4"/>
  <c r="GH168" i="4"/>
  <c r="GG168" i="4"/>
  <c r="GF168" i="4"/>
  <c r="GE168" i="4"/>
  <c r="GD168" i="4"/>
  <c r="GC168" i="4"/>
  <c r="GB168" i="4"/>
  <c r="GA168" i="4"/>
  <c r="FZ168" i="4"/>
  <c r="FY168" i="4"/>
  <c r="FX168" i="4"/>
  <c r="FW168" i="4"/>
  <c r="FV168" i="4"/>
  <c r="FU168" i="4"/>
  <c r="FT168" i="4"/>
  <c r="FS168" i="4"/>
  <c r="FR168" i="4"/>
  <c r="FQ168" i="4"/>
  <c r="FP168" i="4"/>
  <c r="FO168" i="4"/>
  <c r="FN168" i="4"/>
  <c r="FM168" i="4"/>
  <c r="FL168" i="4"/>
  <c r="FK168" i="4"/>
  <c r="FJ168" i="4"/>
  <c r="FI168" i="4"/>
  <c r="FH168" i="4"/>
  <c r="FG168" i="4"/>
  <c r="FF168" i="4"/>
  <c r="FE168" i="4"/>
  <c r="FD168" i="4"/>
  <c r="FC168" i="4"/>
  <c r="FB168" i="4"/>
  <c r="FA168" i="4"/>
  <c r="EZ168" i="4"/>
  <c r="EY168" i="4"/>
  <c r="EX168" i="4"/>
  <c r="EW168" i="4"/>
  <c r="EV168" i="4"/>
  <c r="EU168" i="4"/>
  <c r="ET168" i="4"/>
  <c r="ES168" i="4"/>
  <c r="ER168" i="4"/>
  <c r="EQ168" i="4"/>
  <c r="EP168" i="4"/>
  <c r="EO168" i="4"/>
  <c r="EN168" i="4"/>
  <c r="EM168" i="4"/>
  <c r="EL168" i="4"/>
  <c r="EK168" i="4"/>
  <c r="EJ168" i="4"/>
  <c r="EI168" i="4"/>
  <c r="EH168" i="4"/>
  <c r="EG168" i="4"/>
  <c r="EF168" i="4"/>
  <c r="EE168" i="4"/>
  <c r="ED168" i="4"/>
  <c r="EC168" i="4"/>
  <c r="EB168" i="4"/>
  <c r="EA168" i="4"/>
  <c r="DZ168" i="4"/>
  <c r="DY168" i="4"/>
  <c r="DX168" i="4"/>
  <c r="DW168" i="4"/>
  <c r="DV168" i="4"/>
  <c r="DU168" i="4"/>
  <c r="DT168" i="4"/>
  <c r="DS168" i="4"/>
  <c r="DR168" i="4"/>
  <c r="DQ168" i="4"/>
  <c r="DP168" i="4"/>
  <c r="DO168" i="4"/>
  <c r="DN168" i="4"/>
  <c r="DM168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IV167" i="4"/>
  <c r="IU167" i="4"/>
  <c r="IT167" i="4"/>
  <c r="IS167" i="4"/>
  <c r="IR167" i="4"/>
  <c r="IQ167" i="4"/>
  <c r="IP167" i="4"/>
  <c r="IO167" i="4"/>
  <c r="IN167" i="4"/>
  <c r="IM167" i="4"/>
  <c r="IL167" i="4"/>
  <c r="IK167" i="4"/>
  <c r="IJ167" i="4"/>
  <c r="II167" i="4"/>
  <c r="IH167" i="4"/>
  <c r="IG167" i="4"/>
  <c r="IF167" i="4"/>
  <c r="IE167" i="4"/>
  <c r="ID167" i="4"/>
  <c r="IC167" i="4"/>
  <c r="IB167" i="4"/>
  <c r="IA167" i="4"/>
  <c r="HZ167" i="4"/>
  <c r="HY167" i="4"/>
  <c r="HX167" i="4"/>
  <c r="HW167" i="4"/>
  <c r="HV167" i="4"/>
  <c r="HU167" i="4"/>
  <c r="HT167" i="4"/>
  <c r="HS167" i="4"/>
  <c r="HR167" i="4"/>
  <c r="HQ167" i="4"/>
  <c r="HP167" i="4"/>
  <c r="HO167" i="4"/>
  <c r="HN167" i="4"/>
  <c r="HM167" i="4"/>
  <c r="HL167" i="4"/>
  <c r="HK167" i="4"/>
  <c r="HJ167" i="4"/>
  <c r="HI167" i="4"/>
  <c r="HH167" i="4"/>
  <c r="HG167" i="4"/>
  <c r="HF167" i="4"/>
  <c r="HE167" i="4"/>
  <c r="HD167" i="4"/>
  <c r="HC167" i="4"/>
  <c r="HB167" i="4"/>
  <c r="HA167" i="4"/>
  <c r="GZ167" i="4"/>
  <c r="GY167" i="4"/>
  <c r="GX167" i="4"/>
  <c r="GW167" i="4"/>
  <c r="GV167" i="4"/>
  <c r="GU167" i="4"/>
  <c r="GT167" i="4"/>
  <c r="GS167" i="4"/>
  <c r="GR167" i="4"/>
  <c r="GQ167" i="4"/>
  <c r="GP167" i="4"/>
  <c r="GO167" i="4"/>
  <c r="GN167" i="4"/>
  <c r="GM167" i="4"/>
  <c r="GL167" i="4"/>
  <c r="GK167" i="4"/>
  <c r="GJ167" i="4"/>
  <c r="GI167" i="4"/>
  <c r="GH167" i="4"/>
  <c r="GG167" i="4"/>
  <c r="GF167" i="4"/>
  <c r="GE167" i="4"/>
  <c r="GD167" i="4"/>
  <c r="GC167" i="4"/>
  <c r="GB167" i="4"/>
  <c r="GA167" i="4"/>
  <c r="FZ167" i="4"/>
  <c r="FY167" i="4"/>
  <c r="FX167" i="4"/>
  <c r="FW167" i="4"/>
  <c r="FV167" i="4"/>
  <c r="FU167" i="4"/>
  <c r="FT167" i="4"/>
  <c r="FS167" i="4"/>
  <c r="FR167" i="4"/>
  <c r="FQ167" i="4"/>
  <c r="FP167" i="4"/>
  <c r="FO167" i="4"/>
  <c r="FN167" i="4"/>
  <c r="FM167" i="4"/>
  <c r="FL167" i="4"/>
  <c r="FK167" i="4"/>
  <c r="FJ167" i="4"/>
  <c r="FI167" i="4"/>
  <c r="FH167" i="4"/>
  <c r="FG167" i="4"/>
  <c r="FF167" i="4"/>
  <c r="FE167" i="4"/>
  <c r="FD167" i="4"/>
  <c r="FC167" i="4"/>
  <c r="FB167" i="4"/>
  <c r="FA167" i="4"/>
  <c r="EZ167" i="4"/>
  <c r="EY167" i="4"/>
  <c r="EX167" i="4"/>
  <c r="EW167" i="4"/>
  <c r="EV167" i="4"/>
  <c r="EU167" i="4"/>
  <c r="ET167" i="4"/>
  <c r="ES167" i="4"/>
  <c r="ER167" i="4"/>
  <c r="EQ167" i="4"/>
  <c r="EP167" i="4"/>
  <c r="EO167" i="4"/>
  <c r="EN167" i="4"/>
  <c r="EM167" i="4"/>
  <c r="EL167" i="4"/>
  <c r="EK167" i="4"/>
  <c r="EJ167" i="4"/>
  <c r="EI167" i="4"/>
  <c r="EH167" i="4"/>
  <c r="EG167" i="4"/>
  <c r="EF167" i="4"/>
  <c r="EE167" i="4"/>
  <c r="ED167" i="4"/>
  <c r="EC167" i="4"/>
  <c r="EB167" i="4"/>
  <c r="EA167" i="4"/>
  <c r="DZ167" i="4"/>
  <c r="DY167" i="4"/>
  <c r="DX167" i="4"/>
  <c r="DW167" i="4"/>
  <c r="DV167" i="4"/>
  <c r="DU167" i="4"/>
  <c r="DT167" i="4"/>
  <c r="DS167" i="4"/>
  <c r="DR167" i="4"/>
  <c r="DQ167" i="4"/>
  <c r="DP167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IV166" i="4"/>
  <c r="IU166" i="4"/>
  <c r="IT166" i="4"/>
  <c r="IS166" i="4"/>
  <c r="IR166" i="4"/>
  <c r="IQ166" i="4"/>
  <c r="IP166" i="4"/>
  <c r="IO166" i="4"/>
  <c r="IN166" i="4"/>
  <c r="IM166" i="4"/>
  <c r="IL166" i="4"/>
  <c r="IK166" i="4"/>
  <c r="IJ166" i="4"/>
  <c r="II166" i="4"/>
  <c r="IH166" i="4"/>
  <c r="IG166" i="4"/>
  <c r="IF166" i="4"/>
  <c r="IE166" i="4"/>
  <c r="ID166" i="4"/>
  <c r="IC166" i="4"/>
  <c r="IB166" i="4"/>
  <c r="IA166" i="4"/>
  <c r="HZ166" i="4"/>
  <c r="HY166" i="4"/>
  <c r="HX166" i="4"/>
  <c r="HW166" i="4"/>
  <c r="HV166" i="4"/>
  <c r="HU166" i="4"/>
  <c r="HT166" i="4"/>
  <c r="HS166" i="4"/>
  <c r="HR166" i="4"/>
  <c r="HQ166" i="4"/>
  <c r="HP166" i="4"/>
  <c r="HO166" i="4"/>
  <c r="HN166" i="4"/>
  <c r="HM166" i="4"/>
  <c r="HL166" i="4"/>
  <c r="HK166" i="4"/>
  <c r="HJ166" i="4"/>
  <c r="HI166" i="4"/>
  <c r="HH166" i="4"/>
  <c r="HG166" i="4"/>
  <c r="HF166" i="4"/>
  <c r="HE166" i="4"/>
  <c r="HD166" i="4"/>
  <c r="HC166" i="4"/>
  <c r="HB166" i="4"/>
  <c r="HA166" i="4"/>
  <c r="GZ166" i="4"/>
  <c r="GY166" i="4"/>
  <c r="GX166" i="4"/>
  <c r="GW166" i="4"/>
  <c r="GV166" i="4"/>
  <c r="GU166" i="4"/>
  <c r="GT166" i="4"/>
  <c r="GS166" i="4"/>
  <c r="GR166" i="4"/>
  <c r="GQ166" i="4"/>
  <c r="GP166" i="4"/>
  <c r="GO166" i="4"/>
  <c r="GN166" i="4"/>
  <c r="GM166" i="4"/>
  <c r="GL166" i="4"/>
  <c r="GK166" i="4"/>
  <c r="GJ166" i="4"/>
  <c r="GI166" i="4"/>
  <c r="GH166" i="4"/>
  <c r="GG166" i="4"/>
  <c r="GF166" i="4"/>
  <c r="GE166" i="4"/>
  <c r="GD166" i="4"/>
  <c r="GC166" i="4"/>
  <c r="GB166" i="4"/>
  <c r="GA166" i="4"/>
  <c r="FZ166" i="4"/>
  <c r="FY166" i="4"/>
  <c r="FX166" i="4"/>
  <c r="FW166" i="4"/>
  <c r="FV166" i="4"/>
  <c r="FU166" i="4"/>
  <c r="FT166" i="4"/>
  <c r="FS166" i="4"/>
  <c r="FR166" i="4"/>
  <c r="FQ166" i="4"/>
  <c r="FP166" i="4"/>
  <c r="FO166" i="4"/>
  <c r="FN166" i="4"/>
  <c r="FM166" i="4"/>
  <c r="FL166" i="4"/>
  <c r="FK166" i="4"/>
  <c r="FJ166" i="4"/>
  <c r="FI166" i="4"/>
  <c r="FH166" i="4"/>
  <c r="FG166" i="4"/>
  <c r="FF166" i="4"/>
  <c r="FE166" i="4"/>
  <c r="FD166" i="4"/>
  <c r="FC166" i="4"/>
  <c r="FB166" i="4"/>
  <c r="FA166" i="4"/>
  <c r="EZ166" i="4"/>
  <c r="EY166" i="4"/>
  <c r="EX166" i="4"/>
  <c r="EW166" i="4"/>
  <c r="EV166" i="4"/>
  <c r="EU166" i="4"/>
  <c r="ET166" i="4"/>
  <c r="ES166" i="4"/>
  <c r="ER166" i="4"/>
  <c r="EQ166" i="4"/>
  <c r="EP166" i="4"/>
  <c r="EO166" i="4"/>
  <c r="EN166" i="4"/>
  <c r="EM166" i="4"/>
  <c r="EL166" i="4"/>
  <c r="EK166" i="4"/>
  <c r="EJ166" i="4"/>
  <c r="EI166" i="4"/>
  <c r="EH166" i="4"/>
  <c r="EG166" i="4"/>
  <c r="EF166" i="4"/>
  <c r="EE166" i="4"/>
  <c r="ED166" i="4"/>
  <c r="EC166" i="4"/>
  <c r="EB166" i="4"/>
  <c r="EA166" i="4"/>
  <c r="DZ166" i="4"/>
  <c r="DY166" i="4"/>
  <c r="DX166" i="4"/>
  <c r="DW166" i="4"/>
  <c r="DV166" i="4"/>
  <c r="DU166" i="4"/>
  <c r="DT166" i="4"/>
  <c r="DS166" i="4"/>
  <c r="DR166" i="4"/>
  <c r="DQ166" i="4"/>
  <c r="DP166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IV165" i="4"/>
  <c r="IU165" i="4"/>
  <c r="IT165" i="4"/>
  <c r="IS165" i="4"/>
  <c r="IR165" i="4"/>
  <c r="IQ165" i="4"/>
  <c r="IP165" i="4"/>
  <c r="IO165" i="4"/>
  <c r="IN165" i="4"/>
  <c r="IM165" i="4"/>
  <c r="IL165" i="4"/>
  <c r="IK165" i="4"/>
  <c r="IJ165" i="4"/>
  <c r="II165" i="4"/>
  <c r="IH165" i="4"/>
  <c r="IG165" i="4"/>
  <c r="IF165" i="4"/>
  <c r="IE165" i="4"/>
  <c r="ID165" i="4"/>
  <c r="IC165" i="4"/>
  <c r="IB165" i="4"/>
  <c r="IA165" i="4"/>
  <c r="HZ165" i="4"/>
  <c r="HY165" i="4"/>
  <c r="HX165" i="4"/>
  <c r="HW165" i="4"/>
  <c r="HV165" i="4"/>
  <c r="HU165" i="4"/>
  <c r="HT165" i="4"/>
  <c r="HS165" i="4"/>
  <c r="HR165" i="4"/>
  <c r="HQ165" i="4"/>
  <c r="HP165" i="4"/>
  <c r="HO165" i="4"/>
  <c r="HN165" i="4"/>
  <c r="HM165" i="4"/>
  <c r="HL165" i="4"/>
  <c r="HK165" i="4"/>
  <c r="HJ165" i="4"/>
  <c r="HI165" i="4"/>
  <c r="HH165" i="4"/>
  <c r="HG165" i="4"/>
  <c r="HF165" i="4"/>
  <c r="HE165" i="4"/>
  <c r="HD165" i="4"/>
  <c r="HC165" i="4"/>
  <c r="HB165" i="4"/>
  <c r="HA165" i="4"/>
  <c r="GZ165" i="4"/>
  <c r="GY165" i="4"/>
  <c r="GX165" i="4"/>
  <c r="GW165" i="4"/>
  <c r="GV165" i="4"/>
  <c r="GU165" i="4"/>
  <c r="GT165" i="4"/>
  <c r="GS165" i="4"/>
  <c r="GR165" i="4"/>
  <c r="GQ165" i="4"/>
  <c r="GP165" i="4"/>
  <c r="GO165" i="4"/>
  <c r="GN165" i="4"/>
  <c r="GM165" i="4"/>
  <c r="GL165" i="4"/>
  <c r="GK165" i="4"/>
  <c r="GJ165" i="4"/>
  <c r="GI165" i="4"/>
  <c r="GH165" i="4"/>
  <c r="GG165" i="4"/>
  <c r="GF165" i="4"/>
  <c r="GE165" i="4"/>
  <c r="GD165" i="4"/>
  <c r="GC165" i="4"/>
  <c r="GB165" i="4"/>
  <c r="GA165" i="4"/>
  <c r="FZ165" i="4"/>
  <c r="FY165" i="4"/>
  <c r="FX165" i="4"/>
  <c r="FW165" i="4"/>
  <c r="FV165" i="4"/>
  <c r="FU165" i="4"/>
  <c r="FT165" i="4"/>
  <c r="FS165" i="4"/>
  <c r="FR165" i="4"/>
  <c r="FQ165" i="4"/>
  <c r="FP165" i="4"/>
  <c r="FO165" i="4"/>
  <c r="FN165" i="4"/>
  <c r="FM165" i="4"/>
  <c r="FL165" i="4"/>
  <c r="FK165" i="4"/>
  <c r="FJ165" i="4"/>
  <c r="FI165" i="4"/>
  <c r="FH165" i="4"/>
  <c r="FG165" i="4"/>
  <c r="FF165" i="4"/>
  <c r="FE165" i="4"/>
  <c r="FD165" i="4"/>
  <c r="FC165" i="4"/>
  <c r="FB165" i="4"/>
  <c r="FA165" i="4"/>
  <c r="EZ165" i="4"/>
  <c r="EY165" i="4"/>
  <c r="EX165" i="4"/>
  <c r="EW165" i="4"/>
  <c r="EV165" i="4"/>
  <c r="EU165" i="4"/>
  <c r="ET165" i="4"/>
  <c r="ES165" i="4"/>
  <c r="ER165" i="4"/>
  <c r="EQ165" i="4"/>
  <c r="EP165" i="4"/>
  <c r="EO165" i="4"/>
  <c r="EN165" i="4"/>
  <c r="EM165" i="4"/>
  <c r="EL165" i="4"/>
  <c r="EK165" i="4"/>
  <c r="EJ165" i="4"/>
  <c r="EI165" i="4"/>
  <c r="EH165" i="4"/>
  <c r="EG165" i="4"/>
  <c r="EF165" i="4"/>
  <c r="EE165" i="4"/>
  <c r="ED165" i="4"/>
  <c r="EC165" i="4"/>
  <c r="EB165" i="4"/>
  <c r="EA165" i="4"/>
  <c r="DZ165" i="4"/>
  <c r="DY165" i="4"/>
  <c r="DX165" i="4"/>
  <c r="DW165" i="4"/>
  <c r="DV165" i="4"/>
  <c r="DU165" i="4"/>
  <c r="DT165" i="4"/>
  <c r="DS165" i="4"/>
  <c r="DR165" i="4"/>
  <c r="DQ165" i="4"/>
  <c r="DP165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IV164" i="4"/>
  <c r="IU164" i="4"/>
  <c r="IT164" i="4"/>
  <c r="IS164" i="4"/>
  <c r="IR164" i="4"/>
  <c r="IQ164" i="4"/>
  <c r="IP164" i="4"/>
  <c r="IO164" i="4"/>
  <c r="IN164" i="4"/>
  <c r="IM164" i="4"/>
  <c r="IL164" i="4"/>
  <c r="IK164" i="4"/>
  <c r="IJ164" i="4"/>
  <c r="II164" i="4"/>
  <c r="IH164" i="4"/>
  <c r="IG164" i="4"/>
  <c r="IF164" i="4"/>
  <c r="IE164" i="4"/>
  <c r="ID164" i="4"/>
  <c r="IC164" i="4"/>
  <c r="IB164" i="4"/>
  <c r="IA164" i="4"/>
  <c r="HZ164" i="4"/>
  <c r="HY164" i="4"/>
  <c r="HX164" i="4"/>
  <c r="HW164" i="4"/>
  <c r="HV164" i="4"/>
  <c r="HU164" i="4"/>
  <c r="HT164" i="4"/>
  <c r="HS164" i="4"/>
  <c r="HR164" i="4"/>
  <c r="HQ164" i="4"/>
  <c r="HP164" i="4"/>
  <c r="HO164" i="4"/>
  <c r="HN164" i="4"/>
  <c r="HM164" i="4"/>
  <c r="HL164" i="4"/>
  <c r="HK164" i="4"/>
  <c r="HJ164" i="4"/>
  <c r="HI164" i="4"/>
  <c r="HH164" i="4"/>
  <c r="HG164" i="4"/>
  <c r="HF164" i="4"/>
  <c r="HE164" i="4"/>
  <c r="HD164" i="4"/>
  <c r="HC164" i="4"/>
  <c r="HB164" i="4"/>
  <c r="HA164" i="4"/>
  <c r="GZ164" i="4"/>
  <c r="GY164" i="4"/>
  <c r="GX164" i="4"/>
  <c r="GW164" i="4"/>
  <c r="GV164" i="4"/>
  <c r="GU164" i="4"/>
  <c r="GT164" i="4"/>
  <c r="GS164" i="4"/>
  <c r="GR164" i="4"/>
  <c r="GQ164" i="4"/>
  <c r="GP164" i="4"/>
  <c r="GO164" i="4"/>
  <c r="GN164" i="4"/>
  <c r="GM164" i="4"/>
  <c r="GL164" i="4"/>
  <c r="GK164" i="4"/>
  <c r="GJ164" i="4"/>
  <c r="GI164" i="4"/>
  <c r="GH164" i="4"/>
  <c r="GG164" i="4"/>
  <c r="GF164" i="4"/>
  <c r="GE164" i="4"/>
  <c r="GD164" i="4"/>
  <c r="GC164" i="4"/>
  <c r="GB164" i="4"/>
  <c r="GA164" i="4"/>
  <c r="FZ164" i="4"/>
  <c r="FY164" i="4"/>
  <c r="FX164" i="4"/>
  <c r="FW164" i="4"/>
  <c r="FV164" i="4"/>
  <c r="FU164" i="4"/>
  <c r="FT164" i="4"/>
  <c r="FS164" i="4"/>
  <c r="FR164" i="4"/>
  <c r="FQ164" i="4"/>
  <c r="FP164" i="4"/>
  <c r="FO164" i="4"/>
  <c r="FN164" i="4"/>
  <c r="FM164" i="4"/>
  <c r="FL164" i="4"/>
  <c r="FK164" i="4"/>
  <c r="FJ164" i="4"/>
  <c r="FI164" i="4"/>
  <c r="FH164" i="4"/>
  <c r="FG164" i="4"/>
  <c r="FF164" i="4"/>
  <c r="FE164" i="4"/>
  <c r="FD164" i="4"/>
  <c r="FC164" i="4"/>
  <c r="FB164" i="4"/>
  <c r="FA164" i="4"/>
  <c r="EZ164" i="4"/>
  <c r="EY164" i="4"/>
  <c r="EX164" i="4"/>
  <c r="EW164" i="4"/>
  <c r="EV164" i="4"/>
  <c r="EU164" i="4"/>
  <c r="ET164" i="4"/>
  <c r="ES164" i="4"/>
  <c r="ER164" i="4"/>
  <c r="EQ164" i="4"/>
  <c r="EP164" i="4"/>
  <c r="EO164" i="4"/>
  <c r="EN164" i="4"/>
  <c r="EM164" i="4"/>
  <c r="EL164" i="4"/>
  <c r="EK164" i="4"/>
  <c r="EJ164" i="4"/>
  <c r="EI164" i="4"/>
  <c r="EH164" i="4"/>
  <c r="EG164" i="4"/>
  <c r="EF164" i="4"/>
  <c r="EE164" i="4"/>
  <c r="ED164" i="4"/>
  <c r="EC164" i="4"/>
  <c r="EB164" i="4"/>
  <c r="EA164" i="4"/>
  <c r="DZ164" i="4"/>
  <c r="DY164" i="4"/>
  <c r="DX164" i="4"/>
  <c r="DW164" i="4"/>
  <c r="DV164" i="4"/>
  <c r="DU164" i="4"/>
  <c r="DT164" i="4"/>
  <c r="DS164" i="4"/>
  <c r="DR164" i="4"/>
  <c r="DQ164" i="4"/>
  <c r="DP164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IV163" i="4"/>
  <c r="IU163" i="4"/>
  <c r="IT163" i="4"/>
  <c r="IS163" i="4"/>
  <c r="IR163" i="4"/>
  <c r="IQ163" i="4"/>
  <c r="IP163" i="4"/>
  <c r="IO163" i="4"/>
  <c r="IN163" i="4"/>
  <c r="IM163" i="4"/>
  <c r="IL163" i="4"/>
  <c r="IK163" i="4"/>
  <c r="IJ163" i="4"/>
  <c r="II163" i="4"/>
  <c r="IH163" i="4"/>
  <c r="IG163" i="4"/>
  <c r="IF163" i="4"/>
  <c r="IE163" i="4"/>
  <c r="ID163" i="4"/>
  <c r="IC163" i="4"/>
  <c r="IB163" i="4"/>
  <c r="IA163" i="4"/>
  <c r="HZ163" i="4"/>
  <c r="HY163" i="4"/>
  <c r="HX163" i="4"/>
  <c r="HW163" i="4"/>
  <c r="HV163" i="4"/>
  <c r="HU163" i="4"/>
  <c r="HT163" i="4"/>
  <c r="HS163" i="4"/>
  <c r="HR163" i="4"/>
  <c r="HQ163" i="4"/>
  <c r="HP163" i="4"/>
  <c r="HO163" i="4"/>
  <c r="HN163" i="4"/>
  <c r="HM163" i="4"/>
  <c r="HL163" i="4"/>
  <c r="HK163" i="4"/>
  <c r="HJ163" i="4"/>
  <c r="HI163" i="4"/>
  <c r="HH163" i="4"/>
  <c r="HG163" i="4"/>
  <c r="HF163" i="4"/>
  <c r="HE163" i="4"/>
  <c r="HD163" i="4"/>
  <c r="HC163" i="4"/>
  <c r="HB163" i="4"/>
  <c r="HA163" i="4"/>
  <c r="GZ163" i="4"/>
  <c r="GY163" i="4"/>
  <c r="GX163" i="4"/>
  <c r="GW163" i="4"/>
  <c r="GV163" i="4"/>
  <c r="GU163" i="4"/>
  <c r="GT163" i="4"/>
  <c r="GS163" i="4"/>
  <c r="GR163" i="4"/>
  <c r="GQ163" i="4"/>
  <c r="GP163" i="4"/>
  <c r="GO163" i="4"/>
  <c r="GN163" i="4"/>
  <c r="GM163" i="4"/>
  <c r="GL163" i="4"/>
  <c r="GK163" i="4"/>
  <c r="GJ163" i="4"/>
  <c r="GI163" i="4"/>
  <c r="GH163" i="4"/>
  <c r="GG163" i="4"/>
  <c r="GF163" i="4"/>
  <c r="GE163" i="4"/>
  <c r="GD163" i="4"/>
  <c r="GC163" i="4"/>
  <c r="GB163" i="4"/>
  <c r="GA163" i="4"/>
  <c r="FZ163" i="4"/>
  <c r="FY163" i="4"/>
  <c r="FX163" i="4"/>
  <c r="FW163" i="4"/>
  <c r="FV163" i="4"/>
  <c r="FU163" i="4"/>
  <c r="FT163" i="4"/>
  <c r="FS163" i="4"/>
  <c r="FR163" i="4"/>
  <c r="FQ163" i="4"/>
  <c r="FP163" i="4"/>
  <c r="FO163" i="4"/>
  <c r="FN163" i="4"/>
  <c r="FM163" i="4"/>
  <c r="FL163" i="4"/>
  <c r="FK163" i="4"/>
  <c r="FJ163" i="4"/>
  <c r="FI163" i="4"/>
  <c r="FH163" i="4"/>
  <c r="FG163" i="4"/>
  <c r="FF163" i="4"/>
  <c r="FE163" i="4"/>
  <c r="FD163" i="4"/>
  <c r="FC163" i="4"/>
  <c r="FB163" i="4"/>
  <c r="FA163" i="4"/>
  <c r="EZ163" i="4"/>
  <c r="EY163" i="4"/>
  <c r="EX163" i="4"/>
  <c r="EW163" i="4"/>
  <c r="EV163" i="4"/>
  <c r="EU163" i="4"/>
  <c r="ET163" i="4"/>
  <c r="ES163" i="4"/>
  <c r="ER163" i="4"/>
  <c r="EQ163" i="4"/>
  <c r="EP163" i="4"/>
  <c r="EO163" i="4"/>
  <c r="EN163" i="4"/>
  <c r="EM163" i="4"/>
  <c r="EL163" i="4"/>
  <c r="EK163" i="4"/>
  <c r="EJ163" i="4"/>
  <c r="EI163" i="4"/>
  <c r="EH163" i="4"/>
  <c r="EG163" i="4"/>
  <c r="EF163" i="4"/>
  <c r="EE163" i="4"/>
  <c r="ED163" i="4"/>
  <c r="EC163" i="4"/>
  <c r="EB163" i="4"/>
  <c r="EA163" i="4"/>
  <c r="DZ163" i="4"/>
  <c r="DY163" i="4"/>
  <c r="DX163" i="4"/>
  <c r="DW163" i="4"/>
  <c r="DV163" i="4"/>
  <c r="DU163" i="4"/>
  <c r="DT163" i="4"/>
  <c r="DS163" i="4"/>
  <c r="DR163" i="4"/>
  <c r="DQ163" i="4"/>
  <c r="DP163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IV162" i="4"/>
  <c r="IU162" i="4"/>
  <c r="IT162" i="4"/>
  <c r="IS162" i="4"/>
  <c r="IR162" i="4"/>
  <c r="IQ162" i="4"/>
  <c r="IP162" i="4"/>
  <c r="IO162" i="4"/>
  <c r="IN162" i="4"/>
  <c r="IM162" i="4"/>
  <c r="IL162" i="4"/>
  <c r="IK162" i="4"/>
  <c r="IJ162" i="4"/>
  <c r="II162" i="4"/>
  <c r="IH162" i="4"/>
  <c r="IG162" i="4"/>
  <c r="IF162" i="4"/>
  <c r="IE162" i="4"/>
  <c r="ID162" i="4"/>
  <c r="IC162" i="4"/>
  <c r="IB162" i="4"/>
  <c r="IA162" i="4"/>
  <c r="HZ162" i="4"/>
  <c r="HY162" i="4"/>
  <c r="HX162" i="4"/>
  <c r="HW162" i="4"/>
  <c r="HV162" i="4"/>
  <c r="HU162" i="4"/>
  <c r="HT162" i="4"/>
  <c r="HS162" i="4"/>
  <c r="HR162" i="4"/>
  <c r="HQ162" i="4"/>
  <c r="HP162" i="4"/>
  <c r="HO162" i="4"/>
  <c r="HN162" i="4"/>
  <c r="HM162" i="4"/>
  <c r="HL162" i="4"/>
  <c r="HK162" i="4"/>
  <c r="HJ162" i="4"/>
  <c r="HI162" i="4"/>
  <c r="HH162" i="4"/>
  <c r="HG162" i="4"/>
  <c r="HF162" i="4"/>
  <c r="HE162" i="4"/>
  <c r="HD162" i="4"/>
  <c r="HC162" i="4"/>
  <c r="HB162" i="4"/>
  <c r="HA162" i="4"/>
  <c r="GZ162" i="4"/>
  <c r="GY162" i="4"/>
  <c r="GX162" i="4"/>
  <c r="GW162" i="4"/>
  <c r="GV162" i="4"/>
  <c r="GU162" i="4"/>
  <c r="GT162" i="4"/>
  <c r="GS162" i="4"/>
  <c r="GR162" i="4"/>
  <c r="GQ162" i="4"/>
  <c r="GP162" i="4"/>
  <c r="GO162" i="4"/>
  <c r="GN162" i="4"/>
  <c r="GM162" i="4"/>
  <c r="GL162" i="4"/>
  <c r="GK162" i="4"/>
  <c r="GJ162" i="4"/>
  <c r="GI162" i="4"/>
  <c r="GH162" i="4"/>
  <c r="GG162" i="4"/>
  <c r="GF162" i="4"/>
  <c r="GE162" i="4"/>
  <c r="GD162" i="4"/>
  <c r="GC162" i="4"/>
  <c r="GB162" i="4"/>
  <c r="GA162" i="4"/>
  <c r="FZ162" i="4"/>
  <c r="FY162" i="4"/>
  <c r="FX162" i="4"/>
  <c r="FW162" i="4"/>
  <c r="FV162" i="4"/>
  <c r="FU162" i="4"/>
  <c r="FT162" i="4"/>
  <c r="FS162" i="4"/>
  <c r="FR162" i="4"/>
  <c r="FQ162" i="4"/>
  <c r="FP162" i="4"/>
  <c r="FO162" i="4"/>
  <c r="FN162" i="4"/>
  <c r="FM162" i="4"/>
  <c r="FL162" i="4"/>
  <c r="FK162" i="4"/>
  <c r="FJ162" i="4"/>
  <c r="FI162" i="4"/>
  <c r="FH162" i="4"/>
  <c r="FG162" i="4"/>
  <c r="FF162" i="4"/>
  <c r="FE162" i="4"/>
  <c r="FD162" i="4"/>
  <c r="FC162" i="4"/>
  <c r="FB162" i="4"/>
  <c r="FA162" i="4"/>
  <c r="EZ162" i="4"/>
  <c r="EY162" i="4"/>
  <c r="EX162" i="4"/>
  <c r="EW162" i="4"/>
  <c r="EV162" i="4"/>
  <c r="EU162" i="4"/>
  <c r="ET162" i="4"/>
  <c r="ES162" i="4"/>
  <c r="ER162" i="4"/>
  <c r="EQ162" i="4"/>
  <c r="EP162" i="4"/>
  <c r="EO162" i="4"/>
  <c r="EN162" i="4"/>
  <c r="EM162" i="4"/>
  <c r="EL162" i="4"/>
  <c r="EK162" i="4"/>
  <c r="EJ162" i="4"/>
  <c r="EI162" i="4"/>
  <c r="EH162" i="4"/>
  <c r="EG162" i="4"/>
  <c r="EF162" i="4"/>
  <c r="EE162" i="4"/>
  <c r="ED162" i="4"/>
  <c r="EC162" i="4"/>
  <c r="EB162" i="4"/>
  <c r="EA162" i="4"/>
  <c r="DZ162" i="4"/>
  <c r="DY162" i="4"/>
  <c r="DX162" i="4"/>
  <c r="DW162" i="4"/>
  <c r="DV162" i="4"/>
  <c r="DU162" i="4"/>
  <c r="DT162" i="4"/>
  <c r="DS162" i="4"/>
  <c r="DR162" i="4"/>
  <c r="DQ162" i="4"/>
  <c r="DP162" i="4"/>
  <c r="DO162" i="4"/>
  <c r="DN162" i="4"/>
  <c r="DM162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IV161" i="4"/>
  <c r="IU161" i="4"/>
  <c r="IT161" i="4"/>
  <c r="IS161" i="4"/>
  <c r="IR161" i="4"/>
  <c r="IQ161" i="4"/>
  <c r="IP161" i="4"/>
  <c r="IO161" i="4"/>
  <c r="IN161" i="4"/>
  <c r="IM161" i="4"/>
  <c r="IL161" i="4"/>
  <c r="IK161" i="4"/>
  <c r="IJ161" i="4"/>
  <c r="II161" i="4"/>
  <c r="IH161" i="4"/>
  <c r="IG161" i="4"/>
  <c r="IF161" i="4"/>
  <c r="IE161" i="4"/>
  <c r="ID161" i="4"/>
  <c r="IC161" i="4"/>
  <c r="IB161" i="4"/>
  <c r="IA161" i="4"/>
  <c r="HZ161" i="4"/>
  <c r="HY161" i="4"/>
  <c r="HX161" i="4"/>
  <c r="HW161" i="4"/>
  <c r="HV161" i="4"/>
  <c r="HU161" i="4"/>
  <c r="HT161" i="4"/>
  <c r="HS161" i="4"/>
  <c r="HR161" i="4"/>
  <c r="HQ161" i="4"/>
  <c r="HP161" i="4"/>
  <c r="HO161" i="4"/>
  <c r="HN161" i="4"/>
  <c r="HM161" i="4"/>
  <c r="HL161" i="4"/>
  <c r="HK161" i="4"/>
  <c r="HJ161" i="4"/>
  <c r="HI161" i="4"/>
  <c r="HH161" i="4"/>
  <c r="HG161" i="4"/>
  <c r="HF161" i="4"/>
  <c r="HE161" i="4"/>
  <c r="HD161" i="4"/>
  <c r="HC161" i="4"/>
  <c r="HB161" i="4"/>
  <c r="HA161" i="4"/>
  <c r="GZ161" i="4"/>
  <c r="GY161" i="4"/>
  <c r="GX161" i="4"/>
  <c r="GW161" i="4"/>
  <c r="GV161" i="4"/>
  <c r="GU161" i="4"/>
  <c r="GT161" i="4"/>
  <c r="GS161" i="4"/>
  <c r="GR161" i="4"/>
  <c r="GQ161" i="4"/>
  <c r="GP161" i="4"/>
  <c r="GO161" i="4"/>
  <c r="GN161" i="4"/>
  <c r="GM161" i="4"/>
  <c r="GL161" i="4"/>
  <c r="GK161" i="4"/>
  <c r="GJ161" i="4"/>
  <c r="GI161" i="4"/>
  <c r="GH161" i="4"/>
  <c r="GG161" i="4"/>
  <c r="GF161" i="4"/>
  <c r="GE161" i="4"/>
  <c r="GD161" i="4"/>
  <c r="GC161" i="4"/>
  <c r="GB161" i="4"/>
  <c r="GA161" i="4"/>
  <c r="FZ161" i="4"/>
  <c r="FY161" i="4"/>
  <c r="FX161" i="4"/>
  <c r="FW161" i="4"/>
  <c r="FV161" i="4"/>
  <c r="FU161" i="4"/>
  <c r="FT161" i="4"/>
  <c r="FS161" i="4"/>
  <c r="FR161" i="4"/>
  <c r="FQ161" i="4"/>
  <c r="FP161" i="4"/>
  <c r="FO161" i="4"/>
  <c r="FN161" i="4"/>
  <c r="FM161" i="4"/>
  <c r="FL161" i="4"/>
  <c r="FK161" i="4"/>
  <c r="FJ161" i="4"/>
  <c r="FI161" i="4"/>
  <c r="FH161" i="4"/>
  <c r="FG161" i="4"/>
  <c r="FF161" i="4"/>
  <c r="FE161" i="4"/>
  <c r="FD161" i="4"/>
  <c r="FC161" i="4"/>
  <c r="FB161" i="4"/>
  <c r="FA161" i="4"/>
  <c r="EZ161" i="4"/>
  <c r="EY161" i="4"/>
  <c r="EX161" i="4"/>
  <c r="EW161" i="4"/>
  <c r="EV161" i="4"/>
  <c r="EU161" i="4"/>
  <c r="ET161" i="4"/>
  <c r="ES161" i="4"/>
  <c r="ER161" i="4"/>
  <c r="EQ161" i="4"/>
  <c r="EP161" i="4"/>
  <c r="EO161" i="4"/>
  <c r="EN161" i="4"/>
  <c r="EM161" i="4"/>
  <c r="EL161" i="4"/>
  <c r="EK161" i="4"/>
  <c r="EJ161" i="4"/>
  <c r="EI161" i="4"/>
  <c r="EH161" i="4"/>
  <c r="EG161" i="4"/>
  <c r="EF161" i="4"/>
  <c r="EE161" i="4"/>
  <c r="ED161" i="4"/>
  <c r="EC161" i="4"/>
  <c r="EB161" i="4"/>
  <c r="EA161" i="4"/>
  <c r="DZ161" i="4"/>
  <c r="DY161" i="4"/>
  <c r="DX161" i="4"/>
  <c r="DW161" i="4"/>
  <c r="DV161" i="4"/>
  <c r="DU161" i="4"/>
  <c r="DT161" i="4"/>
  <c r="DS161" i="4"/>
  <c r="DR161" i="4"/>
  <c r="DQ161" i="4"/>
  <c r="DP161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IV160" i="4"/>
  <c r="IU160" i="4"/>
  <c r="IT160" i="4"/>
  <c r="IS160" i="4"/>
  <c r="IR160" i="4"/>
  <c r="IQ160" i="4"/>
  <c r="IP160" i="4"/>
  <c r="IO160" i="4"/>
  <c r="IN160" i="4"/>
  <c r="IM160" i="4"/>
  <c r="IL160" i="4"/>
  <c r="IK160" i="4"/>
  <c r="IJ160" i="4"/>
  <c r="II160" i="4"/>
  <c r="IH160" i="4"/>
  <c r="IG160" i="4"/>
  <c r="IF160" i="4"/>
  <c r="IE160" i="4"/>
  <c r="ID160" i="4"/>
  <c r="IC160" i="4"/>
  <c r="IB160" i="4"/>
  <c r="IA160" i="4"/>
  <c r="HZ160" i="4"/>
  <c r="HY160" i="4"/>
  <c r="HX160" i="4"/>
  <c r="HW160" i="4"/>
  <c r="HV160" i="4"/>
  <c r="HU160" i="4"/>
  <c r="HT160" i="4"/>
  <c r="HS160" i="4"/>
  <c r="HR160" i="4"/>
  <c r="HQ160" i="4"/>
  <c r="HP160" i="4"/>
  <c r="HO160" i="4"/>
  <c r="HN160" i="4"/>
  <c r="HM160" i="4"/>
  <c r="HL160" i="4"/>
  <c r="HK160" i="4"/>
  <c r="HJ160" i="4"/>
  <c r="HI160" i="4"/>
  <c r="HH160" i="4"/>
  <c r="HG160" i="4"/>
  <c r="HF160" i="4"/>
  <c r="HE160" i="4"/>
  <c r="HD160" i="4"/>
  <c r="HC160" i="4"/>
  <c r="HB160" i="4"/>
  <c r="HA160" i="4"/>
  <c r="GZ160" i="4"/>
  <c r="GY160" i="4"/>
  <c r="GX160" i="4"/>
  <c r="GW160" i="4"/>
  <c r="GV160" i="4"/>
  <c r="GU160" i="4"/>
  <c r="GT160" i="4"/>
  <c r="GS160" i="4"/>
  <c r="GR160" i="4"/>
  <c r="GQ160" i="4"/>
  <c r="GP160" i="4"/>
  <c r="GO160" i="4"/>
  <c r="GN160" i="4"/>
  <c r="GM160" i="4"/>
  <c r="GL160" i="4"/>
  <c r="GK160" i="4"/>
  <c r="GJ160" i="4"/>
  <c r="GI160" i="4"/>
  <c r="GH160" i="4"/>
  <c r="GG160" i="4"/>
  <c r="GF160" i="4"/>
  <c r="GE160" i="4"/>
  <c r="GD160" i="4"/>
  <c r="GC160" i="4"/>
  <c r="GB160" i="4"/>
  <c r="GA160" i="4"/>
  <c r="FZ160" i="4"/>
  <c r="FY160" i="4"/>
  <c r="FX160" i="4"/>
  <c r="FW160" i="4"/>
  <c r="FV160" i="4"/>
  <c r="FU160" i="4"/>
  <c r="FT160" i="4"/>
  <c r="FS160" i="4"/>
  <c r="FR160" i="4"/>
  <c r="FQ160" i="4"/>
  <c r="FP160" i="4"/>
  <c r="FO160" i="4"/>
  <c r="FN160" i="4"/>
  <c r="FM160" i="4"/>
  <c r="FL160" i="4"/>
  <c r="FK160" i="4"/>
  <c r="FJ160" i="4"/>
  <c r="FI160" i="4"/>
  <c r="FH160" i="4"/>
  <c r="FG160" i="4"/>
  <c r="FF160" i="4"/>
  <c r="FE160" i="4"/>
  <c r="FD160" i="4"/>
  <c r="FC160" i="4"/>
  <c r="FB160" i="4"/>
  <c r="FA160" i="4"/>
  <c r="EZ160" i="4"/>
  <c r="EY160" i="4"/>
  <c r="EX160" i="4"/>
  <c r="EW160" i="4"/>
  <c r="EV160" i="4"/>
  <c r="EU160" i="4"/>
  <c r="ET160" i="4"/>
  <c r="ES160" i="4"/>
  <c r="ER160" i="4"/>
  <c r="EQ160" i="4"/>
  <c r="EP160" i="4"/>
  <c r="EO160" i="4"/>
  <c r="EN160" i="4"/>
  <c r="EM160" i="4"/>
  <c r="EL160" i="4"/>
  <c r="EK160" i="4"/>
  <c r="EJ160" i="4"/>
  <c r="EI160" i="4"/>
  <c r="EH160" i="4"/>
  <c r="EG160" i="4"/>
  <c r="EF160" i="4"/>
  <c r="EE160" i="4"/>
  <c r="ED160" i="4"/>
  <c r="EC160" i="4"/>
  <c r="EB160" i="4"/>
  <c r="EA160" i="4"/>
  <c r="DZ160" i="4"/>
  <c r="DY160" i="4"/>
  <c r="DX160" i="4"/>
  <c r="DW160" i="4"/>
  <c r="DV160" i="4"/>
  <c r="DU160" i="4"/>
  <c r="DT160" i="4"/>
  <c r="DS160" i="4"/>
  <c r="DR160" i="4"/>
  <c r="DQ160" i="4"/>
  <c r="DP160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IV159" i="4"/>
  <c r="IU159" i="4"/>
  <c r="IT159" i="4"/>
  <c r="IS159" i="4"/>
  <c r="IR159" i="4"/>
  <c r="IQ159" i="4"/>
  <c r="IP159" i="4"/>
  <c r="IO159" i="4"/>
  <c r="IN159" i="4"/>
  <c r="IM159" i="4"/>
  <c r="IL159" i="4"/>
  <c r="IK159" i="4"/>
  <c r="IJ159" i="4"/>
  <c r="II159" i="4"/>
  <c r="IH159" i="4"/>
  <c r="IG159" i="4"/>
  <c r="IF159" i="4"/>
  <c r="IE159" i="4"/>
  <c r="ID159" i="4"/>
  <c r="IC159" i="4"/>
  <c r="IB159" i="4"/>
  <c r="IA159" i="4"/>
  <c r="HZ159" i="4"/>
  <c r="HY159" i="4"/>
  <c r="HX159" i="4"/>
  <c r="HW159" i="4"/>
  <c r="HV159" i="4"/>
  <c r="HU159" i="4"/>
  <c r="HT159" i="4"/>
  <c r="HS159" i="4"/>
  <c r="HR159" i="4"/>
  <c r="HQ159" i="4"/>
  <c r="HP159" i="4"/>
  <c r="HO159" i="4"/>
  <c r="HN159" i="4"/>
  <c r="HM159" i="4"/>
  <c r="HL159" i="4"/>
  <c r="HK159" i="4"/>
  <c r="HJ159" i="4"/>
  <c r="HI159" i="4"/>
  <c r="HH159" i="4"/>
  <c r="HG159" i="4"/>
  <c r="HF159" i="4"/>
  <c r="HE159" i="4"/>
  <c r="HD159" i="4"/>
  <c r="HC159" i="4"/>
  <c r="HB159" i="4"/>
  <c r="HA159" i="4"/>
  <c r="GZ159" i="4"/>
  <c r="GY159" i="4"/>
  <c r="GX159" i="4"/>
  <c r="GW159" i="4"/>
  <c r="GV159" i="4"/>
  <c r="GU159" i="4"/>
  <c r="GT159" i="4"/>
  <c r="GS159" i="4"/>
  <c r="GR159" i="4"/>
  <c r="GQ159" i="4"/>
  <c r="GP159" i="4"/>
  <c r="GO159" i="4"/>
  <c r="GN159" i="4"/>
  <c r="GM159" i="4"/>
  <c r="GL159" i="4"/>
  <c r="GK159" i="4"/>
  <c r="GJ159" i="4"/>
  <c r="GI159" i="4"/>
  <c r="GH159" i="4"/>
  <c r="GG159" i="4"/>
  <c r="GF159" i="4"/>
  <c r="GE159" i="4"/>
  <c r="GD159" i="4"/>
  <c r="GC159" i="4"/>
  <c r="GB159" i="4"/>
  <c r="GA159" i="4"/>
  <c r="FZ159" i="4"/>
  <c r="FY159" i="4"/>
  <c r="FX159" i="4"/>
  <c r="FW159" i="4"/>
  <c r="FV159" i="4"/>
  <c r="FU159" i="4"/>
  <c r="FT159" i="4"/>
  <c r="FS159" i="4"/>
  <c r="FR159" i="4"/>
  <c r="FQ159" i="4"/>
  <c r="FP159" i="4"/>
  <c r="FO159" i="4"/>
  <c r="FN159" i="4"/>
  <c r="FM159" i="4"/>
  <c r="FL159" i="4"/>
  <c r="FK159" i="4"/>
  <c r="FJ159" i="4"/>
  <c r="FI159" i="4"/>
  <c r="FH159" i="4"/>
  <c r="FG159" i="4"/>
  <c r="FF159" i="4"/>
  <c r="FE159" i="4"/>
  <c r="FD159" i="4"/>
  <c r="FC159" i="4"/>
  <c r="FB159" i="4"/>
  <c r="FA159" i="4"/>
  <c r="EZ159" i="4"/>
  <c r="EY159" i="4"/>
  <c r="EX159" i="4"/>
  <c r="EW159" i="4"/>
  <c r="EV159" i="4"/>
  <c r="EU159" i="4"/>
  <c r="ET159" i="4"/>
  <c r="ES159" i="4"/>
  <c r="ER159" i="4"/>
  <c r="EQ159" i="4"/>
  <c r="EP159" i="4"/>
  <c r="EO159" i="4"/>
  <c r="EN159" i="4"/>
  <c r="EM159" i="4"/>
  <c r="EL159" i="4"/>
  <c r="EK159" i="4"/>
  <c r="EJ159" i="4"/>
  <c r="EI159" i="4"/>
  <c r="EH159" i="4"/>
  <c r="EG159" i="4"/>
  <c r="EF159" i="4"/>
  <c r="EE159" i="4"/>
  <c r="ED159" i="4"/>
  <c r="EC159" i="4"/>
  <c r="EB159" i="4"/>
  <c r="EA159" i="4"/>
  <c r="DZ159" i="4"/>
  <c r="DY159" i="4"/>
  <c r="DX159" i="4"/>
  <c r="DW159" i="4"/>
  <c r="DV159" i="4"/>
  <c r="DU159" i="4"/>
  <c r="DT159" i="4"/>
  <c r="DS159" i="4"/>
  <c r="DR159" i="4"/>
  <c r="DQ159" i="4"/>
  <c r="DP159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IV158" i="4"/>
  <c r="IU158" i="4"/>
  <c r="IT158" i="4"/>
  <c r="IS158" i="4"/>
  <c r="IR158" i="4"/>
  <c r="IQ158" i="4"/>
  <c r="IP158" i="4"/>
  <c r="IO158" i="4"/>
  <c r="IN158" i="4"/>
  <c r="IM158" i="4"/>
  <c r="IL158" i="4"/>
  <c r="IK158" i="4"/>
  <c r="IJ158" i="4"/>
  <c r="II158" i="4"/>
  <c r="IH158" i="4"/>
  <c r="IG158" i="4"/>
  <c r="IF158" i="4"/>
  <c r="IE158" i="4"/>
  <c r="ID158" i="4"/>
  <c r="IC158" i="4"/>
  <c r="IB158" i="4"/>
  <c r="IA158" i="4"/>
  <c r="HZ158" i="4"/>
  <c r="HY158" i="4"/>
  <c r="HX158" i="4"/>
  <c r="HW158" i="4"/>
  <c r="HV158" i="4"/>
  <c r="HU158" i="4"/>
  <c r="HT158" i="4"/>
  <c r="HS158" i="4"/>
  <c r="HR158" i="4"/>
  <c r="HQ158" i="4"/>
  <c r="HP158" i="4"/>
  <c r="HO158" i="4"/>
  <c r="HN158" i="4"/>
  <c r="HM158" i="4"/>
  <c r="HL158" i="4"/>
  <c r="HK158" i="4"/>
  <c r="HJ158" i="4"/>
  <c r="HI158" i="4"/>
  <c r="HH158" i="4"/>
  <c r="HG158" i="4"/>
  <c r="HF158" i="4"/>
  <c r="HE158" i="4"/>
  <c r="HD158" i="4"/>
  <c r="HC158" i="4"/>
  <c r="HB158" i="4"/>
  <c r="HA158" i="4"/>
  <c r="GZ158" i="4"/>
  <c r="GY158" i="4"/>
  <c r="GX158" i="4"/>
  <c r="GW158" i="4"/>
  <c r="GV158" i="4"/>
  <c r="GU158" i="4"/>
  <c r="GT158" i="4"/>
  <c r="GS158" i="4"/>
  <c r="GR158" i="4"/>
  <c r="GQ158" i="4"/>
  <c r="GP158" i="4"/>
  <c r="GO158" i="4"/>
  <c r="GN158" i="4"/>
  <c r="GM158" i="4"/>
  <c r="GL158" i="4"/>
  <c r="GK158" i="4"/>
  <c r="GJ158" i="4"/>
  <c r="GI158" i="4"/>
  <c r="GH158" i="4"/>
  <c r="GG158" i="4"/>
  <c r="GF158" i="4"/>
  <c r="GE158" i="4"/>
  <c r="GD158" i="4"/>
  <c r="GC158" i="4"/>
  <c r="GB158" i="4"/>
  <c r="GA158" i="4"/>
  <c r="FZ158" i="4"/>
  <c r="FY158" i="4"/>
  <c r="FX158" i="4"/>
  <c r="FW158" i="4"/>
  <c r="FV158" i="4"/>
  <c r="FU158" i="4"/>
  <c r="FT158" i="4"/>
  <c r="FS158" i="4"/>
  <c r="FR158" i="4"/>
  <c r="FQ158" i="4"/>
  <c r="FP158" i="4"/>
  <c r="FO158" i="4"/>
  <c r="FN158" i="4"/>
  <c r="FM158" i="4"/>
  <c r="FL158" i="4"/>
  <c r="FK158" i="4"/>
  <c r="FJ158" i="4"/>
  <c r="FI158" i="4"/>
  <c r="FH158" i="4"/>
  <c r="FG158" i="4"/>
  <c r="FF158" i="4"/>
  <c r="FE158" i="4"/>
  <c r="FD158" i="4"/>
  <c r="FC158" i="4"/>
  <c r="FB158" i="4"/>
  <c r="FA158" i="4"/>
  <c r="EZ158" i="4"/>
  <c r="EY158" i="4"/>
  <c r="EX158" i="4"/>
  <c r="EW158" i="4"/>
  <c r="EV158" i="4"/>
  <c r="EU158" i="4"/>
  <c r="ET158" i="4"/>
  <c r="ES158" i="4"/>
  <c r="ER158" i="4"/>
  <c r="EQ158" i="4"/>
  <c r="EP158" i="4"/>
  <c r="EO158" i="4"/>
  <c r="EN158" i="4"/>
  <c r="EM158" i="4"/>
  <c r="EL158" i="4"/>
  <c r="EK158" i="4"/>
  <c r="EJ158" i="4"/>
  <c r="EI158" i="4"/>
  <c r="EH158" i="4"/>
  <c r="EG158" i="4"/>
  <c r="EF158" i="4"/>
  <c r="EE158" i="4"/>
  <c r="ED158" i="4"/>
  <c r="EC158" i="4"/>
  <c r="EB158" i="4"/>
  <c r="EA158" i="4"/>
  <c r="DZ158" i="4"/>
  <c r="DY158" i="4"/>
  <c r="DX158" i="4"/>
  <c r="DW158" i="4"/>
  <c r="DV158" i="4"/>
  <c r="DU158" i="4"/>
  <c r="DT158" i="4"/>
  <c r="DS158" i="4"/>
  <c r="DR158" i="4"/>
  <c r="DQ158" i="4"/>
  <c r="DP158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IV157" i="4"/>
  <c r="IU157" i="4"/>
  <c r="IT157" i="4"/>
  <c r="IS157" i="4"/>
  <c r="IR157" i="4"/>
  <c r="IQ157" i="4"/>
  <c r="IP157" i="4"/>
  <c r="IO157" i="4"/>
  <c r="IN157" i="4"/>
  <c r="IM157" i="4"/>
  <c r="IL157" i="4"/>
  <c r="IK157" i="4"/>
  <c r="IJ157" i="4"/>
  <c r="II157" i="4"/>
  <c r="IH157" i="4"/>
  <c r="IG157" i="4"/>
  <c r="IF157" i="4"/>
  <c r="IE157" i="4"/>
  <c r="ID157" i="4"/>
  <c r="IC157" i="4"/>
  <c r="IB157" i="4"/>
  <c r="IA157" i="4"/>
  <c r="HZ157" i="4"/>
  <c r="HY157" i="4"/>
  <c r="HX157" i="4"/>
  <c r="HW157" i="4"/>
  <c r="HV157" i="4"/>
  <c r="HU157" i="4"/>
  <c r="HT157" i="4"/>
  <c r="HS157" i="4"/>
  <c r="HR157" i="4"/>
  <c r="HQ157" i="4"/>
  <c r="HP157" i="4"/>
  <c r="HO157" i="4"/>
  <c r="HN157" i="4"/>
  <c r="HM157" i="4"/>
  <c r="HL157" i="4"/>
  <c r="HK157" i="4"/>
  <c r="HJ157" i="4"/>
  <c r="HI157" i="4"/>
  <c r="HH157" i="4"/>
  <c r="HG157" i="4"/>
  <c r="HF157" i="4"/>
  <c r="HE157" i="4"/>
  <c r="HD157" i="4"/>
  <c r="HC157" i="4"/>
  <c r="HB157" i="4"/>
  <c r="HA157" i="4"/>
  <c r="GZ157" i="4"/>
  <c r="GY157" i="4"/>
  <c r="GX157" i="4"/>
  <c r="GW157" i="4"/>
  <c r="GV157" i="4"/>
  <c r="GU157" i="4"/>
  <c r="GT157" i="4"/>
  <c r="GS157" i="4"/>
  <c r="GR157" i="4"/>
  <c r="GQ157" i="4"/>
  <c r="GP157" i="4"/>
  <c r="GO157" i="4"/>
  <c r="GN157" i="4"/>
  <c r="GM157" i="4"/>
  <c r="GL157" i="4"/>
  <c r="GK157" i="4"/>
  <c r="GJ157" i="4"/>
  <c r="GI157" i="4"/>
  <c r="GH157" i="4"/>
  <c r="GG157" i="4"/>
  <c r="GF157" i="4"/>
  <c r="GE157" i="4"/>
  <c r="GD157" i="4"/>
  <c r="GC157" i="4"/>
  <c r="GB157" i="4"/>
  <c r="GA157" i="4"/>
  <c r="FZ157" i="4"/>
  <c r="FY157" i="4"/>
  <c r="FX157" i="4"/>
  <c r="FW157" i="4"/>
  <c r="FV157" i="4"/>
  <c r="FU157" i="4"/>
  <c r="FT157" i="4"/>
  <c r="FS157" i="4"/>
  <c r="FR157" i="4"/>
  <c r="FQ157" i="4"/>
  <c r="FP157" i="4"/>
  <c r="FO157" i="4"/>
  <c r="FN157" i="4"/>
  <c r="FM157" i="4"/>
  <c r="FL157" i="4"/>
  <c r="FK157" i="4"/>
  <c r="FJ157" i="4"/>
  <c r="FI157" i="4"/>
  <c r="FH157" i="4"/>
  <c r="FG157" i="4"/>
  <c r="FF157" i="4"/>
  <c r="FE157" i="4"/>
  <c r="FD157" i="4"/>
  <c r="FC157" i="4"/>
  <c r="FB157" i="4"/>
  <c r="FA157" i="4"/>
  <c r="EZ157" i="4"/>
  <c r="EY157" i="4"/>
  <c r="EX157" i="4"/>
  <c r="EW157" i="4"/>
  <c r="EV157" i="4"/>
  <c r="EU157" i="4"/>
  <c r="ET157" i="4"/>
  <c r="ES157" i="4"/>
  <c r="ER157" i="4"/>
  <c r="EQ157" i="4"/>
  <c r="EP157" i="4"/>
  <c r="EO157" i="4"/>
  <c r="EN157" i="4"/>
  <c r="EM157" i="4"/>
  <c r="EL157" i="4"/>
  <c r="EK157" i="4"/>
  <c r="EJ157" i="4"/>
  <c r="EI157" i="4"/>
  <c r="EH157" i="4"/>
  <c r="EG157" i="4"/>
  <c r="EF157" i="4"/>
  <c r="EE157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IV156" i="4"/>
  <c r="IU156" i="4"/>
  <c r="IT156" i="4"/>
  <c r="IS156" i="4"/>
  <c r="IR156" i="4"/>
  <c r="IQ156" i="4"/>
  <c r="IP156" i="4"/>
  <c r="IO156" i="4"/>
  <c r="IN156" i="4"/>
  <c r="IM156" i="4"/>
  <c r="IL156" i="4"/>
  <c r="IK156" i="4"/>
  <c r="IJ156" i="4"/>
  <c r="II156" i="4"/>
  <c r="IH156" i="4"/>
  <c r="IG156" i="4"/>
  <c r="IF156" i="4"/>
  <c r="IE156" i="4"/>
  <c r="ID156" i="4"/>
  <c r="IC156" i="4"/>
  <c r="IB156" i="4"/>
  <c r="IA156" i="4"/>
  <c r="HZ156" i="4"/>
  <c r="HY156" i="4"/>
  <c r="HX156" i="4"/>
  <c r="HW156" i="4"/>
  <c r="HV156" i="4"/>
  <c r="HU156" i="4"/>
  <c r="HT156" i="4"/>
  <c r="HS156" i="4"/>
  <c r="HR156" i="4"/>
  <c r="HQ156" i="4"/>
  <c r="HP156" i="4"/>
  <c r="HO156" i="4"/>
  <c r="HN156" i="4"/>
  <c r="HM156" i="4"/>
  <c r="HL156" i="4"/>
  <c r="HK156" i="4"/>
  <c r="HJ156" i="4"/>
  <c r="HI156" i="4"/>
  <c r="HH156" i="4"/>
  <c r="HG156" i="4"/>
  <c r="HF156" i="4"/>
  <c r="HE156" i="4"/>
  <c r="HD156" i="4"/>
  <c r="HC156" i="4"/>
  <c r="HB156" i="4"/>
  <c r="HA156" i="4"/>
  <c r="GZ156" i="4"/>
  <c r="GY156" i="4"/>
  <c r="GX156" i="4"/>
  <c r="GW156" i="4"/>
  <c r="GV156" i="4"/>
  <c r="GU156" i="4"/>
  <c r="GT156" i="4"/>
  <c r="GS156" i="4"/>
  <c r="GR156" i="4"/>
  <c r="GQ156" i="4"/>
  <c r="GP156" i="4"/>
  <c r="GO156" i="4"/>
  <c r="GN156" i="4"/>
  <c r="GM156" i="4"/>
  <c r="GL156" i="4"/>
  <c r="GK156" i="4"/>
  <c r="GJ156" i="4"/>
  <c r="GI156" i="4"/>
  <c r="GH156" i="4"/>
  <c r="GG156" i="4"/>
  <c r="GF156" i="4"/>
  <c r="GE156" i="4"/>
  <c r="GD156" i="4"/>
  <c r="GC156" i="4"/>
  <c r="GB156" i="4"/>
  <c r="GA156" i="4"/>
  <c r="FZ156" i="4"/>
  <c r="FY156" i="4"/>
  <c r="FX156" i="4"/>
  <c r="FW156" i="4"/>
  <c r="FV156" i="4"/>
  <c r="FU156" i="4"/>
  <c r="FT156" i="4"/>
  <c r="FS156" i="4"/>
  <c r="FR156" i="4"/>
  <c r="FQ156" i="4"/>
  <c r="FP156" i="4"/>
  <c r="FO156" i="4"/>
  <c r="FN156" i="4"/>
  <c r="FM156" i="4"/>
  <c r="FL156" i="4"/>
  <c r="FK156" i="4"/>
  <c r="FJ156" i="4"/>
  <c r="FI156" i="4"/>
  <c r="FH156" i="4"/>
  <c r="FG156" i="4"/>
  <c r="FF156" i="4"/>
  <c r="FE156" i="4"/>
  <c r="FD156" i="4"/>
  <c r="FC156" i="4"/>
  <c r="FB156" i="4"/>
  <c r="FA156" i="4"/>
  <c r="EZ156" i="4"/>
  <c r="EY156" i="4"/>
  <c r="EX156" i="4"/>
  <c r="EW156" i="4"/>
  <c r="EV156" i="4"/>
  <c r="EU156" i="4"/>
  <c r="ET156" i="4"/>
  <c r="ES156" i="4"/>
  <c r="ER156" i="4"/>
  <c r="EQ156" i="4"/>
  <c r="EP156" i="4"/>
  <c r="EO156" i="4"/>
  <c r="EN156" i="4"/>
  <c r="EM156" i="4"/>
  <c r="EL156" i="4"/>
  <c r="EK156" i="4"/>
  <c r="EJ156" i="4"/>
  <c r="EI156" i="4"/>
  <c r="EH156" i="4"/>
  <c r="EG156" i="4"/>
  <c r="EF156" i="4"/>
  <c r="EE156" i="4"/>
  <c r="ED156" i="4"/>
  <c r="EC156" i="4"/>
  <c r="EB156" i="4"/>
  <c r="EA156" i="4"/>
  <c r="DZ156" i="4"/>
  <c r="DY156" i="4"/>
  <c r="DX156" i="4"/>
  <c r="DW156" i="4"/>
  <c r="DV156" i="4"/>
  <c r="DU156" i="4"/>
  <c r="DT156" i="4"/>
  <c r="DS156" i="4"/>
  <c r="DR156" i="4"/>
  <c r="DQ156" i="4"/>
  <c r="DP156" i="4"/>
  <c r="DO156" i="4"/>
  <c r="DN156" i="4"/>
  <c r="DM156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IV155" i="4"/>
  <c r="IU155" i="4"/>
  <c r="IT155" i="4"/>
  <c r="IS155" i="4"/>
  <c r="IR155" i="4"/>
  <c r="IQ155" i="4"/>
  <c r="IP155" i="4"/>
  <c r="IO155" i="4"/>
  <c r="IN155" i="4"/>
  <c r="IM155" i="4"/>
  <c r="IL155" i="4"/>
  <c r="IK155" i="4"/>
  <c r="IJ155" i="4"/>
  <c r="II155" i="4"/>
  <c r="IH155" i="4"/>
  <c r="IG155" i="4"/>
  <c r="IF155" i="4"/>
  <c r="IE155" i="4"/>
  <c r="ID155" i="4"/>
  <c r="IC155" i="4"/>
  <c r="IB155" i="4"/>
  <c r="IA155" i="4"/>
  <c r="HZ155" i="4"/>
  <c r="HY155" i="4"/>
  <c r="HX155" i="4"/>
  <c r="HW155" i="4"/>
  <c r="HV155" i="4"/>
  <c r="HU155" i="4"/>
  <c r="HT155" i="4"/>
  <c r="HS155" i="4"/>
  <c r="HR155" i="4"/>
  <c r="HQ155" i="4"/>
  <c r="HP155" i="4"/>
  <c r="HO155" i="4"/>
  <c r="HN155" i="4"/>
  <c r="HM155" i="4"/>
  <c r="HL155" i="4"/>
  <c r="HK155" i="4"/>
  <c r="HJ155" i="4"/>
  <c r="HI155" i="4"/>
  <c r="HH155" i="4"/>
  <c r="HG155" i="4"/>
  <c r="HF155" i="4"/>
  <c r="HE155" i="4"/>
  <c r="HD155" i="4"/>
  <c r="HC155" i="4"/>
  <c r="HB155" i="4"/>
  <c r="HA155" i="4"/>
  <c r="GZ155" i="4"/>
  <c r="GY155" i="4"/>
  <c r="GX155" i="4"/>
  <c r="GW155" i="4"/>
  <c r="GV155" i="4"/>
  <c r="GU155" i="4"/>
  <c r="GT155" i="4"/>
  <c r="GS155" i="4"/>
  <c r="GR155" i="4"/>
  <c r="GQ155" i="4"/>
  <c r="GP155" i="4"/>
  <c r="GO155" i="4"/>
  <c r="GN155" i="4"/>
  <c r="GM155" i="4"/>
  <c r="GL155" i="4"/>
  <c r="GK155" i="4"/>
  <c r="GJ155" i="4"/>
  <c r="GI155" i="4"/>
  <c r="GH155" i="4"/>
  <c r="GG155" i="4"/>
  <c r="GF155" i="4"/>
  <c r="GE155" i="4"/>
  <c r="GD155" i="4"/>
  <c r="GC155" i="4"/>
  <c r="GB155" i="4"/>
  <c r="GA155" i="4"/>
  <c r="FZ155" i="4"/>
  <c r="FY155" i="4"/>
  <c r="FX155" i="4"/>
  <c r="FW155" i="4"/>
  <c r="FV155" i="4"/>
  <c r="FU155" i="4"/>
  <c r="FT155" i="4"/>
  <c r="FS155" i="4"/>
  <c r="FR155" i="4"/>
  <c r="FQ155" i="4"/>
  <c r="FP155" i="4"/>
  <c r="FO155" i="4"/>
  <c r="FN155" i="4"/>
  <c r="FM155" i="4"/>
  <c r="FL155" i="4"/>
  <c r="FK155" i="4"/>
  <c r="FJ155" i="4"/>
  <c r="FI155" i="4"/>
  <c r="FH155" i="4"/>
  <c r="FG155" i="4"/>
  <c r="FF155" i="4"/>
  <c r="FE155" i="4"/>
  <c r="FD155" i="4"/>
  <c r="FC155" i="4"/>
  <c r="FB155" i="4"/>
  <c r="FA155" i="4"/>
  <c r="EZ155" i="4"/>
  <c r="EY155" i="4"/>
  <c r="EX155" i="4"/>
  <c r="EW155" i="4"/>
  <c r="EV155" i="4"/>
  <c r="EU155" i="4"/>
  <c r="ET155" i="4"/>
  <c r="ES155" i="4"/>
  <c r="ER155" i="4"/>
  <c r="EQ155" i="4"/>
  <c r="EP155" i="4"/>
  <c r="EO155" i="4"/>
  <c r="EN155" i="4"/>
  <c r="EM155" i="4"/>
  <c r="EL155" i="4"/>
  <c r="EK155" i="4"/>
  <c r="EJ155" i="4"/>
  <c r="EI155" i="4"/>
  <c r="EH155" i="4"/>
  <c r="EG155" i="4"/>
  <c r="EF155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IV154" i="4"/>
  <c r="IU154" i="4"/>
  <c r="IT154" i="4"/>
  <c r="IS154" i="4"/>
  <c r="IR154" i="4"/>
  <c r="IQ154" i="4"/>
  <c r="IP154" i="4"/>
  <c r="IO154" i="4"/>
  <c r="IN154" i="4"/>
  <c r="IM154" i="4"/>
  <c r="IL154" i="4"/>
  <c r="IK154" i="4"/>
  <c r="IJ154" i="4"/>
  <c r="II154" i="4"/>
  <c r="IH154" i="4"/>
  <c r="IG154" i="4"/>
  <c r="IF154" i="4"/>
  <c r="IE154" i="4"/>
  <c r="ID154" i="4"/>
  <c r="IC154" i="4"/>
  <c r="IB154" i="4"/>
  <c r="IA154" i="4"/>
  <c r="HZ154" i="4"/>
  <c r="HY154" i="4"/>
  <c r="HX154" i="4"/>
  <c r="HW154" i="4"/>
  <c r="HV154" i="4"/>
  <c r="HU154" i="4"/>
  <c r="HT154" i="4"/>
  <c r="HS154" i="4"/>
  <c r="HR154" i="4"/>
  <c r="HQ154" i="4"/>
  <c r="HP154" i="4"/>
  <c r="HO154" i="4"/>
  <c r="HN154" i="4"/>
  <c r="HM154" i="4"/>
  <c r="HL154" i="4"/>
  <c r="HK154" i="4"/>
  <c r="HJ154" i="4"/>
  <c r="HI154" i="4"/>
  <c r="HH154" i="4"/>
  <c r="HG154" i="4"/>
  <c r="HF154" i="4"/>
  <c r="HE154" i="4"/>
  <c r="HD154" i="4"/>
  <c r="HC154" i="4"/>
  <c r="HB154" i="4"/>
  <c r="HA154" i="4"/>
  <c r="GZ154" i="4"/>
  <c r="GY154" i="4"/>
  <c r="GX154" i="4"/>
  <c r="GW154" i="4"/>
  <c r="GV154" i="4"/>
  <c r="GU154" i="4"/>
  <c r="GT154" i="4"/>
  <c r="GS154" i="4"/>
  <c r="GR154" i="4"/>
  <c r="GQ154" i="4"/>
  <c r="GP154" i="4"/>
  <c r="GO154" i="4"/>
  <c r="GN154" i="4"/>
  <c r="GM154" i="4"/>
  <c r="GL154" i="4"/>
  <c r="GK154" i="4"/>
  <c r="GJ154" i="4"/>
  <c r="GI154" i="4"/>
  <c r="GH154" i="4"/>
  <c r="GG154" i="4"/>
  <c r="GF154" i="4"/>
  <c r="GE154" i="4"/>
  <c r="GD154" i="4"/>
  <c r="GC154" i="4"/>
  <c r="GB154" i="4"/>
  <c r="GA154" i="4"/>
  <c r="FZ154" i="4"/>
  <c r="FY154" i="4"/>
  <c r="FX154" i="4"/>
  <c r="FW154" i="4"/>
  <c r="FV154" i="4"/>
  <c r="FU154" i="4"/>
  <c r="FT154" i="4"/>
  <c r="FS154" i="4"/>
  <c r="FR154" i="4"/>
  <c r="FQ154" i="4"/>
  <c r="FP154" i="4"/>
  <c r="FO154" i="4"/>
  <c r="FN154" i="4"/>
  <c r="FM154" i="4"/>
  <c r="FL154" i="4"/>
  <c r="FK154" i="4"/>
  <c r="FJ154" i="4"/>
  <c r="FI154" i="4"/>
  <c r="FH154" i="4"/>
  <c r="FG154" i="4"/>
  <c r="FF154" i="4"/>
  <c r="FE154" i="4"/>
  <c r="FD154" i="4"/>
  <c r="FC154" i="4"/>
  <c r="FB154" i="4"/>
  <c r="FA154" i="4"/>
  <c r="EZ154" i="4"/>
  <c r="EY154" i="4"/>
  <c r="EX154" i="4"/>
  <c r="EW154" i="4"/>
  <c r="EV154" i="4"/>
  <c r="EU154" i="4"/>
  <c r="ET154" i="4"/>
  <c r="ES154" i="4"/>
  <c r="ER154" i="4"/>
  <c r="EQ154" i="4"/>
  <c r="EP154" i="4"/>
  <c r="EO154" i="4"/>
  <c r="EN154" i="4"/>
  <c r="EM154" i="4"/>
  <c r="EL154" i="4"/>
  <c r="EK154" i="4"/>
  <c r="EJ154" i="4"/>
  <c r="EI154" i="4"/>
  <c r="EH154" i="4"/>
  <c r="EG154" i="4"/>
  <c r="EF154" i="4"/>
  <c r="EE154" i="4"/>
  <c r="ED154" i="4"/>
  <c r="EC154" i="4"/>
  <c r="EB154" i="4"/>
  <c r="EA154" i="4"/>
  <c r="DZ154" i="4"/>
  <c r="DY154" i="4"/>
  <c r="DX154" i="4"/>
  <c r="DW154" i="4"/>
  <c r="DV154" i="4"/>
  <c r="DU154" i="4"/>
  <c r="DT154" i="4"/>
  <c r="DS154" i="4"/>
  <c r="DR154" i="4"/>
  <c r="DQ154" i="4"/>
  <c r="DP154" i="4"/>
  <c r="DO154" i="4"/>
  <c r="DN154" i="4"/>
  <c r="DM154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IV153" i="4"/>
  <c r="IU153" i="4"/>
  <c r="IT153" i="4"/>
  <c r="IS153" i="4"/>
  <c r="IR153" i="4"/>
  <c r="IQ153" i="4"/>
  <c r="IP153" i="4"/>
  <c r="IO153" i="4"/>
  <c r="IN153" i="4"/>
  <c r="IM153" i="4"/>
  <c r="IL153" i="4"/>
  <c r="IK153" i="4"/>
  <c r="IJ153" i="4"/>
  <c r="II153" i="4"/>
  <c r="IH153" i="4"/>
  <c r="IG153" i="4"/>
  <c r="IF153" i="4"/>
  <c r="IE153" i="4"/>
  <c r="ID153" i="4"/>
  <c r="IC153" i="4"/>
  <c r="IB153" i="4"/>
  <c r="IA153" i="4"/>
  <c r="HZ153" i="4"/>
  <c r="HY153" i="4"/>
  <c r="HX153" i="4"/>
  <c r="HW153" i="4"/>
  <c r="HV153" i="4"/>
  <c r="HU153" i="4"/>
  <c r="HT153" i="4"/>
  <c r="HS153" i="4"/>
  <c r="HR153" i="4"/>
  <c r="HQ153" i="4"/>
  <c r="HP153" i="4"/>
  <c r="HO153" i="4"/>
  <c r="HN153" i="4"/>
  <c r="HM153" i="4"/>
  <c r="HL153" i="4"/>
  <c r="HK153" i="4"/>
  <c r="HJ153" i="4"/>
  <c r="HI153" i="4"/>
  <c r="HH153" i="4"/>
  <c r="HG153" i="4"/>
  <c r="HF153" i="4"/>
  <c r="HE153" i="4"/>
  <c r="HD153" i="4"/>
  <c r="HC153" i="4"/>
  <c r="HB153" i="4"/>
  <c r="HA153" i="4"/>
  <c r="GZ153" i="4"/>
  <c r="GY153" i="4"/>
  <c r="GX153" i="4"/>
  <c r="GW153" i="4"/>
  <c r="GV153" i="4"/>
  <c r="GU153" i="4"/>
  <c r="GT153" i="4"/>
  <c r="GS153" i="4"/>
  <c r="GR153" i="4"/>
  <c r="GQ153" i="4"/>
  <c r="GP153" i="4"/>
  <c r="GO153" i="4"/>
  <c r="GN153" i="4"/>
  <c r="GM153" i="4"/>
  <c r="GL153" i="4"/>
  <c r="GK153" i="4"/>
  <c r="GJ153" i="4"/>
  <c r="GI153" i="4"/>
  <c r="GH153" i="4"/>
  <c r="GG153" i="4"/>
  <c r="GF153" i="4"/>
  <c r="GE153" i="4"/>
  <c r="GD153" i="4"/>
  <c r="GC153" i="4"/>
  <c r="GB153" i="4"/>
  <c r="GA153" i="4"/>
  <c r="FZ153" i="4"/>
  <c r="FY153" i="4"/>
  <c r="FX153" i="4"/>
  <c r="FW153" i="4"/>
  <c r="FV153" i="4"/>
  <c r="FU153" i="4"/>
  <c r="FT153" i="4"/>
  <c r="FS153" i="4"/>
  <c r="FR153" i="4"/>
  <c r="FQ153" i="4"/>
  <c r="FP153" i="4"/>
  <c r="FO153" i="4"/>
  <c r="FN153" i="4"/>
  <c r="FM153" i="4"/>
  <c r="FL153" i="4"/>
  <c r="FK153" i="4"/>
  <c r="FJ153" i="4"/>
  <c r="FI153" i="4"/>
  <c r="FH153" i="4"/>
  <c r="FG153" i="4"/>
  <c r="FF153" i="4"/>
  <c r="FE153" i="4"/>
  <c r="FD153" i="4"/>
  <c r="FC153" i="4"/>
  <c r="FB153" i="4"/>
  <c r="FA153" i="4"/>
  <c r="EZ153" i="4"/>
  <c r="EY153" i="4"/>
  <c r="EX153" i="4"/>
  <c r="EW153" i="4"/>
  <c r="EV153" i="4"/>
  <c r="EU153" i="4"/>
  <c r="ET153" i="4"/>
  <c r="ES153" i="4"/>
  <c r="ER153" i="4"/>
  <c r="EQ153" i="4"/>
  <c r="EP153" i="4"/>
  <c r="EO153" i="4"/>
  <c r="EN153" i="4"/>
  <c r="EM153" i="4"/>
  <c r="EL153" i="4"/>
  <c r="EK153" i="4"/>
  <c r="EJ153" i="4"/>
  <c r="EI153" i="4"/>
  <c r="EH153" i="4"/>
  <c r="EG153" i="4"/>
  <c r="EF153" i="4"/>
  <c r="EE153" i="4"/>
  <c r="ED153" i="4"/>
  <c r="EC153" i="4"/>
  <c r="EB153" i="4"/>
  <c r="EA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IV152" i="4"/>
  <c r="IU152" i="4"/>
  <c r="IT152" i="4"/>
  <c r="IS152" i="4"/>
  <c r="IR152" i="4"/>
  <c r="IQ152" i="4"/>
  <c r="IP152" i="4"/>
  <c r="IO152" i="4"/>
  <c r="IN152" i="4"/>
  <c r="IM152" i="4"/>
  <c r="IL152" i="4"/>
  <c r="IK152" i="4"/>
  <c r="IJ152" i="4"/>
  <c r="II152" i="4"/>
  <c r="IH152" i="4"/>
  <c r="IG152" i="4"/>
  <c r="IF152" i="4"/>
  <c r="IE152" i="4"/>
  <c r="ID152" i="4"/>
  <c r="IC152" i="4"/>
  <c r="IB152" i="4"/>
  <c r="IA152" i="4"/>
  <c r="HZ152" i="4"/>
  <c r="HY152" i="4"/>
  <c r="HX152" i="4"/>
  <c r="HW152" i="4"/>
  <c r="HV152" i="4"/>
  <c r="HU152" i="4"/>
  <c r="HT152" i="4"/>
  <c r="HS152" i="4"/>
  <c r="HR152" i="4"/>
  <c r="HQ152" i="4"/>
  <c r="HP152" i="4"/>
  <c r="HO152" i="4"/>
  <c r="HN152" i="4"/>
  <c r="HM152" i="4"/>
  <c r="HL152" i="4"/>
  <c r="HK152" i="4"/>
  <c r="HJ152" i="4"/>
  <c r="HI152" i="4"/>
  <c r="HH152" i="4"/>
  <c r="HG152" i="4"/>
  <c r="HF152" i="4"/>
  <c r="HE152" i="4"/>
  <c r="HD152" i="4"/>
  <c r="HC152" i="4"/>
  <c r="HB152" i="4"/>
  <c r="HA152" i="4"/>
  <c r="GZ152" i="4"/>
  <c r="GY152" i="4"/>
  <c r="GX152" i="4"/>
  <c r="GW152" i="4"/>
  <c r="GV152" i="4"/>
  <c r="GU152" i="4"/>
  <c r="GT152" i="4"/>
  <c r="GS152" i="4"/>
  <c r="GR152" i="4"/>
  <c r="GQ152" i="4"/>
  <c r="GP152" i="4"/>
  <c r="GO152" i="4"/>
  <c r="GN152" i="4"/>
  <c r="GM152" i="4"/>
  <c r="GL152" i="4"/>
  <c r="GK152" i="4"/>
  <c r="GJ152" i="4"/>
  <c r="GI152" i="4"/>
  <c r="GH152" i="4"/>
  <c r="GG152" i="4"/>
  <c r="GF152" i="4"/>
  <c r="GE152" i="4"/>
  <c r="GD152" i="4"/>
  <c r="GC152" i="4"/>
  <c r="GB152" i="4"/>
  <c r="GA152" i="4"/>
  <c r="FZ152" i="4"/>
  <c r="FY152" i="4"/>
  <c r="FX152" i="4"/>
  <c r="FW152" i="4"/>
  <c r="FV152" i="4"/>
  <c r="FU152" i="4"/>
  <c r="FT152" i="4"/>
  <c r="FS152" i="4"/>
  <c r="FR152" i="4"/>
  <c r="FQ152" i="4"/>
  <c r="FP152" i="4"/>
  <c r="FO152" i="4"/>
  <c r="FN152" i="4"/>
  <c r="FM152" i="4"/>
  <c r="FL152" i="4"/>
  <c r="FK152" i="4"/>
  <c r="FJ152" i="4"/>
  <c r="FI152" i="4"/>
  <c r="FH152" i="4"/>
  <c r="FG152" i="4"/>
  <c r="FF152" i="4"/>
  <c r="FE152" i="4"/>
  <c r="FD152" i="4"/>
  <c r="FC152" i="4"/>
  <c r="FB152" i="4"/>
  <c r="FA152" i="4"/>
  <c r="EZ152" i="4"/>
  <c r="EY152" i="4"/>
  <c r="EX152" i="4"/>
  <c r="EW152" i="4"/>
  <c r="EV152" i="4"/>
  <c r="EU152" i="4"/>
  <c r="ET152" i="4"/>
  <c r="ES152" i="4"/>
  <c r="ER152" i="4"/>
  <c r="EQ152" i="4"/>
  <c r="EP152" i="4"/>
  <c r="EO152" i="4"/>
  <c r="EN152" i="4"/>
  <c r="EM152" i="4"/>
  <c r="EL152" i="4"/>
  <c r="EK152" i="4"/>
  <c r="EJ152" i="4"/>
  <c r="EI152" i="4"/>
  <c r="EH152" i="4"/>
  <c r="EG152" i="4"/>
  <c r="EF152" i="4"/>
  <c r="EE152" i="4"/>
  <c r="ED152" i="4"/>
  <c r="EC152" i="4"/>
  <c r="EB152" i="4"/>
  <c r="EA152" i="4"/>
  <c r="DZ152" i="4"/>
  <c r="DY152" i="4"/>
  <c r="DX152" i="4"/>
  <c r="DW152" i="4"/>
  <c r="DV152" i="4"/>
  <c r="DU152" i="4"/>
  <c r="DT152" i="4"/>
  <c r="DS152" i="4"/>
  <c r="DR152" i="4"/>
  <c r="DQ152" i="4"/>
  <c r="DP152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IV151" i="4"/>
  <c r="IU151" i="4"/>
  <c r="IT151" i="4"/>
  <c r="IS151" i="4"/>
  <c r="IR151" i="4"/>
  <c r="IQ151" i="4"/>
  <c r="IP151" i="4"/>
  <c r="IO151" i="4"/>
  <c r="IN151" i="4"/>
  <c r="IM151" i="4"/>
  <c r="IL151" i="4"/>
  <c r="IK151" i="4"/>
  <c r="IJ151" i="4"/>
  <c r="II151" i="4"/>
  <c r="IH151" i="4"/>
  <c r="IG151" i="4"/>
  <c r="IF151" i="4"/>
  <c r="IE151" i="4"/>
  <c r="ID151" i="4"/>
  <c r="IC151" i="4"/>
  <c r="IB151" i="4"/>
  <c r="IA151" i="4"/>
  <c r="HZ151" i="4"/>
  <c r="HY151" i="4"/>
  <c r="HX151" i="4"/>
  <c r="HW151" i="4"/>
  <c r="HV151" i="4"/>
  <c r="HU151" i="4"/>
  <c r="HT151" i="4"/>
  <c r="HS151" i="4"/>
  <c r="HR151" i="4"/>
  <c r="HQ151" i="4"/>
  <c r="HP151" i="4"/>
  <c r="HO151" i="4"/>
  <c r="HN151" i="4"/>
  <c r="HM151" i="4"/>
  <c r="HL151" i="4"/>
  <c r="HK151" i="4"/>
  <c r="HJ151" i="4"/>
  <c r="HI151" i="4"/>
  <c r="HH151" i="4"/>
  <c r="HG151" i="4"/>
  <c r="HF151" i="4"/>
  <c r="HE151" i="4"/>
  <c r="HD151" i="4"/>
  <c r="HC151" i="4"/>
  <c r="HB151" i="4"/>
  <c r="HA151" i="4"/>
  <c r="GZ151" i="4"/>
  <c r="GY151" i="4"/>
  <c r="GX151" i="4"/>
  <c r="GW151" i="4"/>
  <c r="GV151" i="4"/>
  <c r="GU151" i="4"/>
  <c r="GT151" i="4"/>
  <c r="GS151" i="4"/>
  <c r="GR151" i="4"/>
  <c r="GQ151" i="4"/>
  <c r="GP151" i="4"/>
  <c r="GO151" i="4"/>
  <c r="GN151" i="4"/>
  <c r="GM151" i="4"/>
  <c r="GL151" i="4"/>
  <c r="GK151" i="4"/>
  <c r="GJ151" i="4"/>
  <c r="GI151" i="4"/>
  <c r="GH151" i="4"/>
  <c r="GG151" i="4"/>
  <c r="GF151" i="4"/>
  <c r="GE151" i="4"/>
  <c r="GD151" i="4"/>
  <c r="GC151" i="4"/>
  <c r="GB151" i="4"/>
  <c r="GA151" i="4"/>
  <c r="FZ151" i="4"/>
  <c r="FY151" i="4"/>
  <c r="FX151" i="4"/>
  <c r="FW151" i="4"/>
  <c r="FV151" i="4"/>
  <c r="FU151" i="4"/>
  <c r="FT151" i="4"/>
  <c r="FS151" i="4"/>
  <c r="FR151" i="4"/>
  <c r="FQ151" i="4"/>
  <c r="FP151" i="4"/>
  <c r="FO151" i="4"/>
  <c r="FN151" i="4"/>
  <c r="FM151" i="4"/>
  <c r="FL151" i="4"/>
  <c r="FK151" i="4"/>
  <c r="FJ151" i="4"/>
  <c r="FI151" i="4"/>
  <c r="FH151" i="4"/>
  <c r="FG151" i="4"/>
  <c r="FF151" i="4"/>
  <c r="FE151" i="4"/>
  <c r="FD151" i="4"/>
  <c r="FC151" i="4"/>
  <c r="FB151" i="4"/>
  <c r="FA151" i="4"/>
  <c r="EZ151" i="4"/>
  <c r="EY151" i="4"/>
  <c r="EX151" i="4"/>
  <c r="EW151" i="4"/>
  <c r="EV151" i="4"/>
  <c r="EU151" i="4"/>
  <c r="ET151" i="4"/>
  <c r="ES151" i="4"/>
  <c r="ER151" i="4"/>
  <c r="EQ151" i="4"/>
  <c r="EP151" i="4"/>
  <c r="EO151" i="4"/>
  <c r="EN151" i="4"/>
  <c r="EM151" i="4"/>
  <c r="EL151" i="4"/>
  <c r="EK151" i="4"/>
  <c r="EJ151" i="4"/>
  <c r="EI151" i="4"/>
  <c r="EH151" i="4"/>
  <c r="EG151" i="4"/>
  <c r="EF151" i="4"/>
  <c r="EE151" i="4"/>
  <c r="ED151" i="4"/>
  <c r="EC151" i="4"/>
  <c r="EB151" i="4"/>
  <c r="EA151" i="4"/>
  <c r="DZ151" i="4"/>
  <c r="DY151" i="4"/>
  <c r="DX151" i="4"/>
  <c r="DW151" i="4"/>
  <c r="DV151" i="4"/>
  <c r="DU151" i="4"/>
  <c r="DT151" i="4"/>
  <c r="DS151" i="4"/>
  <c r="DR151" i="4"/>
  <c r="DQ151" i="4"/>
  <c r="DP151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IV150" i="4"/>
  <c r="IU150" i="4"/>
  <c r="IT150" i="4"/>
  <c r="IS150" i="4"/>
  <c r="IR150" i="4"/>
  <c r="IQ150" i="4"/>
  <c r="IP150" i="4"/>
  <c r="IO150" i="4"/>
  <c r="IN150" i="4"/>
  <c r="IM150" i="4"/>
  <c r="IL150" i="4"/>
  <c r="IK150" i="4"/>
  <c r="IJ150" i="4"/>
  <c r="II150" i="4"/>
  <c r="IH150" i="4"/>
  <c r="IG150" i="4"/>
  <c r="IF150" i="4"/>
  <c r="IE150" i="4"/>
  <c r="ID150" i="4"/>
  <c r="IC150" i="4"/>
  <c r="IB150" i="4"/>
  <c r="IA150" i="4"/>
  <c r="HZ150" i="4"/>
  <c r="HY150" i="4"/>
  <c r="HX150" i="4"/>
  <c r="HW150" i="4"/>
  <c r="HV150" i="4"/>
  <c r="HU150" i="4"/>
  <c r="HT150" i="4"/>
  <c r="HS150" i="4"/>
  <c r="HR150" i="4"/>
  <c r="HQ150" i="4"/>
  <c r="HP150" i="4"/>
  <c r="HO150" i="4"/>
  <c r="HN150" i="4"/>
  <c r="HM150" i="4"/>
  <c r="HL150" i="4"/>
  <c r="HK150" i="4"/>
  <c r="HJ150" i="4"/>
  <c r="HI150" i="4"/>
  <c r="HH150" i="4"/>
  <c r="HG150" i="4"/>
  <c r="HF150" i="4"/>
  <c r="HE150" i="4"/>
  <c r="HD150" i="4"/>
  <c r="HC150" i="4"/>
  <c r="HB150" i="4"/>
  <c r="HA150" i="4"/>
  <c r="GZ150" i="4"/>
  <c r="GY150" i="4"/>
  <c r="GX150" i="4"/>
  <c r="GW150" i="4"/>
  <c r="GV150" i="4"/>
  <c r="GU150" i="4"/>
  <c r="GT150" i="4"/>
  <c r="GS150" i="4"/>
  <c r="GR150" i="4"/>
  <c r="GQ150" i="4"/>
  <c r="GP150" i="4"/>
  <c r="GO150" i="4"/>
  <c r="GN150" i="4"/>
  <c r="GM150" i="4"/>
  <c r="GL150" i="4"/>
  <c r="GK150" i="4"/>
  <c r="GJ150" i="4"/>
  <c r="GI150" i="4"/>
  <c r="GH150" i="4"/>
  <c r="GG150" i="4"/>
  <c r="GF150" i="4"/>
  <c r="GE150" i="4"/>
  <c r="GD150" i="4"/>
  <c r="GC150" i="4"/>
  <c r="GB150" i="4"/>
  <c r="GA150" i="4"/>
  <c r="FZ150" i="4"/>
  <c r="FY150" i="4"/>
  <c r="FX150" i="4"/>
  <c r="FW150" i="4"/>
  <c r="FV150" i="4"/>
  <c r="FU150" i="4"/>
  <c r="FT150" i="4"/>
  <c r="FS150" i="4"/>
  <c r="FR150" i="4"/>
  <c r="FQ150" i="4"/>
  <c r="FP150" i="4"/>
  <c r="FO150" i="4"/>
  <c r="FN150" i="4"/>
  <c r="FM150" i="4"/>
  <c r="FL150" i="4"/>
  <c r="FK150" i="4"/>
  <c r="FJ150" i="4"/>
  <c r="FI150" i="4"/>
  <c r="FH150" i="4"/>
  <c r="FG150" i="4"/>
  <c r="FF150" i="4"/>
  <c r="FE150" i="4"/>
  <c r="FD150" i="4"/>
  <c r="FC150" i="4"/>
  <c r="FB150" i="4"/>
  <c r="FA150" i="4"/>
  <c r="EZ150" i="4"/>
  <c r="EY150" i="4"/>
  <c r="EX150" i="4"/>
  <c r="EW150" i="4"/>
  <c r="EV150" i="4"/>
  <c r="EU150" i="4"/>
  <c r="ET150" i="4"/>
  <c r="ES150" i="4"/>
  <c r="ER150" i="4"/>
  <c r="EQ150" i="4"/>
  <c r="EP150" i="4"/>
  <c r="EO150" i="4"/>
  <c r="EN150" i="4"/>
  <c r="EM150" i="4"/>
  <c r="EL150" i="4"/>
  <c r="EK150" i="4"/>
  <c r="EJ150" i="4"/>
  <c r="EI150" i="4"/>
  <c r="EH150" i="4"/>
  <c r="EG150" i="4"/>
  <c r="EF150" i="4"/>
  <c r="EE150" i="4"/>
  <c r="ED150" i="4"/>
  <c r="EC150" i="4"/>
  <c r="EB150" i="4"/>
  <c r="EA150" i="4"/>
  <c r="DZ150" i="4"/>
  <c r="DY150" i="4"/>
  <c r="DX150" i="4"/>
  <c r="DW150" i="4"/>
  <c r="DV150" i="4"/>
  <c r="DU150" i="4"/>
  <c r="DT150" i="4"/>
  <c r="DS150" i="4"/>
  <c r="DR150" i="4"/>
  <c r="DQ150" i="4"/>
  <c r="DP150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IV149" i="4"/>
  <c r="IU149" i="4"/>
  <c r="IT149" i="4"/>
  <c r="IS149" i="4"/>
  <c r="IR149" i="4"/>
  <c r="IQ149" i="4"/>
  <c r="IP149" i="4"/>
  <c r="IO149" i="4"/>
  <c r="IN149" i="4"/>
  <c r="IM149" i="4"/>
  <c r="IL149" i="4"/>
  <c r="IK149" i="4"/>
  <c r="IJ149" i="4"/>
  <c r="II149" i="4"/>
  <c r="IH149" i="4"/>
  <c r="IG149" i="4"/>
  <c r="IF149" i="4"/>
  <c r="IE149" i="4"/>
  <c r="ID149" i="4"/>
  <c r="IC149" i="4"/>
  <c r="IB149" i="4"/>
  <c r="IA149" i="4"/>
  <c r="HZ149" i="4"/>
  <c r="HY149" i="4"/>
  <c r="HX149" i="4"/>
  <c r="HW149" i="4"/>
  <c r="HV149" i="4"/>
  <c r="HU149" i="4"/>
  <c r="HT149" i="4"/>
  <c r="HS149" i="4"/>
  <c r="HR149" i="4"/>
  <c r="HQ149" i="4"/>
  <c r="HP149" i="4"/>
  <c r="HO149" i="4"/>
  <c r="HN149" i="4"/>
  <c r="HM149" i="4"/>
  <c r="HL149" i="4"/>
  <c r="HK149" i="4"/>
  <c r="HJ149" i="4"/>
  <c r="HI149" i="4"/>
  <c r="HH149" i="4"/>
  <c r="HG149" i="4"/>
  <c r="HF149" i="4"/>
  <c r="HE149" i="4"/>
  <c r="HD149" i="4"/>
  <c r="HC149" i="4"/>
  <c r="HB149" i="4"/>
  <c r="HA149" i="4"/>
  <c r="GZ149" i="4"/>
  <c r="GY149" i="4"/>
  <c r="GX149" i="4"/>
  <c r="GW149" i="4"/>
  <c r="GV149" i="4"/>
  <c r="GU149" i="4"/>
  <c r="GT149" i="4"/>
  <c r="GS149" i="4"/>
  <c r="GR149" i="4"/>
  <c r="GQ149" i="4"/>
  <c r="GP149" i="4"/>
  <c r="GO149" i="4"/>
  <c r="GN149" i="4"/>
  <c r="GM149" i="4"/>
  <c r="GL149" i="4"/>
  <c r="GK149" i="4"/>
  <c r="GJ149" i="4"/>
  <c r="GI149" i="4"/>
  <c r="GH149" i="4"/>
  <c r="GG149" i="4"/>
  <c r="GF149" i="4"/>
  <c r="GE149" i="4"/>
  <c r="GD149" i="4"/>
  <c r="GC149" i="4"/>
  <c r="GB149" i="4"/>
  <c r="GA149" i="4"/>
  <c r="FZ149" i="4"/>
  <c r="FY149" i="4"/>
  <c r="FX149" i="4"/>
  <c r="FW149" i="4"/>
  <c r="FV149" i="4"/>
  <c r="FU149" i="4"/>
  <c r="FT149" i="4"/>
  <c r="FS149" i="4"/>
  <c r="FR149" i="4"/>
  <c r="FQ149" i="4"/>
  <c r="FP149" i="4"/>
  <c r="FO149" i="4"/>
  <c r="FN149" i="4"/>
  <c r="FM149" i="4"/>
  <c r="FL149" i="4"/>
  <c r="FK149" i="4"/>
  <c r="FJ149" i="4"/>
  <c r="FI149" i="4"/>
  <c r="FH149" i="4"/>
  <c r="FG149" i="4"/>
  <c r="FF149" i="4"/>
  <c r="FE149" i="4"/>
  <c r="FD149" i="4"/>
  <c r="FC149" i="4"/>
  <c r="FB149" i="4"/>
  <c r="FA149" i="4"/>
  <c r="EZ149" i="4"/>
  <c r="EY149" i="4"/>
  <c r="EX149" i="4"/>
  <c r="EW149" i="4"/>
  <c r="EV149" i="4"/>
  <c r="EU149" i="4"/>
  <c r="ET149" i="4"/>
  <c r="ES149" i="4"/>
  <c r="ER149" i="4"/>
  <c r="EQ149" i="4"/>
  <c r="EP149" i="4"/>
  <c r="EO149" i="4"/>
  <c r="EN149" i="4"/>
  <c r="EM149" i="4"/>
  <c r="EL149" i="4"/>
  <c r="EK149" i="4"/>
  <c r="EJ149" i="4"/>
  <c r="EI149" i="4"/>
  <c r="EH149" i="4"/>
  <c r="EG149" i="4"/>
  <c r="EF149" i="4"/>
  <c r="EE149" i="4"/>
  <c r="ED149" i="4"/>
  <c r="EC149" i="4"/>
  <c r="EB149" i="4"/>
  <c r="EA149" i="4"/>
  <c r="DZ149" i="4"/>
  <c r="DY149" i="4"/>
  <c r="DX149" i="4"/>
  <c r="DW149" i="4"/>
  <c r="DV149" i="4"/>
  <c r="DU149" i="4"/>
  <c r="DT149" i="4"/>
  <c r="DS149" i="4"/>
  <c r="DR149" i="4"/>
  <c r="DQ149" i="4"/>
  <c r="DP149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IV148" i="4"/>
  <c r="IU148" i="4"/>
  <c r="IT148" i="4"/>
  <c r="IS148" i="4"/>
  <c r="IR148" i="4"/>
  <c r="IQ148" i="4"/>
  <c r="IP148" i="4"/>
  <c r="IO148" i="4"/>
  <c r="IN148" i="4"/>
  <c r="IM148" i="4"/>
  <c r="IL148" i="4"/>
  <c r="IK148" i="4"/>
  <c r="IJ148" i="4"/>
  <c r="II148" i="4"/>
  <c r="IH148" i="4"/>
  <c r="IG148" i="4"/>
  <c r="IF148" i="4"/>
  <c r="IE148" i="4"/>
  <c r="ID148" i="4"/>
  <c r="IC148" i="4"/>
  <c r="IB148" i="4"/>
  <c r="IA148" i="4"/>
  <c r="HZ148" i="4"/>
  <c r="HY148" i="4"/>
  <c r="HX148" i="4"/>
  <c r="HW148" i="4"/>
  <c r="HV148" i="4"/>
  <c r="HU148" i="4"/>
  <c r="HT148" i="4"/>
  <c r="HS148" i="4"/>
  <c r="HR148" i="4"/>
  <c r="HQ148" i="4"/>
  <c r="HP148" i="4"/>
  <c r="HO148" i="4"/>
  <c r="HN148" i="4"/>
  <c r="HM148" i="4"/>
  <c r="HL148" i="4"/>
  <c r="HK148" i="4"/>
  <c r="HJ148" i="4"/>
  <c r="HI148" i="4"/>
  <c r="HH148" i="4"/>
  <c r="HG148" i="4"/>
  <c r="HF148" i="4"/>
  <c r="HE148" i="4"/>
  <c r="HD148" i="4"/>
  <c r="HC148" i="4"/>
  <c r="HB148" i="4"/>
  <c r="HA148" i="4"/>
  <c r="GZ148" i="4"/>
  <c r="GY148" i="4"/>
  <c r="GX148" i="4"/>
  <c r="GW148" i="4"/>
  <c r="GV148" i="4"/>
  <c r="GU148" i="4"/>
  <c r="GT148" i="4"/>
  <c r="GS148" i="4"/>
  <c r="GR148" i="4"/>
  <c r="GQ148" i="4"/>
  <c r="GP148" i="4"/>
  <c r="GO148" i="4"/>
  <c r="GN148" i="4"/>
  <c r="GM148" i="4"/>
  <c r="GL148" i="4"/>
  <c r="GK148" i="4"/>
  <c r="GJ148" i="4"/>
  <c r="GI148" i="4"/>
  <c r="GH148" i="4"/>
  <c r="GG148" i="4"/>
  <c r="GF148" i="4"/>
  <c r="GE148" i="4"/>
  <c r="GD148" i="4"/>
  <c r="GC148" i="4"/>
  <c r="GB148" i="4"/>
  <c r="GA148" i="4"/>
  <c r="FZ148" i="4"/>
  <c r="FY148" i="4"/>
  <c r="FX148" i="4"/>
  <c r="FW148" i="4"/>
  <c r="FV148" i="4"/>
  <c r="FU148" i="4"/>
  <c r="FT148" i="4"/>
  <c r="FS148" i="4"/>
  <c r="FR148" i="4"/>
  <c r="FQ148" i="4"/>
  <c r="FP148" i="4"/>
  <c r="FO148" i="4"/>
  <c r="FN148" i="4"/>
  <c r="FM148" i="4"/>
  <c r="FL148" i="4"/>
  <c r="FK148" i="4"/>
  <c r="FJ148" i="4"/>
  <c r="FI148" i="4"/>
  <c r="FH148" i="4"/>
  <c r="FG148" i="4"/>
  <c r="FF148" i="4"/>
  <c r="FE148" i="4"/>
  <c r="FD148" i="4"/>
  <c r="FC148" i="4"/>
  <c r="FB148" i="4"/>
  <c r="FA148" i="4"/>
  <c r="EZ148" i="4"/>
  <c r="EY148" i="4"/>
  <c r="EX148" i="4"/>
  <c r="EW148" i="4"/>
  <c r="EV148" i="4"/>
  <c r="EU148" i="4"/>
  <c r="ET148" i="4"/>
  <c r="ES148" i="4"/>
  <c r="ER148" i="4"/>
  <c r="EQ148" i="4"/>
  <c r="EP148" i="4"/>
  <c r="EO148" i="4"/>
  <c r="EN148" i="4"/>
  <c r="EM148" i="4"/>
  <c r="EL148" i="4"/>
  <c r="EK148" i="4"/>
  <c r="EJ148" i="4"/>
  <c r="EI148" i="4"/>
  <c r="EH148" i="4"/>
  <c r="EG148" i="4"/>
  <c r="EF148" i="4"/>
  <c r="EE148" i="4"/>
  <c r="ED148" i="4"/>
  <c r="EC148" i="4"/>
  <c r="EB148" i="4"/>
  <c r="EA148" i="4"/>
  <c r="DZ148" i="4"/>
  <c r="DY148" i="4"/>
  <c r="DX148" i="4"/>
  <c r="DW148" i="4"/>
  <c r="DV148" i="4"/>
  <c r="DU148" i="4"/>
  <c r="DT148" i="4"/>
  <c r="DS148" i="4"/>
  <c r="DR148" i="4"/>
  <c r="DQ148" i="4"/>
  <c r="DP148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IV147" i="4"/>
  <c r="IU147" i="4"/>
  <c r="IT147" i="4"/>
  <c r="IS147" i="4"/>
  <c r="IR147" i="4"/>
  <c r="IQ147" i="4"/>
  <c r="IP147" i="4"/>
  <c r="IO147" i="4"/>
  <c r="IN147" i="4"/>
  <c r="IM147" i="4"/>
  <c r="IL147" i="4"/>
  <c r="IK147" i="4"/>
  <c r="IJ147" i="4"/>
  <c r="II147" i="4"/>
  <c r="IH147" i="4"/>
  <c r="IG147" i="4"/>
  <c r="IF147" i="4"/>
  <c r="IE147" i="4"/>
  <c r="ID147" i="4"/>
  <c r="IC147" i="4"/>
  <c r="IB147" i="4"/>
  <c r="IA147" i="4"/>
  <c r="HZ147" i="4"/>
  <c r="HY147" i="4"/>
  <c r="HX147" i="4"/>
  <c r="HW147" i="4"/>
  <c r="HV147" i="4"/>
  <c r="HU147" i="4"/>
  <c r="HT147" i="4"/>
  <c r="HS147" i="4"/>
  <c r="HR147" i="4"/>
  <c r="HQ147" i="4"/>
  <c r="HP147" i="4"/>
  <c r="HO147" i="4"/>
  <c r="HN147" i="4"/>
  <c r="HM147" i="4"/>
  <c r="HL147" i="4"/>
  <c r="HK147" i="4"/>
  <c r="HJ147" i="4"/>
  <c r="HI147" i="4"/>
  <c r="HH147" i="4"/>
  <c r="HG147" i="4"/>
  <c r="HF147" i="4"/>
  <c r="HE147" i="4"/>
  <c r="HD147" i="4"/>
  <c r="HC147" i="4"/>
  <c r="HB147" i="4"/>
  <c r="HA147" i="4"/>
  <c r="GZ147" i="4"/>
  <c r="GY147" i="4"/>
  <c r="GX147" i="4"/>
  <c r="GW147" i="4"/>
  <c r="GV147" i="4"/>
  <c r="GU147" i="4"/>
  <c r="GT147" i="4"/>
  <c r="GS147" i="4"/>
  <c r="GR147" i="4"/>
  <c r="GQ147" i="4"/>
  <c r="GP147" i="4"/>
  <c r="GO147" i="4"/>
  <c r="GN147" i="4"/>
  <c r="GM147" i="4"/>
  <c r="GL147" i="4"/>
  <c r="GK147" i="4"/>
  <c r="GJ147" i="4"/>
  <c r="GI147" i="4"/>
  <c r="GH147" i="4"/>
  <c r="GG147" i="4"/>
  <c r="GF147" i="4"/>
  <c r="GE147" i="4"/>
  <c r="GD147" i="4"/>
  <c r="GC147" i="4"/>
  <c r="GB147" i="4"/>
  <c r="GA147" i="4"/>
  <c r="FZ147" i="4"/>
  <c r="FY147" i="4"/>
  <c r="FX147" i="4"/>
  <c r="FW147" i="4"/>
  <c r="FV147" i="4"/>
  <c r="FU147" i="4"/>
  <c r="FT147" i="4"/>
  <c r="FS147" i="4"/>
  <c r="FR147" i="4"/>
  <c r="FQ147" i="4"/>
  <c r="FP147" i="4"/>
  <c r="FO147" i="4"/>
  <c r="FN147" i="4"/>
  <c r="FM147" i="4"/>
  <c r="FL147" i="4"/>
  <c r="FK147" i="4"/>
  <c r="FJ147" i="4"/>
  <c r="FI147" i="4"/>
  <c r="FH147" i="4"/>
  <c r="FG147" i="4"/>
  <c r="FF147" i="4"/>
  <c r="FE147" i="4"/>
  <c r="FD147" i="4"/>
  <c r="FC147" i="4"/>
  <c r="FB147" i="4"/>
  <c r="FA147" i="4"/>
  <c r="EZ147" i="4"/>
  <c r="EY147" i="4"/>
  <c r="EX147" i="4"/>
  <c r="EW147" i="4"/>
  <c r="EV147" i="4"/>
  <c r="EU147" i="4"/>
  <c r="ET147" i="4"/>
  <c r="ES147" i="4"/>
  <c r="ER147" i="4"/>
  <c r="EQ147" i="4"/>
  <c r="EP147" i="4"/>
  <c r="EO147" i="4"/>
  <c r="EN147" i="4"/>
  <c r="EM147" i="4"/>
  <c r="EL147" i="4"/>
  <c r="EK147" i="4"/>
  <c r="EJ147" i="4"/>
  <c r="EI147" i="4"/>
  <c r="EH147" i="4"/>
  <c r="EG147" i="4"/>
  <c r="EF147" i="4"/>
  <c r="EE147" i="4"/>
  <c r="ED147" i="4"/>
  <c r="EC147" i="4"/>
  <c r="EB147" i="4"/>
  <c r="EA147" i="4"/>
  <c r="DZ147" i="4"/>
  <c r="DY147" i="4"/>
  <c r="DX147" i="4"/>
  <c r="DW147" i="4"/>
  <c r="DV147" i="4"/>
  <c r="DU147" i="4"/>
  <c r="DT147" i="4"/>
  <c r="DS147" i="4"/>
  <c r="DR147" i="4"/>
  <c r="DQ147" i="4"/>
  <c r="DP147" i="4"/>
  <c r="DO147" i="4"/>
  <c r="DN147" i="4"/>
  <c r="DM147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IV146" i="4"/>
  <c r="IU146" i="4"/>
  <c r="IT146" i="4"/>
  <c r="IS146" i="4"/>
  <c r="IR146" i="4"/>
  <c r="IQ146" i="4"/>
  <c r="IP146" i="4"/>
  <c r="IO146" i="4"/>
  <c r="IN146" i="4"/>
  <c r="IM146" i="4"/>
  <c r="IL146" i="4"/>
  <c r="IK146" i="4"/>
  <c r="IJ146" i="4"/>
  <c r="II146" i="4"/>
  <c r="IH146" i="4"/>
  <c r="IG146" i="4"/>
  <c r="IF146" i="4"/>
  <c r="IE146" i="4"/>
  <c r="ID146" i="4"/>
  <c r="IC146" i="4"/>
  <c r="IB146" i="4"/>
  <c r="IA146" i="4"/>
  <c r="HZ146" i="4"/>
  <c r="HY146" i="4"/>
  <c r="HX146" i="4"/>
  <c r="HW146" i="4"/>
  <c r="HV146" i="4"/>
  <c r="HU146" i="4"/>
  <c r="HT146" i="4"/>
  <c r="HS146" i="4"/>
  <c r="HR146" i="4"/>
  <c r="HQ146" i="4"/>
  <c r="HP146" i="4"/>
  <c r="HO146" i="4"/>
  <c r="HN146" i="4"/>
  <c r="HM146" i="4"/>
  <c r="HL146" i="4"/>
  <c r="HK146" i="4"/>
  <c r="HJ146" i="4"/>
  <c r="HI146" i="4"/>
  <c r="HH146" i="4"/>
  <c r="HG146" i="4"/>
  <c r="HF146" i="4"/>
  <c r="HE146" i="4"/>
  <c r="HD146" i="4"/>
  <c r="HC146" i="4"/>
  <c r="HB146" i="4"/>
  <c r="HA146" i="4"/>
  <c r="GZ146" i="4"/>
  <c r="GY146" i="4"/>
  <c r="GX146" i="4"/>
  <c r="GW146" i="4"/>
  <c r="GV146" i="4"/>
  <c r="GU146" i="4"/>
  <c r="GT146" i="4"/>
  <c r="GS146" i="4"/>
  <c r="GR146" i="4"/>
  <c r="GQ146" i="4"/>
  <c r="GP146" i="4"/>
  <c r="GO146" i="4"/>
  <c r="GN146" i="4"/>
  <c r="GM146" i="4"/>
  <c r="GL146" i="4"/>
  <c r="GK146" i="4"/>
  <c r="GJ146" i="4"/>
  <c r="GI146" i="4"/>
  <c r="GH146" i="4"/>
  <c r="GG146" i="4"/>
  <c r="GF146" i="4"/>
  <c r="GE146" i="4"/>
  <c r="GD146" i="4"/>
  <c r="GC146" i="4"/>
  <c r="GB146" i="4"/>
  <c r="GA146" i="4"/>
  <c r="FZ146" i="4"/>
  <c r="FY146" i="4"/>
  <c r="FX146" i="4"/>
  <c r="FW146" i="4"/>
  <c r="FV146" i="4"/>
  <c r="FU146" i="4"/>
  <c r="FT146" i="4"/>
  <c r="FS146" i="4"/>
  <c r="FR146" i="4"/>
  <c r="FQ146" i="4"/>
  <c r="FP146" i="4"/>
  <c r="FO146" i="4"/>
  <c r="FN146" i="4"/>
  <c r="FM146" i="4"/>
  <c r="FL146" i="4"/>
  <c r="FK146" i="4"/>
  <c r="FJ146" i="4"/>
  <c r="FI146" i="4"/>
  <c r="FH146" i="4"/>
  <c r="FG146" i="4"/>
  <c r="FF146" i="4"/>
  <c r="FE146" i="4"/>
  <c r="FD146" i="4"/>
  <c r="FC146" i="4"/>
  <c r="FB146" i="4"/>
  <c r="FA146" i="4"/>
  <c r="EZ146" i="4"/>
  <c r="EY146" i="4"/>
  <c r="EX146" i="4"/>
  <c r="EW146" i="4"/>
  <c r="EV146" i="4"/>
  <c r="EU146" i="4"/>
  <c r="ET146" i="4"/>
  <c r="ES146" i="4"/>
  <c r="ER146" i="4"/>
  <c r="EQ146" i="4"/>
  <c r="EP146" i="4"/>
  <c r="EO146" i="4"/>
  <c r="EN146" i="4"/>
  <c r="EM146" i="4"/>
  <c r="EL146" i="4"/>
  <c r="EK146" i="4"/>
  <c r="EJ146" i="4"/>
  <c r="EI146" i="4"/>
  <c r="EH146" i="4"/>
  <c r="EG146" i="4"/>
  <c r="EF146" i="4"/>
  <c r="EE146" i="4"/>
  <c r="ED146" i="4"/>
  <c r="EC146" i="4"/>
  <c r="EB146" i="4"/>
  <c r="EA146" i="4"/>
  <c r="DZ146" i="4"/>
  <c r="DY146" i="4"/>
  <c r="DX146" i="4"/>
  <c r="DW146" i="4"/>
  <c r="DV146" i="4"/>
  <c r="DU146" i="4"/>
  <c r="DT146" i="4"/>
  <c r="DS146" i="4"/>
  <c r="DR146" i="4"/>
  <c r="DQ146" i="4"/>
  <c r="DP146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IV145" i="4"/>
  <c r="IU145" i="4"/>
  <c r="IT145" i="4"/>
  <c r="IS145" i="4"/>
  <c r="IR145" i="4"/>
  <c r="IQ145" i="4"/>
  <c r="IP145" i="4"/>
  <c r="IO145" i="4"/>
  <c r="IN145" i="4"/>
  <c r="IM145" i="4"/>
  <c r="IL145" i="4"/>
  <c r="IK145" i="4"/>
  <c r="IJ145" i="4"/>
  <c r="II145" i="4"/>
  <c r="IH145" i="4"/>
  <c r="IG145" i="4"/>
  <c r="IF145" i="4"/>
  <c r="IE145" i="4"/>
  <c r="ID145" i="4"/>
  <c r="IC145" i="4"/>
  <c r="IB145" i="4"/>
  <c r="IA145" i="4"/>
  <c r="HZ145" i="4"/>
  <c r="HY145" i="4"/>
  <c r="HX145" i="4"/>
  <c r="HW145" i="4"/>
  <c r="HV145" i="4"/>
  <c r="HU145" i="4"/>
  <c r="HT145" i="4"/>
  <c r="HS145" i="4"/>
  <c r="HR145" i="4"/>
  <c r="HQ145" i="4"/>
  <c r="HP145" i="4"/>
  <c r="HO145" i="4"/>
  <c r="HN145" i="4"/>
  <c r="HM145" i="4"/>
  <c r="HL145" i="4"/>
  <c r="HK145" i="4"/>
  <c r="HJ145" i="4"/>
  <c r="HI145" i="4"/>
  <c r="HH145" i="4"/>
  <c r="HG145" i="4"/>
  <c r="HF145" i="4"/>
  <c r="HE145" i="4"/>
  <c r="HD145" i="4"/>
  <c r="HC145" i="4"/>
  <c r="HB145" i="4"/>
  <c r="HA145" i="4"/>
  <c r="GZ145" i="4"/>
  <c r="GY145" i="4"/>
  <c r="GX145" i="4"/>
  <c r="GW145" i="4"/>
  <c r="GV145" i="4"/>
  <c r="GU145" i="4"/>
  <c r="GT145" i="4"/>
  <c r="GS145" i="4"/>
  <c r="GR145" i="4"/>
  <c r="GQ145" i="4"/>
  <c r="GP145" i="4"/>
  <c r="GO145" i="4"/>
  <c r="GN145" i="4"/>
  <c r="GM145" i="4"/>
  <c r="GL145" i="4"/>
  <c r="GK145" i="4"/>
  <c r="GJ145" i="4"/>
  <c r="GI145" i="4"/>
  <c r="GH145" i="4"/>
  <c r="GG145" i="4"/>
  <c r="GF145" i="4"/>
  <c r="GE145" i="4"/>
  <c r="GD145" i="4"/>
  <c r="GC145" i="4"/>
  <c r="GB145" i="4"/>
  <c r="GA145" i="4"/>
  <c r="FZ145" i="4"/>
  <c r="FY145" i="4"/>
  <c r="FX145" i="4"/>
  <c r="FW145" i="4"/>
  <c r="FV145" i="4"/>
  <c r="FU145" i="4"/>
  <c r="FT145" i="4"/>
  <c r="FS145" i="4"/>
  <c r="FR145" i="4"/>
  <c r="FQ145" i="4"/>
  <c r="FP145" i="4"/>
  <c r="FO145" i="4"/>
  <c r="FN145" i="4"/>
  <c r="FM145" i="4"/>
  <c r="FL145" i="4"/>
  <c r="FK145" i="4"/>
  <c r="FJ145" i="4"/>
  <c r="FI145" i="4"/>
  <c r="FH145" i="4"/>
  <c r="FG145" i="4"/>
  <c r="FF145" i="4"/>
  <c r="FE145" i="4"/>
  <c r="FD145" i="4"/>
  <c r="FC145" i="4"/>
  <c r="FB145" i="4"/>
  <c r="FA145" i="4"/>
  <c r="EZ145" i="4"/>
  <c r="EY145" i="4"/>
  <c r="EX145" i="4"/>
  <c r="EW145" i="4"/>
  <c r="EV145" i="4"/>
  <c r="EU145" i="4"/>
  <c r="ET145" i="4"/>
  <c r="ES145" i="4"/>
  <c r="ER145" i="4"/>
  <c r="EQ145" i="4"/>
  <c r="EP145" i="4"/>
  <c r="EO145" i="4"/>
  <c r="EN145" i="4"/>
  <c r="EM145" i="4"/>
  <c r="EL145" i="4"/>
  <c r="EK145" i="4"/>
  <c r="EJ145" i="4"/>
  <c r="EI145" i="4"/>
  <c r="EH145" i="4"/>
  <c r="EG145" i="4"/>
  <c r="EF145" i="4"/>
  <c r="EE145" i="4"/>
  <c r="ED145" i="4"/>
  <c r="EC145" i="4"/>
  <c r="EB145" i="4"/>
  <c r="EA145" i="4"/>
  <c r="DZ145" i="4"/>
  <c r="DY145" i="4"/>
  <c r="DX145" i="4"/>
  <c r="DW145" i="4"/>
  <c r="DV145" i="4"/>
  <c r="DU145" i="4"/>
  <c r="DT145" i="4"/>
  <c r="DS145" i="4"/>
  <c r="DR145" i="4"/>
  <c r="DQ145" i="4"/>
  <c r="DP145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IV144" i="4"/>
  <c r="IU144" i="4"/>
  <c r="IT144" i="4"/>
  <c r="IS144" i="4"/>
  <c r="IR144" i="4"/>
  <c r="IQ144" i="4"/>
  <c r="IP144" i="4"/>
  <c r="IO144" i="4"/>
  <c r="IN144" i="4"/>
  <c r="IM144" i="4"/>
  <c r="IL144" i="4"/>
  <c r="IK144" i="4"/>
  <c r="IJ144" i="4"/>
  <c r="II144" i="4"/>
  <c r="IH144" i="4"/>
  <c r="IG144" i="4"/>
  <c r="IF144" i="4"/>
  <c r="IE144" i="4"/>
  <c r="ID144" i="4"/>
  <c r="IC144" i="4"/>
  <c r="IB144" i="4"/>
  <c r="IA144" i="4"/>
  <c r="HZ144" i="4"/>
  <c r="HY144" i="4"/>
  <c r="HX144" i="4"/>
  <c r="HW144" i="4"/>
  <c r="HV144" i="4"/>
  <c r="HU144" i="4"/>
  <c r="HT144" i="4"/>
  <c r="HS144" i="4"/>
  <c r="HR144" i="4"/>
  <c r="HQ144" i="4"/>
  <c r="HP144" i="4"/>
  <c r="HO144" i="4"/>
  <c r="HN144" i="4"/>
  <c r="HM144" i="4"/>
  <c r="HL144" i="4"/>
  <c r="HK144" i="4"/>
  <c r="HJ144" i="4"/>
  <c r="HI144" i="4"/>
  <c r="HH144" i="4"/>
  <c r="HG144" i="4"/>
  <c r="HF144" i="4"/>
  <c r="HE144" i="4"/>
  <c r="HD144" i="4"/>
  <c r="HC144" i="4"/>
  <c r="HB144" i="4"/>
  <c r="HA144" i="4"/>
  <c r="GZ144" i="4"/>
  <c r="GY144" i="4"/>
  <c r="GX144" i="4"/>
  <c r="GW144" i="4"/>
  <c r="GV144" i="4"/>
  <c r="GU144" i="4"/>
  <c r="GT144" i="4"/>
  <c r="GS144" i="4"/>
  <c r="GR144" i="4"/>
  <c r="GQ144" i="4"/>
  <c r="GP144" i="4"/>
  <c r="GO144" i="4"/>
  <c r="GN144" i="4"/>
  <c r="GM144" i="4"/>
  <c r="GL144" i="4"/>
  <c r="GK144" i="4"/>
  <c r="GJ144" i="4"/>
  <c r="GI144" i="4"/>
  <c r="GH144" i="4"/>
  <c r="GG144" i="4"/>
  <c r="GF144" i="4"/>
  <c r="GE144" i="4"/>
  <c r="GD144" i="4"/>
  <c r="GC144" i="4"/>
  <c r="GB144" i="4"/>
  <c r="GA144" i="4"/>
  <c r="FZ144" i="4"/>
  <c r="FY144" i="4"/>
  <c r="FX144" i="4"/>
  <c r="FW144" i="4"/>
  <c r="FV144" i="4"/>
  <c r="FU144" i="4"/>
  <c r="FT144" i="4"/>
  <c r="FS144" i="4"/>
  <c r="FR144" i="4"/>
  <c r="FQ144" i="4"/>
  <c r="FP144" i="4"/>
  <c r="FO144" i="4"/>
  <c r="FN144" i="4"/>
  <c r="FM144" i="4"/>
  <c r="FL144" i="4"/>
  <c r="FK144" i="4"/>
  <c r="FJ144" i="4"/>
  <c r="FI144" i="4"/>
  <c r="FH144" i="4"/>
  <c r="FG144" i="4"/>
  <c r="FF144" i="4"/>
  <c r="FE144" i="4"/>
  <c r="FD144" i="4"/>
  <c r="FC144" i="4"/>
  <c r="FB144" i="4"/>
  <c r="FA144" i="4"/>
  <c r="EZ144" i="4"/>
  <c r="EY144" i="4"/>
  <c r="EX144" i="4"/>
  <c r="EW144" i="4"/>
  <c r="EV144" i="4"/>
  <c r="EU144" i="4"/>
  <c r="ET144" i="4"/>
  <c r="ES144" i="4"/>
  <c r="ER144" i="4"/>
  <c r="EQ144" i="4"/>
  <c r="EP144" i="4"/>
  <c r="EO144" i="4"/>
  <c r="EN144" i="4"/>
  <c r="EM144" i="4"/>
  <c r="EL144" i="4"/>
  <c r="EK144" i="4"/>
  <c r="EJ144" i="4"/>
  <c r="EI144" i="4"/>
  <c r="EH144" i="4"/>
  <c r="EG144" i="4"/>
  <c r="EF144" i="4"/>
  <c r="EE144" i="4"/>
  <c r="ED144" i="4"/>
  <c r="EC144" i="4"/>
  <c r="EB144" i="4"/>
  <c r="EA144" i="4"/>
  <c r="DZ144" i="4"/>
  <c r="DY144" i="4"/>
  <c r="DX144" i="4"/>
  <c r="DW144" i="4"/>
  <c r="DV144" i="4"/>
  <c r="DU144" i="4"/>
  <c r="DT144" i="4"/>
  <c r="DS144" i="4"/>
  <c r="DR144" i="4"/>
  <c r="DQ144" i="4"/>
  <c r="DP144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IV143" i="4"/>
  <c r="IU143" i="4"/>
  <c r="IT143" i="4"/>
  <c r="IS143" i="4"/>
  <c r="IR143" i="4"/>
  <c r="IQ143" i="4"/>
  <c r="IP143" i="4"/>
  <c r="IO143" i="4"/>
  <c r="IN143" i="4"/>
  <c r="IM143" i="4"/>
  <c r="IL143" i="4"/>
  <c r="IK143" i="4"/>
  <c r="IJ143" i="4"/>
  <c r="II143" i="4"/>
  <c r="IH143" i="4"/>
  <c r="IG143" i="4"/>
  <c r="IF143" i="4"/>
  <c r="IE143" i="4"/>
  <c r="ID143" i="4"/>
  <c r="IC143" i="4"/>
  <c r="IB143" i="4"/>
  <c r="IA143" i="4"/>
  <c r="HZ143" i="4"/>
  <c r="HY143" i="4"/>
  <c r="HX143" i="4"/>
  <c r="HW143" i="4"/>
  <c r="HV143" i="4"/>
  <c r="HU143" i="4"/>
  <c r="HT143" i="4"/>
  <c r="HS143" i="4"/>
  <c r="HR143" i="4"/>
  <c r="HQ143" i="4"/>
  <c r="HP143" i="4"/>
  <c r="HO143" i="4"/>
  <c r="HN143" i="4"/>
  <c r="HM143" i="4"/>
  <c r="HL143" i="4"/>
  <c r="HK143" i="4"/>
  <c r="HJ143" i="4"/>
  <c r="HI143" i="4"/>
  <c r="HH143" i="4"/>
  <c r="HG143" i="4"/>
  <c r="HF143" i="4"/>
  <c r="HE143" i="4"/>
  <c r="HD143" i="4"/>
  <c r="HC143" i="4"/>
  <c r="HB143" i="4"/>
  <c r="HA143" i="4"/>
  <c r="GZ143" i="4"/>
  <c r="GY143" i="4"/>
  <c r="GX143" i="4"/>
  <c r="GW143" i="4"/>
  <c r="GV143" i="4"/>
  <c r="GU143" i="4"/>
  <c r="GT143" i="4"/>
  <c r="GS143" i="4"/>
  <c r="GR143" i="4"/>
  <c r="GQ143" i="4"/>
  <c r="GP143" i="4"/>
  <c r="GO143" i="4"/>
  <c r="GN143" i="4"/>
  <c r="GM143" i="4"/>
  <c r="GL143" i="4"/>
  <c r="GK143" i="4"/>
  <c r="GJ143" i="4"/>
  <c r="GI143" i="4"/>
  <c r="GH143" i="4"/>
  <c r="GG143" i="4"/>
  <c r="GF143" i="4"/>
  <c r="GE143" i="4"/>
  <c r="GD143" i="4"/>
  <c r="GC143" i="4"/>
  <c r="GB143" i="4"/>
  <c r="GA143" i="4"/>
  <c r="FZ143" i="4"/>
  <c r="FY143" i="4"/>
  <c r="FX143" i="4"/>
  <c r="FW143" i="4"/>
  <c r="FV143" i="4"/>
  <c r="FU143" i="4"/>
  <c r="FT143" i="4"/>
  <c r="FS143" i="4"/>
  <c r="FR143" i="4"/>
  <c r="FQ143" i="4"/>
  <c r="FP143" i="4"/>
  <c r="FO143" i="4"/>
  <c r="FN143" i="4"/>
  <c r="FM143" i="4"/>
  <c r="FL143" i="4"/>
  <c r="FK143" i="4"/>
  <c r="FJ143" i="4"/>
  <c r="FI143" i="4"/>
  <c r="FH143" i="4"/>
  <c r="FG143" i="4"/>
  <c r="FF143" i="4"/>
  <c r="FE143" i="4"/>
  <c r="FD143" i="4"/>
  <c r="FC143" i="4"/>
  <c r="FB143" i="4"/>
  <c r="FA143" i="4"/>
  <c r="EZ143" i="4"/>
  <c r="EY143" i="4"/>
  <c r="EX143" i="4"/>
  <c r="EW143" i="4"/>
  <c r="EV143" i="4"/>
  <c r="EU143" i="4"/>
  <c r="ET143" i="4"/>
  <c r="ES143" i="4"/>
  <c r="ER143" i="4"/>
  <c r="EQ143" i="4"/>
  <c r="EP143" i="4"/>
  <c r="EO143" i="4"/>
  <c r="EN143" i="4"/>
  <c r="EM143" i="4"/>
  <c r="EL143" i="4"/>
  <c r="EK143" i="4"/>
  <c r="EJ143" i="4"/>
  <c r="EI143" i="4"/>
  <c r="EH143" i="4"/>
  <c r="EG143" i="4"/>
  <c r="EF143" i="4"/>
  <c r="EE143" i="4"/>
  <c r="ED143" i="4"/>
  <c r="EC143" i="4"/>
  <c r="EB143" i="4"/>
  <c r="EA143" i="4"/>
  <c r="DZ143" i="4"/>
  <c r="DY143" i="4"/>
  <c r="DX143" i="4"/>
  <c r="DW143" i="4"/>
  <c r="DV143" i="4"/>
  <c r="DU143" i="4"/>
  <c r="DT143" i="4"/>
  <c r="DS143" i="4"/>
  <c r="DR143" i="4"/>
  <c r="DQ143" i="4"/>
  <c r="DP143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IV142" i="4"/>
  <c r="IU142" i="4"/>
  <c r="IT142" i="4"/>
  <c r="IS142" i="4"/>
  <c r="IR142" i="4"/>
  <c r="IQ142" i="4"/>
  <c r="IP142" i="4"/>
  <c r="IO142" i="4"/>
  <c r="IN142" i="4"/>
  <c r="IM142" i="4"/>
  <c r="IL142" i="4"/>
  <c r="IK142" i="4"/>
  <c r="IJ142" i="4"/>
  <c r="II142" i="4"/>
  <c r="IH142" i="4"/>
  <c r="IG142" i="4"/>
  <c r="IF142" i="4"/>
  <c r="IE142" i="4"/>
  <c r="ID142" i="4"/>
  <c r="IC142" i="4"/>
  <c r="IB142" i="4"/>
  <c r="IA142" i="4"/>
  <c r="HZ142" i="4"/>
  <c r="HY142" i="4"/>
  <c r="HX142" i="4"/>
  <c r="HW142" i="4"/>
  <c r="HV142" i="4"/>
  <c r="HU142" i="4"/>
  <c r="HT142" i="4"/>
  <c r="HS142" i="4"/>
  <c r="HR142" i="4"/>
  <c r="HQ142" i="4"/>
  <c r="HP142" i="4"/>
  <c r="HO142" i="4"/>
  <c r="HN142" i="4"/>
  <c r="HM142" i="4"/>
  <c r="HL142" i="4"/>
  <c r="HK142" i="4"/>
  <c r="HJ142" i="4"/>
  <c r="HI142" i="4"/>
  <c r="HH142" i="4"/>
  <c r="HG142" i="4"/>
  <c r="HF142" i="4"/>
  <c r="HE142" i="4"/>
  <c r="HD142" i="4"/>
  <c r="HC142" i="4"/>
  <c r="HB142" i="4"/>
  <c r="HA142" i="4"/>
  <c r="GZ142" i="4"/>
  <c r="GY142" i="4"/>
  <c r="GX142" i="4"/>
  <c r="GW142" i="4"/>
  <c r="GV142" i="4"/>
  <c r="GU142" i="4"/>
  <c r="GT142" i="4"/>
  <c r="GS142" i="4"/>
  <c r="GR142" i="4"/>
  <c r="GQ142" i="4"/>
  <c r="GP142" i="4"/>
  <c r="GO142" i="4"/>
  <c r="GN142" i="4"/>
  <c r="GM142" i="4"/>
  <c r="GL142" i="4"/>
  <c r="GK142" i="4"/>
  <c r="GJ142" i="4"/>
  <c r="GI142" i="4"/>
  <c r="GH142" i="4"/>
  <c r="GG142" i="4"/>
  <c r="GF142" i="4"/>
  <c r="GE142" i="4"/>
  <c r="GD142" i="4"/>
  <c r="GC142" i="4"/>
  <c r="GB142" i="4"/>
  <c r="GA142" i="4"/>
  <c r="FZ142" i="4"/>
  <c r="FY142" i="4"/>
  <c r="FX142" i="4"/>
  <c r="FW142" i="4"/>
  <c r="FV142" i="4"/>
  <c r="FU142" i="4"/>
  <c r="FT142" i="4"/>
  <c r="FS142" i="4"/>
  <c r="FR142" i="4"/>
  <c r="FQ142" i="4"/>
  <c r="FP142" i="4"/>
  <c r="FO142" i="4"/>
  <c r="FN142" i="4"/>
  <c r="FM142" i="4"/>
  <c r="FL142" i="4"/>
  <c r="FK142" i="4"/>
  <c r="FJ142" i="4"/>
  <c r="FI142" i="4"/>
  <c r="FH142" i="4"/>
  <c r="FG142" i="4"/>
  <c r="FF142" i="4"/>
  <c r="FE142" i="4"/>
  <c r="FD142" i="4"/>
  <c r="FC142" i="4"/>
  <c r="FB142" i="4"/>
  <c r="FA142" i="4"/>
  <c r="EZ142" i="4"/>
  <c r="EY142" i="4"/>
  <c r="EX142" i="4"/>
  <c r="EW142" i="4"/>
  <c r="EV142" i="4"/>
  <c r="EU142" i="4"/>
  <c r="ET142" i="4"/>
  <c r="ES142" i="4"/>
  <c r="ER142" i="4"/>
  <c r="EQ142" i="4"/>
  <c r="EP142" i="4"/>
  <c r="EO142" i="4"/>
  <c r="EN142" i="4"/>
  <c r="EM142" i="4"/>
  <c r="EL142" i="4"/>
  <c r="EK142" i="4"/>
  <c r="EJ142" i="4"/>
  <c r="EI142" i="4"/>
  <c r="EH142" i="4"/>
  <c r="EG142" i="4"/>
  <c r="EF142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S142" i="4"/>
  <c r="DR142" i="4"/>
  <c r="DQ142" i="4"/>
  <c r="DP142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IV141" i="4"/>
  <c r="IU141" i="4"/>
  <c r="IT141" i="4"/>
  <c r="IS141" i="4"/>
  <c r="IR141" i="4"/>
  <c r="IQ141" i="4"/>
  <c r="IP141" i="4"/>
  <c r="IO141" i="4"/>
  <c r="IN141" i="4"/>
  <c r="IM141" i="4"/>
  <c r="IL141" i="4"/>
  <c r="IK141" i="4"/>
  <c r="IJ141" i="4"/>
  <c r="II141" i="4"/>
  <c r="IH141" i="4"/>
  <c r="IG141" i="4"/>
  <c r="IF141" i="4"/>
  <c r="IE141" i="4"/>
  <c r="ID141" i="4"/>
  <c r="IC141" i="4"/>
  <c r="IB141" i="4"/>
  <c r="IA141" i="4"/>
  <c r="HZ141" i="4"/>
  <c r="HY141" i="4"/>
  <c r="HX141" i="4"/>
  <c r="HW141" i="4"/>
  <c r="HV141" i="4"/>
  <c r="HU141" i="4"/>
  <c r="HT141" i="4"/>
  <c r="HS141" i="4"/>
  <c r="HR141" i="4"/>
  <c r="HQ141" i="4"/>
  <c r="HP141" i="4"/>
  <c r="HO141" i="4"/>
  <c r="HN141" i="4"/>
  <c r="HM141" i="4"/>
  <c r="HL141" i="4"/>
  <c r="HK141" i="4"/>
  <c r="HJ141" i="4"/>
  <c r="HI141" i="4"/>
  <c r="HH141" i="4"/>
  <c r="HG141" i="4"/>
  <c r="HF141" i="4"/>
  <c r="HE141" i="4"/>
  <c r="HD141" i="4"/>
  <c r="HC141" i="4"/>
  <c r="HB141" i="4"/>
  <c r="HA141" i="4"/>
  <c r="GZ141" i="4"/>
  <c r="GY141" i="4"/>
  <c r="GX141" i="4"/>
  <c r="GW141" i="4"/>
  <c r="GV141" i="4"/>
  <c r="GU141" i="4"/>
  <c r="GT141" i="4"/>
  <c r="GS141" i="4"/>
  <c r="GR141" i="4"/>
  <c r="GQ141" i="4"/>
  <c r="GP141" i="4"/>
  <c r="GO141" i="4"/>
  <c r="GN141" i="4"/>
  <c r="GM141" i="4"/>
  <c r="GL141" i="4"/>
  <c r="GK141" i="4"/>
  <c r="GJ141" i="4"/>
  <c r="GI141" i="4"/>
  <c r="GH141" i="4"/>
  <c r="GG141" i="4"/>
  <c r="GF141" i="4"/>
  <c r="GE141" i="4"/>
  <c r="GD141" i="4"/>
  <c r="GC141" i="4"/>
  <c r="GB141" i="4"/>
  <c r="GA141" i="4"/>
  <c r="FZ141" i="4"/>
  <c r="FY141" i="4"/>
  <c r="FX141" i="4"/>
  <c r="FW141" i="4"/>
  <c r="FV141" i="4"/>
  <c r="FU141" i="4"/>
  <c r="FT141" i="4"/>
  <c r="FS141" i="4"/>
  <c r="FR141" i="4"/>
  <c r="FQ141" i="4"/>
  <c r="FP141" i="4"/>
  <c r="FO141" i="4"/>
  <c r="FN141" i="4"/>
  <c r="FM141" i="4"/>
  <c r="FL141" i="4"/>
  <c r="FK141" i="4"/>
  <c r="FJ141" i="4"/>
  <c r="FI141" i="4"/>
  <c r="FH141" i="4"/>
  <c r="FG141" i="4"/>
  <c r="FF141" i="4"/>
  <c r="FE141" i="4"/>
  <c r="FD141" i="4"/>
  <c r="FC141" i="4"/>
  <c r="FB141" i="4"/>
  <c r="FA141" i="4"/>
  <c r="EZ141" i="4"/>
  <c r="EY141" i="4"/>
  <c r="EX141" i="4"/>
  <c r="EW141" i="4"/>
  <c r="EV141" i="4"/>
  <c r="EU141" i="4"/>
  <c r="ET141" i="4"/>
  <c r="ES141" i="4"/>
  <c r="ER141" i="4"/>
  <c r="EQ141" i="4"/>
  <c r="EP141" i="4"/>
  <c r="EO141" i="4"/>
  <c r="EN141" i="4"/>
  <c r="EM141" i="4"/>
  <c r="EL141" i="4"/>
  <c r="EK141" i="4"/>
  <c r="EJ141" i="4"/>
  <c r="EI141" i="4"/>
  <c r="EH141" i="4"/>
  <c r="EG141" i="4"/>
  <c r="EF141" i="4"/>
  <c r="EE141" i="4"/>
  <c r="ED141" i="4"/>
  <c r="EC141" i="4"/>
  <c r="EB141" i="4"/>
  <c r="EA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IV140" i="4"/>
  <c r="IU140" i="4"/>
  <c r="IT140" i="4"/>
  <c r="IS140" i="4"/>
  <c r="IR140" i="4"/>
  <c r="IQ140" i="4"/>
  <c r="IP140" i="4"/>
  <c r="IO140" i="4"/>
  <c r="IN140" i="4"/>
  <c r="IM140" i="4"/>
  <c r="IL140" i="4"/>
  <c r="IK140" i="4"/>
  <c r="IJ140" i="4"/>
  <c r="II140" i="4"/>
  <c r="IH140" i="4"/>
  <c r="IG140" i="4"/>
  <c r="IF140" i="4"/>
  <c r="IE140" i="4"/>
  <c r="ID140" i="4"/>
  <c r="IC140" i="4"/>
  <c r="IB140" i="4"/>
  <c r="IA140" i="4"/>
  <c r="HZ140" i="4"/>
  <c r="HY140" i="4"/>
  <c r="HX140" i="4"/>
  <c r="HW140" i="4"/>
  <c r="HV140" i="4"/>
  <c r="HU140" i="4"/>
  <c r="HT140" i="4"/>
  <c r="HS140" i="4"/>
  <c r="HR140" i="4"/>
  <c r="HQ140" i="4"/>
  <c r="HP140" i="4"/>
  <c r="HO140" i="4"/>
  <c r="HN140" i="4"/>
  <c r="HM140" i="4"/>
  <c r="HL140" i="4"/>
  <c r="HK140" i="4"/>
  <c r="HJ140" i="4"/>
  <c r="HI140" i="4"/>
  <c r="HH140" i="4"/>
  <c r="HG140" i="4"/>
  <c r="HF140" i="4"/>
  <c r="HE140" i="4"/>
  <c r="HD140" i="4"/>
  <c r="HC140" i="4"/>
  <c r="HB140" i="4"/>
  <c r="HA140" i="4"/>
  <c r="GZ140" i="4"/>
  <c r="GY140" i="4"/>
  <c r="GX140" i="4"/>
  <c r="GW140" i="4"/>
  <c r="GV140" i="4"/>
  <c r="GU140" i="4"/>
  <c r="GT140" i="4"/>
  <c r="GS140" i="4"/>
  <c r="GR140" i="4"/>
  <c r="GQ140" i="4"/>
  <c r="GP140" i="4"/>
  <c r="GO140" i="4"/>
  <c r="GN140" i="4"/>
  <c r="GM140" i="4"/>
  <c r="GL140" i="4"/>
  <c r="GK140" i="4"/>
  <c r="GJ140" i="4"/>
  <c r="GI140" i="4"/>
  <c r="GH140" i="4"/>
  <c r="GG140" i="4"/>
  <c r="GF140" i="4"/>
  <c r="GE140" i="4"/>
  <c r="GD140" i="4"/>
  <c r="GC140" i="4"/>
  <c r="GB140" i="4"/>
  <c r="GA140" i="4"/>
  <c r="FZ140" i="4"/>
  <c r="FY140" i="4"/>
  <c r="FX140" i="4"/>
  <c r="FW140" i="4"/>
  <c r="FV140" i="4"/>
  <c r="FU140" i="4"/>
  <c r="FT140" i="4"/>
  <c r="FS140" i="4"/>
  <c r="FR140" i="4"/>
  <c r="FQ140" i="4"/>
  <c r="FP140" i="4"/>
  <c r="FO140" i="4"/>
  <c r="FN140" i="4"/>
  <c r="FM140" i="4"/>
  <c r="FL140" i="4"/>
  <c r="FK140" i="4"/>
  <c r="FJ140" i="4"/>
  <c r="FI140" i="4"/>
  <c r="FH140" i="4"/>
  <c r="FG140" i="4"/>
  <c r="FF140" i="4"/>
  <c r="FE140" i="4"/>
  <c r="FD140" i="4"/>
  <c r="FC140" i="4"/>
  <c r="FB140" i="4"/>
  <c r="FA140" i="4"/>
  <c r="EZ140" i="4"/>
  <c r="EY140" i="4"/>
  <c r="EX140" i="4"/>
  <c r="EW140" i="4"/>
  <c r="EV140" i="4"/>
  <c r="EU140" i="4"/>
  <c r="ET140" i="4"/>
  <c r="ES140" i="4"/>
  <c r="ER140" i="4"/>
  <c r="EQ140" i="4"/>
  <c r="EP140" i="4"/>
  <c r="EO140" i="4"/>
  <c r="EN140" i="4"/>
  <c r="EM140" i="4"/>
  <c r="EL140" i="4"/>
  <c r="EK140" i="4"/>
  <c r="EJ140" i="4"/>
  <c r="EI140" i="4"/>
  <c r="EH140" i="4"/>
  <c r="EG140" i="4"/>
  <c r="EF140" i="4"/>
  <c r="EE140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IV139" i="4"/>
  <c r="IU139" i="4"/>
  <c r="IT139" i="4"/>
  <c r="IS139" i="4"/>
  <c r="IR139" i="4"/>
  <c r="IQ139" i="4"/>
  <c r="IP139" i="4"/>
  <c r="IO139" i="4"/>
  <c r="IN139" i="4"/>
  <c r="IM139" i="4"/>
  <c r="IL139" i="4"/>
  <c r="IK139" i="4"/>
  <c r="IJ139" i="4"/>
  <c r="II139" i="4"/>
  <c r="IH139" i="4"/>
  <c r="IG139" i="4"/>
  <c r="IF139" i="4"/>
  <c r="IE139" i="4"/>
  <c r="ID139" i="4"/>
  <c r="IC139" i="4"/>
  <c r="IB139" i="4"/>
  <c r="IA139" i="4"/>
  <c r="HZ139" i="4"/>
  <c r="HY139" i="4"/>
  <c r="HX139" i="4"/>
  <c r="HW139" i="4"/>
  <c r="HV139" i="4"/>
  <c r="HU139" i="4"/>
  <c r="HT139" i="4"/>
  <c r="HS139" i="4"/>
  <c r="HR139" i="4"/>
  <c r="HQ139" i="4"/>
  <c r="HP139" i="4"/>
  <c r="HO139" i="4"/>
  <c r="HN139" i="4"/>
  <c r="HM139" i="4"/>
  <c r="HL139" i="4"/>
  <c r="HK139" i="4"/>
  <c r="HJ139" i="4"/>
  <c r="HI139" i="4"/>
  <c r="HH139" i="4"/>
  <c r="HG139" i="4"/>
  <c r="HF139" i="4"/>
  <c r="HE139" i="4"/>
  <c r="HD139" i="4"/>
  <c r="HC139" i="4"/>
  <c r="HB139" i="4"/>
  <c r="HA139" i="4"/>
  <c r="GZ139" i="4"/>
  <c r="GY139" i="4"/>
  <c r="GX139" i="4"/>
  <c r="GW139" i="4"/>
  <c r="GV139" i="4"/>
  <c r="GU139" i="4"/>
  <c r="GT139" i="4"/>
  <c r="GS139" i="4"/>
  <c r="GR139" i="4"/>
  <c r="GQ139" i="4"/>
  <c r="GP139" i="4"/>
  <c r="GO139" i="4"/>
  <c r="GN139" i="4"/>
  <c r="GM139" i="4"/>
  <c r="GL139" i="4"/>
  <c r="GK139" i="4"/>
  <c r="GJ139" i="4"/>
  <c r="GI139" i="4"/>
  <c r="GH139" i="4"/>
  <c r="GG139" i="4"/>
  <c r="GF139" i="4"/>
  <c r="GE139" i="4"/>
  <c r="GD139" i="4"/>
  <c r="GC139" i="4"/>
  <c r="GB139" i="4"/>
  <c r="GA139" i="4"/>
  <c r="FZ139" i="4"/>
  <c r="FY139" i="4"/>
  <c r="FX139" i="4"/>
  <c r="FW139" i="4"/>
  <c r="FV139" i="4"/>
  <c r="FU139" i="4"/>
  <c r="FT139" i="4"/>
  <c r="FS139" i="4"/>
  <c r="FR139" i="4"/>
  <c r="FQ139" i="4"/>
  <c r="FP139" i="4"/>
  <c r="FO139" i="4"/>
  <c r="FN139" i="4"/>
  <c r="FM139" i="4"/>
  <c r="FL139" i="4"/>
  <c r="FK139" i="4"/>
  <c r="FJ139" i="4"/>
  <c r="FI139" i="4"/>
  <c r="FH139" i="4"/>
  <c r="FG139" i="4"/>
  <c r="FF139" i="4"/>
  <c r="FE139" i="4"/>
  <c r="FD139" i="4"/>
  <c r="FC139" i="4"/>
  <c r="FB139" i="4"/>
  <c r="FA139" i="4"/>
  <c r="EZ139" i="4"/>
  <c r="EY139" i="4"/>
  <c r="EX139" i="4"/>
  <c r="EW139" i="4"/>
  <c r="EV139" i="4"/>
  <c r="EU139" i="4"/>
  <c r="ET139" i="4"/>
  <c r="ES139" i="4"/>
  <c r="ER139" i="4"/>
  <c r="EQ139" i="4"/>
  <c r="EP139" i="4"/>
  <c r="EO139" i="4"/>
  <c r="EN139" i="4"/>
  <c r="EM139" i="4"/>
  <c r="EL139" i="4"/>
  <c r="EK139" i="4"/>
  <c r="EJ139" i="4"/>
  <c r="EI139" i="4"/>
  <c r="EH139" i="4"/>
  <c r="EG139" i="4"/>
  <c r="EF139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S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IV138" i="4"/>
  <c r="IU138" i="4"/>
  <c r="IT138" i="4"/>
  <c r="IS138" i="4"/>
  <c r="IR138" i="4"/>
  <c r="IQ138" i="4"/>
  <c r="IP138" i="4"/>
  <c r="IO138" i="4"/>
  <c r="IN138" i="4"/>
  <c r="IM138" i="4"/>
  <c r="IL138" i="4"/>
  <c r="IK138" i="4"/>
  <c r="IJ138" i="4"/>
  <c r="II138" i="4"/>
  <c r="IH138" i="4"/>
  <c r="IG138" i="4"/>
  <c r="IF138" i="4"/>
  <c r="IE138" i="4"/>
  <c r="ID138" i="4"/>
  <c r="IC138" i="4"/>
  <c r="IB138" i="4"/>
  <c r="IA138" i="4"/>
  <c r="HZ138" i="4"/>
  <c r="HY138" i="4"/>
  <c r="HX138" i="4"/>
  <c r="HW138" i="4"/>
  <c r="HV138" i="4"/>
  <c r="HU138" i="4"/>
  <c r="HT138" i="4"/>
  <c r="HS138" i="4"/>
  <c r="HR138" i="4"/>
  <c r="HQ138" i="4"/>
  <c r="HP138" i="4"/>
  <c r="HO138" i="4"/>
  <c r="HN138" i="4"/>
  <c r="HM138" i="4"/>
  <c r="HL138" i="4"/>
  <c r="HK138" i="4"/>
  <c r="HJ138" i="4"/>
  <c r="HI138" i="4"/>
  <c r="HH138" i="4"/>
  <c r="HG138" i="4"/>
  <c r="HF138" i="4"/>
  <c r="HE138" i="4"/>
  <c r="HD138" i="4"/>
  <c r="HC138" i="4"/>
  <c r="HB138" i="4"/>
  <c r="HA138" i="4"/>
  <c r="GZ138" i="4"/>
  <c r="GY138" i="4"/>
  <c r="GX138" i="4"/>
  <c r="GW138" i="4"/>
  <c r="GV138" i="4"/>
  <c r="GU138" i="4"/>
  <c r="GT138" i="4"/>
  <c r="GS138" i="4"/>
  <c r="GR138" i="4"/>
  <c r="GQ138" i="4"/>
  <c r="GP138" i="4"/>
  <c r="GO138" i="4"/>
  <c r="GN138" i="4"/>
  <c r="GM138" i="4"/>
  <c r="GL138" i="4"/>
  <c r="GK138" i="4"/>
  <c r="GJ138" i="4"/>
  <c r="GI138" i="4"/>
  <c r="GH138" i="4"/>
  <c r="GG138" i="4"/>
  <c r="GF138" i="4"/>
  <c r="GE138" i="4"/>
  <c r="GD138" i="4"/>
  <c r="GC138" i="4"/>
  <c r="GB138" i="4"/>
  <c r="GA138" i="4"/>
  <c r="FZ138" i="4"/>
  <c r="FY138" i="4"/>
  <c r="FX138" i="4"/>
  <c r="FW138" i="4"/>
  <c r="FV138" i="4"/>
  <c r="FU138" i="4"/>
  <c r="FT138" i="4"/>
  <c r="FS138" i="4"/>
  <c r="FR138" i="4"/>
  <c r="FQ138" i="4"/>
  <c r="FP138" i="4"/>
  <c r="FO138" i="4"/>
  <c r="FN138" i="4"/>
  <c r="FM138" i="4"/>
  <c r="FL138" i="4"/>
  <c r="FK138" i="4"/>
  <c r="FJ138" i="4"/>
  <c r="FI138" i="4"/>
  <c r="FH138" i="4"/>
  <c r="FG138" i="4"/>
  <c r="FF138" i="4"/>
  <c r="FE138" i="4"/>
  <c r="FD138" i="4"/>
  <c r="FC138" i="4"/>
  <c r="FB138" i="4"/>
  <c r="FA138" i="4"/>
  <c r="EZ138" i="4"/>
  <c r="EY138" i="4"/>
  <c r="EX138" i="4"/>
  <c r="EW138" i="4"/>
  <c r="EV138" i="4"/>
  <c r="EU138" i="4"/>
  <c r="ET138" i="4"/>
  <c r="ES138" i="4"/>
  <c r="ER138" i="4"/>
  <c r="EQ138" i="4"/>
  <c r="EP138" i="4"/>
  <c r="EO138" i="4"/>
  <c r="EN138" i="4"/>
  <c r="EM138" i="4"/>
  <c r="EL138" i="4"/>
  <c r="EK138" i="4"/>
  <c r="EJ138" i="4"/>
  <c r="EI138" i="4"/>
  <c r="EH138" i="4"/>
  <c r="EG138" i="4"/>
  <c r="EF138" i="4"/>
  <c r="EE138" i="4"/>
  <c r="ED138" i="4"/>
  <c r="EC138" i="4"/>
  <c r="EB138" i="4"/>
  <c r="EA138" i="4"/>
  <c r="DZ138" i="4"/>
  <c r="DY138" i="4"/>
  <c r="DX138" i="4"/>
  <c r="DW138" i="4"/>
  <c r="DV138" i="4"/>
  <c r="DU138" i="4"/>
  <c r="DT138" i="4"/>
  <c r="DS138" i="4"/>
  <c r="DR138" i="4"/>
  <c r="DQ138" i="4"/>
  <c r="DP138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IV137" i="4"/>
  <c r="IU137" i="4"/>
  <c r="IT137" i="4"/>
  <c r="IS137" i="4"/>
  <c r="IR137" i="4"/>
  <c r="IQ137" i="4"/>
  <c r="IP137" i="4"/>
  <c r="IO137" i="4"/>
  <c r="IN137" i="4"/>
  <c r="IM137" i="4"/>
  <c r="IL137" i="4"/>
  <c r="IK137" i="4"/>
  <c r="IJ137" i="4"/>
  <c r="II137" i="4"/>
  <c r="IH137" i="4"/>
  <c r="IG137" i="4"/>
  <c r="IF137" i="4"/>
  <c r="IE137" i="4"/>
  <c r="ID137" i="4"/>
  <c r="IC137" i="4"/>
  <c r="IB137" i="4"/>
  <c r="IA137" i="4"/>
  <c r="HZ137" i="4"/>
  <c r="HY137" i="4"/>
  <c r="HX137" i="4"/>
  <c r="HW137" i="4"/>
  <c r="HV137" i="4"/>
  <c r="HU137" i="4"/>
  <c r="HT137" i="4"/>
  <c r="HS137" i="4"/>
  <c r="HR137" i="4"/>
  <c r="HQ137" i="4"/>
  <c r="HP137" i="4"/>
  <c r="HO137" i="4"/>
  <c r="HN137" i="4"/>
  <c r="HM137" i="4"/>
  <c r="HL137" i="4"/>
  <c r="HK137" i="4"/>
  <c r="HJ137" i="4"/>
  <c r="HI137" i="4"/>
  <c r="HH137" i="4"/>
  <c r="HG137" i="4"/>
  <c r="HF137" i="4"/>
  <c r="HE137" i="4"/>
  <c r="HD137" i="4"/>
  <c r="HC137" i="4"/>
  <c r="HB137" i="4"/>
  <c r="HA137" i="4"/>
  <c r="GZ137" i="4"/>
  <c r="GY137" i="4"/>
  <c r="GX137" i="4"/>
  <c r="GW137" i="4"/>
  <c r="GV137" i="4"/>
  <c r="GU137" i="4"/>
  <c r="GT137" i="4"/>
  <c r="GS137" i="4"/>
  <c r="GR137" i="4"/>
  <c r="GQ137" i="4"/>
  <c r="GP137" i="4"/>
  <c r="GO137" i="4"/>
  <c r="GN137" i="4"/>
  <c r="GM137" i="4"/>
  <c r="GL137" i="4"/>
  <c r="GK137" i="4"/>
  <c r="GJ137" i="4"/>
  <c r="GI137" i="4"/>
  <c r="GH137" i="4"/>
  <c r="GG137" i="4"/>
  <c r="GF137" i="4"/>
  <c r="GE137" i="4"/>
  <c r="GD137" i="4"/>
  <c r="GC137" i="4"/>
  <c r="GB137" i="4"/>
  <c r="GA137" i="4"/>
  <c r="FZ137" i="4"/>
  <c r="FY137" i="4"/>
  <c r="FX137" i="4"/>
  <c r="FW137" i="4"/>
  <c r="FV137" i="4"/>
  <c r="FU137" i="4"/>
  <c r="FT137" i="4"/>
  <c r="FS137" i="4"/>
  <c r="FR137" i="4"/>
  <c r="FQ137" i="4"/>
  <c r="FP137" i="4"/>
  <c r="FO137" i="4"/>
  <c r="FN137" i="4"/>
  <c r="FM137" i="4"/>
  <c r="FL137" i="4"/>
  <c r="FK137" i="4"/>
  <c r="FJ137" i="4"/>
  <c r="FI137" i="4"/>
  <c r="FH137" i="4"/>
  <c r="FG137" i="4"/>
  <c r="FF137" i="4"/>
  <c r="FE137" i="4"/>
  <c r="FD137" i="4"/>
  <c r="FC137" i="4"/>
  <c r="FB137" i="4"/>
  <c r="FA137" i="4"/>
  <c r="EZ137" i="4"/>
  <c r="EY137" i="4"/>
  <c r="EX137" i="4"/>
  <c r="EW137" i="4"/>
  <c r="EV137" i="4"/>
  <c r="EU137" i="4"/>
  <c r="ET137" i="4"/>
  <c r="ES137" i="4"/>
  <c r="ER137" i="4"/>
  <c r="EQ137" i="4"/>
  <c r="EP137" i="4"/>
  <c r="EO137" i="4"/>
  <c r="EN137" i="4"/>
  <c r="EM137" i="4"/>
  <c r="EL137" i="4"/>
  <c r="EK137" i="4"/>
  <c r="EJ137" i="4"/>
  <c r="EI137" i="4"/>
  <c r="EH137" i="4"/>
  <c r="EG137" i="4"/>
  <c r="EF137" i="4"/>
  <c r="EE137" i="4"/>
  <c r="ED137" i="4"/>
  <c r="EC137" i="4"/>
  <c r="EB137" i="4"/>
  <c r="EA137" i="4"/>
  <c r="DZ137" i="4"/>
  <c r="DY137" i="4"/>
  <c r="DX137" i="4"/>
  <c r="DW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IV136" i="4"/>
  <c r="IU136" i="4"/>
  <c r="IT136" i="4"/>
  <c r="IS136" i="4"/>
  <c r="IR136" i="4"/>
  <c r="IQ136" i="4"/>
  <c r="IP136" i="4"/>
  <c r="IO136" i="4"/>
  <c r="IN136" i="4"/>
  <c r="IM136" i="4"/>
  <c r="IL136" i="4"/>
  <c r="IK136" i="4"/>
  <c r="IJ136" i="4"/>
  <c r="II136" i="4"/>
  <c r="IH136" i="4"/>
  <c r="IG136" i="4"/>
  <c r="IF136" i="4"/>
  <c r="IE136" i="4"/>
  <c r="ID136" i="4"/>
  <c r="IC136" i="4"/>
  <c r="IB136" i="4"/>
  <c r="IA136" i="4"/>
  <c r="HZ136" i="4"/>
  <c r="HY136" i="4"/>
  <c r="HX136" i="4"/>
  <c r="HW136" i="4"/>
  <c r="HV136" i="4"/>
  <c r="HU136" i="4"/>
  <c r="HT136" i="4"/>
  <c r="HS136" i="4"/>
  <c r="HR136" i="4"/>
  <c r="HQ136" i="4"/>
  <c r="HP136" i="4"/>
  <c r="HO136" i="4"/>
  <c r="HN136" i="4"/>
  <c r="HM136" i="4"/>
  <c r="HL136" i="4"/>
  <c r="HK136" i="4"/>
  <c r="HJ136" i="4"/>
  <c r="HI136" i="4"/>
  <c r="HH136" i="4"/>
  <c r="HG136" i="4"/>
  <c r="HF136" i="4"/>
  <c r="HE136" i="4"/>
  <c r="HD136" i="4"/>
  <c r="HC136" i="4"/>
  <c r="HB136" i="4"/>
  <c r="HA136" i="4"/>
  <c r="GZ136" i="4"/>
  <c r="GY136" i="4"/>
  <c r="GX136" i="4"/>
  <c r="GW136" i="4"/>
  <c r="GV136" i="4"/>
  <c r="GU136" i="4"/>
  <c r="GT136" i="4"/>
  <c r="GS136" i="4"/>
  <c r="GR136" i="4"/>
  <c r="GQ136" i="4"/>
  <c r="GP136" i="4"/>
  <c r="GO136" i="4"/>
  <c r="GN136" i="4"/>
  <c r="GM136" i="4"/>
  <c r="GL136" i="4"/>
  <c r="GK136" i="4"/>
  <c r="GJ136" i="4"/>
  <c r="GI136" i="4"/>
  <c r="GH136" i="4"/>
  <c r="GG136" i="4"/>
  <c r="GF136" i="4"/>
  <c r="GE136" i="4"/>
  <c r="GD136" i="4"/>
  <c r="GC136" i="4"/>
  <c r="GB136" i="4"/>
  <c r="GA136" i="4"/>
  <c r="FZ136" i="4"/>
  <c r="FY136" i="4"/>
  <c r="FX136" i="4"/>
  <c r="FW136" i="4"/>
  <c r="FV136" i="4"/>
  <c r="FU136" i="4"/>
  <c r="FT136" i="4"/>
  <c r="FS136" i="4"/>
  <c r="FR136" i="4"/>
  <c r="FQ136" i="4"/>
  <c r="FP136" i="4"/>
  <c r="FO136" i="4"/>
  <c r="FN136" i="4"/>
  <c r="FM136" i="4"/>
  <c r="FL136" i="4"/>
  <c r="FK136" i="4"/>
  <c r="FJ136" i="4"/>
  <c r="FI136" i="4"/>
  <c r="FH136" i="4"/>
  <c r="FG136" i="4"/>
  <c r="FF136" i="4"/>
  <c r="FE136" i="4"/>
  <c r="FD136" i="4"/>
  <c r="FC136" i="4"/>
  <c r="FB136" i="4"/>
  <c r="FA136" i="4"/>
  <c r="EZ136" i="4"/>
  <c r="EY136" i="4"/>
  <c r="EX136" i="4"/>
  <c r="EW136" i="4"/>
  <c r="EV136" i="4"/>
  <c r="EU136" i="4"/>
  <c r="ET136" i="4"/>
  <c r="ES136" i="4"/>
  <c r="ER136" i="4"/>
  <c r="EQ136" i="4"/>
  <c r="EP136" i="4"/>
  <c r="EO136" i="4"/>
  <c r="EN136" i="4"/>
  <c r="EM136" i="4"/>
  <c r="EL136" i="4"/>
  <c r="EK136" i="4"/>
  <c r="EJ136" i="4"/>
  <c r="EI136" i="4"/>
  <c r="EH136" i="4"/>
  <c r="EG136" i="4"/>
  <c r="EF136" i="4"/>
  <c r="EE136" i="4"/>
  <c r="ED136" i="4"/>
  <c r="EC136" i="4"/>
  <c r="EB136" i="4"/>
  <c r="EA136" i="4"/>
  <c r="DZ136" i="4"/>
  <c r="DY136" i="4"/>
  <c r="DX136" i="4"/>
  <c r="DW136" i="4"/>
  <c r="DV136" i="4"/>
  <c r="DU136" i="4"/>
  <c r="DT136" i="4"/>
  <c r="DS136" i="4"/>
  <c r="DR136" i="4"/>
  <c r="DQ136" i="4"/>
  <c r="DP136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IV135" i="4"/>
  <c r="IU135" i="4"/>
  <c r="IT135" i="4"/>
  <c r="IS135" i="4"/>
  <c r="IR135" i="4"/>
  <c r="IQ135" i="4"/>
  <c r="IP135" i="4"/>
  <c r="IO135" i="4"/>
  <c r="IN135" i="4"/>
  <c r="IM135" i="4"/>
  <c r="IL135" i="4"/>
  <c r="IK135" i="4"/>
  <c r="IJ135" i="4"/>
  <c r="II135" i="4"/>
  <c r="IH135" i="4"/>
  <c r="IG135" i="4"/>
  <c r="IF135" i="4"/>
  <c r="IE135" i="4"/>
  <c r="ID135" i="4"/>
  <c r="IC135" i="4"/>
  <c r="IB135" i="4"/>
  <c r="IA135" i="4"/>
  <c r="HZ135" i="4"/>
  <c r="HY135" i="4"/>
  <c r="HX135" i="4"/>
  <c r="HW135" i="4"/>
  <c r="HV135" i="4"/>
  <c r="HU135" i="4"/>
  <c r="HT135" i="4"/>
  <c r="HS135" i="4"/>
  <c r="HR135" i="4"/>
  <c r="HQ135" i="4"/>
  <c r="HP135" i="4"/>
  <c r="HO135" i="4"/>
  <c r="HN135" i="4"/>
  <c r="HM135" i="4"/>
  <c r="HL135" i="4"/>
  <c r="HK135" i="4"/>
  <c r="HJ135" i="4"/>
  <c r="HI135" i="4"/>
  <c r="HH135" i="4"/>
  <c r="HG135" i="4"/>
  <c r="HF135" i="4"/>
  <c r="HE135" i="4"/>
  <c r="HD135" i="4"/>
  <c r="HC135" i="4"/>
  <c r="HB135" i="4"/>
  <c r="HA135" i="4"/>
  <c r="GZ135" i="4"/>
  <c r="GY135" i="4"/>
  <c r="GX135" i="4"/>
  <c r="GW135" i="4"/>
  <c r="GV135" i="4"/>
  <c r="GU135" i="4"/>
  <c r="GT135" i="4"/>
  <c r="GS135" i="4"/>
  <c r="GR135" i="4"/>
  <c r="GQ135" i="4"/>
  <c r="GP135" i="4"/>
  <c r="GO135" i="4"/>
  <c r="GN135" i="4"/>
  <c r="GM135" i="4"/>
  <c r="GL135" i="4"/>
  <c r="GK135" i="4"/>
  <c r="GJ135" i="4"/>
  <c r="GI135" i="4"/>
  <c r="GH135" i="4"/>
  <c r="GG135" i="4"/>
  <c r="GF135" i="4"/>
  <c r="GE135" i="4"/>
  <c r="GD135" i="4"/>
  <c r="GC135" i="4"/>
  <c r="GB135" i="4"/>
  <c r="GA135" i="4"/>
  <c r="FZ135" i="4"/>
  <c r="FY135" i="4"/>
  <c r="FX135" i="4"/>
  <c r="FW135" i="4"/>
  <c r="FV135" i="4"/>
  <c r="FU135" i="4"/>
  <c r="FT135" i="4"/>
  <c r="FS135" i="4"/>
  <c r="FR135" i="4"/>
  <c r="FQ135" i="4"/>
  <c r="FP135" i="4"/>
  <c r="FO135" i="4"/>
  <c r="FN135" i="4"/>
  <c r="FM135" i="4"/>
  <c r="FL135" i="4"/>
  <c r="FK135" i="4"/>
  <c r="FJ135" i="4"/>
  <c r="FI135" i="4"/>
  <c r="FH135" i="4"/>
  <c r="FG135" i="4"/>
  <c r="FF135" i="4"/>
  <c r="FE135" i="4"/>
  <c r="FD135" i="4"/>
  <c r="FC135" i="4"/>
  <c r="FB135" i="4"/>
  <c r="FA135" i="4"/>
  <c r="EZ135" i="4"/>
  <c r="EY135" i="4"/>
  <c r="EX135" i="4"/>
  <c r="EW135" i="4"/>
  <c r="EV135" i="4"/>
  <c r="EU135" i="4"/>
  <c r="ET135" i="4"/>
  <c r="ES135" i="4"/>
  <c r="ER135" i="4"/>
  <c r="EQ135" i="4"/>
  <c r="EP135" i="4"/>
  <c r="EO135" i="4"/>
  <c r="EN135" i="4"/>
  <c r="EM135" i="4"/>
  <c r="EL135" i="4"/>
  <c r="EK135" i="4"/>
  <c r="EJ135" i="4"/>
  <c r="EI135" i="4"/>
  <c r="EH135" i="4"/>
  <c r="EG135" i="4"/>
  <c r="EF135" i="4"/>
  <c r="EE135" i="4"/>
  <c r="ED135" i="4"/>
  <c r="EC135" i="4"/>
  <c r="EB135" i="4"/>
  <c r="EA135" i="4"/>
  <c r="DZ135" i="4"/>
  <c r="DY135" i="4"/>
  <c r="DX135" i="4"/>
  <c r="DW135" i="4"/>
  <c r="DV135" i="4"/>
  <c r="DU135" i="4"/>
  <c r="DT135" i="4"/>
  <c r="DS135" i="4"/>
  <c r="DR135" i="4"/>
  <c r="DQ135" i="4"/>
  <c r="DP135" i="4"/>
  <c r="DO135" i="4"/>
  <c r="DN135" i="4"/>
  <c r="DM135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IV134" i="4"/>
  <c r="IU134" i="4"/>
  <c r="IT134" i="4"/>
  <c r="IS134" i="4"/>
  <c r="IR134" i="4"/>
  <c r="IQ134" i="4"/>
  <c r="IP134" i="4"/>
  <c r="IO134" i="4"/>
  <c r="IN134" i="4"/>
  <c r="IM134" i="4"/>
  <c r="IL134" i="4"/>
  <c r="IK134" i="4"/>
  <c r="IJ134" i="4"/>
  <c r="II134" i="4"/>
  <c r="IH134" i="4"/>
  <c r="IG134" i="4"/>
  <c r="IF134" i="4"/>
  <c r="IE134" i="4"/>
  <c r="ID134" i="4"/>
  <c r="IC134" i="4"/>
  <c r="IB134" i="4"/>
  <c r="IA134" i="4"/>
  <c r="HZ134" i="4"/>
  <c r="HY134" i="4"/>
  <c r="HX134" i="4"/>
  <c r="HW134" i="4"/>
  <c r="HV134" i="4"/>
  <c r="HU134" i="4"/>
  <c r="HT134" i="4"/>
  <c r="HS134" i="4"/>
  <c r="HR134" i="4"/>
  <c r="HQ134" i="4"/>
  <c r="HP134" i="4"/>
  <c r="HO134" i="4"/>
  <c r="HN134" i="4"/>
  <c r="HM134" i="4"/>
  <c r="HL134" i="4"/>
  <c r="HK134" i="4"/>
  <c r="HJ134" i="4"/>
  <c r="HI134" i="4"/>
  <c r="HH134" i="4"/>
  <c r="HG134" i="4"/>
  <c r="HF134" i="4"/>
  <c r="HE134" i="4"/>
  <c r="HD134" i="4"/>
  <c r="HC134" i="4"/>
  <c r="HB134" i="4"/>
  <c r="HA134" i="4"/>
  <c r="GZ134" i="4"/>
  <c r="GY134" i="4"/>
  <c r="GX134" i="4"/>
  <c r="GW134" i="4"/>
  <c r="GV134" i="4"/>
  <c r="GU134" i="4"/>
  <c r="GT134" i="4"/>
  <c r="GS134" i="4"/>
  <c r="GR134" i="4"/>
  <c r="GQ134" i="4"/>
  <c r="GP134" i="4"/>
  <c r="GO134" i="4"/>
  <c r="GN134" i="4"/>
  <c r="GM134" i="4"/>
  <c r="GL134" i="4"/>
  <c r="GK134" i="4"/>
  <c r="GJ134" i="4"/>
  <c r="GI134" i="4"/>
  <c r="GH134" i="4"/>
  <c r="GG134" i="4"/>
  <c r="GF134" i="4"/>
  <c r="GE134" i="4"/>
  <c r="GD134" i="4"/>
  <c r="GC134" i="4"/>
  <c r="GB134" i="4"/>
  <c r="GA134" i="4"/>
  <c r="FZ134" i="4"/>
  <c r="FY134" i="4"/>
  <c r="FX134" i="4"/>
  <c r="FW134" i="4"/>
  <c r="FV134" i="4"/>
  <c r="FU134" i="4"/>
  <c r="FT134" i="4"/>
  <c r="FS134" i="4"/>
  <c r="FR134" i="4"/>
  <c r="FQ134" i="4"/>
  <c r="FP134" i="4"/>
  <c r="FO134" i="4"/>
  <c r="FN134" i="4"/>
  <c r="FM134" i="4"/>
  <c r="FL134" i="4"/>
  <c r="FK134" i="4"/>
  <c r="FJ134" i="4"/>
  <c r="FI134" i="4"/>
  <c r="FH134" i="4"/>
  <c r="FG134" i="4"/>
  <c r="FF134" i="4"/>
  <c r="FE134" i="4"/>
  <c r="FD134" i="4"/>
  <c r="FC134" i="4"/>
  <c r="FB134" i="4"/>
  <c r="FA134" i="4"/>
  <c r="EZ134" i="4"/>
  <c r="EY134" i="4"/>
  <c r="EX134" i="4"/>
  <c r="EW134" i="4"/>
  <c r="EV134" i="4"/>
  <c r="EU134" i="4"/>
  <c r="ET134" i="4"/>
  <c r="ES134" i="4"/>
  <c r="ER134" i="4"/>
  <c r="EQ134" i="4"/>
  <c r="EP134" i="4"/>
  <c r="EO134" i="4"/>
  <c r="EN134" i="4"/>
  <c r="EM134" i="4"/>
  <c r="EL134" i="4"/>
  <c r="EK134" i="4"/>
  <c r="EJ134" i="4"/>
  <c r="EI134" i="4"/>
  <c r="EH134" i="4"/>
  <c r="EG134" i="4"/>
  <c r="EF134" i="4"/>
  <c r="EE134" i="4"/>
  <c r="ED134" i="4"/>
  <c r="EC134" i="4"/>
  <c r="EB134" i="4"/>
  <c r="EA134" i="4"/>
  <c r="DZ134" i="4"/>
  <c r="DY134" i="4"/>
  <c r="DX134" i="4"/>
  <c r="DW134" i="4"/>
  <c r="DV134" i="4"/>
  <c r="DU134" i="4"/>
  <c r="DT134" i="4"/>
  <c r="DS134" i="4"/>
  <c r="DR134" i="4"/>
  <c r="DQ134" i="4"/>
  <c r="DP134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IV133" i="4"/>
  <c r="IU133" i="4"/>
  <c r="IT133" i="4"/>
  <c r="IS133" i="4"/>
  <c r="IR133" i="4"/>
  <c r="IQ133" i="4"/>
  <c r="IP133" i="4"/>
  <c r="IO133" i="4"/>
  <c r="IN133" i="4"/>
  <c r="IM133" i="4"/>
  <c r="IL133" i="4"/>
  <c r="IK133" i="4"/>
  <c r="IJ133" i="4"/>
  <c r="II133" i="4"/>
  <c r="IH133" i="4"/>
  <c r="IG133" i="4"/>
  <c r="IF133" i="4"/>
  <c r="IE133" i="4"/>
  <c r="ID133" i="4"/>
  <c r="IC133" i="4"/>
  <c r="IB133" i="4"/>
  <c r="IA133" i="4"/>
  <c r="HZ133" i="4"/>
  <c r="HY133" i="4"/>
  <c r="HX133" i="4"/>
  <c r="HW133" i="4"/>
  <c r="HV133" i="4"/>
  <c r="HU133" i="4"/>
  <c r="HT133" i="4"/>
  <c r="HS133" i="4"/>
  <c r="HR133" i="4"/>
  <c r="HQ133" i="4"/>
  <c r="HP133" i="4"/>
  <c r="HO133" i="4"/>
  <c r="HN133" i="4"/>
  <c r="HM133" i="4"/>
  <c r="HL133" i="4"/>
  <c r="HK133" i="4"/>
  <c r="HJ133" i="4"/>
  <c r="HI133" i="4"/>
  <c r="HH133" i="4"/>
  <c r="HG133" i="4"/>
  <c r="HF133" i="4"/>
  <c r="HE133" i="4"/>
  <c r="HD133" i="4"/>
  <c r="HC133" i="4"/>
  <c r="HB133" i="4"/>
  <c r="HA133" i="4"/>
  <c r="GZ133" i="4"/>
  <c r="GY133" i="4"/>
  <c r="GX133" i="4"/>
  <c r="GW133" i="4"/>
  <c r="GV133" i="4"/>
  <c r="GU133" i="4"/>
  <c r="GT133" i="4"/>
  <c r="GS133" i="4"/>
  <c r="GR133" i="4"/>
  <c r="GQ133" i="4"/>
  <c r="GP133" i="4"/>
  <c r="GO133" i="4"/>
  <c r="GN133" i="4"/>
  <c r="GM133" i="4"/>
  <c r="GL133" i="4"/>
  <c r="GK133" i="4"/>
  <c r="GJ133" i="4"/>
  <c r="GI133" i="4"/>
  <c r="GH133" i="4"/>
  <c r="GG133" i="4"/>
  <c r="GF133" i="4"/>
  <c r="GE133" i="4"/>
  <c r="GD133" i="4"/>
  <c r="GC133" i="4"/>
  <c r="GB133" i="4"/>
  <c r="GA133" i="4"/>
  <c r="FZ133" i="4"/>
  <c r="FY133" i="4"/>
  <c r="FX133" i="4"/>
  <c r="FW133" i="4"/>
  <c r="FV133" i="4"/>
  <c r="FU133" i="4"/>
  <c r="FT133" i="4"/>
  <c r="FS133" i="4"/>
  <c r="FR133" i="4"/>
  <c r="FQ133" i="4"/>
  <c r="FP133" i="4"/>
  <c r="FO133" i="4"/>
  <c r="FN133" i="4"/>
  <c r="FM133" i="4"/>
  <c r="FL133" i="4"/>
  <c r="FK133" i="4"/>
  <c r="FJ133" i="4"/>
  <c r="FI133" i="4"/>
  <c r="FH133" i="4"/>
  <c r="FG133" i="4"/>
  <c r="FF133" i="4"/>
  <c r="FE133" i="4"/>
  <c r="FD133" i="4"/>
  <c r="FC133" i="4"/>
  <c r="FB133" i="4"/>
  <c r="FA133" i="4"/>
  <c r="EZ133" i="4"/>
  <c r="EY133" i="4"/>
  <c r="EX133" i="4"/>
  <c r="EW133" i="4"/>
  <c r="EV133" i="4"/>
  <c r="EU133" i="4"/>
  <c r="ET133" i="4"/>
  <c r="ES133" i="4"/>
  <c r="ER133" i="4"/>
  <c r="EQ133" i="4"/>
  <c r="EP133" i="4"/>
  <c r="EO133" i="4"/>
  <c r="EN133" i="4"/>
  <c r="EM133" i="4"/>
  <c r="EL133" i="4"/>
  <c r="EK133" i="4"/>
  <c r="EJ133" i="4"/>
  <c r="EI133" i="4"/>
  <c r="EH133" i="4"/>
  <c r="EG133" i="4"/>
  <c r="EF133" i="4"/>
  <c r="EE133" i="4"/>
  <c r="ED133" i="4"/>
  <c r="EC133" i="4"/>
  <c r="EB133" i="4"/>
  <c r="EA133" i="4"/>
  <c r="DZ133" i="4"/>
  <c r="DY133" i="4"/>
  <c r="DX133" i="4"/>
  <c r="DW133" i="4"/>
  <c r="DV133" i="4"/>
  <c r="DU133" i="4"/>
  <c r="DT133" i="4"/>
  <c r="DS133" i="4"/>
  <c r="DR133" i="4"/>
  <c r="DQ133" i="4"/>
  <c r="DP133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IV132" i="4"/>
  <c r="IU132" i="4"/>
  <c r="IT132" i="4"/>
  <c r="IS132" i="4"/>
  <c r="IR132" i="4"/>
  <c r="IQ132" i="4"/>
  <c r="IP132" i="4"/>
  <c r="IO132" i="4"/>
  <c r="IN132" i="4"/>
  <c r="IM132" i="4"/>
  <c r="IL132" i="4"/>
  <c r="IK132" i="4"/>
  <c r="IJ132" i="4"/>
  <c r="II132" i="4"/>
  <c r="IH132" i="4"/>
  <c r="IG132" i="4"/>
  <c r="IF132" i="4"/>
  <c r="IE132" i="4"/>
  <c r="ID132" i="4"/>
  <c r="IC132" i="4"/>
  <c r="IB132" i="4"/>
  <c r="IA132" i="4"/>
  <c r="HZ132" i="4"/>
  <c r="HY132" i="4"/>
  <c r="HX132" i="4"/>
  <c r="HW132" i="4"/>
  <c r="HV132" i="4"/>
  <c r="HU132" i="4"/>
  <c r="HT132" i="4"/>
  <c r="HS132" i="4"/>
  <c r="HR132" i="4"/>
  <c r="HQ132" i="4"/>
  <c r="HP132" i="4"/>
  <c r="HO132" i="4"/>
  <c r="HN132" i="4"/>
  <c r="HM132" i="4"/>
  <c r="HL132" i="4"/>
  <c r="HK132" i="4"/>
  <c r="HJ132" i="4"/>
  <c r="HI132" i="4"/>
  <c r="HH132" i="4"/>
  <c r="HG132" i="4"/>
  <c r="HF132" i="4"/>
  <c r="HE132" i="4"/>
  <c r="HD132" i="4"/>
  <c r="HC132" i="4"/>
  <c r="HB132" i="4"/>
  <c r="HA132" i="4"/>
  <c r="GZ132" i="4"/>
  <c r="GY132" i="4"/>
  <c r="GX132" i="4"/>
  <c r="GW132" i="4"/>
  <c r="GV132" i="4"/>
  <c r="GU132" i="4"/>
  <c r="GT132" i="4"/>
  <c r="GS132" i="4"/>
  <c r="GR132" i="4"/>
  <c r="GQ132" i="4"/>
  <c r="GP132" i="4"/>
  <c r="GO132" i="4"/>
  <c r="GN132" i="4"/>
  <c r="GM132" i="4"/>
  <c r="GL132" i="4"/>
  <c r="GK132" i="4"/>
  <c r="GJ132" i="4"/>
  <c r="GI132" i="4"/>
  <c r="GH132" i="4"/>
  <c r="GG132" i="4"/>
  <c r="GF132" i="4"/>
  <c r="GE132" i="4"/>
  <c r="GD132" i="4"/>
  <c r="GC132" i="4"/>
  <c r="GB132" i="4"/>
  <c r="GA132" i="4"/>
  <c r="FZ132" i="4"/>
  <c r="FY132" i="4"/>
  <c r="FX132" i="4"/>
  <c r="FW132" i="4"/>
  <c r="FV132" i="4"/>
  <c r="FU132" i="4"/>
  <c r="FT132" i="4"/>
  <c r="FS132" i="4"/>
  <c r="FR132" i="4"/>
  <c r="FQ132" i="4"/>
  <c r="FP132" i="4"/>
  <c r="FO132" i="4"/>
  <c r="FN132" i="4"/>
  <c r="FM132" i="4"/>
  <c r="FL132" i="4"/>
  <c r="FK132" i="4"/>
  <c r="FJ132" i="4"/>
  <c r="FI132" i="4"/>
  <c r="FH132" i="4"/>
  <c r="FG132" i="4"/>
  <c r="FF132" i="4"/>
  <c r="FE132" i="4"/>
  <c r="FD132" i="4"/>
  <c r="FC132" i="4"/>
  <c r="FB132" i="4"/>
  <c r="FA132" i="4"/>
  <c r="EZ132" i="4"/>
  <c r="EY132" i="4"/>
  <c r="EX132" i="4"/>
  <c r="EW132" i="4"/>
  <c r="EV132" i="4"/>
  <c r="EU132" i="4"/>
  <c r="ET132" i="4"/>
  <c r="ES132" i="4"/>
  <c r="ER132" i="4"/>
  <c r="EQ132" i="4"/>
  <c r="EP132" i="4"/>
  <c r="EO132" i="4"/>
  <c r="EN132" i="4"/>
  <c r="EM132" i="4"/>
  <c r="EL132" i="4"/>
  <c r="EK132" i="4"/>
  <c r="EJ132" i="4"/>
  <c r="EI132" i="4"/>
  <c r="EH132" i="4"/>
  <c r="EG132" i="4"/>
  <c r="EF132" i="4"/>
  <c r="EE132" i="4"/>
  <c r="ED132" i="4"/>
  <c r="EC132" i="4"/>
  <c r="EB132" i="4"/>
  <c r="EA132" i="4"/>
  <c r="DZ132" i="4"/>
  <c r="DY132" i="4"/>
  <c r="DX132" i="4"/>
  <c r="DV132" i="4"/>
  <c r="DU132" i="4"/>
  <c r="DT132" i="4"/>
  <c r="DS132" i="4"/>
  <c r="DR132" i="4"/>
  <c r="DQ132" i="4"/>
  <c r="DP132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IV131" i="4"/>
  <c r="IU131" i="4"/>
  <c r="IT131" i="4"/>
  <c r="IS131" i="4"/>
  <c r="IR131" i="4"/>
  <c r="IQ131" i="4"/>
  <c r="IP131" i="4"/>
  <c r="IO131" i="4"/>
  <c r="IN131" i="4"/>
  <c r="IM131" i="4"/>
  <c r="IL131" i="4"/>
  <c r="IK131" i="4"/>
  <c r="IJ131" i="4"/>
  <c r="II131" i="4"/>
  <c r="IH131" i="4"/>
  <c r="IG131" i="4"/>
  <c r="IF131" i="4"/>
  <c r="IE131" i="4"/>
  <c r="ID131" i="4"/>
  <c r="IC131" i="4"/>
  <c r="IB131" i="4"/>
  <c r="IA131" i="4"/>
  <c r="HZ131" i="4"/>
  <c r="HY131" i="4"/>
  <c r="HX131" i="4"/>
  <c r="HW131" i="4"/>
  <c r="HV131" i="4"/>
  <c r="HU131" i="4"/>
  <c r="HT131" i="4"/>
  <c r="HS131" i="4"/>
  <c r="HR131" i="4"/>
  <c r="HQ131" i="4"/>
  <c r="HP131" i="4"/>
  <c r="HO131" i="4"/>
  <c r="HN131" i="4"/>
  <c r="HM131" i="4"/>
  <c r="HL131" i="4"/>
  <c r="HK131" i="4"/>
  <c r="HJ131" i="4"/>
  <c r="HI131" i="4"/>
  <c r="HH131" i="4"/>
  <c r="HG131" i="4"/>
  <c r="HF131" i="4"/>
  <c r="HE131" i="4"/>
  <c r="HD131" i="4"/>
  <c r="HC131" i="4"/>
  <c r="HB131" i="4"/>
  <c r="HA131" i="4"/>
  <c r="GZ131" i="4"/>
  <c r="GY131" i="4"/>
  <c r="GX131" i="4"/>
  <c r="GW131" i="4"/>
  <c r="GV131" i="4"/>
  <c r="GU131" i="4"/>
  <c r="GT131" i="4"/>
  <c r="GS131" i="4"/>
  <c r="GR131" i="4"/>
  <c r="GQ131" i="4"/>
  <c r="GP131" i="4"/>
  <c r="GO131" i="4"/>
  <c r="GN131" i="4"/>
  <c r="GM131" i="4"/>
  <c r="GL131" i="4"/>
  <c r="GK131" i="4"/>
  <c r="GJ131" i="4"/>
  <c r="GI131" i="4"/>
  <c r="GH131" i="4"/>
  <c r="GG131" i="4"/>
  <c r="GF131" i="4"/>
  <c r="GE131" i="4"/>
  <c r="GD131" i="4"/>
  <c r="GC131" i="4"/>
  <c r="GB131" i="4"/>
  <c r="GA131" i="4"/>
  <c r="FZ131" i="4"/>
  <c r="FY131" i="4"/>
  <c r="FX131" i="4"/>
  <c r="FW131" i="4"/>
  <c r="FV131" i="4"/>
  <c r="FU131" i="4"/>
  <c r="FT131" i="4"/>
  <c r="FS131" i="4"/>
  <c r="FR131" i="4"/>
  <c r="FQ131" i="4"/>
  <c r="FP131" i="4"/>
  <c r="FO131" i="4"/>
  <c r="FN131" i="4"/>
  <c r="FM131" i="4"/>
  <c r="FL131" i="4"/>
  <c r="FK131" i="4"/>
  <c r="FJ131" i="4"/>
  <c r="FI131" i="4"/>
  <c r="FH131" i="4"/>
  <c r="FG131" i="4"/>
  <c r="FF131" i="4"/>
  <c r="FE131" i="4"/>
  <c r="FD131" i="4"/>
  <c r="FC131" i="4"/>
  <c r="FB131" i="4"/>
  <c r="FA131" i="4"/>
  <c r="EZ131" i="4"/>
  <c r="EY131" i="4"/>
  <c r="EX131" i="4"/>
  <c r="EW131" i="4"/>
  <c r="EV131" i="4"/>
  <c r="EU131" i="4"/>
  <c r="ET131" i="4"/>
  <c r="ES131" i="4"/>
  <c r="ER131" i="4"/>
  <c r="EQ131" i="4"/>
  <c r="EP131" i="4"/>
  <c r="EO131" i="4"/>
  <c r="EN131" i="4"/>
  <c r="EM131" i="4"/>
  <c r="EL131" i="4"/>
  <c r="EK131" i="4"/>
  <c r="EJ131" i="4"/>
  <c r="EI131" i="4"/>
  <c r="EH131" i="4"/>
  <c r="EG131" i="4"/>
  <c r="EF131" i="4"/>
  <c r="EE131" i="4"/>
  <c r="ED131" i="4"/>
  <c r="EC131" i="4"/>
  <c r="EB131" i="4"/>
  <c r="EA131" i="4"/>
  <c r="DZ131" i="4"/>
  <c r="DY131" i="4"/>
  <c r="DX131" i="4"/>
  <c r="DW131" i="4"/>
  <c r="DV131" i="4"/>
  <c r="DU131" i="4"/>
  <c r="DT131" i="4"/>
  <c r="DS131" i="4"/>
  <c r="DR131" i="4"/>
  <c r="DQ131" i="4"/>
  <c r="DP131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IV130" i="4"/>
  <c r="IU130" i="4"/>
  <c r="IT130" i="4"/>
  <c r="IS130" i="4"/>
  <c r="IR130" i="4"/>
  <c r="IQ130" i="4"/>
  <c r="IP130" i="4"/>
  <c r="IO130" i="4"/>
  <c r="IN130" i="4"/>
  <c r="IM130" i="4"/>
  <c r="IL130" i="4"/>
  <c r="IK130" i="4"/>
  <c r="IJ130" i="4"/>
  <c r="II130" i="4"/>
  <c r="IH130" i="4"/>
  <c r="IG130" i="4"/>
  <c r="IF130" i="4"/>
  <c r="IE130" i="4"/>
  <c r="ID130" i="4"/>
  <c r="IC130" i="4"/>
  <c r="IB130" i="4"/>
  <c r="IA130" i="4"/>
  <c r="HZ130" i="4"/>
  <c r="HY130" i="4"/>
  <c r="HX130" i="4"/>
  <c r="HW130" i="4"/>
  <c r="HV130" i="4"/>
  <c r="HU130" i="4"/>
  <c r="HT130" i="4"/>
  <c r="HS130" i="4"/>
  <c r="HR130" i="4"/>
  <c r="HQ130" i="4"/>
  <c r="HP130" i="4"/>
  <c r="HO130" i="4"/>
  <c r="HN130" i="4"/>
  <c r="HM130" i="4"/>
  <c r="HL130" i="4"/>
  <c r="HK130" i="4"/>
  <c r="HJ130" i="4"/>
  <c r="HI130" i="4"/>
  <c r="HH130" i="4"/>
  <c r="HG130" i="4"/>
  <c r="HF130" i="4"/>
  <c r="HE130" i="4"/>
  <c r="HD130" i="4"/>
  <c r="HC130" i="4"/>
  <c r="HB130" i="4"/>
  <c r="HA130" i="4"/>
  <c r="GZ130" i="4"/>
  <c r="GY130" i="4"/>
  <c r="GX130" i="4"/>
  <c r="GW130" i="4"/>
  <c r="GV130" i="4"/>
  <c r="GU130" i="4"/>
  <c r="GT130" i="4"/>
  <c r="GS130" i="4"/>
  <c r="GR130" i="4"/>
  <c r="GQ130" i="4"/>
  <c r="GP130" i="4"/>
  <c r="GO130" i="4"/>
  <c r="GN130" i="4"/>
  <c r="GM130" i="4"/>
  <c r="GL130" i="4"/>
  <c r="GK130" i="4"/>
  <c r="GJ130" i="4"/>
  <c r="GI130" i="4"/>
  <c r="GH130" i="4"/>
  <c r="GG130" i="4"/>
  <c r="GF130" i="4"/>
  <c r="GE130" i="4"/>
  <c r="GD130" i="4"/>
  <c r="GC130" i="4"/>
  <c r="GB130" i="4"/>
  <c r="GA130" i="4"/>
  <c r="FZ130" i="4"/>
  <c r="FY130" i="4"/>
  <c r="FX130" i="4"/>
  <c r="FW130" i="4"/>
  <c r="FV130" i="4"/>
  <c r="FU130" i="4"/>
  <c r="FT130" i="4"/>
  <c r="FS130" i="4"/>
  <c r="FR130" i="4"/>
  <c r="FQ130" i="4"/>
  <c r="FP130" i="4"/>
  <c r="FO130" i="4"/>
  <c r="FN130" i="4"/>
  <c r="FM130" i="4"/>
  <c r="FL130" i="4"/>
  <c r="FK130" i="4"/>
  <c r="FJ130" i="4"/>
  <c r="FI130" i="4"/>
  <c r="FH130" i="4"/>
  <c r="FG130" i="4"/>
  <c r="FF130" i="4"/>
  <c r="FE130" i="4"/>
  <c r="FD130" i="4"/>
  <c r="FC130" i="4"/>
  <c r="FB130" i="4"/>
  <c r="FA130" i="4"/>
  <c r="EZ130" i="4"/>
  <c r="EY130" i="4"/>
  <c r="EX130" i="4"/>
  <c r="EW130" i="4"/>
  <c r="EV130" i="4"/>
  <c r="EU130" i="4"/>
  <c r="ET130" i="4"/>
  <c r="ES130" i="4"/>
  <c r="ER130" i="4"/>
  <c r="EQ130" i="4"/>
  <c r="EP130" i="4"/>
  <c r="EO130" i="4"/>
  <c r="EN130" i="4"/>
  <c r="EM130" i="4"/>
  <c r="EL130" i="4"/>
  <c r="EK130" i="4"/>
  <c r="EJ130" i="4"/>
  <c r="EI130" i="4"/>
  <c r="EH130" i="4"/>
  <c r="EG130" i="4"/>
  <c r="EF130" i="4"/>
  <c r="EE130" i="4"/>
  <c r="ED130" i="4"/>
  <c r="EC130" i="4"/>
  <c r="EB130" i="4"/>
  <c r="EA130" i="4"/>
  <c r="DZ130" i="4"/>
  <c r="DY130" i="4"/>
  <c r="DX130" i="4"/>
  <c r="DW130" i="4"/>
  <c r="DV130" i="4"/>
  <c r="DU130" i="4"/>
  <c r="DT130" i="4"/>
  <c r="DS130" i="4"/>
  <c r="DR130" i="4"/>
  <c r="DQ130" i="4"/>
  <c r="DP130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IV129" i="4"/>
  <c r="IU129" i="4"/>
  <c r="IT129" i="4"/>
  <c r="IS129" i="4"/>
  <c r="IR129" i="4"/>
  <c r="IQ129" i="4"/>
  <c r="IP129" i="4"/>
  <c r="IO129" i="4"/>
  <c r="IN129" i="4"/>
  <c r="IM129" i="4"/>
  <c r="IL129" i="4"/>
  <c r="IK129" i="4"/>
  <c r="IJ129" i="4"/>
  <c r="II129" i="4"/>
  <c r="IH129" i="4"/>
  <c r="IG129" i="4"/>
  <c r="IF129" i="4"/>
  <c r="IE129" i="4"/>
  <c r="ID129" i="4"/>
  <c r="IC129" i="4"/>
  <c r="IB129" i="4"/>
  <c r="IA129" i="4"/>
  <c r="HZ129" i="4"/>
  <c r="HY129" i="4"/>
  <c r="HX129" i="4"/>
  <c r="HW129" i="4"/>
  <c r="HV129" i="4"/>
  <c r="HU129" i="4"/>
  <c r="HT129" i="4"/>
  <c r="HS129" i="4"/>
  <c r="HR129" i="4"/>
  <c r="HQ129" i="4"/>
  <c r="HP129" i="4"/>
  <c r="HO129" i="4"/>
  <c r="HN129" i="4"/>
  <c r="HM129" i="4"/>
  <c r="HL129" i="4"/>
  <c r="HK129" i="4"/>
  <c r="HJ129" i="4"/>
  <c r="HI129" i="4"/>
  <c r="HH129" i="4"/>
  <c r="HG129" i="4"/>
  <c r="HF129" i="4"/>
  <c r="HE129" i="4"/>
  <c r="HD129" i="4"/>
  <c r="HC129" i="4"/>
  <c r="HB129" i="4"/>
  <c r="HA129" i="4"/>
  <c r="GZ129" i="4"/>
  <c r="GY129" i="4"/>
  <c r="GX129" i="4"/>
  <c r="GW129" i="4"/>
  <c r="GV129" i="4"/>
  <c r="GU129" i="4"/>
  <c r="GT129" i="4"/>
  <c r="GS129" i="4"/>
  <c r="GR129" i="4"/>
  <c r="GQ129" i="4"/>
  <c r="GP129" i="4"/>
  <c r="GO129" i="4"/>
  <c r="GN129" i="4"/>
  <c r="GM129" i="4"/>
  <c r="GL129" i="4"/>
  <c r="GK129" i="4"/>
  <c r="GJ129" i="4"/>
  <c r="GI129" i="4"/>
  <c r="GH129" i="4"/>
  <c r="GG129" i="4"/>
  <c r="GF129" i="4"/>
  <c r="GE129" i="4"/>
  <c r="GD129" i="4"/>
  <c r="GC129" i="4"/>
  <c r="GB129" i="4"/>
  <c r="GA129" i="4"/>
  <c r="FZ129" i="4"/>
  <c r="FY129" i="4"/>
  <c r="FX129" i="4"/>
  <c r="FW129" i="4"/>
  <c r="FV129" i="4"/>
  <c r="FU129" i="4"/>
  <c r="FT129" i="4"/>
  <c r="FS129" i="4"/>
  <c r="FR129" i="4"/>
  <c r="FQ129" i="4"/>
  <c r="FP129" i="4"/>
  <c r="FO129" i="4"/>
  <c r="FN129" i="4"/>
  <c r="FM129" i="4"/>
  <c r="FL129" i="4"/>
  <c r="FK129" i="4"/>
  <c r="FJ129" i="4"/>
  <c r="FI129" i="4"/>
  <c r="FH129" i="4"/>
  <c r="FG129" i="4"/>
  <c r="FF129" i="4"/>
  <c r="FE129" i="4"/>
  <c r="FD129" i="4"/>
  <c r="FC129" i="4"/>
  <c r="FB129" i="4"/>
  <c r="FA129" i="4"/>
  <c r="EZ129" i="4"/>
  <c r="EY129" i="4"/>
  <c r="EX129" i="4"/>
  <c r="EW129" i="4"/>
  <c r="EV129" i="4"/>
  <c r="EU129" i="4"/>
  <c r="ET129" i="4"/>
  <c r="ES129" i="4"/>
  <c r="ER129" i="4"/>
  <c r="EQ129" i="4"/>
  <c r="EP129" i="4"/>
  <c r="EO129" i="4"/>
  <c r="EN129" i="4"/>
  <c r="EM129" i="4"/>
  <c r="EL129" i="4"/>
  <c r="EK129" i="4"/>
  <c r="EJ129" i="4"/>
  <c r="EI129" i="4"/>
  <c r="EH129" i="4"/>
  <c r="EG129" i="4"/>
  <c r="EF129" i="4"/>
  <c r="EE129" i="4"/>
  <c r="ED129" i="4"/>
  <c r="EC129" i="4"/>
  <c r="EB129" i="4"/>
  <c r="EA129" i="4"/>
  <c r="DZ129" i="4"/>
  <c r="DY129" i="4"/>
  <c r="DX129" i="4"/>
  <c r="DW129" i="4"/>
  <c r="DV129" i="4"/>
  <c r="DU129" i="4"/>
  <c r="DT129" i="4"/>
  <c r="DS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IV128" i="4"/>
  <c r="IU128" i="4"/>
  <c r="IT128" i="4"/>
  <c r="IS128" i="4"/>
  <c r="IR128" i="4"/>
  <c r="IQ128" i="4"/>
  <c r="IP128" i="4"/>
  <c r="IO128" i="4"/>
  <c r="IN128" i="4"/>
  <c r="IM128" i="4"/>
  <c r="IL128" i="4"/>
  <c r="IK128" i="4"/>
  <c r="IJ128" i="4"/>
  <c r="II128" i="4"/>
  <c r="IH128" i="4"/>
  <c r="IG128" i="4"/>
  <c r="IF128" i="4"/>
  <c r="IE128" i="4"/>
  <c r="ID128" i="4"/>
  <c r="IC128" i="4"/>
  <c r="IB128" i="4"/>
  <c r="IA128" i="4"/>
  <c r="HZ128" i="4"/>
  <c r="HY128" i="4"/>
  <c r="HX128" i="4"/>
  <c r="HW128" i="4"/>
  <c r="HV128" i="4"/>
  <c r="HU128" i="4"/>
  <c r="HT128" i="4"/>
  <c r="HS128" i="4"/>
  <c r="HR128" i="4"/>
  <c r="HQ128" i="4"/>
  <c r="HP128" i="4"/>
  <c r="HO128" i="4"/>
  <c r="HN128" i="4"/>
  <c r="HM128" i="4"/>
  <c r="HL128" i="4"/>
  <c r="HK128" i="4"/>
  <c r="HJ128" i="4"/>
  <c r="HI128" i="4"/>
  <c r="HH128" i="4"/>
  <c r="HG128" i="4"/>
  <c r="HF128" i="4"/>
  <c r="HE128" i="4"/>
  <c r="HD128" i="4"/>
  <c r="HC128" i="4"/>
  <c r="HB128" i="4"/>
  <c r="HA128" i="4"/>
  <c r="GZ128" i="4"/>
  <c r="GY128" i="4"/>
  <c r="GX128" i="4"/>
  <c r="GW128" i="4"/>
  <c r="GV128" i="4"/>
  <c r="GU128" i="4"/>
  <c r="GT128" i="4"/>
  <c r="GS128" i="4"/>
  <c r="GR128" i="4"/>
  <c r="GQ128" i="4"/>
  <c r="GP128" i="4"/>
  <c r="GO128" i="4"/>
  <c r="GN128" i="4"/>
  <c r="GM128" i="4"/>
  <c r="GL128" i="4"/>
  <c r="GK128" i="4"/>
  <c r="GJ128" i="4"/>
  <c r="GI128" i="4"/>
  <c r="GH128" i="4"/>
  <c r="GG128" i="4"/>
  <c r="GF128" i="4"/>
  <c r="GE128" i="4"/>
  <c r="GD128" i="4"/>
  <c r="GC128" i="4"/>
  <c r="GB128" i="4"/>
  <c r="GA128" i="4"/>
  <c r="FZ128" i="4"/>
  <c r="FY128" i="4"/>
  <c r="FX128" i="4"/>
  <c r="FW128" i="4"/>
  <c r="FV128" i="4"/>
  <c r="FU128" i="4"/>
  <c r="FT128" i="4"/>
  <c r="FS128" i="4"/>
  <c r="FR128" i="4"/>
  <c r="FQ128" i="4"/>
  <c r="FP128" i="4"/>
  <c r="FO128" i="4"/>
  <c r="FN128" i="4"/>
  <c r="FM128" i="4"/>
  <c r="FL128" i="4"/>
  <c r="FK128" i="4"/>
  <c r="FJ128" i="4"/>
  <c r="FI128" i="4"/>
  <c r="FH128" i="4"/>
  <c r="FG128" i="4"/>
  <c r="FF128" i="4"/>
  <c r="FE128" i="4"/>
  <c r="FD128" i="4"/>
  <c r="FC128" i="4"/>
  <c r="FB128" i="4"/>
  <c r="FA128" i="4"/>
  <c r="EZ128" i="4"/>
  <c r="EY128" i="4"/>
  <c r="EX128" i="4"/>
  <c r="EW128" i="4"/>
  <c r="EV128" i="4"/>
  <c r="EU128" i="4"/>
  <c r="ET128" i="4"/>
  <c r="ES128" i="4"/>
  <c r="ER128" i="4"/>
  <c r="EQ128" i="4"/>
  <c r="EP128" i="4"/>
  <c r="EO128" i="4"/>
  <c r="EN128" i="4"/>
  <c r="EM128" i="4"/>
  <c r="EL128" i="4"/>
  <c r="EK128" i="4"/>
  <c r="EJ128" i="4"/>
  <c r="EI128" i="4"/>
  <c r="EH128" i="4"/>
  <c r="EG128" i="4"/>
  <c r="EF128" i="4"/>
  <c r="EE128" i="4"/>
  <c r="ED128" i="4"/>
  <c r="EC128" i="4"/>
  <c r="EB128" i="4"/>
  <c r="EA128" i="4"/>
  <c r="DZ128" i="4"/>
  <c r="DY128" i="4"/>
  <c r="DX128" i="4"/>
  <c r="DW128" i="4"/>
  <c r="DV128" i="4"/>
  <c r="DU128" i="4"/>
  <c r="DT128" i="4"/>
  <c r="DS128" i="4"/>
  <c r="DR128" i="4"/>
  <c r="DQ128" i="4"/>
  <c r="DP128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IV127" i="4"/>
  <c r="IU127" i="4"/>
  <c r="IT127" i="4"/>
  <c r="IS127" i="4"/>
  <c r="IR127" i="4"/>
  <c r="IQ127" i="4"/>
  <c r="IP127" i="4"/>
  <c r="IO127" i="4"/>
  <c r="IN127" i="4"/>
  <c r="IM127" i="4"/>
  <c r="IL127" i="4"/>
  <c r="IK127" i="4"/>
  <c r="IJ127" i="4"/>
  <c r="II127" i="4"/>
  <c r="IH127" i="4"/>
  <c r="IG127" i="4"/>
  <c r="IF127" i="4"/>
  <c r="IE127" i="4"/>
  <c r="ID127" i="4"/>
  <c r="IC127" i="4"/>
  <c r="IB127" i="4"/>
  <c r="IA127" i="4"/>
  <c r="HZ127" i="4"/>
  <c r="HY127" i="4"/>
  <c r="HX127" i="4"/>
  <c r="HW127" i="4"/>
  <c r="HV127" i="4"/>
  <c r="HU127" i="4"/>
  <c r="HT127" i="4"/>
  <c r="HS127" i="4"/>
  <c r="HR127" i="4"/>
  <c r="HQ127" i="4"/>
  <c r="HP127" i="4"/>
  <c r="HO127" i="4"/>
  <c r="HN127" i="4"/>
  <c r="HM127" i="4"/>
  <c r="HL127" i="4"/>
  <c r="HK127" i="4"/>
  <c r="HJ127" i="4"/>
  <c r="HI127" i="4"/>
  <c r="HH127" i="4"/>
  <c r="HG127" i="4"/>
  <c r="HF127" i="4"/>
  <c r="HE127" i="4"/>
  <c r="HD127" i="4"/>
  <c r="HC127" i="4"/>
  <c r="HB127" i="4"/>
  <c r="HA127" i="4"/>
  <c r="GZ127" i="4"/>
  <c r="GY127" i="4"/>
  <c r="GX127" i="4"/>
  <c r="GW127" i="4"/>
  <c r="GV127" i="4"/>
  <c r="GU127" i="4"/>
  <c r="GT127" i="4"/>
  <c r="GS127" i="4"/>
  <c r="GR127" i="4"/>
  <c r="GQ127" i="4"/>
  <c r="GP127" i="4"/>
  <c r="GO127" i="4"/>
  <c r="GN127" i="4"/>
  <c r="GM127" i="4"/>
  <c r="GL127" i="4"/>
  <c r="GK127" i="4"/>
  <c r="GJ127" i="4"/>
  <c r="GI127" i="4"/>
  <c r="GH127" i="4"/>
  <c r="GG127" i="4"/>
  <c r="GF127" i="4"/>
  <c r="GE127" i="4"/>
  <c r="GD127" i="4"/>
  <c r="GC127" i="4"/>
  <c r="GB127" i="4"/>
  <c r="GA127" i="4"/>
  <c r="FZ127" i="4"/>
  <c r="FY127" i="4"/>
  <c r="FX127" i="4"/>
  <c r="FW127" i="4"/>
  <c r="FV127" i="4"/>
  <c r="FU127" i="4"/>
  <c r="FT127" i="4"/>
  <c r="FS127" i="4"/>
  <c r="FR127" i="4"/>
  <c r="FQ127" i="4"/>
  <c r="FP127" i="4"/>
  <c r="FO127" i="4"/>
  <c r="FN127" i="4"/>
  <c r="FM127" i="4"/>
  <c r="FL127" i="4"/>
  <c r="FK127" i="4"/>
  <c r="FJ127" i="4"/>
  <c r="FI127" i="4"/>
  <c r="FH127" i="4"/>
  <c r="FG127" i="4"/>
  <c r="FF127" i="4"/>
  <c r="FE127" i="4"/>
  <c r="FD127" i="4"/>
  <c r="FC127" i="4"/>
  <c r="FB127" i="4"/>
  <c r="FA127" i="4"/>
  <c r="EZ127" i="4"/>
  <c r="EY127" i="4"/>
  <c r="EX127" i="4"/>
  <c r="EW127" i="4"/>
  <c r="EV127" i="4"/>
  <c r="EU127" i="4"/>
  <c r="ET127" i="4"/>
  <c r="ES127" i="4"/>
  <c r="ER127" i="4"/>
  <c r="EQ127" i="4"/>
  <c r="EP127" i="4"/>
  <c r="EO127" i="4"/>
  <c r="EN127" i="4"/>
  <c r="EM127" i="4"/>
  <c r="EL127" i="4"/>
  <c r="EK127" i="4"/>
  <c r="EJ127" i="4"/>
  <c r="EI127" i="4"/>
  <c r="EH127" i="4"/>
  <c r="EG127" i="4"/>
  <c r="EF127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S127" i="4"/>
  <c r="DR127" i="4"/>
  <c r="DQ127" i="4"/>
  <c r="DP127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IV126" i="4"/>
  <c r="IU126" i="4"/>
  <c r="IT126" i="4"/>
  <c r="IS126" i="4"/>
  <c r="IR126" i="4"/>
  <c r="IQ126" i="4"/>
  <c r="IP126" i="4"/>
  <c r="IO126" i="4"/>
  <c r="IN126" i="4"/>
  <c r="IM126" i="4"/>
  <c r="IL126" i="4"/>
  <c r="IK126" i="4"/>
  <c r="IJ126" i="4"/>
  <c r="II126" i="4"/>
  <c r="IH126" i="4"/>
  <c r="IG126" i="4"/>
  <c r="IF126" i="4"/>
  <c r="IE126" i="4"/>
  <c r="ID126" i="4"/>
  <c r="IC126" i="4"/>
  <c r="IB126" i="4"/>
  <c r="IA126" i="4"/>
  <c r="HZ126" i="4"/>
  <c r="HY126" i="4"/>
  <c r="HX126" i="4"/>
  <c r="HW126" i="4"/>
  <c r="HV126" i="4"/>
  <c r="HU126" i="4"/>
  <c r="HT126" i="4"/>
  <c r="HS126" i="4"/>
  <c r="HR126" i="4"/>
  <c r="HQ126" i="4"/>
  <c r="HP126" i="4"/>
  <c r="HO126" i="4"/>
  <c r="HN126" i="4"/>
  <c r="HM126" i="4"/>
  <c r="HL126" i="4"/>
  <c r="HK126" i="4"/>
  <c r="HJ126" i="4"/>
  <c r="HI126" i="4"/>
  <c r="HH126" i="4"/>
  <c r="HG126" i="4"/>
  <c r="HF126" i="4"/>
  <c r="HE126" i="4"/>
  <c r="HD126" i="4"/>
  <c r="HC126" i="4"/>
  <c r="HB126" i="4"/>
  <c r="HA126" i="4"/>
  <c r="GZ126" i="4"/>
  <c r="GY126" i="4"/>
  <c r="GX126" i="4"/>
  <c r="GW126" i="4"/>
  <c r="GV126" i="4"/>
  <c r="GU126" i="4"/>
  <c r="GT126" i="4"/>
  <c r="GS126" i="4"/>
  <c r="GR126" i="4"/>
  <c r="GQ126" i="4"/>
  <c r="GP126" i="4"/>
  <c r="GO126" i="4"/>
  <c r="GN126" i="4"/>
  <c r="GM126" i="4"/>
  <c r="GL126" i="4"/>
  <c r="GK126" i="4"/>
  <c r="GJ126" i="4"/>
  <c r="GI126" i="4"/>
  <c r="GH126" i="4"/>
  <c r="GG126" i="4"/>
  <c r="GF126" i="4"/>
  <c r="GE126" i="4"/>
  <c r="GD126" i="4"/>
  <c r="GC126" i="4"/>
  <c r="GB126" i="4"/>
  <c r="GA126" i="4"/>
  <c r="FZ126" i="4"/>
  <c r="FY126" i="4"/>
  <c r="FX126" i="4"/>
  <c r="FW126" i="4"/>
  <c r="FV126" i="4"/>
  <c r="FU126" i="4"/>
  <c r="FT126" i="4"/>
  <c r="FS126" i="4"/>
  <c r="FR126" i="4"/>
  <c r="FQ126" i="4"/>
  <c r="FP126" i="4"/>
  <c r="FO126" i="4"/>
  <c r="FN126" i="4"/>
  <c r="FM126" i="4"/>
  <c r="FL126" i="4"/>
  <c r="FK126" i="4"/>
  <c r="FJ126" i="4"/>
  <c r="FI126" i="4"/>
  <c r="FH126" i="4"/>
  <c r="FG126" i="4"/>
  <c r="FF126" i="4"/>
  <c r="FE126" i="4"/>
  <c r="FD126" i="4"/>
  <c r="FC126" i="4"/>
  <c r="FB126" i="4"/>
  <c r="FA126" i="4"/>
  <c r="EZ126" i="4"/>
  <c r="EY126" i="4"/>
  <c r="EX126" i="4"/>
  <c r="EW126" i="4"/>
  <c r="EV126" i="4"/>
  <c r="EU126" i="4"/>
  <c r="ET126" i="4"/>
  <c r="ES126" i="4"/>
  <c r="ER126" i="4"/>
  <c r="EQ126" i="4"/>
  <c r="EP126" i="4"/>
  <c r="EO126" i="4"/>
  <c r="EN126" i="4"/>
  <c r="EM126" i="4"/>
  <c r="EL126" i="4"/>
  <c r="EK126" i="4"/>
  <c r="EJ126" i="4"/>
  <c r="EI126" i="4"/>
  <c r="EH126" i="4"/>
  <c r="EG126" i="4"/>
  <c r="EF126" i="4"/>
  <c r="EE126" i="4"/>
  <c r="ED126" i="4"/>
  <c r="EC126" i="4"/>
  <c r="EB126" i="4"/>
  <c r="EA126" i="4"/>
  <c r="DZ126" i="4"/>
  <c r="DY126" i="4"/>
  <c r="DX126" i="4"/>
  <c r="DW126" i="4"/>
  <c r="DV126" i="4"/>
  <c r="DU126" i="4"/>
  <c r="DT126" i="4"/>
  <c r="DS126" i="4"/>
  <c r="DR126" i="4"/>
  <c r="DQ126" i="4"/>
  <c r="DP126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IV125" i="4"/>
  <c r="IU125" i="4"/>
  <c r="IT125" i="4"/>
  <c r="IS125" i="4"/>
  <c r="IR125" i="4"/>
  <c r="IQ125" i="4"/>
  <c r="IP125" i="4"/>
  <c r="IO125" i="4"/>
  <c r="IN125" i="4"/>
  <c r="IM125" i="4"/>
  <c r="IL125" i="4"/>
  <c r="IK125" i="4"/>
  <c r="IJ125" i="4"/>
  <c r="II125" i="4"/>
  <c r="IH125" i="4"/>
  <c r="IG125" i="4"/>
  <c r="IF125" i="4"/>
  <c r="IE125" i="4"/>
  <c r="ID125" i="4"/>
  <c r="IC125" i="4"/>
  <c r="IB125" i="4"/>
  <c r="IA125" i="4"/>
  <c r="HZ125" i="4"/>
  <c r="HY125" i="4"/>
  <c r="HX125" i="4"/>
  <c r="HW125" i="4"/>
  <c r="HV125" i="4"/>
  <c r="HU125" i="4"/>
  <c r="HT125" i="4"/>
  <c r="HS125" i="4"/>
  <c r="HR125" i="4"/>
  <c r="HQ125" i="4"/>
  <c r="HP125" i="4"/>
  <c r="HO125" i="4"/>
  <c r="HN125" i="4"/>
  <c r="HM125" i="4"/>
  <c r="HL125" i="4"/>
  <c r="HK125" i="4"/>
  <c r="HJ125" i="4"/>
  <c r="HI125" i="4"/>
  <c r="HH125" i="4"/>
  <c r="HG125" i="4"/>
  <c r="HF125" i="4"/>
  <c r="HE125" i="4"/>
  <c r="HD125" i="4"/>
  <c r="HC125" i="4"/>
  <c r="HB125" i="4"/>
  <c r="HA125" i="4"/>
  <c r="GZ125" i="4"/>
  <c r="GY125" i="4"/>
  <c r="GX125" i="4"/>
  <c r="GW125" i="4"/>
  <c r="GV125" i="4"/>
  <c r="GU125" i="4"/>
  <c r="GT125" i="4"/>
  <c r="GS125" i="4"/>
  <c r="GR125" i="4"/>
  <c r="GQ125" i="4"/>
  <c r="GP125" i="4"/>
  <c r="GO125" i="4"/>
  <c r="GN125" i="4"/>
  <c r="GM125" i="4"/>
  <c r="GL125" i="4"/>
  <c r="GK125" i="4"/>
  <c r="GJ125" i="4"/>
  <c r="GI125" i="4"/>
  <c r="GH125" i="4"/>
  <c r="GG125" i="4"/>
  <c r="GF125" i="4"/>
  <c r="GE125" i="4"/>
  <c r="GD125" i="4"/>
  <c r="GC125" i="4"/>
  <c r="GB125" i="4"/>
  <c r="GA125" i="4"/>
  <c r="FZ125" i="4"/>
  <c r="FY125" i="4"/>
  <c r="FX125" i="4"/>
  <c r="FW125" i="4"/>
  <c r="FV125" i="4"/>
  <c r="FU125" i="4"/>
  <c r="FT125" i="4"/>
  <c r="FS125" i="4"/>
  <c r="FR125" i="4"/>
  <c r="FQ125" i="4"/>
  <c r="FP125" i="4"/>
  <c r="FO125" i="4"/>
  <c r="FN125" i="4"/>
  <c r="FM125" i="4"/>
  <c r="FL125" i="4"/>
  <c r="FK125" i="4"/>
  <c r="FJ125" i="4"/>
  <c r="FI125" i="4"/>
  <c r="FH125" i="4"/>
  <c r="FG125" i="4"/>
  <c r="FF125" i="4"/>
  <c r="FE125" i="4"/>
  <c r="FD125" i="4"/>
  <c r="FC125" i="4"/>
  <c r="FB125" i="4"/>
  <c r="FA125" i="4"/>
  <c r="EZ125" i="4"/>
  <c r="EY125" i="4"/>
  <c r="EX125" i="4"/>
  <c r="EW125" i="4"/>
  <c r="EV125" i="4"/>
  <c r="EU125" i="4"/>
  <c r="ET125" i="4"/>
  <c r="ES125" i="4"/>
  <c r="ER125" i="4"/>
  <c r="EQ125" i="4"/>
  <c r="EP125" i="4"/>
  <c r="EO125" i="4"/>
  <c r="EN125" i="4"/>
  <c r="EM125" i="4"/>
  <c r="EL125" i="4"/>
  <c r="EK125" i="4"/>
  <c r="EJ125" i="4"/>
  <c r="EI125" i="4"/>
  <c r="EH125" i="4"/>
  <c r="EG125" i="4"/>
  <c r="EF125" i="4"/>
  <c r="EE125" i="4"/>
  <c r="ED125" i="4"/>
  <c r="EC125" i="4"/>
  <c r="EB125" i="4"/>
  <c r="EA125" i="4"/>
  <c r="DZ125" i="4"/>
  <c r="DY125" i="4"/>
  <c r="DX125" i="4"/>
  <c r="DW125" i="4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IV124" i="4"/>
  <c r="IU124" i="4"/>
  <c r="IT124" i="4"/>
  <c r="IS124" i="4"/>
  <c r="IR124" i="4"/>
  <c r="IQ124" i="4"/>
  <c r="IP124" i="4"/>
  <c r="IO124" i="4"/>
  <c r="IN124" i="4"/>
  <c r="IM124" i="4"/>
  <c r="IL124" i="4"/>
  <c r="IK124" i="4"/>
  <c r="IJ124" i="4"/>
  <c r="II124" i="4"/>
  <c r="IH124" i="4"/>
  <c r="IG124" i="4"/>
  <c r="IF124" i="4"/>
  <c r="IE124" i="4"/>
  <c r="ID124" i="4"/>
  <c r="IC124" i="4"/>
  <c r="IB124" i="4"/>
  <c r="IA124" i="4"/>
  <c r="HZ124" i="4"/>
  <c r="HY124" i="4"/>
  <c r="HX124" i="4"/>
  <c r="HW124" i="4"/>
  <c r="HV124" i="4"/>
  <c r="HU124" i="4"/>
  <c r="HT124" i="4"/>
  <c r="HS124" i="4"/>
  <c r="HR124" i="4"/>
  <c r="HQ124" i="4"/>
  <c r="HP124" i="4"/>
  <c r="HO124" i="4"/>
  <c r="HN124" i="4"/>
  <c r="HM124" i="4"/>
  <c r="HL124" i="4"/>
  <c r="HK124" i="4"/>
  <c r="HJ124" i="4"/>
  <c r="HI124" i="4"/>
  <c r="HH124" i="4"/>
  <c r="HG124" i="4"/>
  <c r="HF124" i="4"/>
  <c r="HE124" i="4"/>
  <c r="HD124" i="4"/>
  <c r="HC124" i="4"/>
  <c r="HB124" i="4"/>
  <c r="HA124" i="4"/>
  <c r="GZ124" i="4"/>
  <c r="GY124" i="4"/>
  <c r="GX124" i="4"/>
  <c r="GW124" i="4"/>
  <c r="GV124" i="4"/>
  <c r="GU124" i="4"/>
  <c r="GT124" i="4"/>
  <c r="GS124" i="4"/>
  <c r="GR124" i="4"/>
  <c r="GQ124" i="4"/>
  <c r="GP124" i="4"/>
  <c r="GO124" i="4"/>
  <c r="GN124" i="4"/>
  <c r="GM124" i="4"/>
  <c r="GL124" i="4"/>
  <c r="GK124" i="4"/>
  <c r="GJ124" i="4"/>
  <c r="GI124" i="4"/>
  <c r="GH124" i="4"/>
  <c r="GG124" i="4"/>
  <c r="GF124" i="4"/>
  <c r="GE124" i="4"/>
  <c r="GD124" i="4"/>
  <c r="GC124" i="4"/>
  <c r="GB124" i="4"/>
  <c r="GA124" i="4"/>
  <c r="FZ124" i="4"/>
  <c r="FY124" i="4"/>
  <c r="FX124" i="4"/>
  <c r="FW124" i="4"/>
  <c r="FV124" i="4"/>
  <c r="FU124" i="4"/>
  <c r="FT124" i="4"/>
  <c r="FS124" i="4"/>
  <c r="FR124" i="4"/>
  <c r="FQ124" i="4"/>
  <c r="FP124" i="4"/>
  <c r="FO124" i="4"/>
  <c r="FN124" i="4"/>
  <c r="FM124" i="4"/>
  <c r="FL124" i="4"/>
  <c r="FK124" i="4"/>
  <c r="FJ124" i="4"/>
  <c r="FI124" i="4"/>
  <c r="FH124" i="4"/>
  <c r="FG124" i="4"/>
  <c r="FF124" i="4"/>
  <c r="FE124" i="4"/>
  <c r="FD124" i="4"/>
  <c r="FC124" i="4"/>
  <c r="FB124" i="4"/>
  <c r="FA124" i="4"/>
  <c r="EZ124" i="4"/>
  <c r="EY124" i="4"/>
  <c r="EX124" i="4"/>
  <c r="EW124" i="4"/>
  <c r="EV124" i="4"/>
  <c r="EU124" i="4"/>
  <c r="ET124" i="4"/>
  <c r="ES124" i="4"/>
  <c r="ER124" i="4"/>
  <c r="EQ124" i="4"/>
  <c r="EP124" i="4"/>
  <c r="EO124" i="4"/>
  <c r="EN124" i="4"/>
  <c r="EM124" i="4"/>
  <c r="EL124" i="4"/>
  <c r="EK124" i="4"/>
  <c r="EJ124" i="4"/>
  <c r="EI124" i="4"/>
  <c r="EH124" i="4"/>
  <c r="EG124" i="4"/>
  <c r="EF124" i="4"/>
  <c r="EE124" i="4"/>
  <c r="ED124" i="4"/>
  <c r="EC124" i="4"/>
  <c r="EB124" i="4"/>
  <c r="EA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IV123" i="4"/>
  <c r="IU123" i="4"/>
  <c r="IT123" i="4"/>
  <c r="IS123" i="4"/>
  <c r="IR123" i="4"/>
  <c r="IQ123" i="4"/>
  <c r="IP123" i="4"/>
  <c r="IO123" i="4"/>
  <c r="IN123" i="4"/>
  <c r="IM123" i="4"/>
  <c r="IL123" i="4"/>
  <c r="IK123" i="4"/>
  <c r="IJ123" i="4"/>
  <c r="II123" i="4"/>
  <c r="IH123" i="4"/>
  <c r="IG123" i="4"/>
  <c r="IF123" i="4"/>
  <c r="IE123" i="4"/>
  <c r="ID123" i="4"/>
  <c r="IC123" i="4"/>
  <c r="IB123" i="4"/>
  <c r="IA123" i="4"/>
  <c r="HZ123" i="4"/>
  <c r="HY123" i="4"/>
  <c r="HX123" i="4"/>
  <c r="HW123" i="4"/>
  <c r="HV123" i="4"/>
  <c r="HU123" i="4"/>
  <c r="HT123" i="4"/>
  <c r="HS123" i="4"/>
  <c r="HR123" i="4"/>
  <c r="HQ123" i="4"/>
  <c r="HP123" i="4"/>
  <c r="HO123" i="4"/>
  <c r="HN123" i="4"/>
  <c r="HM123" i="4"/>
  <c r="HL123" i="4"/>
  <c r="HK123" i="4"/>
  <c r="HJ123" i="4"/>
  <c r="HI123" i="4"/>
  <c r="HH123" i="4"/>
  <c r="HG123" i="4"/>
  <c r="HF123" i="4"/>
  <c r="HE123" i="4"/>
  <c r="HD123" i="4"/>
  <c r="HC123" i="4"/>
  <c r="HB123" i="4"/>
  <c r="HA123" i="4"/>
  <c r="GZ123" i="4"/>
  <c r="GY123" i="4"/>
  <c r="GX123" i="4"/>
  <c r="GW123" i="4"/>
  <c r="GV123" i="4"/>
  <c r="GU123" i="4"/>
  <c r="GT123" i="4"/>
  <c r="GS123" i="4"/>
  <c r="GR123" i="4"/>
  <c r="GQ123" i="4"/>
  <c r="GP123" i="4"/>
  <c r="GO123" i="4"/>
  <c r="GN123" i="4"/>
  <c r="GM123" i="4"/>
  <c r="GL123" i="4"/>
  <c r="GK123" i="4"/>
  <c r="GJ123" i="4"/>
  <c r="GI123" i="4"/>
  <c r="GH123" i="4"/>
  <c r="GG123" i="4"/>
  <c r="GF123" i="4"/>
  <c r="GE123" i="4"/>
  <c r="GD123" i="4"/>
  <c r="GC123" i="4"/>
  <c r="GB123" i="4"/>
  <c r="GA123" i="4"/>
  <c r="FZ123" i="4"/>
  <c r="FY123" i="4"/>
  <c r="FX123" i="4"/>
  <c r="FW123" i="4"/>
  <c r="FV123" i="4"/>
  <c r="FU123" i="4"/>
  <c r="FT123" i="4"/>
  <c r="FS123" i="4"/>
  <c r="FR123" i="4"/>
  <c r="FQ123" i="4"/>
  <c r="FP123" i="4"/>
  <c r="FO123" i="4"/>
  <c r="FN123" i="4"/>
  <c r="FM123" i="4"/>
  <c r="FL123" i="4"/>
  <c r="FK123" i="4"/>
  <c r="FJ123" i="4"/>
  <c r="FI123" i="4"/>
  <c r="FH123" i="4"/>
  <c r="FG123" i="4"/>
  <c r="FF123" i="4"/>
  <c r="FE123" i="4"/>
  <c r="FD123" i="4"/>
  <c r="FC123" i="4"/>
  <c r="FB123" i="4"/>
  <c r="FA123" i="4"/>
  <c r="EZ123" i="4"/>
  <c r="EY123" i="4"/>
  <c r="EX123" i="4"/>
  <c r="EW123" i="4"/>
  <c r="EV123" i="4"/>
  <c r="EU123" i="4"/>
  <c r="ET123" i="4"/>
  <c r="ES123" i="4"/>
  <c r="ER123" i="4"/>
  <c r="EQ123" i="4"/>
  <c r="EP123" i="4"/>
  <c r="EO123" i="4"/>
  <c r="EN123" i="4"/>
  <c r="EM123" i="4"/>
  <c r="EL123" i="4"/>
  <c r="EK123" i="4"/>
  <c r="EJ123" i="4"/>
  <c r="EI123" i="4"/>
  <c r="EH123" i="4"/>
  <c r="EG123" i="4"/>
  <c r="EF123" i="4"/>
  <c r="EE123" i="4"/>
  <c r="ED123" i="4"/>
  <c r="EC123" i="4"/>
  <c r="EB123" i="4"/>
  <c r="EA123" i="4"/>
  <c r="DZ123" i="4"/>
  <c r="DY123" i="4"/>
  <c r="DX123" i="4"/>
  <c r="DW123" i="4"/>
  <c r="DV123" i="4"/>
  <c r="DU123" i="4"/>
  <c r="DT123" i="4"/>
  <c r="DS123" i="4"/>
  <c r="DR123" i="4"/>
  <c r="DQ123" i="4"/>
  <c r="DP123" i="4"/>
  <c r="DO123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IV122" i="4"/>
  <c r="IU122" i="4"/>
  <c r="IT122" i="4"/>
  <c r="IS122" i="4"/>
  <c r="IR122" i="4"/>
  <c r="IQ122" i="4"/>
  <c r="IP122" i="4"/>
  <c r="IO122" i="4"/>
  <c r="IN122" i="4"/>
  <c r="IM122" i="4"/>
  <c r="IL122" i="4"/>
  <c r="IK122" i="4"/>
  <c r="IJ122" i="4"/>
  <c r="II122" i="4"/>
  <c r="IH122" i="4"/>
  <c r="IG122" i="4"/>
  <c r="IF122" i="4"/>
  <c r="IE122" i="4"/>
  <c r="ID122" i="4"/>
  <c r="IC122" i="4"/>
  <c r="IB122" i="4"/>
  <c r="IA122" i="4"/>
  <c r="HZ122" i="4"/>
  <c r="HY122" i="4"/>
  <c r="HX122" i="4"/>
  <c r="HW122" i="4"/>
  <c r="HV122" i="4"/>
  <c r="HU122" i="4"/>
  <c r="HT122" i="4"/>
  <c r="HS122" i="4"/>
  <c r="HR122" i="4"/>
  <c r="HQ122" i="4"/>
  <c r="HP122" i="4"/>
  <c r="HO122" i="4"/>
  <c r="HN122" i="4"/>
  <c r="HM122" i="4"/>
  <c r="HL122" i="4"/>
  <c r="HK122" i="4"/>
  <c r="HJ122" i="4"/>
  <c r="HI122" i="4"/>
  <c r="HH122" i="4"/>
  <c r="HG122" i="4"/>
  <c r="HF122" i="4"/>
  <c r="HE122" i="4"/>
  <c r="HD122" i="4"/>
  <c r="HC122" i="4"/>
  <c r="HB122" i="4"/>
  <c r="HA122" i="4"/>
  <c r="GZ122" i="4"/>
  <c r="GY122" i="4"/>
  <c r="GX122" i="4"/>
  <c r="GW122" i="4"/>
  <c r="GV122" i="4"/>
  <c r="GU122" i="4"/>
  <c r="GT122" i="4"/>
  <c r="GS122" i="4"/>
  <c r="GR122" i="4"/>
  <c r="GQ122" i="4"/>
  <c r="GP122" i="4"/>
  <c r="GO122" i="4"/>
  <c r="GN122" i="4"/>
  <c r="GM122" i="4"/>
  <c r="GL122" i="4"/>
  <c r="GK122" i="4"/>
  <c r="GJ122" i="4"/>
  <c r="GI122" i="4"/>
  <c r="GH122" i="4"/>
  <c r="GG122" i="4"/>
  <c r="GF122" i="4"/>
  <c r="GE122" i="4"/>
  <c r="GD122" i="4"/>
  <c r="GC122" i="4"/>
  <c r="GB122" i="4"/>
  <c r="GA122" i="4"/>
  <c r="FZ122" i="4"/>
  <c r="FY122" i="4"/>
  <c r="FX122" i="4"/>
  <c r="FW122" i="4"/>
  <c r="FV122" i="4"/>
  <c r="FU122" i="4"/>
  <c r="FT122" i="4"/>
  <c r="FS122" i="4"/>
  <c r="FR122" i="4"/>
  <c r="FQ122" i="4"/>
  <c r="FP122" i="4"/>
  <c r="FO122" i="4"/>
  <c r="FN122" i="4"/>
  <c r="FM122" i="4"/>
  <c r="FL122" i="4"/>
  <c r="FK122" i="4"/>
  <c r="FJ122" i="4"/>
  <c r="FI122" i="4"/>
  <c r="FH122" i="4"/>
  <c r="FG122" i="4"/>
  <c r="FF122" i="4"/>
  <c r="FE122" i="4"/>
  <c r="FD122" i="4"/>
  <c r="FC122" i="4"/>
  <c r="FB122" i="4"/>
  <c r="FA122" i="4"/>
  <c r="EZ122" i="4"/>
  <c r="EY122" i="4"/>
  <c r="EX122" i="4"/>
  <c r="EW122" i="4"/>
  <c r="EV122" i="4"/>
  <c r="EU122" i="4"/>
  <c r="ET122" i="4"/>
  <c r="ES122" i="4"/>
  <c r="ER122" i="4"/>
  <c r="EQ122" i="4"/>
  <c r="EP122" i="4"/>
  <c r="EO122" i="4"/>
  <c r="EN122" i="4"/>
  <c r="EM122" i="4"/>
  <c r="EL122" i="4"/>
  <c r="EK122" i="4"/>
  <c r="EJ122" i="4"/>
  <c r="EI122" i="4"/>
  <c r="EH122" i="4"/>
  <c r="EG122" i="4"/>
  <c r="EF122" i="4"/>
  <c r="EE122" i="4"/>
  <c r="ED122" i="4"/>
  <c r="EC122" i="4"/>
  <c r="EB122" i="4"/>
  <c r="EA122" i="4"/>
  <c r="DZ122" i="4"/>
  <c r="DY122" i="4"/>
  <c r="DX122" i="4"/>
  <c r="DW122" i="4"/>
  <c r="DV122" i="4"/>
  <c r="DU122" i="4"/>
  <c r="DT122" i="4"/>
  <c r="DS122" i="4"/>
  <c r="DR122" i="4"/>
  <c r="DQ122" i="4"/>
  <c r="DP122" i="4"/>
  <c r="DO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IV121" i="4"/>
  <c r="IU121" i="4"/>
  <c r="IT121" i="4"/>
  <c r="IS121" i="4"/>
  <c r="IR121" i="4"/>
  <c r="IQ121" i="4"/>
  <c r="IP121" i="4"/>
  <c r="IO121" i="4"/>
  <c r="IN121" i="4"/>
  <c r="IM121" i="4"/>
  <c r="IL121" i="4"/>
  <c r="IK121" i="4"/>
  <c r="IJ121" i="4"/>
  <c r="II121" i="4"/>
  <c r="IH121" i="4"/>
  <c r="IG121" i="4"/>
  <c r="IF121" i="4"/>
  <c r="IE121" i="4"/>
  <c r="ID121" i="4"/>
  <c r="IC121" i="4"/>
  <c r="IB121" i="4"/>
  <c r="IA121" i="4"/>
  <c r="HZ121" i="4"/>
  <c r="HY121" i="4"/>
  <c r="HX121" i="4"/>
  <c r="HW121" i="4"/>
  <c r="HV121" i="4"/>
  <c r="HU121" i="4"/>
  <c r="HT121" i="4"/>
  <c r="HS121" i="4"/>
  <c r="HR121" i="4"/>
  <c r="HQ121" i="4"/>
  <c r="HP121" i="4"/>
  <c r="HO121" i="4"/>
  <c r="HN121" i="4"/>
  <c r="HM121" i="4"/>
  <c r="HL121" i="4"/>
  <c r="HK121" i="4"/>
  <c r="HJ121" i="4"/>
  <c r="HI121" i="4"/>
  <c r="HH121" i="4"/>
  <c r="HG121" i="4"/>
  <c r="HF121" i="4"/>
  <c r="HE121" i="4"/>
  <c r="HD121" i="4"/>
  <c r="HC121" i="4"/>
  <c r="HB121" i="4"/>
  <c r="HA121" i="4"/>
  <c r="GZ121" i="4"/>
  <c r="GY121" i="4"/>
  <c r="GX121" i="4"/>
  <c r="GW121" i="4"/>
  <c r="GV121" i="4"/>
  <c r="GU121" i="4"/>
  <c r="GT121" i="4"/>
  <c r="GS121" i="4"/>
  <c r="GR121" i="4"/>
  <c r="GQ121" i="4"/>
  <c r="GP121" i="4"/>
  <c r="GO121" i="4"/>
  <c r="GN121" i="4"/>
  <c r="GM121" i="4"/>
  <c r="GL121" i="4"/>
  <c r="GK121" i="4"/>
  <c r="GJ121" i="4"/>
  <c r="GI121" i="4"/>
  <c r="GH121" i="4"/>
  <c r="GG121" i="4"/>
  <c r="GF121" i="4"/>
  <c r="GE121" i="4"/>
  <c r="GD121" i="4"/>
  <c r="GC121" i="4"/>
  <c r="GB121" i="4"/>
  <c r="GA121" i="4"/>
  <c r="FZ121" i="4"/>
  <c r="FY121" i="4"/>
  <c r="FX121" i="4"/>
  <c r="FW121" i="4"/>
  <c r="FV121" i="4"/>
  <c r="FU121" i="4"/>
  <c r="FT121" i="4"/>
  <c r="FS121" i="4"/>
  <c r="FR121" i="4"/>
  <c r="FQ121" i="4"/>
  <c r="FP121" i="4"/>
  <c r="FO121" i="4"/>
  <c r="FN121" i="4"/>
  <c r="FM121" i="4"/>
  <c r="FL121" i="4"/>
  <c r="FK121" i="4"/>
  <c r="FJ121" i="4"/>
  <c r="FI121" i="4"/>
  <c r="FH121" i="4"/>
  <c r="FG121" i="4"/>
  <c r="FF121" i="4"/>
  <c r="FE121" i="4"/>
  <c r="FD121" i="4"/>
  <c r="FC121" i="4"/>
  <c r="FB121" i="4"/>
  <c r="FA121" i="4"/>
  <c r="EZ121" i="4"/>
  <c r="EY121" i="4"/>
  <c r="EX121" i="4"/>
  <c r="EW121" i="4"/>
  <c r="EV121" i="4"/>
  <c r="EU121" i="4"/>
  <c r="ET121" i="4"/>
  <c r="ES121" i="4"/>
  <c r="ER121" i="4"/>
  <c r="EQ121" i="4"/>
  <c r="EP121" i="4"/>
  <c r="EO121" i="4"/>
  <c r="EN121" i="4"/>
  <c r="EM121" i="4"/>
  <c r="EL121" i="4"/>
  <c r="EK121" i="4"/>
  <c r="EJ121" i="4"/>
  <c r="EI121" i="4"/>
  <c r="EH121" i="4"/>
  <c r="EG121" i="4"/>
  <c r="EF121" i="4"/>
  <c r="EE121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P121" i="4"/>
  <c r="DO121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IV120" i="4"/>
  <c r="IU120" i="4"/>
  <c r="IT120" i="4"/>
  <c r="IS120" i="4"/>
  <c r="IR120" i="4"/>
  <c r="IQ120" i="4"/>
  <c r="IP120" i="4"/>
  <c r="IO120" i="4"/>
  <c r="IN120" i="4"/>
  <c r="IM120" i="4"/>
  <c r="IL120" i="4"/>
  <c r="IK120" i="4"/>
  <c r="IJ120" i="4"/>
  <c r="II120" i="4"/>
  <c r="IH120" i="4"/>
  <c r="IG120" i="4"/>
  <c r="IF120" i="4"/>
  <c r="IE120" i="4"/>
  <c r="ID120" i="4"/>
  <c r="IC120" i="4"/>
  <c r="IB120" i="4"/>
  <c r="IA120" i="4"/>
  <c r="HZ120" i="4"/>
  <c r="HY120" i="4"/>
  <c r="HX120" i="4"/>
  <c r="HW120" i="4"/>
  <c r="HV120" i="4"/>
  <c r="HU120" i="4"/>
  <c r="HT120" i="4"/>
  <c r="HS120" i="4"/>
  <c r="HR120" i="4"/>
  <c r="HQ120" i="4"/>
  <c r="HP120" i="4"/>
  <c r="HO120" i="4"/>
  <c r="HN120" i="4"/>
  <c r="HM120" i="4"/>
  <c r="HL120" i="4"/>
  <c r="HK120" i="4"/>
  <c r="HJ120" i="4"/>
  <c r="HI120" i="4"/>
  <c r="HH120" i="4"/>
  <c r="HG120" i="4"/>
  <c r="HF120" i="4"/>
  <c r="HE120" i="4"/>
  <c r="HD120" i="4"/>
  <c r="HC120" i="4"/>
  <c r="HB120" i="4"/>
  <c r="HA120" i="4"/>
  <c r="GZ120" i="4"/>
  <c r="GY120" i="4"/>
  <c r="GX120" i="4"/>
  <c r="GW120" i="4"/>
  <c r="GV120" i="4"/>
  <c r="GU120" i="4"/>
  <c r="GT120" i="4"/>
  <c r="GS120" i="4"/>
  <c r="GR120" i="4"/>
  <c r="GQ120" i="4"/>
  <c r="GP120" i="4"/>
  <c r="GO120" i="4"/>
  <c r="GN120" i="4"/>
  <c r="GM120" i="4"/>
  <c r="GL120" i="4"/>
  <c r="GK120" i="4"/>
  <c r="GJ120" i="4"/>
  <c r="GI120" i="4"/>
  <c r="GH120" i="4"/>
  <c r="GG120" i="4"/>
  <c r="GF120" i="4"/>
  <c r="GE120" i="4"/>
  <c r="GD120" i="4"/>
  <c r="GC120" i="4"/>
  <c r="GB120" i="4"/>
  <c r="GA120" i="4"/>
  <c r="FZ120" i="4"/>
  <c r="FY120" i="4"/>
  <c r="FX120" i="4"/>
  <c r="FW120" i="4"/>
  <c r="FV120" i="4"/>
  <c r="FU120" i="4"/>
  <c r="FT120" i="4"/>
  <c r="FS120" i="4"/>
  <c r="FR120" i="4"/>
  <c r="FQ120" i="4"/>
  <c r="FP120" i="4"/>
  <c r="FO120" i="4"/>
  <c r="FN120" i="4"/>
  <c r="FM120" i="4"/>
  <c r="FL120" i="4"/>
  <c r="FK120" i="4"/>
  <c r="FJ120" i="4"/>
  <c r="FI120" i="4"/>
  <c r="FH120" i="4"/>
  <c r="FG120" i="4"/>
  <c r="FF120" i="4"/>
  <c r="FE120" i="4"/>
  <c r="FD120" i="4"/>
  <c r="FC120" i="4"/>
  <c r="FB120" i="4"/>
  <c r="FA120" i="4"/>
  <c r="EZ120" i="4"/>
  <c r="EY120" i="4"/>
  <c r="EX120" i="4"/>
  <c r="EW120" i="4"/>
  <c r="EV120" i="4"/>
  <c r="EU120" i="4"/>
  <c r="ET120" i="4"/>
  <c r="ES120" i="4"/>
  <c r="ER120" i="4"/>
  <c r="EQ120" i="4"/>
  <c r="EP120" i="4"/>
  <c r="EO120" i="4"/>
  <c r="EN120" i="4"/>
  <c r="EM120" i="4"/>
  <c r="EL120" i="4"/>
  <c r="EK120" i="4"/>
  <c r="EJ120" i="4"/>
  <c r="EI120" i="4"/>
  <c r="EH120" i="4"/>
  <c r="EG120" i="4"/>
  <c r="EF120" i="4"/>
  <c r="EE120" i="4"/>
  <c r="ED120" i="4"/>
  <c r="EC120" i="4"/>
  <c r="EB120" i="4"/>
  <c r="EA120" i="4"/>
  <c r="DZ120" i="4"/>
  <c r="DY120" i="4"/>
  <c r="DX120" i="4"/>
  <c r="DW120" i="4"/>
  <c r="DV120" i="4"/>
  <c r="DU120" i="4"/>
  <c r="DT120" i="4"/>
  <c r="DS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IV119" i="4"/>
  <c r="IU119" i="4"/>
  <c r="IT119" i="4"/>
  <c r="IS119" i="4"/>
  <c r="IR119" i="4"/>
  <c r="IQ119" i="4"/>
  <c r="IP119" i="4"/>
  <c r="IO119" i="4"/>
  <c r="IN119" i="4"/>
  <c r="IM119" i="4"/>
  <c r="IL119" i="4"/>
  <c r="IK119" i="4"/>
  <c r="IJ119" i="4"/>
  <c r="II119" i="4"/>
  <c r="IH119" i="4"/>
  <c r="IG119" i="4"/>
  <c r="IF119" i="4"/>
  <c r="IE119" i="4"/>
  <c r="ID119" i="4"/>
  <c r="IC119" i="4"/>
  <c r="IB119" i="4"/>
  <c r="IA119" i="4"/>
  <c r="HZ119" i="4"/>
  <c r="HY119" i="4"/>
  <c r="HX119" i="4"/>
  <c r="HW119" i="4"/>
  <c r="HV119" i="4"/>
  <c r="HU119" i="4"/>
  <c r="HT119" i="4"/>
  <c r="HS119" i="4"/>
  <c r="HR119" i="4"/>
  <c r="HQ119" i="4"/>
  <c r="HP119" i="4"/>
  <c r="HO119" i="4"/>
  <c r="HN119" i="4"/>
  <c r="HM119" i="4"/>
  <c r="HL119" i="4"/>
  <c r="HK119" i="4"/>
  <c r="HJ119" i="4"/>
  <c r="HI119" i="4"/>
  <c r="HH119" i="4"/>
  <c r="HG119" i="4"/>
  <c r="HF119" i="4"/>
  <c r="HE119" i="4"/>
  <c r="HD119" i="4"/>
  <c r="HC119" i="4"/>
  <c r="HB119" i="4"/>
  <c r="HA119" i="4"/>
  <c r="GZ119" i="4"/>
  <c r="GY119" i="4"/>
  <c r="GX119" i="4"/>
  <c r="GW119" i="4"/>
  <c r="GV119" i="4"/>
  <c r="GU119" i="4"/>
  <c r="GT119" i="4"/>
  <c r="GS119" i="4"/>
  <c r="GR119" i="4"/>
  <c r="GQ119" i="4"/>
  <c r="GP119" i="4"/>
  <c r="GO119" i="4"/>
  <c r="GN119" i="4"/>
  <c r="GM119" i="4"/>
  <c r="GL119" i="4"/>
  <c r="GK119" i="4"/>
  <c r="GJ119" i="4"/>
  <c r="GI119" i="4"/>
  <c r="GH119" i="4"/>
  <c r="GG119" i="4"/>
  <c r="GF119" i="4"/>
  <c r="GE119" i="4"/>
  <c r="GD119" i="4"/>
  <c r="GC119" i="4"/>
  <c r="GB119" i="4"/>
  <c r="GA119" i="4"/>
  <c r="FZ119" i="4"/>
  <c r="FY119" i="4"/>
  <c r="FX119" i="4"/>
  <c r="FW119" i="4"/>
  <c r="FV119" i="4"/>
  <c r="FU119" i="4"/>
  <c r="FT119" i="4"/>
  <c r="FS119" i="4"/>
  <c r="FR119" i="4"/>
  <c r="FQ119" i="4"/>
  <c r="FP119" i="4"/>
  <c r="FO119" i="4"/>
  <c r="FN119" i="4"/>
  <c r="FM119" i="4"/>
  <c r="FL119" i="4"/>
  <c r="FK119" i="4"/>
  <c r="FJ119" i="4"/>
  <c r="FI119" i="4"/>
  <c r="FH119" i="4"/>
  <c r="FG119" i="4"/>
  <c r="FF119" i="4"/>
  <c r="FE119" i="4"/>
  <c r="FD119" i="4"/>
  <c r="FC119" i="4"/>
  <c r="FB119" i="4"/>
  <c r="FA119" i="4"/>
  <c r="EZ119" i="4"/>
  <c r="EY119" i="4"/>
  <c r="EX119" i="4"/>
  <c r="EW119" i="4"/>
  <c r="EV119" i="4"/>
  <c r="EU119" i="4"/>
  <c r="ET119" i="4"/>
  <c r="ES119" i="4"/>
  <c r="ER119" i="4"/>
  <c r="EQ119" i="4"/>
  <c r="EP119" i="4"/>
  <c r="EO119" i="4"/>
  <c r="EN119" i="4"/>
  <c r="EM119" i="4"/>
  <c r="EL119" i="4"/>
  <c r="EK119" i="4"/>
  <c r="EJ119" i="4"/>
  <c r="EI119" i="4"/>
  <c r="EH119" i="4"/>
  <c r="EG119" i="4"/>
  <c r="EF119" i="4"/>
  <c r="EE119" i="4"/>
  <c r="ED119" i="4"/>
  <c r="EC119" i="4"/>
  <c r="EB119" i="4"/>
  <c r="EA119" i="4"/>
  <c r="DZ119" i="4"/>
  <c r="DY119" i="4"/>
  <c r="DX119" i="4"/>
  <c r="DW119" i="4"/>
  <c r="DV119" i="4"/>
  <c r="DU119" i="4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IV118" i="4"/>
  <c r="IU118" i="4"/>
  <c r="IT118" i="4"/>
  <c r="IS118" i="4"/>
  <c r="IR118" i="4"/>
  <c r="IQ118" i="4"/>
  <c r="IP118" i="4"/>
  <c r="IO118" i="4"/>
  <c r="IN118" i="4"/>
  <c r="IM118" i="4"/>
  <c r="IL118" i="4"/>
  <c r="IK118" i="4"/>
  <c r="IJ118" i="4"/>
  <c r="II118" i="4"/>
  <c r="IH118" i="4"/>
  <c r="IG118" i="4"/>
  <c r="IF118" i="4"/>
  <c r="IE118" i="4"/>
  <c r="ID118" i="4"/>
  <c r="IC118" i="4"/>
  <c r="IB118" i="4"/>
  <c r="IA118" i="4"/>
  <c r="HZ118" i="4"/>
  <c r="HY118" i="4"/>
  <c r="HX118" i="4"/>
  <c r="HW118" i="4"/>
  <c r="HV118" i="4"/>
  <c r="HU118" i="4"/>
  <c r="HT118" i="4"/>
  <c r="HS118" i="4"/>
  <c r="HR118" i="4"/>
  <c r="HQ118" i="4"/>
  <c r="HP118" i="4"/>
  <c r="HO118" i="4"/>
  <c r="HN118" i="4"/>
  <c r="HM118" i="4"/>
  <c r="HL118" i="4"/>
  <c r="HK118" i="4"/>
  <c r="HJ118" i="4"/>
  <c r="HI118" i="4"/>
  <c r="HH118" i="4"/>
  <c r="HG118" i="4"/>
  <c r="HF118" i="4"/>
  <c r="HE118" i="4"/>
  <c r="HD118" i="4"/>
  <c r="HC118" i="4"/>
  <c r="HB118" i="4"/>
  <c r="HA118" i="4"/>
  <c r="GZ118" i="4"/>
  <c r="GY118" i="4"/>
  <c r="GX118" i="4"/>
  <c r="GW118" i="4"/>
  <c r="GV118" i="4"/>
  <c r="GU118" i="4"/>
  <c r="GT118" i="4"/>
  <c r="GS118" i="4"/>
  <c r="GR118" i="4"/>
  <c r="GQ118" i="4"/>
  <c r="GP118" i="4"/>
  <c r="GO118" i="4"/>
  <c r="GN118" i="4"/>
  <c r="GM118" i="4"/>
  <c r="GL118" i="4"/>
  <c r="GK118" i="4"/>
  <c r="GJ118" i="4"/>
  <c r="GI118" i="4"/>
  <c r="GH118" i="4"/>
  <c r="GG118" i="4"/>
  <c r="GF118" i="4"/>
  <c r="GE118" i="4"/>
  <c r="GD118" i="4"/>
  <c r="GC118" i="4"/>
  <c r="GB118" i="4"/>
  <c r="GA118" i="4"/>
  <c r="FZ118" i="4"/>
  <c r="FY118" i="4"/>
  <c r="FX118" i="4"/>
  <c r="FW118" i="4"/>
  <c r="FV118" i="4"/>
  <c r="FU118" i="4"/>
  <c r="FT118" i="4"/>
  <c r="FS118" i="4"/>
  <c r="FR118" i="4"/>
  <c r="FQ118" i="4"/>
  <c r="FP118" i="4"/>
  <c r="FO118" i="4"/>
  <c r="FN118" i="4"/>
  <c r="FM118" i="4"/>
  <c r="FL118" i="4"/>
  <c r="FK118" i="4"/>
  <c r="FJ118" i="4"/>
  <c r="FI118" i="4"/>
  <c r="FH118" i="4"/>
  <c r="FG118" i="4"/>
  <c r="FF118" i="4"/>
  <c r="FE118" i="4"/>
  <c r="FD118" i="4"/>
  <c r="FC118" i="4"/>
  <c r="FB118" i="4"/>
  <c r="FA118" i="4"/>
  <c r="EZ118" i="4"/>
  <c r="EY118" i="4"/>
  <c r="EX118" i="4"/>
  <c r="EW118" i="4"/>
  <c r="EV118" i="4"/>
  <c r="EU118" i="4"/>
  <c r="ET118" i="4"/>
  <c r="ES118" i="4"/>
  <c r="ER118" i="4"/>
  <c r="EQ118" i="4"/>
  <c r="EP118" i="4"/>
  <c r="EO118" i="4"/>
  <c r="EN118" i="4"/>
  <c r="EM118" i="4"/>
  <c r="EL118" i="4"/>
  <c r="EK118" i="4"/>
  <c r="EJ118" i="4"/>
  <c r="EI118" i="4"/>
  <c r="EH118" i="4"/>
  <c r="EG118" i="4"/>
  <c r="EF118" i="4"/>
  <c r="EE118" i="4"/>
  <c r="ED118" i="4"/>
  <c r="EC118" i="4"/>
  <c r="EB118" i="4"/>
  <c r="EA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IV116" i="4"/>
  <c r="IU116" i="4"/>
  <c r="IT116" i="4"/>
  <c r="IS116" i="4"/>
  <c r="IR116" i="4"/>
  <c r="IQ116" i="4"/>
  <c r="IP116" i="4"/>
  <c r="IO116" i="4"/>
  <c r="IN116" i="4"/>
  <c r="IM116" i="4"/>
  <c r="IL116" i="4"/>
  <c r="IK116" i="4"/>
  <c r="IJ116" i="4"/>
  <c r="II116" i="4"/>
  <c r="IH116" i="4"/>
  <c r="IG116" i="4"/>
  <c r="IF116" i="4"/>
  <c r="IE116" i="4"/>
  <c r="ID116" i="4"/>
  <c r="IC116" i="4"/>
  <c r="IB116" i="4"/>
  <c r="IA116" i="4"/>
  <c r="HZ116" i="4"/>
  <c r="HY116" i="4"/>
  <c r="HX116" i="4"/>
  <c r="HW116" i="4"/>
  <c r="HV116" i="4"/>
  <c r="HU116" i="4"/>
  <c r="HT116" i="4"/>
  <c r="HS116" i="4"/>
  <c r="HR116" i="4"/>
  <c r="HQ116" i="4"/>
  <c r="HP116" i="4"/>
  <c r="HO116" i="4"/>
  <c r="HN116" i="4"/>
  <c r="HM116" i="4"/>
  <c r="HL116" i="4"/>
  <c r="HK116" i="4"/>
  <c r="HJ116" i="4"/>
  <c r="HI116" i="4"/>
  <c r="HH116" i="4"/>
  <c r="HG116" i="4"/>
  <c r="HF116" i="4"/>
  <c r="HE116" i="4"/>
  <c r="HD116" i="4"/>
  <c r="HC116" i="4"/>
  <c r="HB116" i="4"/>
  <c r="HA116" i="4"/>
  <c r="GZ116" i="4"/>
  <c r="GY116" i="4"/>
  <c r="GX116" i="4"/>
  <c r="GW116" i="4"/>
  <c r="GV116" i="4"/>
  <c r="GU116" i="4"/>
  <c r="GT116" i="4"/>
  <c r="GS116" i="4"/>
  <c r="GR116" i="4"/>
  <c r="GQ116" i="4"/>
  <c r="GP116" i="4"/>
  <c r="GO116" i="4"/>
  <c r="GN116" i="4"/>
  <c r="GM116" i="4"/>
  <c r="GL116" i="4"/>
  <c r="GK116" i="4"/>
  <c r="GJ116" i="4"/>
  <c r="GI116" i="4"/>
  <c r="GH116" i="4"/>
  <c r="GG116" i="4"/>
  <c r="GF116" i="4"/>
  <c r="GE116" i="4"/>
  <c r="GD116" i="4"/>
  <c r="GC116" i="4"/>
  <c r="GB116" i="4"/>
  <c r="GA116" i="4"/>
  <c r="FZ116" i="4"/>
  <c r="FY116" i="4"/>
  <c r="FX116" i="4"/>
  <c r="FW116" i="4"/>
  <c r="FV116" i="4"/>
  <c r="FU116" i="4"/>
  <c r="FT116" i="4"/>
  <c r="FS116" i="4"/>
  <c r="FR116" i="4"/>
  <c r="FQ116" i="4"/>
  <c r="FP116" i="4"/>
  <c r="FO116" i="4"/>
  <c r="FN116" i="4"/>
  <c r="FM116" i="4"/>
  <c r="FL116" i="4"/>
  <c r="FK116" i="4"/>
  <c r="FJ116" i="4"/>
  <c r="FI116" i="4"/>
  <c r="FH116" i="4"/>
  <c r="FG116" i="4"/>
  <c r="FF116" i="4"/>
  <c r="FE116" i="4"/>
  <c r="FD116" i="4"/>
  <c r="FC116" i="4"/>
  <c r="FB116" i="4"/>
  <c r="FA116" i="4"/>
  <c r="EZ116" i="4"/>
  <c r="EY116" i="4"/>
  <c r="EX116" i="4"/>
  <c r="EW116" i="4"/>
  <c r="EV116" i="4"/>
  <c r="EU116" i="4"/>
  <c r="ET116" i="4"/>
  <c r="ES116" i="4"/>
  <c r="ER116" i="4"/>
  <c r="EQ116" i="4"/>
  <c r="EP116" i="4"/>
  <c r="EO116" i="4"/>
  <c r="EN116" i="4"/>
  <c r="EM116" i="4"/>
  <c r="EL116" i="4"/>
  <c r="EK116" i="4"/>
  <c r="EJ116" i="4"/>
  <c r="EI116" i="4"/>
  <c r="EH116" i="4"/>
  <c r="EG116" i="4"/>
  <c r="EF116" i="4"/>
  <c r="EE116" i="4"/>
  <c r="ED116" i="4"/>
  <c r="EC116" i="4"/>
  <c r="EB116" i="4"/>
  <c r="EA116" i="4"/>
  <c r="DZ116" i="4"/>
  <c r="DY116" i="4"/>
  <c r="DX116" i="4"/>
  <c r="DW116" i="4"/>
  <c r="DV116" i="4"/>
  <c r="DU116" i="4"/>
  <c r="DT116" i="4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HX112" i="4"/>
  <c r="HW112" i="4"/>
  <c r="HV112" i="4"/>
  <c r="HU112" i="4"/>
  <c r="HT112" i="4"/>
  <c r="HS112" i="4"/>
  <c r="HR112" i="4"/>
  <c r="HQ112" i="4"/>
  <c r="HP112" i="4"/>
  <c r="HO112" i="4"/>
  <c r="HN112" i="4"/>
  <c r="HM112" i="4"/>
  <c r="HL112" i="4"/>
  <c r="HK112" i="4"/>
  <c r="HJ112" i="4"/>
  <c r="HH112" i="4"/>
  <c r="HG112" i="4"/>
  <c r="HF112" i="4"/>
  <c r="HE112" i="4"/>
  <c r="HD112" i="4"/>
  <c r="HC112" i="4"/>
  <c r="HB112" i="4"/>
  <c r="HA112" i="4"/>
  <c r="GZ112" i="4"/>
  <c r="GY112" i="4"/>
  <c r="GX112" i="4"/>
  <c r="GW112" i="4"/>
  <c r="GV112" i="4"/>
  <c r="GU112" i="4"/>
  <c r="GT112" i="4"/>
  <c r="GR112" i="4"/>
  <c r="GQ112" i="4"/>
  <c r="GP112" i="4"/>
  <c r="GO112" i="4"/>
  <c r="GN112" i="4"/>
  <c r="GM112" i="4"/>
  <c r="GL112" i="4"/>
  <c r="GK112" i="4"/>
  <c r="GJ112" i="4"/>
  <c r="GI112" i="4"/>
  <c r="GH112" i="4"/>
  <c r="GG112" i="4"/>
  <c r="GF112" i="4"/>
  <c r="GE112" i="4"/>
  <c r="GD112" i="4"/>
  <c r="GB112" i="4"/>
  <c r="GA112" i="4"/>
  <c r="FZ112" i="4"/>
  <c r="FY112" i="4"/>
  <c r="FX112" i="4"/>
  <c r="FW112" i="4"/>
  <c r="FV112" i="4"/>
  <c r="FU112" i="4"/>
  <c r="FT112" i="4"/>
  <c r="FS112" i="4"/>
  <c r="FR112" i="4"/>
  <c r="FQ112" i="4"/>
  <c r="FP112" i="4"/>
  <c r="FO112" i="4"/>
  <c r="FN112" i="4"/>
  <c r="FL112" i="4"/>
  <c r="FK112" i="4"/>
  <c r="FJ112" i="4"/>
  <c r="FI112" i="4"/>
  <c r="FH112" i="4"/>
  <c r="FG112" i="4"/>
  <c r="FF112" i="4"/>
  <c r="FE112" i="4"/>
  <c r="FD112" i="4"/>
  <c r="FC112" i="4"/>
  <c r="FB112" i="4"/>
  <c r="FA112" i="4"/>
  <c r="EZ112" i="4"/>
  <c r="EY112" i="4"/>
  <c r="EX112" i="4"/>
  <c r="EV112" i="4"/>
  <c r="EU112" i="4"/>
  <c r="ET112" i="4"/>
  <c r="ES112" i="4"/>
  <c r="ER112" i="4"/>
  <c r="EQ112" i="4"/>
  <c r="EP112" i="4"/>
  <c r="EO112" i="4"/>
  <c r="EN112" i="4"/>
  <c r="EM112" i="4"/>
  <c r="EL112" i="4"/>
  <c r="EK112" i="4"/>
  <c r="EJ112" i="4"/>
  <c r="EI112" i="4"/>
  <c r="EH112" i="4"/>
  <c r="EF112" i="4"/>
  <c r="EE112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H112" i="4"/>
  <c r="G112" i="4"/>
  <c r="F112" i="4"/>
  <c r="E112" i="4"/>
  <c r="D112" i="4"/>
  <c r="C112" i="4"/>
  <c r="B112" i="4"/>
  <c r="A112" i="4"/>
  <c r="IV111" i="4"/>
  <c r="IU111" i="4"/>
  <c r="IT111" i="4"/>
  <c r="IS111" i="4"/>
  <c r="IR111" i="4"/>
  <c r="IQ111" i="4"/>
  <c r="IP111" i="4"/>
  <c r="IN111" i="4"/>
  <c r="IM111" i="4"/>
  <c r="IL111" i="4"/>
  <c r="IK111" i="4"/>
  <c r="IJ111" i="4"/>
  <c r="II111" i="4"/>
  <c r="IH111" i="4"/>
  <c r="IG111" i="4"/>
  <c r="IF111" i="4"/>
  <c r="IE111" i="4"/>
  <c r="ID111" i="4"/>
  <c r="IC111" i="4"/>
  <c r="IB111" i="4"/>
  <c r="IA111" i="4"/>
  <c r="HZ111" i="4"/>
  <c r="HX111" i="4"/>
  <c r="HW111" i="4"/>
  <c r="HV111" i="4"/>
  <c r="HU111" i="4"/>
  <c r="HT111" i="4"/>
  <c r="HS111" i="4"/>
  <c r="HR111" i="4"/>
  <c r="HQ111" i="4"/>
  <c r="HP111" i="4"/>
  <c r="HO111" i="4"/>
  <c r="HN111" i="4"/>
  <c r="HM111" i="4"/>
  <c r="HL111" i="4"/>
  <c r="HK111" i="4"/>
  <c r="HJ111" i="4"/>
  <c r="HH111" i="4"/>
  <c r="HG111" i="4"/>
  <c r="HF111" i="4"/>
  <c r="HE111" i="4"/>
  <c r="HD111" i="4"/>
  <c r="HC111" i="4"/>
  <c r="HB111" i="4"/>
  <c r="HA111" i="4"/>
  <c r="GZ111" i="4"/>
  <c r="GY111" i="4"/>
  <c r="GX111" i="4"/>
  <c r="GW111" i="4"/>
  <c r="GV111" i="4"/>
  <c r="GU111" i="4"/>
  <c r="GT111" i="4"/>
  <c r="GR111" i="4"/>
  <c r="GQ111" i="4"/>
  <c r="GP111" i="4"/>
  <c r="GO111" i="4"/>
  <c r="GN111" i="4"/>
  <c r="GM111" i="4"/>
  <c r="GL111" i="4"/>
  <c r="GK111" i="4"/>
  <c r="GJ111" i="4"/>
  <c r="GI111" i="4"/>
  <c r="GH111" i="4"/>
  <c r="GG111" i="4"/>
  <c r="GF111" i="4"/>
  <c r="GE111" i="4"/>
  <c r="GD111" i="4"/>
  <c r="GB111" i="4"/>
  <c r="GA111" i="4"/>
  <c r="FZ111" i="4"/>
  <c r="FY111" i="4"/>
  <c r="FX111" i="4"/>
  <c r="FW111" i="4"/>
  <c r="FV111" i="4"/>
  <c r="FU111" i="4"/>
  <c r="FT111" i="4"/>
  <c r="FS111" i="4"/>
  <c r="FR111" i="4"/>
  <c r="FQ111" i="4"/>
  <c r="FP111" i="4"/>
  <c r="FO111" i="4"/>
  <c r="FN111" i="4"/>
  <c r="FL111" i="4"/>
  <c r="FK111" i="4"/>
  <c r="FJ111" i="4"/>
  <c r="FI111" i="4"/>
  <c r="FH111" i="4"/>
  <c r="FG111" i="4"/>
  <c r="FF111" i="4"/>
  <c r="FE111" i="4"/>
  <c r="FD111" i="4"/>
  <c r="FC111" i="4"/>
  <c r="FB111" i="4"/>
  <c r="FA111" i="4"/>
  <c r="EZ111" i="4"/>
  <c r="EY111" i="4"/>
  <c r="EX111" i="4"/>
  <c r="EV111" i="4"/>
  <c r="EU111" i="4"/>
  <c r="ET111" i="4"/>
  <c r="ES111" i="4"/>
  <c r="ER111" i="4"/>
  <c r="EQ111" i="4"/>
  <c r="EP111" i="4"/>
  <c r="EO111" i="4"/>
  <c r="EN111" i="4"/>
  <c r="EM111" i="4"/>
  <c r="EL111" i="4"/>
  <c r="EK111" i="4"/>
  <c r="EJ111" i="4"/>
  <c r="EI111" i="4"/>
  <c r="EH111" i="4"/>
  <c r="EF111" i="4"/>
  <c r="EE111" i="4"/>
  <c r="ED111" i="4"/>
  <c r="EC111" i="4"/>
  <c r="EB111" i="4"/>
  <c r="EA111" i="4"/>
  <c r="DZ111" i="4"/>
  <c r="DY111" i="4"/>
  <c r="DX111" i="4"/>
  <c r="DW111" i="4"/>
  <c r="DV111" i="4"/>
  <c r="DU111" i="4"/>
  <c r="DT111" i="4"/>
  <c r="DS111" i="4"/>
  <c r="DR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H111" i="4"/>
  <c r="G111" i="4"/>
  <c r="F111" i="4"/>
  <c r="E111" i="4"/>
  <c r="D111" i="4"/>
  <c r="C111" i="4"/>
  <c r="B111" i="4"/>
  <c r="A111" i="4"/>
  <c r="IV110" i="4"/>
  <c r="IU110" i="4"/>
  <c r="IT110" i="4"/>
  <c r="IS110" i="4"/>
  <c r="IR110" i="4"/>
  <c r="IQ110" i="4"/>
  <c r="IP110" i="4"/>
  <c r="IN110" i="4"/>
  <c r="IM110" i="4"/>
  <c r="IL110" i="4"/>
  <c r="IK110" i="4"/>
  <c r="IJ110" i="4"/>
  <c r="II110" i="4"/>
  <c r="IH110" i="4"/>
  <c r="IG110" i="4"/>
  <c r="IF110" i="4"/>
  <c r="IE110" i="4"/>
  <c r="ID110" i="4"/>
  <c r="IC110" i="4"/>
  <c r="IB110" i="4"/>
  <c r="IA110" i="4"/>
  <c r="HZ110" i="4"/>
  <c r="HX110" i="4"/>
  <c r="HW110" i="4"/>
  <c r="HV110" i="4"/>
  <c r="HU110" i="4"/>
  <c r="HT110" i="4"/>
  <c r="HS110" i="4"/>
  <c r="HR110" i="4"/>
  <c r="HQ110" i="4"/>
  <c r="HP110" i="4"/>
  <c r="HO110" i="4"/>
  <c r="HN110" i="4"/>
  <c r="HM110" i="4"/>
  <c r="HL110" i="4"/>
  <c r="HK110" i="4"/>
  <c r="HJ110" i="4"/>
  <c r="HH110" i="4"/>
  <c r="HG110" i="4"/>
  <c r="HF110" i="4"/>
  <c r="HE110" i="4"/>
  <c r="HD110" i="4"/>
  <c r="HC110" i="4"/>
  <c r="HB110" i="4"/>
  <c r="HA110" i="4"/>
  <c r="GZ110" i="4"/>
  <c r="GY110" i="4"/>
  <c r="GX110" i="4"/>
  <c r="GW110" i="4"/>
  <c r="GV110" i="4"/>
  <c r="GU110" i="4"/>
  <c r="GT110" i="4"/>
  <c r="GR110" i="4"/>
  <c r="GQ110" i="4"/>
  <c r="GP110" i="4"/>
  <c r="GO110" i="4"/>
  <c r="GN110" i="4"/>
  <c r="GM110" i="4"/>
  <c r="GL110" i="4"/>
  <c r="GK110" i="4"/>
  <c r="GJ110" i="4"/>
  <c r="GI110" i="4"/>
  <c r="GH110" i="4"/>
  <c r="GG110" i="4"/>
  <c r="GF110" i="4"/>
  <c r="GE110" i="4"/>
  <c r="GD110" i="4"/>
  <c r="GB110" i="4"/>
  <c r="GA110" i="4"/>
  <c r="FZ110" i="4"/>
  <c r="FY110" i="4"/>
  <c r="FX110" i="4"/>
  <c r="FW110" i="4"/>
  <c r="FV110" i="4"/>
  <c r="FU110" i="4"/>
  <c r="FT110" i="4"/>
  <c r="FS110" i="4"/>
  <c r="FR110" i="4"/>
  <c r="FQ110" i="4"/>
  <c r="FP110" i="4"/>
  <c r="FO110" i="4"/>
  <c r="FN110" i="4"/>
  <c r="FL110" i="4"/>
  <c r="FK110" i="4"/>
  <c r="FJ110" i="4"/>
  <c r="FI110" i="4"/>
  <c r="FH110" i="4"/>
  <c r="FG110" i="4"/>
  <c r="FF110" i="4"/>
  <c r="FE110" i="4"/>
  <c r="FD110" i="4"/>
  <c r="FC110" i="4"/>
  <c r="FB110" i="4"/>
  <c r="FA110" i="4"/>
  <c r="EZ110" i="4"/>
  <c r="EY110" i="4"/>
  <c r="EX110" i="4"/>
  <c r="EV110" i="4"/>
  <c r="EU110" i="4"/>
  <c r="ET110" i="4"/>
  <c r="ES110" i="4"/>
  <c r="ER110" i="4"/>
  <c r="EQ110" i="4"/>
  <c r="EP110" i="4"/>
  <c r="EO110" i="4"/>
  <c r="EN110" i="4"/>
  <c r="EM110" i="4"/>
  <c r="EL110" i="4"/>
  <c r="EK110" i="4"/>
  <c r="EJ110" i="4"/>
  <c r="EI110" i="4"/>
  <c r="EH110" i="4"/>
  <c r="EF110" i="4"/>
  <c r="EE110" i="4"/>
  <c r="ED110" i="4"/>
  <c r="EC110" i="4"/>
  <c r="EB110" i="4"/>
  <c r="EA110" i="4"/>
  <c r="DZ110" i="4"/>
  <c r="DY110" i="4"/>
  <c r="DX110" i="4"/>
  <c r="DW110" i="4"/>
  <c r="DV110" i="4"/>
  <c r="DU110" i="4"/>
  <c r="DT110" i="4"/>
  <c r="DS110" i="4"/>
  <c r="DR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H110" i="4"/>
  <c r="G110" i="4"/>
  <c r="F110" i="4"/>
  <c r="E110" i="4"/>
  <c r="D110" i="4"/>
  <c r="C110" i="4"/>
  <c r="B110" i="4"/>
  <c r="A110" i="4"/>
  <c r="IV109" i="4"/>
  <c r="IU109" i="4"/>
  <c r="IT109" i="4"/>
  <c r="IS109" i="4"/>
  <c r="IR109" i="4"/>
  <c r="IQ109" i="4"/>
  <c r="IP109" i="4"/>
  <c r="IN109" i="4"/>
  <c r="IM109" i="4"/>
  <c r="IL109" i="4"/>
  <c r="IK109" i="4"/>
  <c r="IJ109" i="4"/>
  <c r="II109" i="4"/>
  <c r="IH109" i="4"/>
  <c r="IG109" i="4"/>
  <c r="IF109" i="4"/>
  <c r="IE109" i="4"/>
  <c r="ID109" i="4"/>
  <c r="IC109" i="4"/>
  <c r="IB109" i="4"/>
  <c r="IA109" i="4"/>
  <c r="HZ109" i="4"/>
  <c r="HX109" i="4"/>
  <c r="HW109" i="4"/>
  <c r="HV109" i="4"/>
  <c r="HU109" i="4"/>
  <c r="HT109" i="4"/>
  <c r="HS109" i="4"/>
  <c r="HR109" i="4"/>
  <c r="HQ109" i="4"/>
  <c r="HP109" i="4"/>
  <c r="HO109" i="4"/>
  <c r="HN109" i="4"/>
  <c r="HM109" i="4"/>
  <c r="HL109" i="4"/>
  <c r="HK109" i="4"/>
  <c r="HJ109" i="4"/>
  <c r="HH109" i="4"/>
  <c r="HG109" i="4"/>
  <c r="HF109" i="4"/>
  <c r="HE109" i="4"/>
  <c r="HD109" i="4"/>
  <c r="HC109" i="4"/>
  <c r="HB109" i="4"/>
  <c r="HA109" i="4"/>
  <c r="GZ109" i="4"/>
  <c r="GY109" i="4"/>
  <c r="GX109" i="4"/>
  <c r="GW109" i="4"/>
  <c r="GV109" i="4"/>
  <c r="GU109" i="4"/>
  <c r="GT109" i="4"/>
  <c r="GR109" i="4"/>
  <c r="GQ109" i="4"/>
  <c r="GP109" i="4"/>
  <c r="GO109" i="4"/>
  <c r="GN109" i="4"/>
  <c r="GM109" i="4"/>
  <c r="GL109" i="4"/>
  <c r="GK109" i="4"/>
  <c r="GJ109" i="4"/>
  <c r="GI109" i="4"/>
  <c r="GH109" i="4"/>
  <c r="GG109" i="4"/>
  <c r="GF109" i="4"/>
  <c r="GE109" i="4"/>
  <c r="GD109" i="4"/>
  <c r="GB109" i="4"/>
  <c r="GA109" i="4"/>
  <c r="FZ109" i="4"/>
  <c r="FY109" i="4"/>
  <c r="FX109" i="4"/>
  <c r="FW109" i="4"/>
  <c r="FV109" i="4"/>
  <c r="FU109" i="4"/>
  <c r="FT109" i="4"/>
  <c r="FS109" i="4"/>
  <c r="FR109" i="4"/>
  <c r="FQ109" i="4"/>
  <c r="FP109" i="4"/>
  <c r="FO109" i="4"/>
  <c r="FN109" i="4"/>
  <c r="FL109" i="4"/>
  <c r="FK109" i="4"/>
  <c r="FJ109" i="4"/>
  <c r="FI109" i="4"/>
  <c r="FH109" i="4"/>
  <c r="FG109" i="4"/>
  <c r="FF109" i="4"/>
  <c r="FE109" i="4"/>
  <c r="FD109" i="4"/>
  <c r="FC109" i="4"/>
  <c r="FB109" i="4"/>
  <c r="FA109" i="4"/>
  <c r="EZ109" i="4"/>
  <c r="EY109" i="4"/>
  <c r="EX109" i="4"/>
  <c r="EV109" i="4"/>
  <c r="EU109" i="4"/>
  <c r="ET109" i="4"/>
  <c r="ES109" i="4"/>
  <c r="ER109" i="4"/>
  <c r="EQ109" i="4"/>
  <c r="EP109" i="4"/>
  <c r="EO109" i="4"/>
  <c r="EN109" i="4"/>
  <c r="EM109" i="4"/>
  <c r="EL109" i="4"/>
  <c r="EK109" i="4"/>
  <c r="EJ109" i="4"/>
  <c r="EI109" i="4"/>
  <c r="EH109" i="4"/>
  <c r="EF109" i="4"/>
  <c r="EE109" i="4"/>
  <c r="ED109" i="4"/>
  <c r="EC109" i="4"/>
  <c r="EB109" i="4"/>
  <c r="EA109" i="4"/>
  <c r="DZ109" i="4"/>
  <c r="DY109" i="4"/>
  <c r="DX109" i="4"/>
  <c r="DW109" i="4"/>
  <c r="DV109" i="4"/>
  <c r="DU109" i="4"/>
  <c r="DT109" i="4"/>
  <c r="DS109" i="4"/>
  <c r="DR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H109" i="4"/>
  <c r="G109" i="4"/>
  <c r="F109" i="4"/>
  <c r="E109" i="4"/>
  <c r="D109" i="4"/>
  <c r="C109" i="4"/>
  <c r="B109" i="4"/>
  <c r="A109" i="4"/>
  <c r="IV108" i="4"/>
  <c r="IU108" i="4"/>
  <c r="IT108" i="4"/>
  <c r="IS108" i="4"/>
  <c r="IR108" i="4"/>
  <c r="IQ108" i="4"/>
  <c r="IP108" i="4"/>
  <c r="IN108" i="4"/>
  <c r="IM108" i="4"/>
  <c r="IL108" i="4"/>
  <c r="IK108" i="4"/>
  <c r="IJ108" i="4"/>
  <c r="II108" i="4"/>
  <c r="IH108" i="4"/>
  <c r="IG108" i="4"/>
  <c r="IF108" i="4"/>
  <c r="IE108" i="4"/>
  <c r="ID108" i="4"/>
  <c r="IC108" i="4"/>
  <c r="IB108" i="4"/>
  <c r="IA108" i="4"/>
  <c r="HZ108" i="4"/>
  <c r="HX108" i="4"/>
  <c r="HW108" i="4"/>
  <c r="HV108" i="4"/>
  <c r="HU108" i="4"/>
  <c r="HT108" i="4"/>
  <c r="HS108" i="4"/>
  <c r="HR108" i="4"/>
  <c r="HQ108" i="4"/>
  <c r="HP108" i="4"/>
  <c r="HO108" i="4"/>
  <c r="HN108" i="4"/>
  <c r="HM108" i="4"/>
  <c r="HL108" i="4"/>
  <c r="HK108" i="4"/>
  <c r="HJ108" i="4"/>
  <c r="HH108" i="4"/>
  <c r="HG108" i="4"/>
  <c r="HF108" i="4"/>
  <c r="HE108" i="4"/>
  <c r="HD108" i="4"/>
  <c r="HC108" i="4"/>
  <c r="HB108" i="4"/>
  <c r="HA108" i="4"/>
  <c r="GZ108" i="4"/>
  <c r="GY108" i="4"/>
  <c r="GX108" i="4"/>
  <c r="GW108" i="4"/>
  <c r="GV108" i="4"/>
  <c r="GU108" i="4"/>
  <c r="GT108" i="4"/>
  <c r="GR108" i="4"/>
  <c r="GQ108" i="4"/>
  <c r="GP108" i="4"/>
  <c r="GO108" i="4"/>
  <c r="GN108" i="4"/>
  <c r="GM108" i="4"/>
  <c r="GL108" i="4"/>
  <c r="GK108" i="4"/>
  <c r="GJ108" i="4"/>
  <c r="GI108" i="4"/>
  <c r="GH108" i="4"/>
  <c r="GG108" i="4"/>
  <c r="GF108" i="4"/>
  <c r="GE108" i="4"/>
  <c r="GD108" i="4"/>
  <c r="GB108" i="4"/>
  <c r="GA108" i="4"/>
  <c r="FZ108" i="4"/>
  <c r="FY108" i="4"/>
  <c r="FX108" i="4"/>
  <c r="FW108" i="4"/>
  <c r="FV108" i="4"/>
  <c r="FU108" i="4"/>
  <c r="FT108" i="4"/>
  <c r="FS108" i="4"/>
  <c r="FR108" i="4"/>
  <c r="FQ108" i="4"/>
  <c r="FP108" i="4"/>
  <c r="FO108" i="4"/>
  <c r="FN108" i="4"/>
  <c r="FL108" i="4"/>
  <c r="FK108" i="4"/>
  <c r="FJ108" i="4"/>
  <c r="FI108" i="4"/>
  <c r="FH108" i="4"/>
  <c r="FG108" i="4"/>
  <c r="FF108" i="4"/>
  <c r="FE108" i="4"/>
  <c r="FD108" i="4"/>
  <c r="FC108" i="4"/>
  <c r="FB108" i="4"/>
  <c r="FA108" i="4"/>
  <c r="EZ108" i="4"/>
  <c r="EY108" i="4"/>
  <c r="EX108" i="4"/>
  <c r="EV108" i="4"/>
  <c r="EU108" i="4"/>
  <c r="ET108" i="4"/>
  <c r="ES108" i="4"/>
  <c r="ER108" i="4"/>
  <c r="EQ108" i="4"/>
  <c r="EP108" i="4"/>
  <c r="EO108" i="4"/>
  <c r="EN108" i="4"/>
  <c r="EM108" i="4"/>
  <c r="EL108" i="4"/>
  <c r="EK108" i="4"/>
  <c r="EJ108" i="4"/>
  <c r="EI108" i="4"/>
  <c r="EH108" i="4"/>
  <c r="EF108" i="4"/>
  <c r="EE108" i="4"/>
  <c r="ED108" i="4"/>
  <c r="EC108" i="4"/>
  <c r="EB108" i="4"/>
  <c r="EA108" i="4"/>
  <c r="DZ108" i="4"/>
  <c r="DY108" i="4"/>
  <c r="DX108" i="4"/>
  <c r="DW108" i="4"/>
  <c r="DV108" i="4"/>
  <c r="DU108" i="4"/>
  <c r="DT108" i="4"/>
  <c r="DS108" i="4"/>
  <c r="DR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H108" i="4"/>
  <c r="G108" i="4"/>
  <c r="F108" i="4"/>
  <c r="E108" i="4"/>
  <c r="D108" i="4"/>
  <c r="C108" i="4"/>
  <c r="B108" i="4"/>
  <c r="A108" i="4"/>
  <c r="IV107" i="4"/>
  <c r="IU107" i="4"/>
  <c r="IT107" i="4"/>
  <c r="IS107" i="4"/>
  <c r="IR107" i="4"/>
  <c r="IQ107" i="4"/>
  <c r="IP107" i="4"/>
  <c r="IN107" i="4"/>
  <c r="IM107" i="4"/>
  <c r="IL107" i="4"/>
  <c r="IK107" i="4"/>
  <c r="IJ107" i="4"/>
  <c r="II107" i="4"/>
  <c r="IH107" i="4"/>
  <c r="IG107" i="4"/>
  <c r="IF107" i="4"/>
  <c r="IE107" i="4"/>
  <c r="ID107" i="4"/>
  <c r="IC107" i="4"/>
  <c r="IB107" i="4"/>
  <c r="IA107" i="4"/>
  <c r="HZ107" i="4"/>
  <c r="HX107" i="4"/>
  <c r="HW107" i="4"/>
  <c r="HV107" i="4"/>
  <c r="HU107" i="4"/>
  <c r="HT107" i="4"/>
  <c r="HS107" i="4"/>
  <c r="HR107" i="4"/>
  <c r="HQ107" i="4"/>
  <c r="HP107" i="4"/>
  <c r="HO107" i="4"/>
  <c r="HN107" i="4"/>
  <c r="HM107" i="4"/>
  <c r="HL107" i="4"/>
  <c r="HK107" i="4"/>
  <c r="HJ107" i="4"/>
  <c r="HH107" i="4"/>
  <c r="HG107" i="4"/>
  <c r="HF107" i="4"/>
  <c r="HE107" i="4"/>
  <c r="HD107" i="4"/>
  <c r="HC107" i="4"/>
  <c r="HB107" i="4"/>
  <c r="HA107" i="4"/>
  <c r="GZ107" i="4"/>
  <c r="GY107" i="4"/>
  <c r="GX107" i="4"/>
  <c r="GW107" i="4"/>
  <c r="GV107" i="4"/>
  <c r="GU107" i="4"/>
  <c r="GT107" i="4"/>
  <c r="GR107" i="4"/>
  <c r="GQ107" i="4"/>
  <c r="GP107" i="4"/>
  <c r="GO107" i="4"/>
  <c r="GN107" i="4"/>
  <c r="GM107" i="4"/>
  <c r="GL107" i="4"/>
  <c r="GK107" i="4"/>
  <c r="GJ107" i="4"/>
  <c r="GI107" i="4"/>
  <c r="GH107" i="4"/>
  <c r="GG107" i="4"/>
  <c r="GF107" i="4"/>
  <c r="GE107" i="4"/>
  <c r="GD107" i="4"/>
  <c r="GB107" i="4"/>
  <c r="GA107" i="4"/>
  <c r="FZ107" i="4"/>
  <c r="FY107" i="4"/>
  <c r="FX107" i="4"/>
  <c r="FW107" i="4"/>
  <c r="FV107" i="4"/>
  <c r="FU107" i="4"/>
  <c r="FT107" i="4"/>
  <c r="FS107" i="4"/>
  <c r="FR107" i="4"/>
  <c r="FQ107" i="4"/>
  <c r="FP107" i="4"/>
  <c r="FO107" i="4"/>
  <c r="FN107" i="4"/>
  <c r="FL107" i="4"/>
  <c r="FK107" i="4"/>
  <c r="FJ107" i="4"/>
  <c r="FI107" i="4"/>
  <c r="FH107" i="4"/>
  <c r="FG107" i="4"/>
  <c r="FF107" i="4"/>
  <c r="FE107" i="4"/>
  <c r="FD107" i="4"/>
  <c r="FC107" i="4"/>
  <c r="FB107" i="4"/>
  <c r="FA107" i="4"/>
  <c r="EZ107" i="4"/>
  <c r="EY107" i="4"/>
  <c r="EX107" i="4"/>
  <c r="EV107" i="4"/>
  <c r="EU107" i="4"/>
  <c r="ET107" i="4"/>
  <c r="ES107" i="4"/>
  <c r="ER107" i="4"/>
  <c r="EQ107" i="4"/>
  <c r="EP107" i="4"/>
  <c r="EO107" i="4"/>
  <c r="EN107" i="4"/>
  <c r="EM107" i="4"/>
  <c r="EL107" i="4"/>
  <c r="EK107" i="4"/>
  <c r="EJ107" i="4"/>
  <c r="EI107" i="4"/>
  <c r="EH107" i="4"/>
  <c r="EF107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H107" i="4"/>
  <c r="G107" i="4"/>
  <c r="F107" i="4"/>
  <c r="E107" i="4"/>
  <c r="D107" i="4"/>
  <c r="C107" i="4"/>
  <c r="B107" i="4"/>
  <c r="A107" i="4"/>
  <c r="IV106" i="4"/>
  <c r="IU106" i="4"/>
  <c r="IT106" i="4"/>
  <c r="IS106" i="4"/>
  <c r="IR106" i="4"/>
  <c r="IQ106" i="4"/>
  <c r="IP106" i="4"/>
  <c r="IN106" i="4"/>
  <c r="IM106" i="4"/>
  <c r="IL106" i="4"/>
  <c r="IK106" i="4"/>
  <c r="IJ106" i="4"/>
  <c r="II106" i="4"/>
  <c r="IH106" i="4"/>
  <c r="IG106" i="4"/>
  <c r="IF106" i="4"/>
  <c r="IE106" i="4"/>
  <c r="ID106" i="4"/>
  <c r="IC106" i="4"/>
  <c r="IB106" i="4"/>
  <c r="IA106" i="4"/>
  <c r="HZ106" i="4"/>
  <c r="HX106" i="4"/>
  <c r="HW106" i="4"/>
  <c r="HV106" i="4"/>
  <c r="HU106" i="4"/>
  <c r="HT106" i="4"/>
  <c r="HS106" i="4"/>
  <c r="HR106" i="4"/>
  <c r="HQ106" i="4"/>
  <c r="HP106" i="4"/>
  <c r="HO106" i="4"/>
  <c r="HN106" i="4"/>
  <c r="HM106" i="4"/>
  <c r="HL106" i="4"/>
  <c r="HK106" i="4"/>
  <c r="HJ106" i="4"/>
  <c r="HH106" i="4"/>
  <c r="HG106" i="4"/>
  <c r="HF106" i="4"/>
  <c r="HE106" i="4"/>
  <c r="HD106" i="4"/>
  <c r="HC106" i="4"/>
  <c r="HB106" i="4"/>
  <c r="HA106" i="4"/>
  <c r="GZ106" i="4"/>
  <c r="GY106" i="4"/>
  <c r="GX106" i="4"/>
  <c r="GW106" i="4"/>
  <c r="GV106" i="4"/>
  <c r="GU106" i="4"/>
  <c r="GT106" i="4"/>
  <c r="GR106" i="4"/>
  <c r="GQ106" i="4"/>
  <c r="GP106" i="4"/>
  <c r="GO106" i="4"/>
  <c r="GN106" i="4"/>
  <c r="GM106" i="4"/>
  <c r="GL106" i="4"/>
  <c r="GK106" i="4"/>
  <c r="GJ106" i="4"/>
  <c r="GI106" i="4"/>
  <c r="GH106" i="4"/>
  <c r="GG106" i="4"/>
  <c r="GF106" i="4"/>
  <c r="GE106" i="4"/>
  <c r="GD106" i="4"/>
  <c r="GB106" i="4"/>
  <c r="GA106" i="4"/>
  <c r="FZ106" i="4"/>
  <c r="FY106" i="4"/>
  <c r="FX106" i="4"/>
  <c r="FW106" i="4"/>
  <c r="FV106" i="4"/>
  <c r="FU106" i="4"/>
  <c r="FT106" i="4"/>
  <c r="FS106" i="4"/>
  <c r="FR106" i="4"/>
  <c r="FQ106" i="4"/>
  <c r="FP106" i="4"/>
  <c r="FO106" i="4"/>
  <c r="FN106" i="4"/>
  <c r="FL106" i="4"/>
  <c r="FK106" i="4"/>
  <c r="FJ106" i="4"/>
  <c r="FI106" i="4"/>
  <c r="FH106" i="4"/>
  <c r="FG106" i="4"/>
  <c r="FF106" i="4"/>
  <c r="FE106" i="4"/>
  <c r="FD106" i="4"/>
  <c r="FC106" i="4"/>
  <c r="FB106" i="4"/>
  <c r="FA106" i="4"/>
  <c r="EZ106" i="4"/>
  <c r="EY106" i="4"/>
  <c r="EX106" i="4"/>
  <c r="EV106" i="4"/>
  <c r="EU106" i="4"/>
  <c r="ET106" i="4"/>
  <c r="ES106" i="4"/>
  <c r="ER106" i="4"/>
  <c r="EQ106" i="4"/>
  <c r="EP106" i="4"/>
  <c r="EO106" i="4"/>
  <c r="EN106" i="4"/>
  <c r="EM106" i="4"/>
  <c r="EL106" i="4"/>
  <c r="EK106" i="4"/>
  <c r="EJ106" i="4"/>
  <c r="EI106" i="4"/>
  <c r="EH106" i="4"/>
  <c r="EF106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S106" i="4"/>
  <c r="DR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H106" i="4"/>
  <c r="G106" i="4"/>
  <c r="F106" i="4"/>
  <c r="E106" i="4"/>
  <c r="D106" i="4"/>
  <c r="C106" i="4"/>
  <c r="B106" i="4"/>
  <c r="A106" i="4"/>
  <c r="IV105" i="4"/>
  <c r="IU105" i="4"/>
  <c r="IT105" i="4"/>
  <c r="IS105" i="4"/>
  <c r="IR105" i="4"/>
  <c r="IQ105" i="4"/>
  <c r="IP105" i="4"/>
  <c r="IN105" i="4"/>
  <c r="IM105" i="4"/>
  <c r="IL105" i="4"/>
  <c r="IK105" i="4"/>
  <c r="IJ105" i="4"/>
  <c r="II105" i="4"/>
  <c r="IH105" i="4"/>
  <c r="IG105" i="4"/>
  <c r="IF105" i="4"/>
  <c r="IE105" i="4"/>
  <c r="ID105" i="4"/>
  <c r="IC105" i="4"/>
  <c r="IB105" i="4"/>
  <c r="IA105" i="4"/>
  <c r="HZ105" i="4"/>
  <c r="HX105" i="4"/>
  <c r="HW105" i="4"/>
  <c r="HV105" i="4"/>
  <c r="HU105" i="4"/>
  <c r="HT105" i="4"/>
  <c r="HS105" i="4"/>
  <c r="HR105" i="4"/>
  <c r="HQ105" i="4"/>
  <c r="HP105" i="4"/>
  <c r="HO105" i="4"/>
  <c r="HN105" i="4"/>
  <c r="HM105" i="4"/>
  <c r="HL105" i="4"/>
  <c r="HK105" i="4"/>
  <c r="HJ105" i="4"/>
  <c r="HH105" i="4"/>
  <c r="HG105" i="4"/>
  <c r="HF105" i="4"/>
  <c r="HE105" i="4"/>
  <c r="HD105" i="4"/>
  <c r="HC105" i="4"/>
  <c r="HB105" i="4"/>
  <c r="HA105" i="4"/>
  <c r="GZ105" i="4"/>
  <c r="GY105" i="4"/>
  <c r="GX105" i="4"/>
  <c r="GW105" i="4"/>
  <c r="GV105" i="4"/>
  <c r="GU105" i="4"/>
  <c r="GT105" i="4"/>
  <c r="GR105" i="4"/>
  <c r="GQ105" i="4"/>
  <c r="GP105" i="4"/>
  <c r="GO105" i="4"/>
  <c r="GN105" i="4"/>
  <c r="GM105" i="4"/>
  <c r="GL105" i="4"/>
  <c r="GK105" i="4"/>
  <c r="GJ105" i="4"/>
  <c r="GI105" i="4"/>
  <c r="GH105" i="4"/>
  <c r="GG105" i="4"/>
  <c r="GF105" i="4"/>
  <c r="GE105" i="4"/>
  <c r="GD105" i="4"/>
  <c r="GB105" i="4"/>
  <c r="GA105" i="4"/>
  <c r="FZ105" i="4"/>
  <c r="FY105" i="4"/>
  <c r="FX105" i="4"/>
  <c r="FW105" i="4"/>
  <c r="FV105" i="4"/>
  <c r="FU105" i="4"/>
  <c r="FT105" i="4"/>
  <c r="FS105" i="4"/>
  <c r="FR105" i="4"/>
  <c r="FQ105" i="4"/>
  <c r="FP105" i="4"/>
  <c r="FO105" i="4"/>
  <c r="FN105" i="4"/>
  <c r="FL105" i="4"/>
  <c r="FK105" i="4"/>
  <c r="FJ105" i="4"/>
  <c r="FI105" i="4"/>
  <c r="FH105" i="4"/>
  <c r="FG105" i="4"/>
  <c r="FF105" i="4"/>
  <c r="FE105" i="4"/>
  <c r="FD105" i="4"/>
  <c r="FC105" i="4"/>
  <c r="FB105" i="4"/>
  <c r="FA105" i="4"/>
  <c r="EZ105" i="4"/>
  <c r="EY105" i="4"/>
  <c r="EX105" i="4"/>
  <c r="EV105" i="4"/>
  <c r="EU105" i="4"/>
  <c r="ET105" i="4"/>
  <c r="ES105" i="4"/>
  <c r="ER105" i="4"/>
  <c r="EQ105" i="4"/>
  <c r="EP105" i="4"/>
  <c r="EO105" i="4"/>
  <c r="EN105" i="4"/>
  <c r="EM105" i="4"/>
  <c r="EL105" i="4"/>
  <c r="EK105" i="4"/>
  <c r="EJ105" i="4"/>
  <c r="EI105" i="4"/>
  <c r="EH105" i="4"/>
  <c r="EF105" i="4"/>
  <c r="EE105" i="4"/>
  <c r="ED105" i="4"/>
  <c r="EC105" i="4"/>
  <c r="EB105" i="4"/>
  <c r="EA105" i="4"/>
  <c r="DZ105" i="4"/>
  <c r="DY105" i="4"/>
  <c r="DX105" i="4"/>
  <c r="DW105" i="4"/>
  <c r="DV105" i="4"/>
  <c r="DU105" i="4"/>
  <c r="DT105" i="4"/>
  <c r="DS105" i="4"/>
  <c r="DR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H105" i="4"/>
  <c r="G105" i="4"/>
  <c r="F105" i="4"/>
  <c r="E105" i="4"/>
  <c r="D105" i="4"/>
  <c r="C105" i="4"/>
  <c r="B105" i="4"/>
  <c r="A105" i="4"/>
  <c r="IV104" i="4"/>
  <c r="IU104" i="4"/>
  <c r="IT104" i="4"/>
  <c r="IS104" i="4"/>
  <c r="IR104" i="4"/>
  <c r="IQ104" i="4"/>
  <c r="IP104" i="4"/>
  <c r="IN104" i="4"/>
  <c r="IM104" i="4"/>
  <c r="IL104" i="4"/>
  <c r="IK104" i="4"/>
  <c r="IJ104" i="4"/>
  <c r="II104" i="4"/>
  <c r="IH104" i="4"/>
  <c r="IG104" i="4"/>
  <c r="IF104" i="4"/>
  <c r="IE104" i="4"/>
  <c r="ID104" i="4"/>
  <c r="IC104" i="4"/>
  <c r="IB104" i="4"/>
  <c r="IA104" i="4"/>
  <c r="HZ104" i="4"/>
  <c r="HX104" i="4"/>
  <c r="HW104" i="4"/>
  <c r="HV104" i="4"/>
  <c r="HU104" i="4"/>
  <c r="HT104" i="4"/>
  <c r="HS104" i="4"/>
  <c r="HR104" i="4"/>
  <c r="HQ104" i="4"/>
  <c r="HP104" i="4"/>
  <c r="HO104" i="4"/>
  <c r="HN104" i="4"/>
  <c r="HM104" i="4"/>
  <c r="HL104" i="4"/>
  <c r="HK104" i="4"/>
  <c r="HJ104" i="4"/>
  <c r="HH104" i="4"/>
  <c r="HG104" i="4"/>
  <c r="HF104" i="4"/>
  <c r="HE104" i="4"/>
  <c r="HD104" i="4"/>
  <c r="HC104" i="4"/>
  <c r="HB104" i="4"/>
  <c r="HA104" i="4"/>
  <c r="GZ104" i="4"/>
  <c r="GY104" i="4"/>
  <c r="GX104" i="4"/>
  <c r="GW104" i="4"/>
  <c r="GV104" i="4"/>
  <c r="GU104" i="4"/>
  <c r="GT104" i="4"/>
  <c r="GR104" i="4"/>
  <c r="GQ104" i="4"/>
  <c r="GP104" i="4"/>
  <c r="GO104" i="4"/>
  <c r="GN104" i="4"/>
  <c r="GM104" i="4"/>
  <c r="GL104" i="4"/>
  <c r="GK104" i="4"/>
  <c r="GJ104" i="4"/>
  <c r="GI104" i="4"/>
  <c r="GH104" i="4"/>
  <c r="GG104" i="4"/>
  <c r="GF104" i="4"/>
  <c r="GE104" i="4"/>
  <c r="GD104" i="4"/>
  <c r="GB104" i="4"/>
  <c r="GA104" i="4"/>
  <c r="FZ104" i="4"/>
  <c r="FY104" i="4"/>
  <c r="FX104" i="4"/>
  <c r="FW104" i="4"/>
  <c r="FV104" i="4"/>
  <c r="FU104" i="4"/>
  <c r="FT104" i="4"/>
  <c r="FS104" i="4"/>
  <c r="FR104" i="4"/>
  <c r="FQ104" i="4"/>
  <c r="FP104" i="4"/>
  <c r="FO104" i="4"/>
  <c r="FN104" i="4"/>
  <c r="FL104" i="4"/>
  <c r="FK104" i="4"/>
  <c r="FJ104" i="4"/>
  <c r="FI104" i="4"/>
  <c r="FH104" i="4"/>
  <c r="FG104" i="4"/>
  <c r="FF104" i="4"/>
  <c r="FE104" i="4"/>
  <c r="FD104" i="4"/>
  <c r="FC104" i="4"/>
  <c r="FB104" i="4"/>
  <c r="FA104" i="4"/>
  <c r="EZ104" i="4"/>
  <c r="EY104" i="4"/>
  <c r="EX104" i="4"/>
  <c r="EV104" i="4"/>
  <c r="EU104" i="4"/>
  <c r="ET104" i="4"/>
  <c r="ES104" i="4"/>
  <c r="ER104" i="4"/>
  <c r="EQ104" i="4"/>
  <c r="EP104" i="4"/>
  <c r="EO104" i="4"/>
  <c r="EN104" i="4"/>
  <c r="EM104" i="4"/>
  <c r="EL104" i="4"/>
  <c r="EK104" i="4"/>
  <c r="EJ104" i="4"/>
  <c r="EI104" i="4"/>
  <c r="EH104" i="4"/>
  <c r="EF104" i="4"/>
  <c r="EE104" i="4"/>
  <c r="ED104" i="4"/>
  <c r="EC104" i="4"/>
  <c r="EB104" i="4"/>
  <c r="EA104" i="4"/>
  <c r="DZ104" i="4"/>
  <c r="DY104" i="4"/>
  <c r="DX104" i="4"/>
  <c r="DW104" i="4"/>
  <c r="DV104" i="4"/>
  <c r="DU104" i="4"/>
  <c r="DT104" i="4"/>
  <c r="DS104" i="4"/>
  <c r="DR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H104" i="4"/>
  <c r="G104" i="4"/>
  <c r="F104" i="4"/>
  <c r="E104" i="4"/>
  <c r="D104" i="4"/>
  <c r="C104" i="4"/>
  <c r="B104" i="4"/>
  <c r="A104" i="4"/>
  <c r="IV103" i="4"/>
  <c r="IU103" i="4"/>
  <c r="IT103" i="4"/>
  <c r="IS103" i="4"/>
  <c r="IR103" i="4"/>
  <c r="IQ103" i="4"/>
  <c r="IP103" i="4"/>
  <c r="IN103" i="4"/>
  <c r="IM103" i="4"/>
  <c r="IL103" i="4"/>
  <c r="IK103" i="4"/>
  <c r="IJ103" i="4"/>
  <c r="II103" i="4"/>
  <c r="IH103" i="4"/>
  <c r="IG103" i="4"/>
  <c r="IF103" i="4"/>
  <c r="IE103" i="4"/>
  <c r="ID103" i="4"/>
  <c r="IC103" i="4"/>
  <c r="IB103" i="4"/>
  <c r="IA103" i="4"/>
  <c r="HZ103" i="4"/>
  <c r="HX103" i="4"/>
  <c r="HW103" i="4"/>
  <c r="HV103" i="4"/>
  <c r="HU103" i="4"/>
  <c r="HT103" i="4"/>
  <c r="HS103" i="4"/>
  <c r="HR103" i="4"/>
  <c r="HQ103" i="4"/>
  <c r="HP103" i="4"/>
  <c r="HO103" i="4"/>
  <c r="HN103" i="4"/>
  <c r="HM103" i="4"/>
  <c r="HL103" i="4"/>
  <c r="HK103" i="4"/>
  <c r="HJ103" i="4"/>
  <c r="HH103" i="4"/>
  <c r="HG103" i="4"/>
  <c r="HF103" i="4"/>
  <c r="HE103" i="4"/>
  <c r="HD103" i="4"/>
  <c r="HC103" i="4"/>
  <c r="HB103" i="4"/>
  <c r="HA103" i="4"/>
  <c r="GZ103" i="4"/>
  <c r="GY103" i="4"/>
  <c r="GX103" i="4"/>
  <c r="GW103" i="4"/>
  <c r="GV103" i="4"/>
  <c r="GU103" i="4"/>
  <c r="GT103" i="4"/>
  <c r="GR103" i="4"/>
  <c r="GQ103" i="4"/>
  <c r="GP103" i="4"/>
  <c r="GO103" i="4"/>
  <c r="GN103" i="4"/>
  <c r="GM103" i="4"/>
  <c r="GL103" i="4"/>
  <c r="GK103" i="4"/>
  <c r="GJ103" i="4"/>
  <c r="GI103" i="4"/>
  <c r="GH103" i="4"/>
  <c r="GG103" i="4"/>
  <c r="GF103" i="4"/>
  <c r="GE103" i="4"/>
  <c r="GD103" i="4"/>
  <c r="GB103" i="4"/>
  <c r="GA103" i="4"/>
  <c r="FZ103" i="4"/>
  <c r="FY103" i="4"/>
  <c r="FX103" i="4"/>
  <c r="FW103" i="4"/>
  <c r="FV103" i="4"/>
  <c r="FU103" i="4"/>
  <c r="FT103" i="4"/>
  <c r="FS103" i="4"/>
  <c r="FR103" i="4"/>
  <c r="FQ103" i="4"/>
  <c r="FP103" i="4"/>
  <c r="FO103" i="4"/>
  <c r="FN103" i="4"/>
  <c r="FL103" i="4"/>
  <c r="FK103" i="4"/>
  <c r="FJ103" i="4"/>
  <c r="FI103" i="4"/>
  <c r="FH103" i="4"/>
  <c r="FG103" i="4"/>
  <c r="FF103" i="4"/>
  <c r="FE103" i="4"/>
  <c r="FD103" i="4"/>
  <c r="FC103" i="4"/>
  <c r="FB103" i="4"/>
  <c r="FA103" i="4"/>
  <c r="EZ103" i="4"/>
  <c r="EY103" i="4"/>
  <c r="EX103" i="4"/>
  <c r="EV103" i="4"/>
  <c r="EU103" i="4"/>
  <c r="ET103" i="4"/>
  <c r="ES103" i="4"/>
  <c r="ER103" i="4"/>
  <c r="EQ103" i="4"/>
  <c r="EP103" i="4"/>
  <c r="EO103" i="4"/>
  <c r="EN103" i="4"/>
  <c r="EM103" i="4"/>
  <c r="EL103" i="4"/>
  <c r="EK103" i="4"/>
  <c r="EJ103" i="4"/>
  <c r="EI103" i="4"/>
  <c r="EH103" i="4"/>
  <c r="EF103" i="4"/>
  <c r="EE103" i="4"/>
  <c r="ED103" i="4"/>
  <c r="EC103" i="4"/>
  <c r="EB103" i="4"/>
  <c r="EA103" i="4"/>
  <c r="DZ103" i="4"/>
  <c r="DY103" i="4"/>
  <c r="DX103" i="4"/>
  <c r="DW103" i="4"/>
  <c r="DV103" i="4"/>
  <c r="DU103" i="4"/>
  <c r="DT103" i="4"/>
  <c r="DS103" i="4"/>
  <c r="DR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H103" i="4"/>
  <c r="G103" i="4"/>
  <c r="F103" i="4"/>
  <c r="E103" i="4"/>
  <c r="D103" i="4"/>
  <c r="C103" i="4"/>
  <c r="B103" i="4"/>
  <c r="A103" i="4"/>
  <c r="IV102" i="4"/>
  <c r="IU102" i="4"/>
  <c r="IT102" i="4"/>
  <c r="IS102" i="4"/>
  <c r="IR102" i="4"/>
  <c r="IQ102" i="4"/>
  <c r="IP102" i="4"/>
  <c r="IN102" i="4"/>
  <c r="IM102" i="4"/>
  <c r="IL102" i="4"/>
  <c r="IK102" i="4"/>
  <c r="IJ102" i="4"/>
  <c r="II102" i="4"/>
  <c r="IH102" i="4"/>
  <c r="IG102" i="4"/>
  <c r="IF102" i="4"/>
  <c r="IE102" i="4"/>
  <c r="ID102" i="4"/>
  <c r="IC102" i="4"/>
  <c r="IB102" i="4"/>
  <c r="IA102" i="4"/>
  <c r="HZ102" i="4"/>
  <c r="HX102" i="4"/>
  <c r="HW102" i="4"/>
  <c r="HV102" i="4"/>
  <c r="HU102" i="4"/>
  <c r="HT102" i="4"/>
  <c r="HS102" i="4"/>
  <c r="HR102" i="4"/>
  <c r="HQ102" i="4"/>
  <c r="HP102" i="4"/>
  <c r="HO102" i="4"/>
  <c r="HN102" i="4"/>
  <c r="HM102" i="4"/>
  <c r="HL102" i="4"/>
  <c r="HK102" i="4"/>
  <c r="HJ102" i="4"/>
  <c r="HH102" i="4"/>
  <c r="HG102" i="4"/>
  <c r="HF102" i="4"/>
  <c r="HE102" i="4"/>
  <c r="HD102" i="4"/>
  <c r="HC102" i="4"/>
  <c r="HB102" i="4"/>
  <c r="HA102" i="4"/>
  <c r="GZ102" i="4"/>
  <c r="GY102" i="4"/>
  <c r="GX102" i="4"/>
  <c r="GW102" i="4"/>
  <c r="GV102" i="4"/>
  <c r="GU102" i="4"/>
  <c r="GT102" i="4"/>
  <c r="GR102" i="4"/>
  <c r="GQ102" i="4"/>
  <c r="GP102" i="4"/>
  <c r="GO102" i="4"/>
  <c r="GN102" i="4"/>
  <c r="GM102" i="4"/>
  <c r="GL102" i="4"/>
  <c r="GK102" i="4"/>
  <c r="GJ102" i="4"/>
  <c r="GI102" i="4"/>
  <c r="GH102" i="4"/>
  <c r="GG102" i="4"/>
  <c r="GF102" i="4"/>
  <c r="GE102" i="4"/>
  <c r="GD102" i="4"/>
  <c r="GB102" i="4"/>
  <c r="GA102" i="4"/>
  <c r="FZ102" i="4"/>
  <c r="FY102" i="4"/>
  <c r="FX102" i="4"/>
  <c r="FW102" i="4"/>
  <c r="FV102" i="4"/>
  <c r="FU102" i="4"/>
  <c r="FT102" i="4"/>
  <c r="FS102" i="4"/>
  <c r="FR102" i="4"/>
  <c r="FQ102" i="4"/>
  <c r="FP102" i="4"/>
  <c r="FO102" i="4"/>
  <c r="FN102" i="4"/>
  <c r="FL102" i="4"/>
  <c r="FK102" i="4"/>
  <c r="FJ102" i="4"/>
  <c r="FI102" i="4"/>
  <c r="FH102" i="4"/>
  <c r="FG102" i="4"/>
  <c r="FF102" i="4"/>
  <c r="FE102" i="4"/>
  <c r="FD102" i="4"/>
  <c r="FC102" i="4"/>
  <c r="FB102" i="4"/>
  <c r="FA102" i="4"/>
  <c r="EZ102" i="4"/>
  <c r="EY102" i="4"/>
  <c r="EX102" i="4"/>
  <c r="EV102" i="4"/>
  <c r="EU102" i="4"/>
  <c r="ET102" i="4"/>
  <c r="ES102" i="4"/>
  <c r="ER102" i="4"/>
  <c r="EQ102" i="4"/>
  <c r="EP102" i="4"/>
  <c r="EO102" i="4"/>
  <c r="EN102" i="4"/>
  <c r="EM102" i="4"/>
  <c r="EL102" i="4"/>
  <c r="EK102" i="4"/>
  <c r="EJ102" i="4"/>
  <c r="EI102" i="4"/>
  <c r="EH102" i="4"/>
  <c r="EF102" i="4"/>
  <c r="EE102" i="4"/>
  <c r="ED102" i="4"/>
  <c r="EC102" i="4"/>
  <c r="EB102" i="4"/>
  <c r="EA102" i="4"/>
  <c r="DZ102" i="4"/>
  <c r="DY102" i="4"/>
  <c r="DX102" i="4"/>
  <c r="DW102" i="4"/>
  <c r="DV102" i="4"/>
  <c r="DU102" i="4"/>
  <c r="DT102" i="4"/>
  <c r="DS102" i="4"/>
  <c r="DR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H102" i="4"/>
  <c r="G102" i="4"/>
  <c r="F102" i="4"/>
  <c r="E102" i="4"/>
  <c r="D102" i="4"/>
  <c r="C102" i="4"/>
  <c r="B102" i="4"/>
  <c r="A102" i="4"/>
  <c r="IV101" i="4"/>
  <c r="IU101" i="4"/>
  <c r="IT101" i="4"/>
  <c r="IS101" i="4"/>
  <c r="IR101" i="4"/>
  <c r="IQ101" i="4"/>
  <c r="IP101" i="4"/>
  <c r="IN101" i="4"/>
  <c r="IM101" i="4"/>
  <c r="IL101" i="4"/>
  <c r="IK101" i="4"/>
  <c r="IJ101" i="4"/>
  <c r="II101" i="4"/>
  <c r="IH101" i="4"/>
  <c r="IG101" i="4"/>
  <c r="IF101" i="4"/>
  <c r="IE101" i="4"/>
  <c r="ID101" i="4"/>
  <c r="IC101" i="4"/>
  <c r="IB101" i="4"/>
  <c r="IA101" i="4"/>
  <c r="HZ101" i="4"/>
  <c r="HX101" i="4"/>
  <c r="HW101" i="4"/>
  <c r="HV101" i="4"/>
  <c r="HU101" i="4"/>
  <c r="HT101" i="4"/>
  <c r="HS101" i="4"/>
  <c r="HR101" i="4"/>
  <c r="HQ101" i="4"/>
  <c r="HP101" i="4"/>
  <c r="HO101" i="4"/>
  <c r="HN101" i="4"/>
  <c r="HM101" i="4"/>
  <c r="HL101" i="4"/>
  <c r="HK101" i="4"/>
  <c r="HJ101" i="4"/>
  <c r="HH101" i="4"/>
  <c r="HG101" i="4"/>
  <c r="HF101" i="4"/>
  <c r="HE101" i="4"/>
  <c r="HD101" i="4"/>
  <c r="HC101" i="4"/>
  <c r="HB101" i="4"/>
  <c r="HA101" i="4"/>
  <c r="GZ101" i="4"/>
  <c r="GY101" i="4"/>
  <c r="GX101" i="4"/>
  <c r="GW101" i="4"/>
  <c r="GV101" i="4"/>
  <c r="GU101" i="4"/>
  <c r="GT101" i="4"/>
  <c r="GR101" i="4"/>
  <c r="GQ101" i="4"/>
  <c r="GP101" i="4"/>
  <c r="GO101" i="4"/>
  <c r="GN101" i="4"/>
  <c r="GM101" i="4"/>
  <c r="GL101" i="4"/>
  <c r="GK101" i="4"/>
  <c r="GJ101" i="4"/>
  <c r="GI101" i="4"/>
  <c r="GH101" i="4"/>
  <c r="GG101" i="4"/>
  <c r="GF101" i="4"/>
  <c r="GE101" i="4"/>
  <c r="GD101" i="4"/>
  <c r="GB101" i="4"/>
  <c r="GA101" i="4"/>
  <c r="FZ101" i="4"/>
  <c r="FY101" i="4"/>
  <c r="FX101" i="4"/>
  <c r="FW101" i="4"/>
  <c r="FV101" i="4"/>
  <c r="FU101" i="4"/>
  <c r="FT101" i="4"/>
  <c r="FS101" i="4"/>
  <c r="FR101" i="4"/>
  <c r="FQ101" i="4"/>
  <c r="FP101" i="4"/>
  <c r="FO101" i="4"/>
  <c r="FN101" i="4"/>
  <c r="FL101" i="4"/>
  <c r="FK101" i="4"/>
  <c r="FJ101" i="4"/>
  <c r="FI101" i="4"/>
  <c r="FH101" i="4"/>
  <c r="FG101" i="4"/>
  <c r="FF101" i="4"/>
  <c r="FE101" i="4"/>
  <c r="FD101" i="4"/>
  <c r="FC101" i="4"/>
  <c r="FB101" i="4"/>
  <c r="FA101" i="4"/>
  <c r="EZ101" i="4"/>
  <c r="EY101" i="4"/>
  <c r="EX101" i="4"/>
  <c r="EV101" i="4"/>
  <c r="EU101" i="4"/>
  <c r="ET101" i="4"/>
  <c r="ES101" i="4"/>
  <c r="ER101" i="4"/>
  <c r="EQ101" i="4"/>
  <c r="EP101" i="4"/>
  <c r="EO101" i="4"/>
  <c r="EN101" i="4"/>
  <c r="EM101" i="4"/>
  <c r="EL101" i="4"/>
  <c r="EK101" i="4"/>
  <c r="EJ101" i="4"/>
  <c r="EI101" i="4"/>
  <c r="EH101" i="4"/>
  <c r="EF101" i="4"/>
  <c r="EE101" i="4"/>
  <c r="ED101" i="4"/>
  <c r="EC101" i="4"/>
  <c r="EB101" i="4"/>
  <c r="EA101" i="4"/>
  <c r="DZ101" i="4"/>
  <c r="DY101" i="4"/>
  <c r="DX101" i="4"/>
  <c r="DW101" i="4"/>
  <c r="DV101" i="4"/>
  <c r="DU101" i="4"/>
  <c r="DT101" i="4"/>
  <c r="DS101" i="4"/>
  <c r="DR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H101" i="4"/>
  <c r="G101" i="4"/>
  <c r="F101" i="4"/>
  <c r="E101" i="4"/>
  <c r="D101" i="4"/>
  <c r="C101" i="4"/>
  <c r="B101" i="4"/>
  <c r="A101" i="4"/>
  <c r="IV100" i="4"/>
  <c r="IU100" i="4"/>
  <c r="IT100" i="4"/>
  <c r="IS100" i="4"/>
  <c r="IR100" i="4"/>
  <c r="IQ100" i="4"/>
  <c r="IP100" i="4"/>
  <c r="IN100" i="4"/>
  <c r="IM100" i="4"/>
  <c r="IL100" i="4"/>
  <c r="IK100" i="4"/>
  <c r="IJ100" i="4"/>
  <c r="II100" i="4"/>
  <c r="IH100" i="4"/>
  <c r="IG100" i="4"/>
  <c r="IF100" i="4"/>
  <c r="IE100" i="4"/>
  <c r="ID100" i="4"/>
  <c r="IC100" i="4"/>
  <c r="IB100" i="4"/>
  <c r="IA100" i="4"/>
  <c r="HZ100" i="4"/>
  <c r="HX100" i="4"/>
  <c r="HW100" i="4"/>
  <c r="HV100" i="4"/>
  <c r="HU100" i="4"/>
  <c r="HT100" i="4"/>
  <c r="HS100" i="4"/>
  <c r="HR100" i="4"/>
  <c r="HQ100" i="4"/>
  <c r="HP100" i="4"/>
  <c r="HO100" i="4"/>
  <c r="HN100" i="4"/>
  <c r="HM100" i="4"/>
  <c r="HL100" i="4"/>
  <c r="HK100" i="4"/>
  <c r="HJ100" i="4"/>
  <c r="HH100" i="4"/>
  <c r="HG100" i="4"/>
  <c r="HF100" i="4"/>
  <c r="HE100" i="4"/>
  <c r="HD100" i="4"/>
  <c r="HC100" i="4"/>
  <c r="HB100" i="4"/>
  <c r="HA100" i="4"/>
  <c r="GZ100" i="4"/>
  <c r="GY100" i="4"/>
  <c r="GX100" i="4"/>
  <c r="GW100" i="4"/>
  <c r="GV100" i="4"/>
  <c r="GU100" i="4"/>
  <c r="GT100" i="4"/>
  <c r="GR100" i="4"/>
  <c r="GQ100" i="4"/>
  <c r="GP100" i="4"/>
  <c r="GO100" i="4"/>
  <c r="GN100" i="4"/>
  <c r="GM100" i="4"/>
  <c r="GL100" i="4"/>
  <c r="GK100" i="4"/>
  <c r="GJ100" i="4"/>
  <c r="GI100" i="4"/>
  <c r="GH100" i="4"/>
  <c r="GG100" i="4"/>
  <c r="GF100" i="4"/>
  <c r="GE100" i="4"/>
  <c r="GD100" i="4"/>
  <c r="GB100" i="4"/>
  <c r="GA100" i="4"/>
  <c r="FZ100" i="4"/>
  <c r="FY100" i="4"/>
  <c r="FX100" i="4"/>
  <c r="FW100" i="4"/>
  <c r="FV100" i="4"/>
  <c r="FU100" i="4"/>
  <c r="FT100" i="4"/>
  <c r="FS100" i="4"/>
  <c r="FR100" i="4"/>
  <c r="FQ100" i="4"/>
  <c r="FP100" i="4"/>
  <c r="FO100" i="4"/>
  <c r="FN100" i="4"/>
  <c r="FL100" i="4"/>
  <c r="FK100" i="4"/>
  <c r="FJ100" i="4"/>
  <c r="FI100" i="4"/>
  <c r="FH100" i="4"/>
  <c r="FG100" i="4"/>
  <c r="FF100" i="4"/>
  <c r="FE100" i="4"/>
  <c r="FD100" i="4"/>
  <c r="FC100" i="4"/>
  <c r="FB100" i="4"/>
  <c r="FA100" i="4"/>
  <c r="EZ100" i="4"/>
  <c r="EY100" i="4"/>
  <c r="EX100" i="4"/>
  <c r="EV100" i="4"/>
  <c r="EU100" i="4"/>
  <c r="ET100" i="4"/>
  <c r="ES100" i="4"/>
  <c r="ER100" i="4"/>
  <c r="EQ100" i="4"/>
  <c r="EP100" i="4"/>
  <c r="EO100" i="4"/>
  <c r="EN100" i="4"/>
  <c r="EM100" i="4"/>
  <c r="EL100" i="4"/>
  <c r="EK100" i="4"/>
  <c r="EJ100" i="4"/>
  <c r="EI100" i="4"/>
  <c r="EH100" i="4"/>
  <c r="EF100" i="4"/>
  <c r="EE100" i="4"/>
  <c r="ED100" i="4"/>
  <c r="EC100" i="4"/>
  <c r="EB100" i="4"/>
  <c r="EA100" i="4"/>
  <c r="DZ100" i="4"/>
  <c r="DY100" i="4"/>
  <c r="DX100" i="4"/>
  <c r="DW100" i="4"/>
  <c r="DV100" i="4"/>
  <c r="DU100" i="4"/>
  <c r="DT100" i="4"/>
  <c r="DS100" i="4"/>
  <c r="DR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H100" i="4"/>
  <c r="G100" i="4"/>
  <c r="F100" i="4"/>
  <c r="E100" i="4"/>
  <c r="D100" i="4"/>
  <c r="C100" i="4"/>
  <c r="B100" i="4"/>
  <c r="A100" i="4"/>
  <c r="IV99" i="4"/>
  <c r="IU99" i="4"/>
  <c r="IT99" i="4"/>
  <c r="IS99" i="4"/>
  <c r="IR99" i="4"/>
  <c r="IQ99" i="4"/>
  <c r="IP99" i="4"/>
  <c r="IN99" i="4"/>
  <c r="IM99" i="4"/>
  <c r="IL99" i="4"/>
  <c r="IK99" i="4"/>
  <c r="IJ99" i="4"/>
  <c r="II99" i="4"/>
  <c r="IH99" i="4"/>
  <c r="IG99" i="4"/>
  <c r="IF99" i="4"/>
  <c r="IE99" i="4"/>
  <c r="ID99" i="4"/>
  <c r="IC99" i="4"/>
  <c r="IB99" i="4"/>
  <c r="IA99" i="4"/>
  <c r="HZ99" i="4"/>
  <c r="HX99" i="4"/>
  <c r="HW99" i="4"/>
  <c r="HV99" i="4"/>
  <c r="HU99" i="4"/>
  <c r="HT99" i="4"/>
  <c r="HS99" i="4"/>
  <c r="HR99" i="4"/>
  <c r="HQ99" i="4"/>
  <c r="HP99" i="4"/>
  <c r="HO99" i="4"/>
  <c r="HN99" i="4"/>
  <c r="HM99" i="4"/>
  <c r="HL99" i="4"/>
  <c r="HK99" i="4"/>
  <c r="HJ99" i="4"/>
  <c r="HH99" i="4"/>
  <c r="HG99" i="4"/>
  <c r="HF99" i="4"/>
  <c r="HE99" i="4"/>
  <c r="HD99" i="4"/>
  <c r="HC99" i="4"/>
  <c r="HB99" i="4"/>
  <c r="HA99" i="4"/>
  <c r="GZ99" i="4"/>
  <c r="GY99" i="4"/>
  <c r="GX99" i="4"/>
  <c r="GW99" i="4"/>
  <c r="GV99" i="4"/>
  <c r="GU99" i="4"/>
  <c r="GT99" i="4"/>
  <c r="GR99" i="4"/>
  <c r="GQ99" i="4"/>
  <c r="GP99" i="4"/>
  <c r="GO99" i="4"/>
  <c r="GN99" i="4"/>
  <c r="GM99" i="4"/>
  <c r="GL99" i="4"/>
  <c r="GK99" i="4"/>
  <c r="GJ99" i="4"/>
  <c r="GI99" i="4"/>
  <c r="GH99" i="4"/>
  <c r="GG99" i="4"/>
  <c r="GF99" i="4"/>
  <c r="GE99" i="4"/>
  <c r="GD99" i="4"/>
  <c r="GB99" i="4"/>
  <c r="GA99" i="4"/>
  <c r="FZ99" i="4"/>
  <c r="FY99" i="4"/>
  <c r="FX99" i="4"/>
  <c r="FW99" i="4"/>
  <c r="FV99" i="4"/>
  <c r="FU99" i="4"/>
  <c r="FT99" i="4"/>
  <c r="FS99" i="4"/>
  <c r="FR99" i="4"/>
  <c r="FQ99" i="4"/>
  <c r="FP99" i="4"/>
  <c r="FO99" i="4"/>
  <c r="FN99" i="4"/>
  <c r="FL99" i="4"/>
  <c r="FK99" i="4"/>
  <c r="FJ99" i="4"/>
  <c r="FI99" i="4"/>
  <c r="FH99" i="4"/>
  <c r="FG99" i="4"/>
  <c r="FF99" i="4"/>
  <c r="FE99" i="4"/>
  <c r="FD99" i="4"/>
  <c r="FC99" i="4"/>
  <c r="FB99" i="4"/>
  <c r="FA99" i="4"/>
  <c r="EZ99" i="4"/>
  <c r="EY99" i="4"/>
  <c r="EX99" i="4"/>
  <c r="EV99" i="4"/>
  <c r="EU99" i="4"/>
  <c r="ET99" i="4"/>
  <c r="ES99" i="4"/>
  <c r="ER99" i="4"/>
  <c r="EQ99" i="4"/>
  <c r="EP99" i="4"/>
  <c r="EO99" i="4"/>
  <c r="EN99" i="4"/>
  <c r="EM99" i="4"/>
  <c r="EL99" i="4"/>
  <c r="EK99" i="4"/>
  <c r="EJ99" i="4"/>
  <c r="EI99" i="4"/>
  <c r="EH99" i="4"/>
  <c r="EF99" i="4"/>
  <c r="EE99" i="4"/>
  <c r="ED99" i="4"/>
  <c r="EC99" i="4"/>
  <c r="EB99" i="4"/>
  <c r="EA99" i="4"/>
  <c r="DZ99" i="4"/>
  <c r="DY99" i="4"/>
  <c r="DX99" i="4"/>
  <c r="DW99" i="4"/>
  <c r="DV99" i="4"/>
  <c r="DU99" i="4"/>
  <c r="DT99" i="4"/>
  <c r="DS99" i="4"/>
  <c r="DR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H99" i="4"/>
  <c r="G99" i="4"/>
  <c r="F99" i="4"/>
  <c r="E99" i="4"/>
  <c r="D99" i="4"/>
  <c r="C99" i="4"/>
  <c r="B99" i="4"/>
  <c r="A99" i="4"/>
  <c r="IV98" i="4"/>
  <c r="IU98" i="4"/>
  <c r="IT98" i="4"/>
  <c r="IS98" i="4"/>
  <c r="IR98" i="4"/>
  <c r="IQ98" i="4"/>
  <c r="IP98" i="4"/>
  <c r="IN98" i="4"/>
  <c r="IM98" i="4"/>
  <c r="IL98" i="4"/>
  <c r="IK98" i="4"/>
  <c r="IJ98" i="4"/>
  <c r="II98" i="4"/>
  <c r="IH98" i="4"/>
  <c r="IG98" i="4"/>
  <c r="IF98" i="4"/>
  <c r="IE98" i="4"/>
  <c r="ID98" i="4"/>
  <c r="IC98" i="4"/>
  <c r="IB98" i="4"/>
  <c r="IA98" i="4"/>
  <c r="HZ98" i="4"/>
  <c r="HX98" i="4"/>
  <c r="HW98" i="4"/>
  <c r="HV98" i="4"/>
  <c r="HU98" i="4"/>
  <c r="HT98" i="4"/>
  <c r="HS98" i="4"/>
  <c r="HR98" i="4"/>
  <c r="HQ98" i="4"/>
  <c r="HP98" i="4"/>
  <c r="HO98" i="4"/>
  <c r="HN98" i="4"/>
  <c r="HM98" i="4"/>
  <c r="HL98" i="4"/>
  <c r="HK98" i="4"/>
  <c r="HJ98" i="4"/>
  <c r="HH98" i="4"/>
  <c r="HG98" i="4"/>
  <c r="HF98" i="4"/>
  <c r="HE98" i="4"/>
  <c r="HD98" i="4"/>
  <c r="HC98" i="4"/>
  <c r="HB98" i="4"/>
  <c r="HA98" i="4"/>
  <c r="GZ98" i="4"/>
  <c r="GY98" i="4"/>
  <c r="GX98" i="4"/>
  <c r="GW98" i="4"/>
  <c r="GV98" i="4"/>
  <c r="GU98" i="4"/>
  <c r="GT98" i="4"/>
  <c r="GR98" i="4"/>
  <c r="GQ98" i="4"/>
  <c r="GP98" i="4"/>
  <c r="GO98" i="4"/>
  <c r="GN98" i="4"/>
  <c r="GM98" i="4"/>
  <c r="GL98" i="4"/>
  <c r="GK98" i="4"/>
  <c r="GJ98" i="4"/>
  <c r="GI98" i="4"/>
  <c r="GH98" i="4"/>
  <c r="GG98" i="4"/>
  <c r="GF98" i="4"/>
  <c r="GE98" i="4"/>
  <c r="GD98" i="4"/>
  <c r="GB98" i="4"/>
  <c r="GA98" i="4"/>
  <c r="FZ98" i="4"/>
  <c r="FY98" i="4"/>
  <c r="FX98" i="4"/>
  <c r="FW98" i="4"/>
  <c r="FV98" i="4"/>
  <c r="FU98" i="4"/>
  <c r="FT98" i="4"/>
  <c r="FS98" i="4"/>
  <c r="FR98" i="4"/>
  <c r="FQ98" i="4"/>
  <c r="FP98" i="4"/>
  <c r="FO98" i="4"/>
  <c r="FN98" i="4"/>
  <c r="FL98" i="4"/>
  <c r="FK98" i="4"/>
  <c r="FJ98" i="4"/>
  <c r="FI98" i="4"/>
  <c r="FH98" i="4"/>
  <c r="FG98" i="4"/>
  <c r="FF98" i="4"/>
  <c r="FE98" i="4"/>
  <c r="FD98" i="4"/>
  <c r="FC98" i="4"/>
  <c r="FB98" i="4"/>
  <c r="FA98" i="4"/>
  <c r="EZ98" i="4"/>
  <c r="EY98" i="4"/>
  <c r="EX98" i="4"/>
  <c r="EV98" i="4"/>
  <c r="EU98" i="4"/>
  <c r="ET98" i="4"/>
  <c r="ES98" i="4"/>
  <c r="ER98" i="4"/>
  <c r="EQ98" i="4"/>
  <c r="EP98" i="4"/>
  <c r="EO98" i="4"/>
  <c r="EN98" i="4"/>
  <c r="EM98" i="4"/>
  <c r="EL98" i="4"/>
  <c r="EK98" i="4"/>
  <c r="EJ98" i="4"/>
  <c r="EI98" i="4"/>
  <c r="EH98" i="4"/>
  <c r="EF98" i="4"/>
  <c r="EE98" i="4"/>
  <c r="ED98" i="4"/>
  <c r="EC98" i="4"/>
  <c r="EB98" i="4"/>
  <c r="EA98" i="4"/>
  <c r="DZ98" i="4"/>
  <c r="DY98" i="4"/>
  <c r="DX98" i="4"/>
  <c r="DW98" i="4"/>
  <c r="DV98" i="4"/>
  <c r="DU98" i="4"/>
  <c r="DT98" i="4"/>
  <c r="DS98" i="4"/>
  <c r="DR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H98" i="4"/>
  <c r="G98" i="4"/>
  <c r="F98" i="4"/>
  <c r="E98" i="4"/>
  <c r="D98" i="4"/>
  <c r="C98" i="4"/>
  <c r="B98" i="4"/>
  <c r="A98" i="4"/>
  <c r="IV97" i="4"/>
  <c r="IU97" i="4"/>
  <c r="IT97" i="4"/>
  <c r="IS97" i="4"/>
  <c r="IR97" i="4"/>
  <c r="IQ97" i="4"/>
  <c r="IP97" i="4"/>
  <c r="IN97" i="4"/>
  <c r="IM97" i="4"/>
  <c r="IL97" i="4"/>
  <c r="IK97" i="4"/>
  <c r="IJ97" i="4"/>
  <c r="II97" i="4"/>
  <c r="IH97" i="4"/>
  <c r="IG97" i="4"/>
  <c r="IF97" i="4"/>
  <c r="IE97" i="4"/>
  <c r="ID97" i="4"/>
  <c r="IC97" i="4"/>
  <c r="IB97" i="4"/>
  <c r="IA97" i="4"/>
  <c r="HZ97" i="4"/>
  <c r="HX97" i="4"/>
  <c r="HW97" i="4"/>
  <c r="HV97" i="4"/>
  <c r="HU97" i="4"/>
  <c r="HT97" i="4"/>
  <c r="HS97" i="4"/>
  <c r="HR97" i="4"/>
  <c r="HQ97" i="4"/>
  <c r="HP97" i="4"/>
  <c r="HO97" i="4"/>
  <c r="HN97" i="4"/>
  <c r="HM97" i="4"/>
  <c r="HL97" i="4"/>
  <c r="HK97" i="4"/>
  <c r="HJ97" i="4"/>
  <c r="HH97" i="4"/>
  <c r="HG97" i="4"/>
  <c r="HF97" i="4"/>
  <c r="HE97" i="4"/>
  <c r="HD97" i="4"/>
  <c r="HC97" i="4"/>
  <c r="HB97" i="4"/>
  <c r="HA97" i="4"/>
  <c r="GZ97" i="4"/>
  <c r="GY97" i="4"/>
  <c r="GX97" i="4"/>
  <c r="GW97" i="4"/>
  <c r="GV97" i="4"/>
  <c r="GU97" i="4"/>
  <c r="GT97" i="4"/>
  <c r="GR97" i="4"/>
  <c r="GQ97" i="4"/>
  <c r="GP97" i="4"/>
  <c r="GO97" i="4"/>
  <c r="GN97" i="4"/>
  <c r="GM97" i="4"/>
  <c r="GL97" i="4"/>
  <c r="GK97" i="4"/>
  <c r="GJ97" i="4"/>
  <c r="GI97" i="4"/>
  <c r="GH97" i="4"/>
  <c r="GG97" i="4"/>
  <c r="GF97" i="4"/>
  <c r="GE97" i="4"/>
  <c r="GD97" i="4"/>
  <c r="GB97" i="4"/>
  <c r="GA97" i="4"/>
  <c r="FZ97" i="4"/>
  <c r="FY97" i="4"/>
  <c r="FX97" i="4"/>
  <c r="FW97" i="4"/>
  <c r="FV97" i="4"/>
  <c r="FU97" i="4"/>
  <c r="FT97" i="4"/>
  <c r="FS97" i="4"/>
  <c r="FR97" i="4"/>
  <c r="FQ97" i="4"/>
  <c r="FP97" i="4"/>
  <c r="FO97" i="4"/>
  <c r="FN97" i="4"/>
  <c r="FL97" i="4"/>
  <c r="FK97" i="4"/>
  <c r="FJ97" i="4"/>
  <c r="FI97" i="4"/>
  <c r="FH97" i="4"/>
  <c r="FG97" i="4"/>
  <c r="FF97" i="4"/>
  <c r="FE97" i="4"/>
  <c r="FD97" i="4"/>
  <c r="FC97" i="4"/>
  <c r="FB97" i="4"/>
  <c r="FA97" i="4"/>
  <c r="EZ97" i="4"/>
  <c r="EY97" i="4"/>
  <c r="EX97" i="4"/>
  <c r="EV97" i="4"/>
  <c r="EU97" i="4"/>
  <c r="ET97" i="4"/>
  <c r="ES97" i="4"/>
  <c r="ER97" i="4"/>
  <c r="EQ97" i="4"/>
  <c r="EP97" i="4"/>
  <c r="EO97" i="4"/>
  <c r="EN97" i="4"/>
  <c r="EM97" i="4"/>
  <c r="EL97" i="4"/>
  <c r="EK97" i="4"/>
  <c r="EJ97" i="4"/>
  <c r="EI97" i="4"/>
  <c r="EH97" i="4"/>
  <c r="EF97" i="4"/>
  <c r="EE97" i="4"/>
  <c r="ED97" i="4"/>
  <c r="EC97" i="4"/>
  <c r="EB97" i="4"/>
  <c r="EA97" i="4"/>
  <c r="DZ97" i="4"/>
  <c r="DY97" i="4"/>
  <c r="DX97" i="4"/>
  <c r="DW97" i="4"/>
  <c r="DV97" i="4"/>
  <c r="DU97" i="4"/>
  <c r="DT97" i="4"/>
  <c r="DS97" i="4"/>
  <c r="DR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H97" i="4"/>
  <c r="G97" i="4"/>
  <c r="F97" i="4"/>
  <c r="E97" i="4"/>
  <c r="D97" i="4"/>
  <c r="C97" i="4"/>
  <c r="B97" i="4"/>
  <c r="A97" i="4"/>
  <c r="IV96" i="4"/>
  <c r="IU96" i="4"/>
  <c r="IT96" i="4"/>
  <c r="IS96" i="4"/>
  <c r="IR96" i="4"/>
  <c r="IQ96" i="4"/>
  <c r="IP96" i="4"/>
  <c r="IN96" i="4"/>
  <c r="IM96" i="4"/>
  <c r="IL96" i="4"/>
  <c r="IK96" i="4"/>
  <c r="IJ96" i="4"/>
  <c r="II96" i="4"/>
  <c r="IH96" i="4"/>
  <c r="IG96" i="4"/>
  <c r="IF96" i="4"/>
  <c r="IE96" i="4"/>
  <c r="ID96" i="4"/>
  <c r="IC96" i="4"/>
  <c r="IB96" i="4"/>
  <c r="IA96" i="4"/>
  <c r="HZ96" i="4"/>
  <c r="HX96" i="4"/>
  <c r="HW96" i="4"/>
  <c r="HV96" i="4"/>
  <c r="HU96" i="4"/>
  <c r="HT96" i="4"/>
  <c r="HS96" i="4"/>
  <c r="HR96" i="4"/>
  <c r="HQ96" i="4"/>
  <c r="HP96" i="4"/>
  <c r="HO96" i="4"/>
  <c r="HN96" i="4"/>
  <c r="HM96" i="4"/>
  <c r="HL96" i="4"/>
  <c r="HK96" i="4"/>
  <c r="HJ96" i="4"/>
  <c r="HH96" i="4"/>
  <c r="HG96" i="4"/>
  <c r="HF96" i="4"/>
  <c r="HE96" i="4"/>
  <c r="HD96" i="4"/>
  <c r="HC96" i="4"/>
  <c r="HB96" i="4"/>
  <c r="HA96" i="4"/>
  <c r="GZ96" i="4"/>
  <c r="GY96" i="4"/>
  <c r="GX96" i="4"/>
  <c r="GW96" i="4"/>
  <c r="GV96" i="4"/>
  <c r="GU96" i="4"/>
  <c r="GT96" i="4"/>
  <c r="GR96" i="4"/>
  <c r="GQ96" i="4"/>
  <c r="GP96" i="4"/>
  <c r="GO96" i="4"/>
  <c r="GN96" i="4"/>
  <c r="GM96" i="4"/>
  <c r="GL96" i="4"/>
  <c r="GK96" i="4"/>
  <c r="GJ96" i="4"/>
  <c r="GI96" i="4"/>
  <c r="GH96" i="4"/>
  <c r="GG96" i="4"/>
  <c r="GF96" i="4"/>
  <c r="GE96" i="4"/>
  <c r="GD96" i="4"/>
  <c r="GB96" i="4"/>
  <c r="GA96" i="4"/>
  <c r="FZ96" i="4"/>
  <c r="FY96" i="4"/>
  <c r="FX96" i="4"/>
  <c r="FW96" i="4"/>
  <c r="FV96" i="4"/>
  <c r="FU96" i="4"/>
  <c r="FT96" i="4"/>
  <c r="FS96" i="4"/>
  <c r="FR96" i="4"/>
  <c r="FQ96" i="4"/>
  <c r="FP96" i="4"/>
  <c r="FO96" i="4"/>
  <c r="FN96" i="4"/>
  <c r="FL96" i="4"/>
  <c r="FK96" i="4"/>
  <c r="FJ96" i="4"/>
  <c r="FI96" i="4"/>
  <c r="FH96" i="4"/>
  <c r="FG96" i="4"/>
  <c r="FF96" i="4"/>
  <c r="FE96" i="4"/>
  <c r="FD96" i="4"/>
  <c r="FC96" i="4"/>
  <c r="FB96" i="4"/>
  <c r="FA96" i="4"/>
  <c r="EZ96" i="4"/>
  <c r="EY96" i="4"/>
  <c r="EX96" i="4"/>
  <c r="EV96" i="4"/>
  <c r="EU96" i="4"/>
  <c r="ET96" i="4"/>
  <c r="ES96" i="4"/>
  <c r="ER96" i="4"/>
  <c r="EQ96" i="4"/>
  <c r="EP96" i="4"/>
  <c r="EO96" i="4"/>
  <c r="EN96" i="4"/>
  <c r="EM96" i="4"/>
  <c r="EL96" i="4"/>
  <c r="EK96" i="4"/>
  <c r="EJ96" i="4"/>
  <c r="EI96" i="4"/>
  <c r="EH96" i="4"/>
  <c r="EF96" i="4"/>
  <c r="EE96" i="4"/>
  <c r="ED96" i="4"/>
  <c r="EC96" i="4"/>
  <c r="EB96" i="4"/>
  <c r="EA96" i="4"/>
  <c r="DZ96" i="4"/>
  <c r="DY96" i="4"/>
  <c r="DX96" i="4"/>
  <c r="DW96" i="4"/>
  <c r="DV96" i="4"/>
  <c r="DU96" i="4"/>
  <c r="DT96" i="4"/>
  <c r="DS96" i="4"/>
  <c r="DR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H96" i="4"/>
  <c r="G96" i="4"/>
  <c r="F96" i="4"/>
  <c r="E96" i="4"/>
  <c r="D96" i="4"/>
  <c r="C96" i="4"/>
  <c r="B96" i="4"/>
  <c r="A96" i="4"/>
  <c r="IV95" i="4"/>
  <c r="IU95" i="4"/>
  <c r="IT95" i="4"/>
  <c r="IS95" i="4"/>
  <c r="IR95" i="4"/>
  <c r="IQ95" i="4"/>
  <c r="IP95" i="4"/>
  <c r="IN95" i="4"/>
  <c r="IM95" i="4"/>
  <c r="IL95" i="4"/>
  <c r="IK95" i="4"/>
  <c r="IJ95" i="4"/>
  <c r="II95" i="4"/>
  <c r="IH95" i="4"/>
  <c r="IG95" i="4"/>
  <c r="IF95" i="4"/>
  <c r="IE95" i="4"/>
  <c r="ID95" i="4"/>
  <c r="IC95" i="4"/>
  <c r="IB95" i="4"/>
  <c r="IA95" i="4"/>
  <c r="HZ95" i="4"/>
  <c r="HX95" i="4"/>
  <c r="HW95" i="4"/>
  <c r="HV95" i="4"/>
  <c r="HU95" i="4"/>
  <c r="HT95" i="4"/>
  <c r="HS95" i="4"/>
  <c r="HR95" i="4"/>
  <c r="HQ95" i="4"/>
  <c r="HP95" i="4"/>
  <c r="HO95" i="4"/>
  <c r="HN95" i="4"/>
  <c r="HM95" i="4"/>
  <c r="HL95" i="4"/>
  <c r="HK95" i="4"/>
  <c r="HJ95" i="4"/>
  <c r="HH95" i="4"/>
  <c r="HG95" i="4"/>
  <c r="HF95" i="4"/>
  <c r="HE95" i="4"/>
  <c r="HD95" i="4"/>
  <c r="HC95" i="4"/>
  <c r="HB95" i="4"/>
  <c r="HA95" i="4"/>
  <c r="GZ95" i="4"/>
  <c r="GY95" i="4"/>
  <c r="GX95" i="4"/>
  <c r="GW95" i="4"/>
  <c r="GV95" i="4"/>
  <c r="GU95" i="4"/>
  <c r="GT95" i="4"/>
  <c r="GR95" i="4"/>
  <c r="GQ95" i="4"/>
  <c r="GP95" i="4"/>
  <c r="GO95" i="4"/>
  <c r="GN95" i="4"/>
  <c r="GM95" i="4"/>
  <c r="GL95" i="4"/>
  <c r="GK95" i="4"/>
  <c r="GJ95" i="4"/>
  <c r="GI95" i="4"/>
  <c r="GH95" i="4"/>
  <c r="GG95" i="4"/>
  <c r="GF95" i="4"/>
  <c r="GE95" i="4"/>
  <c r="GD95" i="4"/>
  <c r="GB95" i="4"/>
  <c r="GA95" i="4"/>
  <c r="FZ95" i="4"/>
  <c r="FY95" i="4"/>
  <c r="FX95" i="4"/>
  <c r="FW95" i="4"/>
  <c r="FV95" i="4"/>
  <c r="FU95" i="4"/>
  <c r="FT95" i="4"/>
  <c r="FS95" i="4"/>
  <c r="FR95" i="4"/>
  <c r="FQ95" i="4"/>
  <c r="FP95" i="4"/>
  <c r="FO95" i="4"/>
  <c r="FN95" i="4"/>
  <c r="FL95" i="4"/>
  <c r="FK95" i="4"/>
  <c r="FJ95" i="4"/>
  <c r="FI95" i="4"/>
  <c r="FH95" i="4"/>
  <c r="FG95" i="4"/>
  <c r="FF95" i="4"/>
  <c r="FE95" i="4"/>
  <c r="FD95" i="4"/>
  <c r="FC95" i="4"/>
  <c r="FB95" i="4"/>
  <c r="FA95" i="4"/>
  <c r="EZ95" i="4"/>
  <c r="EY95" i="4"/>
  <c r="EX95" i="4"/>
  <c r="EV95" i="4"/>
  <c r="EU95" i="4"/>
  <c r="ET95" i="4"/>
  <c r="ES95" i="4"/>
  <c r="ER95" i="4"/>
  <c r="EQ95" i="4"/>
  <c r="EP95" i="4"/>
  <c r="EO95" i="4"/>
  <c r="EN95" i="4"/>
  <c r="EM95" i="4"/>
  <c r="EL95" i="4"/>
  <c r="EK95" i="4"/>
  <c r="EJ95" i="4"/>
  <c r="EI95" i="4"/>
  <c r="EH95" i="4"/>
  <c r="EF95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S95" i="4"/>
  <c r="DR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H95" i="4"/>
  <c r="G95" i="4"/>
  <c r="F95" i="4"/>
  <c r="E95" i="4"/>
  <c r="D95" i="4"/>
  <c r="C95" i="4"/>
  <c r="B95" i="4"/>
  <c r="A95" i="4"/>
  <c r="IV94" i="4"/>
  <c r="IU94" i="4"/>
  <c r="IT94" i="4"/>
  <c r="IS94" i="4"/>
  <c r="IR94" i="4"/>
  <c r="IQ94" i="4"/>
  <c r="IP94" i="4"/>
  <c r="IN94" i="4"/>
  <c r="IM94" i="4"/>
  <c r="IL94" i="4"/>
  <c r="IK94" i="4"/>
  <c r="IJ94" i="4"/>
  <c r="II94" i="4"/>
  <c r="IH94" i="4"/>
  <c r="IG94" i="4"/>
  <c r="IF94" i="4"/>
  <c r="IE94" i="4"/>
  <c r="ID94" i="4"/>
  <c r="IC94" i="4"/>
  <c r="IB94" i="4"/>
  <c r="IA94" i="4"/>
  <c r="HZ94" i="4"/>
  <c r="HX94" i="4"/>
  <c r="HW94" i="4"/>
  <c r="HV94" i="4"/>
  <c r="HU94" i="4"/>
  <c r="HT94" i="4"/>
  <c r="HS94" i="4"/>
  <c r="HR94" i="4"/>
  <c r="HQ94" i="4"/>
  <c r="HP94" i="4"/>
  <c r="HO94" i="4"/>
  <c r="HN94" i="4"/>
  <c r="HM94" i="4"/>
  <c r="HL94" i="4"/>
  <c r="HK94" i="4"/>
  <c r="HJ94" i="4"/>
  <c r="HH94" i="4"/>
  <c r="HG94" i="4"/>
  <c r="HF94" i="4"/>
  <c r="HE94" i="4"/>
  <c r="HD94" i="4"/>
  <c r="HC94" i="4"/>
  <c r="HB94" i="4"/>
  <c r="HA94" i="4"/>
  <c r="GZ94" i="4"/>
  <c r="GY94" i="4"/>
  <c r="GX94" i="4"/>
  <c r="GW94" i="4"/>
  <c r="GV94" i="4"/>
  <c r="GU94" i="4"/>
  <c r="GT94" i="4"/>
  <c r="GR94" i="4"/>
  <c r="GQ94" i="4"/>
  <c r="GP94" i="4"/>
  <c r="GO94" i="4"/>
  <c r="GN94" i="4"/>
  <c r="GM94" i="4"/>
  <c r="GL94" i="4"/>
  <c r="GK94" i="4"/>
  <c r="GJ94" i="4"/>
  <c r="GI94" i="4"/>
  <c r="GH94" i="4"/>
  <c r="GG94" i="4"/>
  <c r="GF94" i="4"/>
  <c r="GE94" i="4"/>
  <c r="GD94" i="4"/>
  <c r="GB94" i="4"/>
  <c r="GA94" i="4"/>
  <c r="FZ94" i="4"/>
  <c r="FY94" i="4"/>
  <c r="FX94" i="4"/>
  <c r="FW94" i="4"/>
  <c r="FV94" i="4"/>
  <c r="FU94" i="4"/>
  <c r="FT94" i="4"/>
  <c r="FS94" i="4"/>
  <c r="FR94" i="4"/>
  <c r="FQ94" i="4"/>
  <c r="FP94" i="4"/>
  <c r="FO94" i="4"/>
  <c r="FN94" i="4"/>
  <c r="FL94" i="4"/>
  <c r="FK94" i="4"/>
  <c r="FJ94" i="4"/>
  <c r="FI94" i="4"/>
  <c r="FH94" i="4"/>
  <c r="FG94" i="4"/>
  <c r="FF94" i="4"/>
  <c r="FE94" i="4"/>
  <c r="FD94" i="4"/>
  <c r="FC94" i="4"/>
  <c r="FB94" i="4"/>
  <c r="FA94" i="4"/>
  <c r="EZ94" i="4"/>
  <c r="EY94" i="4"/>
  <c r="EX94" i="4"/>
  <c r="EV94" i="4"/>
  <c r="EU94" i="4"/>
  <c r="ET94" i="4"/>
  <c r="ES94" i="4"/>
  <c r="ER94" i="4"/>
  <c r="EQ94" i="4"/>
  <c r="EP94" i="4"/>
  <c r="EO94" i="4"/>
  <c r="EN94" i="4"/>
  <c r="EM94" i="4"/>
  <c r="EL94" i="4"/>
  <c r="EK94" i="4"/>
  <c r="EJ94" i="4"/>
  <c r="EI94" i="4"/>
  <c r="EH94" i="4"/>
  <c r="EF94" i="4"/>
  <c r="EE94" i="4"/>
  <c r="ED94" i="4"/>
  <c r="EC94" i="4"/>
  <c r="EB94" i="4"/>
  <c r="EA94" i="4"/>
  <c r="DZ94" i="4"/>
  <c r="DY94" i="4"/>
  <c r="DX94" i="4"/>
  <c r="DW94" i="4"/>
  <c r="DV94" i="4"/>
  <c r="DU94" i="4"/>
  <c r="DT94" i="4"/>
  <c r="DS94" i="4"/>
  <c r="DR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H94" i="4"/>
  <c r="G94" i="4"/>
  <c r="F94" i="4"/>
  <c r="E94" i="4"/>
  <c r="D94" i="4"/>
  <c r="C94" i="4"/>
  <c r="B94" i="4"/>
  <c r="A94" i="4"/>
  <c r="IV93" i="4"/>
  <c r="IU93" i="4"/>
  <c r="IT93" i="4"/>
  <c r="IS93" i="4"/>
  <c r="IR93" i="4"/>
  <c r="IQ93" i="4"/>
  <c r="IP93" i="4"/>
  <c r="IN93" i="4"/>
  <c r="IM93" i="4"/>
  <c r="IL93" i="4"/>
  <c r="IK93" i="4"/>
  <c r="IJ93" i="4"/>
  <c r="II93" i="4"/>
  <c r="IH93" i="4"/>
  <c r="IG93" i="4"/>
  <c r="IF93" i="4"/>
  <c r="IE93" i="4"/>
  <c r="ID93" i="4"/>
  <c r="IC93" i="4"/>
  <c r="IB93" i="4"/>
  <c r="IA93" i="4"/>
  <c r="HZ93" i="4"/>
  <c r="HX93" i="4"/>
  <c r="HW93" i="4"/>
  <c r="HV93" i="4"/>
  <c r="HU93" i="4"/>
  <c r="HT93" i="4"/>
  <c r="HS93" i="4"/>
  <c r="HR93" i="4"/>
  <c r="HQ93" i="4"/>
  <c r="HP93" i="4"/>
  <c r="HO93" i="4"/>
  <c r="HN93" i="4"/>
  <c r="HM93" i="4"/>
  <c r="HL93" i="4"/>
  <c r="HK93" i="4"/>
  <c r="HJ93" i="4"/>
  <c r="HH93" i="4"/>
  <c r="HG93" i="4"/>
  <c r="HF93" i="4"/>
  <c r="HE93" i="4"/>
  <c r="HD93" i="4"/>
  <c r="HC93" i="4"/>
  <c r="HB93" i="4"/>
  <c r="HA93" i="4"/>
  <c r="GZ93" i="4"/>
  <c r="GY93" i="4"/>
  <c r="GX93" i="4"/>
  <c r="GW93" i="4"/>
  <c r="GV93" i="4"/>
  <c r="GU93" i="4"/>
  <c r="GT93" i="4"/>
  <c r="GR93" i="4"/>
  <c r="GQ93" i="4"/>
  <c r="GP93" i="4"/>
  <c r="GO93" i="4"/>
  <c r="GN93" i="4"/>
  <c r="GM93" i="4"/>
  <c r="GL93" i="4"/>
  <c r="GK93" i="4"/>
  <c r="GJ93" i="4"/>
  <c r="GI93" i="4"/>
  <c r="GH93" i="4"/>
  <c r="GG93" i="4"/>
  <c r="GF93" i="4"/>
  <c r="GE93" i="4"/>
  <c r="GD93" i="4"/>
  <c r="GB93" i="4"/>
  <c r="GA93" i="4"/>
  <c r="FZ93" i="4"/>
  <c r="FY93" i="4"/>
  <c r="FX93" i="4"/>
  <c r="FW93" i="4"/>
  <c r="FV93" i="4"/>
  <c r="FU93" i="4"/>
  <c r="FT93" i="4"/>
  <c r="FS93" i="4"/>
  <c r="FR93" i="4"/>
  <c r="FQ93" i="4"/>
  <c r="FP93" i="4"/>
  <c r="FO93" i="4"/>
  <c r="FN93" i="4"/>
  <c r="FL93" i="4"/>
  <c r="FK93" i="4"/>
  <c r="FJ93" i="4"/>
  <c r="FI93" i="4"/>
  <c r="FH93" i="4"/>
  <c r="FG93" i="4"/>
  <c r="FF93" i="4"/>
  <c r="FE93" i="4"/>
  <c r="FD93" i="4"/>
  <c r="FC93" i="4"/>
  <c r="FB93" i="4"/>
  <c r="FA93" i="4"/>
  <c r="EZ93" i="4"/>
  <c r="EY93" i="4"/>
  <c r="EX93" i="4"/>
  <c r="EV93" i="4"/>
  <c r="EU93" i="4"/>
  <c r="ET93" i="4"/>
  <c r="ES93" i="4"/>
  <c r="ER93" i="4"/>
  <c r="EQ93" i="4"/>
  <c r="EP93" i="4"/>
  <c r="EO93" i="4"/>
  <c r="EN93" i="4"/>
  <c r="EM93" i="4"/>
  <c r="EL93" i="4"/>
  <c r="EK93" i="4"/>
  <c r="EJ93" i="4"/>
  <c r="EI93" i="4"/>
  <c r="EH93" i="4"/>
  <c r="EF93" i="4"/>
  <c r="EE93" i="4"/>
  <c r="ED93" i="4"/>
  <c r="EC93" i="4"/>
  <c r="EB93" i="4"/>
  <c r="EA93" i="4"/>
  <c r="DZ93" i="4"/>
  <c r="DY93" i="4"/>
  <c r="DX93" i="4"/>
  <c r="DW93" i="4"/>
  <c r="DV93" i="4"/>
  <c r="DU93" i="4"/>
  <c r="DT93" i="4"/>
  <c r="DS93" i="4"/>
  <c r="DR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H93" i="4"/>
  <c r="G93" i="4"/>
  <c r="F93" i="4"/>
  <c r="E93" i="4"/>
  <c r="D93" i="4"/>
  <c r="C93" i="4"/>
  <c r="B93" i="4"/>
  <c r="A93" i="4"/>
  <c r="IV92" i="4"/>
  <c r="IU92" i="4"/>
  <c r="IT92" i="4"/>
  <c r="IS92" i="4"/>
  <c r="IR92" i="4"/>
  <c r="IQ92" i="4"/>
  <c r="IP92" i="4"/>
  <c r="IN92" i="4"/>
  <c r="IM92" i="4"/>
  <c r="IL92" i="4"/>
  <c r="IK92" i="4"/>
  <c r="IJ92" i="4"/>
  <c r="II92" i="4"/>
  <c r="IH92" i="4"/>
  <c r="IG92" i="4"/>
  <c r="IF92" i="4"/>
  <c r="IE92" i="4"/>
  <c r="ID92" i="4"/>
  <c r="IC92" i="4"/>
  <c r="IB92" i="4"/>
  <c r="IA92" i="4"/>
  <c r="HZ92" i="4"/>
  <c r="HX92" i="4"/>
  <c r="HW92" i="4"/>
  <c r="HV92" i="4"/>
  <c r="HU92" i="4"/>
  <c r="HT92" i="4"/>
  <c r="HS92" i="4"/>
  <c r="HR92" i="4"/>
  <c r="HQ92" i="4"/>
  <c r="HP92" i="4"/>
  <c r="HO92" i="4"/>
  <c r="HN92" i="4"/>
  <c r="HM92" i="4"/>
  <c r="HL92" i="4"/>
  <c r="HK92" i="4"/>
  <c r="HJ92" i="4"/>
  <c r="HH92" i="4"/>
  <c r="HG92" i="4"/>
  <c r="HF92" i="4"/>
  <c r="HE92" i="4"/>
  <c r="HD92" i="4"/>
  <c r="HC92" i="4"/>
  <c r="HB92" i="4"/>
  <c r="HA92" i="4"/>
  <c r="GZ92" i="4"/>
  <c r="GY92" i="4"/>
  <c r="GX92" i="4"/>
  <c r="GW92" i="4"/>
  <c r="GV92" i="4"/>
  <c r="GU92" i="4"/>
  <c r="GT92" i="4"/>
  <c r="GR92" i="4"/>
  <c r="GQ92" i="4"/>
  <c r="GP92" i="4"/>
  <c r="GO92" i="4"/>
  <c r="GN92" i="4"/>
  <c r="GM92" i="4"/>
  <c r="GL92" i="4"/>
  <c r="GK92" i="4"/>
  <c r="GJ92" i="4"/>
  <c r="GI92" i="4"/>
  <c r="GH92" i="4"/>
  <c r="GG92" i="4"/>
  <c r="GF92" i="4"/>
  <c r="GE92" i="4"/>
  <c r="GD92" i="4"/>
  <c r="GB92" i="4"/>
  <c r="GA92" i="4"/>
  <c r="FZ92" i="4"/>
  <c r="FY92" i="4"/>
  <c r="FX92" i="4"/>
  <c r="FW92" i="4"/>
  <c r="FV92" i="4"/>
  <c r="FU92" i="4"/>
  <c r="FT92" i="4"/>
  <c r="FS92" i="4"/>
  <c r="FR92" i="4"/>
  <c r="FQ92" i="4"/>
  <c r="FP92" i="4"/>
  <c r="FO92" i="4"/>
  <c r="FN92" i="4"/>
  <c r="FL92" i="4"/>
  <c r="FK92" i="4"/>
  <c r="FJ92" i="4"/>
  <c r="FI92" i="4"/>
  <c r="FH92" i="4"/>
  <c r="FG92" i="4"/>
  <c r="FF92" i="4"/>
  <c r="FE92" i="4"/>
  <c r="FD92" i="4"/>
  <c r="FC92" i="4"/>
  <c r="FB92" i="4"/>
  <c r="FA92" i="4"/>
  <c r="EZ92" i="4"/>
  <c r="EY92" i="4"/>
  <c r="EX92" i="4"/>
  <c r="EV92" i="4"/>
  <c r="EU92" i="4"/>
  <c r="ET92" i="4"/>
  <c r="ES92" i="4"/>
  <c r="ER92" i="4"/>
  <c r="EQ92" i="4"/>
  <c r="EP92" i="4"/>
  <c r="EO92" i="4"/>
  <c r="EN92" i="4"/>
  <c r="EM92" i="4"/>
  <c r="EL92" i="4"/>
  <c r="EK92" i="4"/>
  <c r="EJ92" i="4"/>
  <c r="EI92" i="4"/>
  <c r="EH92" i="4"/>
  <c r="EF92" i="4"/>
  <c r="EE92" i="4"/>
  <c r="ED92" i="4"/>
  <c r="EC92" i="4"/>
  <c r="EB92" i="4"/>
  <c r="EA92" i="4"/>
  <c r="DZ92" i="4"/>
  <c r="DY92" i="4"/>
  <c r="DX92" i="4"/>
  <c r="DW92" i="4"/>
  <c r="DV92" i="4"/>
  <c r="DU92" i="4"/>
  <c r="DT92" i="4"/>
  <c r="DS92" i="4"/>
  <c r="DR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H92" i="4"/>
  <c r="G92" i="4"/>
  <c r="F92" i="4"/>
  <c r="E92" i="4"/>
  <c r="D92" i="4"/>
  <c r="C92" i="4"/>
  <c r="B92" i="4"/>
  <c r="A92" i="4"/>
  <c r="IV91" i="4"/>
  <c r="IU91" i="4"/>
  <c r="IT91" i="4"/>
  <c r="IS91" i="4"/>
  <c r="IR91" i="4"/>
  <c r="IQ91" i="4"/>
  <c r="IP91" i="4"/>
  <c r="IN91" i="4"/>
  <c r="IM91" i="4"/>
  <c r="IL91" i="4"/>
  <c r="IK91" i="4"/>
  <c r="IJ91" i="4"/>
  <c r="II91" i="4"/>
  <c r="IH91" i="4"/>
  <c r="IG91" i="4"/>
  <c r="IF91" i="4"/>
  <c r="IE91" i="4"/>
  <c r="ID91" i="4"/>
  <c r="IC91" i="4"/>
  <c r="IB91" i="4"/>
  <c r="IA91" i="4"/>
  <c r="HZ91" i="4"/>
  <c r="HX91" i="4"/>
  <c r="HW91" i="4"/>
  <c r="HV91" i="4"/>
  <c r="HU91" i="4"/>
  <c r="HT91" i="4"/>
  <c r="HS91" i="4"/>
  <c r="HR91" i="4"/>
  <c r="HQ91" i="4"/>
  <c r="HP91" i="4"/>
  <c r="HO91" i="4"/>
  <c r="HN91" i="4"/>
  <c r="HM91" i="4"/>
  <c r="HL91" i="4"/>
  <c r="HK91" i="4"/>
  <c r="HJ91" i="4"/>
  <c r="HH91" i="4"/>
  <c r="HG91" i="4"/>
  <c r="HF91" i="4"/>
  <c r="HE91" i="4"/>
  <c r="HD91" i="4"/>
  <c r="HC91" i="4"/>
  <c r="HB91" i="4"/>
  <c r="HA91" i="4"/>
  <c r="GZ91" i="4"/>
  <c r="GY91" i="4"/>
  <c r="GX91" i="4"/>
  <c r="GW91" i="4"/>
  <c r="GV91" i="4"/>
  <c r="GU91" i="4"/>
  <c r="GT91" i="4"/>
  <c r="GR91" i="4"/>
  <c r="GQ91" i="4"/>
  <c r="GP91" i="4"/>
  <c r="GO91" i="4"/>
  <c r="GN91" i="4"/>
  <c r="GM91" i="4"/>
  <c r="GL91" i="4"/>
  <c r="GK91" i="4"/>
  <c r="GJ91" i="4"/>
  <c r="GI91" i="4"/>
  <c r="GH91" i="4"/>
  <c r="GG91" i="4"/>
  <c r="GF91" i="4"/>
  <c r="GE91" i="4"/>
  <c r="GD91" i="4"/>
  <c r="GB91" i="4"/>
  <c r="GA91" i="4"/>
  <c r="FZ91" i="4"/>
  <c r="FY91" i="4"/>
  <c r="FX91" i="4"/>
  <c r="FW91" i="4"/>
  <c r="FV91" i="4"/>
  <c r="FU91" i="4"/>
  <c r="FT91" i="4"/>
  <c r="FS91" i="4"/>
  <c r="FR91" i="4"/>
  <c r="FQ91" i="4"/>
  <c r="FP91" i="4"/>
  <c r="FO91" i="4"/>
  <c r="FN91" i="4"/>
  <c r="FL91" i="4"/>
  <c r="FK91" i="4"/>
  <c r="FJ91" i="4"/>
  <c r="FI91" i="4"/>
  <c r="FH91" i="4"/>
  <c r="FG91" i="4"/>
  <c r="FF91" i="4"/>
  <c r="FE91" i="4"/>
  <c r="FD91" i="4"/>
  <c r="FC91" i="4"/>
  <c r="FB91" i="4"/>
  <c r="FA91" i="4"/>
  <c r="EZ91" i="4"/>
  <c r="EY91" i="4"/>
  <c r="EX91" i="4"/>
  <c r="EV91" i="4"/>
  <c r="EU91" i="4"/>
  <c r="ET91" i="4"/>
  <c r="ES91" i="4"/>
  <c r="ER91" i="4"/>
  <c r="EQ91" i="4"/>
  <c r="EP91" i="4"/>
  <c r="EO91" i="4"/>
  <c r="EN91" i="4"/>
  <c r="EM91" i="4"/>
  <c r="EL91" i="4"/>
  <c r="EK91" i="4"/>
  <c r="EJ91" i="4"/>
  <c r="EI91" i="4"/>
  <c r="EH91" i="4"/>
  <c r="EF91" i="4"/>
  <c r="EE91" i="4"/>
  <c r="ED91" i="4"/>
  <c r="EC91" i="4"/>
  <c r="EB91" i="4"/>
  <c r="EA91" i="4"/>
  <c r="DZ91" i="4"/>
  <c r="DY91" i="4"/>
  <c r="DX91" i="4"/>
  <c r="DW91" i="4"/>
  <c r="DV91" i="4"/>
  <c r="DU91" i="4"/>
  <c r="DT91" i="4"/>
  <c r="DS91" i="4"/>
  <c r="DR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H91" i="4"/>
  <c r="G91" i="4"/>
  <c r="F91" i="4"/>
  <c r="E91" i="4"/>
  <c r="D91" i="4"/>
  <c r="C91" i="4"/>
  <c r="B91" i="4"/>
  <c r="A91" i="4"/>
  <c r="IV90" i="4"/>
  <c r="IU90" i="4"/>
  <c r="IT90" i="4"/>
  <c r="IS90" i="4"/>
  <c r="IR90" i="4"/>
  <c r="IQ90" i="4"/>
  <c r="IP90" i="4"/>
  <c r="IN90" i="4"/>
  <c r="IM90" i="4"/>
  <c r="IL90" i="4"/>
  <c r="IK90" i="4"/>
  <c r="IJ90" i="4"/>
  <c r="II90" i="4"/>
  <c r="IH90" i="4"/>
  <c r="IG90" i="4"/>
  <c r="IF90" i="4"/>
  <c r="IE90" i="4"/>
  <c r="ID90" i="4"/>
  <c r="IC90" i="4"/>
  <c r="IB90" i="4"/>
  <c r="IA90" i="4"/>
  <c r="HZ90" i="4"/>
  <c r="HX90" i="4"/>
  <c r="HW90" i="4"/>
  <c r="HV90" i="4"/>
  <c r="HU90" i="4"/>
  <c r="HT90" i="4"/>
  <c r="HS90" i="4"/>
  <c r="HR90" i="4"/>
  <c r="HQ90" i="4"/>
  <c r="HP90" i="4"/>
  <c r="HO90" i="4"/>
  <c r="HN90" i="4"/>
  <c r="HM90" i="4"/>
  <c r="HL90" i="4"/>
  <c r="HK90" i="4"/>
  <c r="HJ90" i="4"/>
  <c r="HH90" i="4"/>
  <c r="HG90" i="4"/>
  <c r="HF90" i="4"/>
  <c r="HE90" i="4"/>
  <c r="HD90" i="4"/>
  <c r="HC90" i="4"/>
  <c r="HB90" i="4"/>
  <c r="HA90" i="4"/>
  <c r="GZ90" i="4"/>
  <c r="GY90" i="4"/>
  <c r="GX90" i="4"/>
  <c r="GW90" i="4"/>
  <c r="GV90" i="4"/>
  <c r="GU90" i="4"/>
  <c r="GT90" i="4"/>
  <c r="GR90" i="4"/>
  <c r="GQ90" i="4"/>
  <c r="GP90" i="4"/>
  <c r="GO90" i="4"/>
  <c r="GN90" i="4"/>
  <c r="GM90" i="4"/>
  <c r="GL90" i="4"/>
  <c r="GK90" i="4"/>
  <c r="GJ90" i="4"/>
  <c r="GI90" i="4"/>
  <c r="GH90" i="4"/>
  <c r="GG90" i="4"/>
  <c r="GF90" i="4"/>
  <c r="GE90" i="4"/>
  <c r="GD90" i="4"/>
  <c r="GB90" i="4"/>
  <c r="GA90" i="4"/>
  <c r="FZ90" i="4"/>
  <c r="FY90" i="4"/>
  <c r="FX90" i="4"/>
  <c r="FW90" i="4"/>
  <c r="FV90" i="4"/>
  <c r="FU90" i="4"/>
  <c r="FT90" i="4"/>
  <c r="FS90" i="4"/>
  <c r="FR90" i="4"/>
  <c r="FQ90" i="4"/>
  <c r="FP90" i="4"/>
  <c r="FO90" i="4"/>
  <c r="FN90" i="4"/>
  <c r="FL90" i="4"/>
  <c r="FK90" i="4"/>
  <c r="FJ90" i="4"/>
  <c r="FI90" i="4"/>
  <c r="FH90" i="4"/>
  <c r="FG90" i="4"/>
  <c r="FF90" i="4"/>
  <c r="FE90" i="4"/>
  <c r="FD90" i="4"/>
  <c r="FC90" i="4"/>
  <c r="FB90" i="4"/>
  <c r="FA90" i="4"/>
  <c r="EZ90" i="4"/>
  <c r="EY90" i="4"/>
  <c r="EX90" i="4"/>
  <c r="EV90" i="4"/>
  <c r="EU90" i="4"/>
  <c r="ET90" i="4"/>
  <c r="ES90" i="4"/>
  <c r="ER90" i="4"/>
  <c r="EQ90" i="4"/>
  <c r="EP90" i="4"/>
  <c r="EO90" i="4"/>
  <c r="EN90" i="4"/>
  <c r="EM90" i="4"/>
  <c r="EL90" i="4"/>
  <c r="EK90" i="4"/>
  <c r="EJ90" i="4"/>
  <c r="EI90" i="4"/>
  <c r="EH90" i="4"/>
  <c r="EF90" i="4"/>
  <c r="EE90" i="4"/>
  <c r="ED90" i="4"/>
  <c r="EC90" i="4"/>
  <c r="EB90" i="4"/>
  <c r="EA90" i="4"/>
  <c r="DZ90" i="4"/>
  <c r="DY90" i="4"/>
  <c r="DX90" i="4"/>
  <c r="DW90" i="4"/>
  <c r="DV90" i="4"/>
  <c r="DU90" i="4"/>
  <c r="DT90" i="4"/>
  <c r="DS90" i="4"/>
  <c r="DR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H90" i="4"/>
  <c r="G90" i="4"/>
  <c r="F90" i="4"/>
  <c r="E90" i="4"/>
  <c r="D90" i="4"/>
  <c r="C90" i="4"/>
  <c r="B90" i="4"/>
  <c r="A90" i="4"/>
  <c r="IV89" i="4"/>
  <c r="IU89" i="4"/>
  <c r="IT89" i="4"/>
  <c r="IS89" i="4"/>
  <c r="IR89" i="4"/>
  <c r="IQ89" i="4"/>
  <c r="IP89" i="4"/>
  <c r="IN89" i="4"/>
  <c r="IM89" i="4"/>
  <c r="IL89" i="4"/>
  <c r="IK89" i="4"/>
  <c r="IJ89" i="4"/>
  <c r="II89" i="4"/>
  <c r="IH89" i="4"/>
  <c r="IG89" i="4"/>
  <c r="IF89" i="4"/>
  <c r="IE89" i="4"/>
  <c r="ID89" i="4"/>
  <c r="IC89" i="4"/>
  <c r="IB89" i="4"/>
  <c r="IA89" i="4"/>
  <c r="HZ89" i="4"/>
  <c r="HX89" i="4"/>
  <c r="HW89" i="4"/>
  <c r="HV89" i="4"/>
  <c r="HU89" i="4"/>
  <c r="HT89" i="4"/>
  <c r="HS89" i="4"/>
  <c r="HR89" i="4"/>
  <c r="HQ89" i="4"/>
  <c r="HP89" i="4"/>
  <c r="HO89" i="4"/>
  <c r="HN89" i="4"/>
  <c r="HM89" i="4"/>
  <c r="HL89" i="4"/>
  <c r="HK89" i="4"/>
  <c r="HJ89" i="4"/>
  <c r="HH89" i="4"/>
  <c r="HG89" i="4"/>
  <c r="HF89" i="4"/>
  <c r="HE89" i="4"/>
  <c r="HD89" i="4"/>
  <c r="HC89" i="4"/>
  <c r="HB89" i="4"/>
  <c r="HA89" i="4"/>
  <c r="GZ89" i="4"/>
  <c r="GY89" i="4"/>
  <c r="GX89" i="4"/>
  <c r="GW89" i="4"/>
  <c r="GV89" i="4"/>
  <c r="GU89" i="4"/>
  <c r="GT89" i="4"/>
  <c r="GR89" i="4"/>
  <c r="GQ89" i="4"/>
  <c r="GP89" i="4"/>
  <c r="GO89" i="4"/>
  <c r="GN89" i="4"/>
  <c r="GM89" i="4"/>
  <c r="GL89" i="4"/>
  <c r="GK89" i="4"/>
  <c r="GJ89" i="4"/>
  <c r="GI89" i="4"/>
  <c r="GH89" i="4"/>
  <c r="GG89" i="4"/>
  <c r="GF89" i="4"/>
  <c r="GE89" i="4"/>
  <c r="GD89" i="4"/>
  <c r="GB89" i="4"/>
  <c r="GA89" i="4"/>
  <c r="FZ89" i="4"/>
  <c r="FY89" i="4"/>
  <c r="FX89" i="4"/>
  <c r="FW89" i="4"/>
  <c r="FV89" i="4"/>
  <c r="FU89" i="4"/>
  <c r="FT89" i="4"/>
  <c r="FS89" i="4"/>
  <c r="FR89" i="4"/>
  <c r="FQ89" i="4"/>
  <c r="FP89" i="4"/>
  <c r="FO89" i="4"/>
  <c r="FN89" i="4"/>
  <c r="FL89" i="4"/>
  <c r="FK89" i="4"/>
  <c r="FJ89" i="4"/>
  <c r="FI89" i="4"/>
  <c r="FH89" i="4"/>
  <c r="FG89" i="4"/>
  <c r="FF89" i="4"/>
  <c r="FE89" i="4"/>
  <c r="FD89" i="4"/>
  <c r="FC89" i="4"/>
  <c r="FB89" i="4"/>
  <c r="FA89" i="4"/>
  <c r="EZ89" i="4"/>
  <c r="EY89" i="4"/>
  <c r="EX89" i="4"/>
  <c r="EV89" i="4"/>
  <c r="EU89" i="4"/>
  <c r="ET89" i="4"/>
  <c r="ES89" i="4"/>
  <c r="ER89" i="4"/>
  <c r="EQ89" i="4"/>
  <c r="EP89" i="4"/>
  <c r="EO89" i="4"/>
  <c r="EN89" i="4"/>
  <c r="EM89" i="4"/>
  <c r="EL89" i="4"/>
  <c r="EK89" i="4"/>
  <c r="EJ89" i="4"/>
  <c r="EI89" i="4"/>
  <c r="EH89" i="4"/>
  <c r="EF89" i="4"/>
  <c r="EE89" i="4"/>
  <c r="ED89" i="4"/>
  <c r="EC89" i="4"/>
  <c r="EB89" i="4"/>
  <c r="EA89" i="4"/>
  <c r="DZ89" i="4"/>
  <c r="DY89" i="4"/>
  <c r="DX89" i="4"/>
  <c r="DW89" i="4"/>
  <c r="DV89" i="4"/>
  <c r="DU89" i="4"/>
  <c r="DT89" i="4"/>
  <c r="DS89" i="4"/>
  <c r="DR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H89" i="4"/>
  <c r="G89" i="4"/>
  <c r="F89" i="4"/>
  <c r="E89" i="4"/>
  <c r="D89" i="4"/>
  <c r="C89" i="4"/>
  <c r="B89" i="4"/>
  <c r="A89" i="4"/>
  <c r="IV88" i="4"/>
  <c r="IU88" i="4"/>
  <c r="IT88" i="4"/>
  <c r="IS88" i="4"/>
  <c r="IR88" i="4"/>
  <c r="IQ88" i="4"/>
  <c r="IP88" i="4"/>
  <c r="IN88" i="4"/>
  <c r="IM88" i="4"/>
  <c r="IL88" i="4"/>
  <c r="IK88" i="4"/>
  <c r="IJ88" i="4"/>
  <c r="II88" i="4"/>
  <c r="IH88" i="4"/>
  <c r="IG88" i="4"/>
  <c r="IF88" i="4"/>
  <c r="IE88" i="4"/>
  <c r="ID88" i="4"/>
  <c r="IC88" i="4"/>
  <c r="IB88" i="4"/>
  <c r="IA88" i="4"/>
  <c r="HZ88" i="4"/>
  <c r="HX88" i="4"/>
  <c r="HW88" i="4"/>
  <c r="HV88" i="4"/>
  <c r="HU88" i="4"/>
  <c r="HT88" i="4"/>
  <c r="HS88" i="4"/>
  <c r="HR88" i="4"/>
  <c r="HQ88" i="4"/>
  <c r="HP88" i="4"/>
  <c r="HO88" i="4"/>
  <c r="HN88" i="4"/>
  <c r="HM88" i="4"/>
  <c r="HL88" i="4"/>
  <c r="HK88" i="4"/>
  <c r="HJ88" i="4"/>
  <c r="HH88" i="4"/>
  <c r="HG88" i="4"/>
  <c r="HF88" i="4"/>
  <c r="HE88" i="4"/>
  <c r="HD88" i="4"/>
  <c r="HC88" i="4"/>
  <c r="HB88" i="4"/>
  <c r="HA88" i="4"/>
  <c r="GZ88" i="4"/>
  <c r="GY88" i="4"/>
  <c r="GX88" i="4"/>
  <c r="GW88" i="4"/>
  <c r="GV88" i="4"/>
  <c r="GU88" i="4"/>
  <c r="GT88" i="4"/>
  <c r="GR88" i="4"/>
  <c r="GQ88" i="4"/>
  <c r="GP88" i="4"/>
  <c r="GO88" i="4"/>
  <c r="GN88" i="4"/>
  <c r="GM88" i="4"/>
  <c r="GL88" i="4"/>
  <c r="GK88" i="4"/>
  <c r="GJ88" i="4"/>
  <c r="GI88" i="4"/>
  <c r="GH88" i="4"/>
  <c r="GG88" i="4"/>
  <c r="GF88" i="4"/>
  <c r="GE88" i="4"/>
  <c r="GD88" i="4"/>
  <c r="GB88" i="4"/>
  <c r="GA88" i="4"/>
  <c r="FZ88" i="4"/>
  <c r="FY88" i="4"/>
  <c r="FX88" i="4"/>
  <c r="FW88" i="4"/>
  <c r="FV88" i="4"/>
  <c r="FU88" i="4"/>
  <c r="FT88" i="4"/>
  <c r="FS88" i="4"/>
  <c r="FR88" i="4"/>
  <c r="FQ88" i="4"/>
  <c r="FP88" i="4"/>
  <c r="FO88" i="4"/>
  <c r="FN88" i="4"/>
  <c r="FL88" i="4"/>
  <c r="FK88" i="4"/>
  <c r="FJ88" i="4"/>
  <c r="FI88" i="4"/>
  <c r="FH88" i="4"/>
  <c r="FG88" i="4"/>
  <c r="FF88" i="4"/>
  <c r="FE88" i="4"/>
  <c r="FD88" i="4"/>
  <c r="FC88" i="4"/>
  <c r="FB88" i="4"/>
  <c r="FA88" i="4"/>
  <c r="EZ88" i="4"/>
  <c r="EY88" i="4"/>
  <c r="EX88" i="4"/>
  <c r="EV88" i="4"/>
  <c r="EU88" i="4"/>
  <c r="ET88" i="4"/>
  <c r="ES88" i="4"/>
  <c r="ER88" i="4"/>
  <c r="EQ88" i="4"/>
  <c r="EP88" i="4"/>
  <c r="EO88" i="4"/>
  <c r="EN88" i="4"/>
  <c r="EM88" i="4"/>
  <c r="EL88" i="4"/>
  <c r="EK88" i="4"/>
  <c r="EJ88" i="4"/>
  <c r="EI88" i="4"/>
  <c r="EH88" i="4"/>
  <c r="EF88" i="4"/>
  <c r="EE88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H88" i="4"/>
  <c r="G88" i="4"/>
  <c r="F88" i="4"/>
  <c r="E88" i="4"/>
  <c r="D88" i="4"/>
  <c r="C88" i="4"/>
  <c r="B88" i="4"/>
  <c r="A88" i="4"/>
  <c r="IV87" i="4"/>
  <c r="IU87" i="4"/>
  <c r="IT87" i="4"/>
  <c r="IS87" i="4"/>
  <c r="IR87" i="4"/>
  <c r="IQ87" i="4"/>
  <c r="IP87" i="4"/>
  <c r="IN87" i="4"/>
  <c r="IM87" i="4"/>
  <c r="IL87" i="4"/>
  <c r="IK87" i="4"/>
  <c r="IJ87" i="4"/>
  <c r="II87" i="4"/>
  <c r="IH87" i="4"/>
  <c r="IG87" i="4"/>
  <c r="IF87" i="4"/>
  <c r="IE87" i="4"/>
  <c r="ID87" i="4"/>
  <c r="IC87" i="4"/>
  <c r="IB87" i="4"/>
  <c r="IA87" i="4"/>
  <c r="HZ87" i="4"/>
  <c r="HX87" i="4"/>
  <c r="HW87" i="4"/>
  <c r="HV87" i="4"/>
  <c r="HU87" i="4"/>
  <c r="HT87" i="4"/>
  <c r="HS87" i="4"/>
  <c r="HR87" i="4"/>
  <c r="HQ87" i="4"/>
  <c r="HP87" i="4"/>
  <c r="HO87" i="4"/>
  <c r="HN87" i="4"/>
  <c r="HM87" i="4"/>
  <c r="HL87" i="4"/>
  <c r="HK87" i="4"/>
  <c r="HJ87" i="4"/>
  <c r="HH87" i="4"/>
  <c r="HG87" i="4"/>
  <c r="HF87" i="4"/>
  <c r="HE87" i="4"/>
  <c r="HD87" i="4"/>
  <c r="HC87" i="4"/>
  <c r="HB87" i="4"/>
  <c r="HA87" i="4"/>
  <c r="GZ87" i="4"/>
  <c r="GY87" i="4"/>
  <c r="GX87" i="4"/>
  <c r="GW87" i="4"/>
  <c r="GV87" i="4"/>
  <c r="GU87" i="4"/>
  <c r="GT87" i="4"/>
  <c r="GR87" i="4"/>
  <c r="GQ87" i="4"/>
  <c r="GP87" i="4"/>
  <c r="GO87" i="4"/>
  <c r="GN87" i="4"/>
  <c r="GM87" i="4"/>
  <c r="GL87" i="4"/>
  <c r="GK87" i="4"/>
  <c r="GJ87" i="4"/>
  <c r="GI87" i="4"/>
  <c r="GH87" i="4"/>
  <c r="GG87" i="4"/>
  <c r="GF87" i="4"/>
  <c r="GE87" i="4"/>
  <c r="GD87" i="4"/>
  <c r="GB87" i="4"/>
  <c r="GA87" i="4"/>
  <c r="FZ87" i="4"/>
  <c r="FY87" i="4"/>
  <c r="FX87" i="4"/>
  <c r="FW87" i="4"/>
  <c r="FV87" i="4"/>
  <c r="FU87" i="4"/>
  <c r="FT87" i="4"/>
  <c r="FS87" i="4"/>
  <c r="FR87" i="4"/>
  <c r="FQ87" i="4"/>
  <c r="FP87" i="4"/>
  <c r="FO87" i="4"/>
  <c r="FN87" i="4"/>
  <c r="FL87" i="4"/>
  <c r="FK87" i="4"/>
  <c r="FJ87" i="4"/>
  <c r="FI87" i="4"/>
  <c r="FH87" i="4"/>
  <c r="FG87" i="4"/>
  <c r="FF87" i="4"/>
  <c r="FE87" i="4"/>
  <c r="FD87" i="4"/>
  <c r="FC87" i="4"/>
  <c r="FB87" i="4"/>
  <c r="FA87" i="4"/>
  <c r="EZ87" i="4"/>
  <c r="EY87" i="4"/>
  <c r="EX87" i="4"/>
  <c r="EV87" i="4"/>
  <c r="EU87" i="4"/>
  <c r="ET87" i="4"/>
  <c r="ES87" i="4"/>
  <c r="ER87" i="4"/>
  <c r="EQ87" i="4"/>
  <c r="EP87" i="4"/>
  <c r="EO87" i="4"/>
  <c r="EN87" i="4"/>
  <c r="EM87" i="4"/>
  <c r="EL87" i="4"/>
  <c r="EK87" i="4"/>
  <c r="EJ87" i="4"/>
  <c r="EI87" i="4"/>
  <c r="EH87" i="4"/>
  <c r="EF87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S87" i="4"/>
  <c r="DR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H87" i="4"/>
  <c r="G87" i="4"/>
  <c r="F87" i="4"/>
  <c r="E87" i="4"/>
  <c r="D87" i="4"/>
  <c r="C87" i="4"/>
  <c r="B87" i="4"/>
  <c r="A87" i="4"/>
  <c r="IV86" i="4"/>
  <c r="IU86" i="4"/>
  <c r="IT86" i="4"/>
  <c r="IS86" i="4"/>
  <c r="IR86" i="4"/>
  <c r="IQ86" i="4"/>
  <c r="IP86" i="4"/>
  <c r="IN86" i="4"/>
  <c r="IM86" i="4"/>
  <c r="IL86" i="4"/>
  <c r="IK86" i="4"/>
  <c r="IJ86" i="4"/>
  <c r="II86" i="4"/>
  <c r="IH86" i="4"/>
  <c r="IG86" i="4"/>
  <c r="IF86" i="4"/>
  <c r="IE86" i="4"/>
  <c r="ID86" i="4"/>
  <c r="IC86" i="4"/>
  <c r="IB86" i="4"/>
  <c r="IA86" i="4"/>
  <c r="HZ86" i="4"/>
  <c r="HX86" i="4"/>
  <c r="HW86" i="4"/>
  <c r="HV86" i="4"/>
  <c r="HU86" i="4"/>
  <c r="HT86" i="4"/>
  <c r="HS86" i="4"/>
  <c r="HR86" i="4"/>
  <c r="HQ86" i="4"/>
  <c r="HP86" i="4"/>
  <c r="HO86" i="4"/>
  <c r="HN86" i="4"/>
  <c r="HM86" i="4"/>
  <c r="HL86" i="4"/>
  <c r="HK86" i="4"/>
  <c r="HJ86" i="4"/>
  <c r="HH86" i="4"/>
  <c r="HG86" i="4"/>
  <c r="HF86" i="4"/>
  <c r="HE86" i="4"/>
  <c r="HD86" i="4"/>
  <c r="HC86" i="4"/>
  <c r="HB86" i="4"/>
  <c r="HA86" i="4"/>
  <c r="GZ86" i="4"/>
  <c r="GY86" i="4"/>
  <c r="GX86" i="4"/>
  <c r="GW86" i="4"/>
  <c r="GV86" i="4"/>
  <c r="GU86" i="4"/>
  <c r="GT86" i="4"/>
  <c r="GR86" i="4"/>
  <c r="GQ86" i="4"/>
  <c r="GP86" i="4"/>
  <c r="GO86" i="4"/>
  <c r="GN86" i="4"/>
  <c r="GM86" i="4"/>
  <c r="GL86" i="4"/>
  <c r="GK86" i="4"/>
  <c r="GJ86" i="4"/>
  <c r="GI86" i="4"/>
  <c r="GH86" i="4"/>
  <c r="GG86" i="4"/>
  <c r="GF86" i="4"/>
  <c r="GE86" i="4"/>
  <c r="GD86" i="4"/>
  <c r="GB86" i="4"/>
  <c r="GA86" i="4"/>
  <c r="FZ86" i="4"/>
  <c r="FY86" i="4"/>
  <c r="FX86" i="4"/>
  <c r="FW86" i="4"/>
  <c r="FV86" i="4"/>
  <c r="FU86" i="4"/>
  <c r="FT86" i="4"/>
  <c r="FS86" i="4"/>
  <c r="FR86" i="4"/>
  <c r="FQ86" i="4"/>
  <c r="FP86" i="4"/>
  <c r="FO86" i="4"/>
  <c r="FN86" i="4"/>
  <c r="FL86" i="4"/>
  <c r="FK86" i="4"/>
  <c r="FJ86" i="4"/>
  <c r="FI86" i="4"/>
  <c r="FH86" i="4"/>
  <c r="FG86" i="4"/>
  <c r="FF86" i="4"/>
  <c r="FE86" i="4"/>
  <c r="FD86" i="4"/>
  <c r="FC86" i="4"/>
  <c r="FB86" i="4"/>
  <c r="FA86" i="4"/>
  <c r="EZ86" i="4"/>
  <c r="EY86" i="4"/>
  <c r="EX86" i="4"/>
  <c r="EV86" i="4"/>
  <c r="EU86" i="4"/>
  <c r="ET86" i="4"/>
  <c r="ES86" i="4"/>
  <c r="ER86" i="4"/>
  <c r="EQ86" i="4"/>
  <c r="EP86" i="4"/>
  <c r="EO86" i="4"/>
  <c r="EN86" i="4"/>
  <c r="EM86" i="4"/>
  <c r="EL86" i="4"/>
  <c r="EK86" i="4"/>
  <c r="EJ86" i="4"/>
  <c r="EI86" i="4"/>
  <c r="EH86" i="4"/>
  <c r="EF86" i="4"/>
  <c r="EE86" i="4"/>
  <c r="ED86" i="4"/>
  <c r="EC86" i="4"/>
  <c r="EB86" i="4"/>
  <c r="EA86" i="4"/>
  <c r="DZ86" i="4"/>
  <c r="DY86" i="4"/>
  <c r="DX86" i="4"/>
  <c r="DW86" i="4"/>
  <c r="DV86" i="4"/>
  <c r="DU86" i="4"/>
  <c r="DT86" i="4"/>
  <c r="DS86" i="4"/>
  <c r="DR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H86" i="4"/>
  <c r="G86" i="4"/>
  <c r="F86" i="4"/>
  <c r="E86" i="4"/>
  <c r="D86" i="4"/>
  <c r="C86" i="4"/>
  <c r="B86" i="4"/>
  <c r="A86" i="4"/>
  <c r="IV85" i="4"/>
  <c r="IU85" i="4"/>
  <c r="IT85" i="4"/>
  <c r="IS85" i="4"/>
  <c r="IR85" i="4"/>
  <c r="IQ85" i="4"/>
  <c r="IP85" i="4"/>
  <c r="IN85" i="4"/>
  <c r="IM85" i="4"/>
  <c r="IL85" i="4"/>
  <c r="IK85" i="4"/>
  <c r="IJ85" i="4"/>
  <c r="II85" i="4"/>
  <c r="IH85" i="4"/>
  <c r="IG85" i="4"/>
  <c r="IF85" i="4"/>
  <c r="IE85" i="4"/>
  <c r="ID85" i="4"/>
  <c r="IC85" i="4"/>
  <c r="IB85" i="4"/>
  <c r="IA85" i="4"/>
  <c r="HZ85" i="4"/>
  <c r="HX85" i="4"/>
  <c r="HW85" i="4"/>
  <c r="HV85" i="4"/>
  <c r="HU85" i="4"/>
  <c r="HT85" i="4"/>
  <c r="HS85" i="4"/>
  <c r="HR85" i="4"/>
  <c r="HQ85" i="4"/>
  <c r="HP85" i="4"/>
  <c r="HO85" i="4"/>
  <c r="HN85" i="4"/>
  <c r="HM85" i="4"/>
  <c r="HL85" i="4"/>
  <c r="HK85" i="4"/>
  <c r="HJ85" i="4"/>
  <c r="HH85" i="4"/>
  <c r="HG85" i="4"/>
  <c r="HF85" i="4"/>
  <c r="HE85" i="4"/>
  <c r="HD85" i="4"/>
  <c r="HC85" i="4"/>
  <c r="HB85" i="4"/>
  <c r="HA85" i="4"/>
  <c r="GZ85" i="4"/>
  <c r="GY85" i="4"/>
  <c r="GX85" i="4"/>
  <c r="GW85" i="4"/>
  <c r="GV85" i="4"/>
  <c r="GU85" i="4"/>
  <c r="GT85" i="4"/>
  <c r="GR85" i="4"/>
  <c r="GQ85" i="4"/>
  <c r="GP85" i="4"/>
  <c r="GO85" i="4"/>
  <c r="GN85" i="4"/>
  <c r="GM85" i="4"/>
  <c r="GL85" i="4"/>
  <c r="GK85" i="4"/>
  <c r="GJ85" i="4"/>
  <c r="GI85" i="4"/>
  <c r="GH85" i="4"/>
  <c r="GG85" i="4"/>
  <c r="GF85" i="4"/>
  <c r="GE85" i="4"/>
  <c r="GD85" i="4"/>
  <c r="GB85" i="4"/>
  <c r="GA85" i="4"/>
  <c r="FZ85" i="4"/>
  <c r="FY85" i="4"/>
  <c r="FX85" i="4"/>
  <c r="FW85" i="4"/>
  <c r="FV85" i="4"/>
  <c r="FU85" i="4"/>
  <c r="FT85" i="4"/>
  <c r="FS85" i="4"/>
  <c r="FR85" i="4"/>
  <c r="FQ85" i="4"/>
  <c r="FP85" i="4"/>
  <c r="FO85" i="4"/>
  <c r="FN85" i="4"/>
  <c r="FL85" i="4"/>
  <c r="FK85" i="4"/>
  <c r="FJ85" i="4"/>
  <c r="FI85" i="4"/>
  <c r="FH85" i="4"/>
  <c r="FG85" i="4"/>
  <c r="FF85" i="4"/>
  <c r="FE85" i="4"/>
  <c r="FD85" i="4"/>
  <c r="FC85" i="4"/>
  <c r="FB85" i="4"/>
  <c r="FA85" i="4"/>
  <c r="EZ85" i="4"/>
  <c r="EY85" i="4"/>
  <c r="EX85" i="4"/>
  <c r="EV85" i="4"/>
  <c r="EU85" i="4"/>
  <c r="ET85" i="4"/>
  <c r="ES85" i="4"/>
  <c r="ER85" i="4"/>
  <c r="EQ85" i="4"/>
  <c r="EP85" i="4"/>
  <c r="EO85" i="4"/>
  <c r="EN85" i="4"/>
  <c r="EM85" i="4"/>
  <c r="EL85" i="4"/>
  <c r="EK85" i="4"/>
  <c r="EJ85" i="4"/>
  <c r="EI85" i="4"/>
  <c r="EH85" i="4"/>
  <c r="EF85" i="4"/>
  <c r="EE85" i="4"/>
  <c r="ED85" i="4"/>
  <c r="EC85" i="4"/>
  <c r="EB85" i="4"/>
  <c r="EA85" i="4"/>
  <c r="DZ85" i="4"/>
  <c r="DY85" i="4"/>
  <c r="DX85" i="4"/>
  <c r="DW85" i="4"/>
  <c r="DV85" i="4"/>
  <c r="DU85" i="4"/>
  <c r="DT85" i="4"/>
  <c r="DS85" i="4"/>
  <c r="DR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H85" i="4"/>
  <c r="G85" i="4"/>
  <c r="F85" i="4"/>
  <c r="E85" i="4"/>
  <c r="D85" i="4"/>
  <c r="C85" i="4"/>
  <c r="B85" i="4"/>
  <c r="A85" i="4"/>
  <c r="IV84" i="4"/>
  <c r="IU84" i="4"/>
  <c r="IT84" i="4"/>
  <c r="IS84" i="4"/>
  <c r="IR84" i="4"/>
  <c r="IQ84" i="4"/>
  <c r="IP84" i="4"/>
  <c r="IN84" i="4"/>
  <c r="IM84" i="4"/>
  <c r="IL84" i="4"/>
  <c r="IK84" i="4"/>
  <c r="IJ84" i="4"/>
  <c r="II84" i="4"/>
  <c r="IH84" i="4"/>
  <c r="IG84" i="4"/>
  <c r="IF84" i="4"/>
  <c r="IE84" i="4"/>
  <c r="ID84" i="4"/>
  <c r="IC84" i="4"/>
  <c r="IB84" i="4"/>
  <c r="IA84" i="4"/>
  <c r="HZ84" i="4"/>
  <c r="HX84" i="4"/>
  <c r="HW84" i="4"/>
  <c r="HV84" i="4"/>
  <c r="HU84" i="4"/>
  <c r="HT84" i="4"/>
  <c r="HS84" i="4"/>
  <c r="HR84" i="4"/>
  <c r="HQ84" i="4"/>
  <c r="HP84" i="4"/>
  <c r="HO84" i="4"/>
  <c r="HN84" i="4"/>
  <c r="HM84" i="4"/>
  <c r="HL84" i="4"/>
  <c r="HK84" i="4"/>
  <c r="HJ84" i="4"/>
  <c r="HH84" i="4"/>
  <c r="HG84" i="4"/>
  <c r="HF84" i="4"/>
  <c r="HE84" i="4"/>
  <c r="HD84" i="4"/>
  <c r="HC84" i="4"/>
  <c r="HB84" i="4"/>
  <c r="HA84" i="4"/>
  <c r="GZ84" i="4"/>
  <c r="GY84" i="4"/>
  <c r="GX84" i="4"/>
  <c r="GW84" i="4"/>
  <c r="GV84" i="4"/>
  <c r="GU84" i="4"/>
  <c r="GT84" i="4"/>
  <c r="GS84" i="4"/>
  <c r="GR84" i="4"/>
  <c r="GQ84" i="4"/>
  <c r="GP84" i="4"/>
  <c r="GO84" i="4"/>
  <c r="GN84" i="4"/>
  <c r="GM84" i="4"/>
  <c r="GL84" i="4"/>
  <c r="GK84" i="4"/>
  <c r="GJ84" i="4"/>
  <c r="GI84" i="4"/>
  <c r="GH84" i="4"/>
  <c r="GG84" i="4"/>
  <c r="GF84" i="4"/>
  <c r="GE84" i="4"/>
  <c r="GD84" i="4"/>
  <c r="GB84" i="4"/>
  <c r="GA84" i="4"/>
  <c r="FZ84" i="4"/>
  <c r="FY84" i="4"/>
  <c r="FX84" i="4"/>
  <c r="FW84" i="4"/>
  <c r="FV84" i="4"/>
  <c r="FT84" i="4"/>
  <c r="FS84" i="4"/>
  <c r="FR84" i="4"/>
  <c r="FQ84" i="4"/>
  <c r="FP84" i="4"/>
  <c r="FO84" i="4"/>
  <c r="FN84" i="4"/>
  <c r="FM84" i="4"/>
  <c r="FL84" i="4"/>
  <c r="FK84" i="4"/>
  <c r="FJ84" i="4"/>
  <c r="FI84" i="4"/>
  <c r="FH84" i="4"/>
  <c r="FG84" i="4"/>
  <c r="FF84" i="4"/>
  <c r="FE84" i="4"/>
  <c r="FD84" i="4"/>
  <c r="FC84" i="4"/>
  <c r="FB84" i="4"/>
  <c r="FA84" i="4"/>
  <c r="EZ84" i="4"/>
  <c r="EY84" i="4"/>
  <c r="EX84" i="4"/>
  <c r="EW84" i="4"/>
  <c r="EV84" i="4"/>
  <c r="EU84" i="4"/>
  <c r="ET84" i="4"/>
  <c r="ES84" i="4"/>
  <c r="ER84" i="4"/>
  <c r="EQ84" i="4"/>
  <c r="EP84" i="4"/>
  <c r="EO84" i="4"/>
  <c r="EN84" i="4"/>
  <c r="EM84" i="4"/>
  <c r="EL84" i="4"/>
  <c r="EK84" i="4"/>
  <c r="EJ84" i="4"/>
  <c r="EI84" i="4"/>
  <c r="EH84" i="4"/>
  <c r="EG84" i="4"/>
  <c r="EF84" i="4"/>
  <c r="EE84" i="4"/>
  <c r="ED84" i="4"/>
  <c r="EC84" i="4"/>
  <c r="EB84" i="4"/>
  <c r="EA84" i="4"/>
  <c r="DZ84" i="4"/>
  <c r="DY84" i="4"/>
  <c r="DX84" i="4"/>
  <c r="DW84" i="4"/>
  <c r="DV84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ER83" i="4"/>
  <c r="EM83" i="4"/>
  <c r="EL83" i="4"/>
  <c r="EK83" i="4"/>
  <c r="EJ83" i="4"/>
  <c r="EI83" i="4"/>
  <c r="EH83" i="4"/>
  <c r="EG83" i="4"/>
  <c r="EF83" i="4"/>
  <c r="EE83" i="4"/>
  <c r="ED83" i="4"/>
  <c r="EC83" i="4"/>
  <c r="EB83" i="4"/>
  <c r="EA83" i="4"/>
  <c r="DZ83" i="4"/>
  <c r="DY83" i="4"/>
  <c r="DX83" i="4"/>
  <c r="DW83" i="4"/>
  <c r="DV83" i="4"/>
  <c r="DU83" i="4"/>
  <c r="DT83" i="4"/>
  <c r="DS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G83" i="4"/>
  <c r="F83" i="4"/>
  <c r="E83" i="4"/>
  <c r="D83" i="4"/>
  <c r="C83" i="4"/>
  <c r="B83" i="4"/>
  <c r="A83" i="4"/>
  <c r="IV82" i="4"/>
  <c r="IU82" i="4"/>
  <c r="IT82" i="4"/>
  <c r="IS82" i="4"/>
  <c r="IR82" i="4"/>
  <c r="IQ82" i="4"/>
  <c r="IP82" i="4"/>
  <c r="IO82" i="4"/>
  <c r="IN82" i="4"/>
  <c r="IM82" i="4"/>
  <c r="IL82" i="4"/>
  <c r="IJ82" i="4"/>
  <c r="II82" i="4"/>
  <c r="IH82" i="4"/>
  <c r="IG82" i="4"/>
  <c r="IF82" i="4"/>
  <c r="IE82" i="4"/>
  <c r="ID82" i="4"/>
  <c r="IC82" i="4"/>
  <c r="IB82" i="4"/>
  <c r="IA82" i="4"/>
  <c r="HZ82" i="4"/>
  <c r="HY82" i="4"/>
  <c r="HX82" i="4"/>
  <c r="HW82" i="4"/>
  <c r="HV82" i="4"/>
  <c r="HU82" i="4"/>
  <c r="HT82" i="4"/>
  <c r="HS82" i="4"/>
  <c r="HQ82" i="4"/>
  <c r="HP82" i="4"/>
  <c r="HO82" i="4"/>
  <c r="HN82" i="4"/>
  <c r="HM82" i="4"/>
  <c r="HL82" i="4"/>
  <c r="HK82" i="4"/>
  <c r="HJ82" i="4"/>
  <c r="HI82" i="4"/>
  <c r="HH82" i="4"/>
  <c r="HG82" i="4"/>
  <c r="HF82" i="4"/>
  <c r="HE82" i="4"/>
  <c r="HD82" i="4"/>
  <c r="HC82" i="4"/>
  <c r="HB82" i="4"/>
  <c r="HA82" i="4"/>
  <c r="GZ82" i="4"/>
  <c r="GX82" i="4"/>
  <c r="GW82" i="4"/>
  <c r="GV82" i="4"/>
  <c r="GU82" i="4"/>
  <c r="GT82" i="4"/>
  <c r="GS82" i="4"/>
  <c r="GR82" i="4"/>
  <c r="GQ82" i="4"/>
  <c r="GP82" i="4"/>
  <c r="GO82" i="4"/>
  <c r="GN82" i="4"/>
  <c r="GM82" i="4"/>
  <c r="GL82" i="4"/>
  <c r="GK82" i="4"/>
  <c r="GJ82" i="4"/>
  <c r="GI82" i="4"/>
  <c r="GH82" i="4"/>
  <c r="GG82" i="4"/>
  <c r="GE82" i="4"/>
  <c r="GD82" i="4"/>
  <c r="GC82" i="4"/>
  <c r="GB82" i="4"/>
  <c r="GA82" i="4"/>
  <c r="FZ82" i="4"/>
  <c r="FY82" i="4"/>
  <c r="FX82" i="4"/>
  <c r="FW82" i="4"/>
  <c r="FV82" i="4"/>
  <c r="FU82" i="4"/>
  <c r="FT82" i="4"/>
  <c r="FS82" i="4"/>
  <c r="FR82" i="4"/>
  <c r="FQ82" i="4"/>
  <c r="FP82" i="4"/>
  <c r="FO82" i="4"/>
  <c r="FN82" i="4"/>
  <c r="FL82" i="4"/>
  <c r="FK82" i="4"/>
  <c r="FJ82" i="4"/>
  <c r="FI82" i="4"/>
  <c r="FH82" i="4"/>
  <c r="FG82" i="4"/>
  <c r="FF82" i="4"/>
  <c r="FE82" i="4"/>
  <c r="FD82" i="4"/>
  <c r="FC82" i="4"/>
  <c r="FB82" i="4"/>
  <c r="FA82" i="4"/>
  <c r="EZ82" i="4"/>
  <c r="EY82" i="4"/>
  <c r="EX82" i="4"/>
  <c r="EW82" i="4"/>
  <c r="EV82" i="4"/>
  <c r="EU82" i="4"/>
  <c r="ES82" i="4"/>
  <c r="ER82" i="4"/>
  <c r="EQ82" i="4"/>
  <c r="EP82" i="4"/>
  <c r="EO82" i="4"/>
  <c r="EN82" i="4"/>
  <c r="EM82" i="4"/>
  <c r="EL82" i="4"/>
  <c r="EK82" i="4"/>
  <c r="EJ82" i="4"/>
  <c r="EI82" i="4"/>
  <c r="EH82" i="4"/>
  <c r="EG82" i="4"/>
  <c r="EF82" i="4"/>
  <c r="EE82" i="4"/>
  <c r="ED82" i="4"/>
  <c r="EC82" i="4"/>
  <c r="EB82" i="4"/>
  <c r="DZ82" i="4"/>
  <c r="DY82" i="4"/>
  <c r="DX82" i="4"/>
  <c r="DW82" i="4"/>
  <c r="DV82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IV81" i="4"/>
  <c r="IU81" i="4"/>
  <c r="IS81" i="4"/>
  <c r="IR81" i="4"/>
  <c r="IQ81" i="4"/>
  <c r="IP81" i="4"/>
  <c r="IO81" i="4"/>
  <c r="IN81" i="4"/>
  <c r="IM81" i="4"/>
  <c r="IL81" i="4"/>
  <c r="IK81" i="4"/>
  <c r="IJ81" i="4"/>
  <c r="II81" i="4"/>
  <c r="IH81" i="4"/>
  <c r="IG81" i="4"/>
  <c r="IF81" i="4"/>
  <c r="IE81" i="4"/>
  <c r="ID81" i="4"/>
  <c r="IC81" i="4"/>
  <c r="IB81" i="4"/>
  <c r="HZ81" i="4"/>
  <c r="HY81" i="4"/>
  <c r="HX81" i="4"/>
  <c r="HW81" i="4"/>
  <c r="HV81" i="4"/>
  <c r="HU81" i="4"/>
  <c r="HT81" i="4"/>
  <c r="HS81" i="4"/>
  <c r="HR81" i="4"/>
  <c r="HQ81" i="4"/>
  <c r="HP81" i="4"/>
  <c r="HO81" i="4"/>
  <c r="HN81" i="4"/>
  <c r="HM81" i="4"/>
  <c r="HL81" i="4"/>
  <c r="HK81" i="4"/>
  <c r="HJ81" i="4"/>
  <c r="HI81" i="4"/>
  <c r="HG81" i="4"/>
  <c r="HF81" i="4"/>
  <c r="HE81" i="4"/>
  <c r="HD81" i="4"/>
  <c r="HC81" i="4"/>
  <c r="HB81" i="4"/>
  <c r="HA81" i="4"/>
  <c r="GZ81" i="4"/>
  <c r="GY81" i="4"/>
  <c r="GX81" i="4"/>
  <c r="GW81" i="4"/>
  <c r="GV81" i="4"/>
  <c r="GU81" i="4"/>
  <c r="GT81" i="4"/>
  <c r="GS81" i="4"/>
  <c r="GR81" i="4"/>
  <c r="GQ81" i="4"/>
  <c r="GP81" i="4"/>
  <c r="GN81" i="4"/>
  <c r="GM81" i="4"/>
  <c r="GL81" i="4"/>
  <c r="GK81" i="4"/>
  <c r="GJ81" i="4"/>
  <c r="GI81" i="4"/>
  <c r="GH81" i="4"/>
  <c r="GG81" i="4"/>
  <c r="GF81" i="4"/>
  <c r="GE81" i="4"/>
  <c r="GD81" i="4"/>
  <c r="GC81" i="4"/>
  <c r="GB81" i="4"/>
  <c r="GA81" i="4"/>
  <c r="FZ81" i="4"/>
  <c r="FY81" i="4"/>
  <c r="FX81" i="4"/>
  <c r="FW81" i="4"/>
  <c r="FU81" i="4"/>
  <c r="FT81" i="4"/>
  <c r="FS81" i="4"/>
  <c r="FR81" i="4"/>
  <c r="FQ81" i="4"/>
  <c r="FP81" i="4"/>
  <c r="FO81" i="4"/>
  <c r="FN81" i="4"/>
  <c r="FM81" i="4"/>
  <c r="FL81" i="4"/>
  <c r="FK81" i="4"/>
  <c r="FJ81" i="4"/>
  <c r="FI81" i="4"/>
  <c r="FH81" i="4"/>
  <c r="FG81" i="4"/>
  <c r="FF81" i="4"/>
  <c r="FE81" i="4"/>
  <c r="FD81" i="4"/>
  <c r="FB81" i="4"/>
  <c r="FA81" i="4"/>
  <c r="EZ81" i="4"/>
  <c r="EY81" i="4"/>
  <c r="EX81" i="4"/>
  <c r="EW81" i="4"/>
  <c r="EV81" i="4"/>
  <c r="EU81" i="4"/>
  <c r="ET81" i="4"/>
  <c r="ES81" i="4"/>
  <c r="ER81" i="4"/>
  <c r="EQ81" i="4"/>
  <c r="EP81" i="4"/>
  <c r="EO81" i="4"/>
  <c r="EN81" i="4"/>
  <c r="EM81" i="4"/>
  <c r="EL81" i="4"/>
  <c r="EK81" i="4"/>
  <c r="EI81" i="4"/>
  <c r="EH81" i="4"/>
  <c r="EG81" i="4"/>
  <c r="EF81" i="4"/>
  <c r="EE81" i="4"/>
  <c r="ED81" i="4"/>
  <c r="EC81" i="4"/>
  <c r="EB81" i="4"/>
  <c r="EA81" i="4"/>
  <c r="DZ81" i="4"/>
  <c r="DY81" i="4"/>
  <c r="DX81" i="4"/>
  <c r="DW81" i="4"/>
  <c r="DV81" i="4"/>
  <c r="DU81" i="4"/>
  <c r="DT81" i="4"/>
  <c r="DS81" i="4"/>
  <c r="DR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F81" i="4"/>
  <c r="E81" i="4"/>
  <c r="D81" i="4"/>
  <c r="C81" i="4"/>
  <c r="B81" i="4"/>
  <c r="A81" i="4"/>
  <c r="IV80" i="4"/>
  <c r="IU80" i="4"/>
  <c r="IT80" i="4"/>
  <c r="IS80" i="4"/>
  <c r="IR80" i="4"/>
  <c r="IQ80" i="4"/>
  <c r="IP80" i="4"/>
  <c r="IO80" i="4"/>
  <c r="IN80" i="4"/>
  <c r="IM80" i="4"/>
  <c r="IL80" i="4"/>
  <c r="IK80" i="4"/>
  <c r="II80" i="4"/>
  <c r="IH80" i="4"/>
  <c r="IG80" i="4"/>
  <c r="IF80" i="4"/>
  <c r="IE80" i="4"/>
  <c r="ID80" i="4"/>
  <c r="IC80" i="4"/>
  <c r="IB80" i="4"/>
  <c r="IA80" i="4"/>
  <c r="HZ80" i="4"/>
  <c r="HY80" i="4"/>
  <c r="HX80" i="4"/>
  <c r="HW80" i="4"/>
  <c r="HV80" i="4"/>
  <c r="HU80" i="4"/>
  <c r="HT80" i="4"/>
  <c r="HS80" i="4"/>
  <c r="HR80" i="4"/>
  <c r="HP80" i="4"/>
  <c r="HO80" i="4"/>
  <c r="HN80" i="4"/>
  <c r="HM80" i="4"/>
  <c r="HL80" i="4"/>
  <c r="HK80" i="4"/>
  <c r="HJ80" i="4"/>
  <c r="HI80" i="4"/>
  <c r="HH80" i="4"/>
  <c r="HG80" i="4"/>
  <c r="HF80" i="4"/>
  <c r="HE80" i="4"/>
  <c r="HD80" i="4"/>
  <c r="HC80" i="4"/>
  <c r="HB80" i="4"/>
  <c r="HA80" i="4"/>
  <c r="GZ80" i="4"/>
  <c r="GY80" i="4"/>
  <c r="GW80" i="4"/>
  <c r="GV80" i="4"/>
  <c r="GU80" i="4"/>
  <c r="GT80" i="4"/>
  <c r="GS80" i="4"/>
  <c r="GR80" i="4"/>
  <c r="GQ80" i="4"/>
  <c r="GP80" i="4"/>
  <c r="GO80" i="4"/>
  <c r="GN80" i="4"/>
  <c r="GM80" i="4"/>
  <c r="GL80" i="4"/>
  <c r="GK80" i="4"/>
  <c r="GJ80" i="4"/>
  <c r="GI80" i="4"/>
  <c r="GH80" i="4"/>
  <c r="GG80" i="4"/>
  <c r="GF80" i="4"/>
  <c r="GD80" i="4"/>
  <c r="GC80" i="4"/>
  <c r="GB80" i="4"/>
  <c r="GA80" i="4"/>
  <c r="FZ80" i="4"/>
  <c r="FY80" i="4"/>
  <c r="FX80" i="4"/>
  <c r="FW80" i="4"/>
  <c r="FV80" i="4"/>
  <c r="FU80" i="4"/>
  <c r="FT80" i="4"/>
  <c r="FS80" i="4"/>
  <c r="FR80" i="4"/>
  <c r="FQ80" i="4"/>
  <c r="FP80" i="4"/>
  <c r="FO80" i="4"/>
  <c r="FN80" i="4"/>
  <c r="FM80" i="4"/>
  <c r="FK80" i="4"/>
  <c r="FJ80" i="4"/>
  <c r="FI80" i="4"/>
  <c r="FH80" i="4"/>
  <c r="FG80" i="4"/>
  <c r="FF80" i="4"/>
  <c r="FE80" i="4"/>
  <c r="FD80" i="4"/>
  <c r="FC80" i="4"/>
  <c r="FB80" i="4"/>
  <c r="FA80" i="4"/>
  <c r="EZ80" i="4"/>
  <c r="EY80" i="4"/>
  <c r="EX80" i="4"/>
  <c r="EW80" i="4"/>
  <c r="EV80" i="4"/>
  <c r="EU80" i="4"/>
  <c r="ET80" i="4"/>
  <c r="ER80" i="4"/>
  <c r="EQ80" i="4"/>
  <c r="EP80" i="4"/>
  <c r="EO80" i="4"/>
  <c r="EN80" i="4"/>
  <c r="EM80" i="4"/>
  <c r="EL80" i="4"/>
  <c r="EK80" i="4"/>
  <c r="EJ80" i="4"/>
  <c r="EI80" i="4"/>
  <c r="EH80" i="4"/>
  <c r="EG80" i="4"/>
  <c r="EF80" i="4"/>
  <c r="EE80" i="4"/>
  <c r="ED80" i="4"/>
  <c r="EC80" i="4"/>
  <c r="EB80" i="4"/>
  <c r="EA80" i="4"/>
  <c r="DY80" i="4"/>
  <c r="DX80" i="4"/>
  <c r="DW80" i="4"/>
  <c r="DV80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IV79" i="4"/>
  <c r="IU79" i="4"/>
  <c r="IT79" i="4"/>
  <c r="IR79" i="4"/>
  <c r="IQ79" i="4"/>
  <c r="IP79" i="4"/>
  <c r="IO79" i="4"/>
  <c r="IN79" i="4"/>
  <c r="IM79" i="4"/>
  <c r="IL79" i="4"/>
  <c r="IK79" i="4"/>
  <c r="IJ79" i="4"/>
  <c r="II79" i="4"/>
  <c r="IH79" i="4"/>
  <c r="IG79" i="4"/>
  <c r="IF79" i="4"/>
  <c r="IE79" i="4"/>
  <c r="ID79" i="4"/>
  <c r="IC79" i="4"/>
  <c r="IB79" i="4"/>
  <c r="IA79" i="4"/>
  <c r="HY79" i="4"/>
  <c r="HX79" i="4"/>
  <c r="HW79" i="4"/>
  <c r="HV79" i="4"/>
  <c r="HU79" i="4"/>
  <c r="HT79" i="4"/>
  <c r="HS79" i="4"/>
  <c r="HR79" i="4"/>
  <c r="HQ79" i="4"/>
  <c r="HP79" i="4"/>
  <c r="HO79" i="4"/>
  <c r="HN79" i="4"/>
  <c r="HM79" i="4"/>
  <c r="HL79" i="4"/>
  <c r="HK79" i="4"/>
  <c r="HJ79" i="4"/>
  <c r="HI79" i="4"/>
  <c r="HH79" i="4"/>
  <c r="HF79" i="4"/>
  <c r="HE79" i="4"/>
  <c r="HD79" i="4"/>
  <c r="HC79" i="4"/>
  <c r="HB79" i="4"/>
  <c r="HA79" i="4"/>
  <c r="GZ79" i="4"/>
  <c r="GY79" i="4"/>
  <c r="GX79" i="4"/>
  <c r="GW79" i="4"/>
  <c r="GV79" i="4"/>
  <c r="GU79" i="4"/>
  <c r="GT79" i="4"/>
  <c r="GS79" i="4"/>
  <c r="GR79" i="4"/>
  <c r="GQ79" i="4"/>
  <c r="GP79" i="4"/>
  <c r="GO79" i="4"/>
  <c r="GM79" i="4"/>
  <c r="GL79" i="4"/>
  <c r="GK79" i="4"/>
  <c r="GJ79" i="4"/>
  <c r="GI79" i="4"/>
  <c r="GH79" i="4"/>
  <c r="GG79" i="4"/>
  <c r="GF79" i="4"/>
  <c r="GE79" i="4"/>
  <c r="GD79" i="4"/>
  <c r="GC79" i="4"/>
  <c r="GB79" i="4"/>
  <c r="GA79" i="4"/>
  <c r="FZ79" i="4"/>
  <c r="FY79" i="4"/>
  <c r="FX79" i="4"/>
  <c r="FW79" i="4"/>
  <c r="FV79" i="4"/>
  <c r="FT79" i="4"/>
  <c r="FS79" i="4"/>
  <c r="FR79" i="4"/>
  <c r="FQ79" i="4"/>
  <c r="FP79" i="4"/>
  <c r="FO79" i="4"/>
  <c r="FN79" i="4"/>
  <c r="FM79" i="4"/>
  <c r="FL79" i="4"/>
  <c r="FK79" i="4"/>
  <c r="FJ79" i="4"/>
  <c r="FI79" i="4"/>
  <c r="FH79" i="4"/>
  <c r="FG79" i="4"/>
  <c r="FF79" i="4"/>
  <c r="FE79" i="4"/>
  <c r="FD79" i="4"/>
  <c r="FC79" i="4"/>
  <c r="FA79" i="4"/>
  <c r="EZ79" i="4"/>
  <c r="EY79" i="4"/>
  <c r="EX79" i="4"/>
  <c r="EW79" i="4"/>
  <c r="EV79" i="4"/>
  <c r="EU79" i="4"/>
  <c r="ET79" i="4"/>
  <c r="ES79" i="4"/>
  <c r="ER79" i="4"/>
  <c r="EQ79" i="4"/>
  <c r="EP79" i="4"/>
  <c r="EO79" i="4"/>
  <c r="EN79" i="4"/>
  <c r="EM79" i="4"/>
  <c r="EL79" i="4"/>
  <c r="EK79" i="4"/>
  <c r="EJ79" i="4"/>
  <c r="EH79" i="4"/>
  <c r="EG79" i="4"/>
  <c r="EF79" i="4"/>
  <c r="EE79" i="4"/>
  <c r="ED79" i="4"/>
  <c r="EC79" i="4"/>
  <c r="EB79" i="4"/>
  <c r="EA79" i="4"/>
  <c r="DZ79" i="4"/>
  <c r="DY79" i="4"/>
  <c r="DX79" i="4"/>
  <c r="DW79" i="4"/>
  <c r="DV79" i="4"/>
  <c r="DU79" i="4"/>
  <c r="DT79" i="4"/>
  <c r="DS79" i="4"/>
  <c r="DR79" i="4"/>
  <c r="DQ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E79" i="4"/>
  <c r="D79" i="4"/>
  <c r="C79" i="4"/>
  <c r="B79" i="4"/>
  <c r="A79" i="4"/>
  <c r="IV78" i="4"/>
  <c r="IU78" i="4"/>
  <c r="IT78" i="4"/>
  <c r="IS78" i="4"/>
  <c r="IR78" i="4"/>
  <c r="IQ78" i="4"/>
  <c r="IP78" i="4"/>
  <c r="IO78" i="4"/>
  <c r="IN78" i="4"/>
  <c r="IM78" i="4"/>
  <c r="IL78" i="4"/>
  <c r="IK78" i="4"/>
  <c r="IJ78" i="4"/>
  <c r="IH78" i="4"/>
  <c r="IG78" i="4"/>
  <c r="IF78" i="4"/>
  <c r="IE78" i="4"/>
  <c r="ID78" i="4"/>
  <c r="IC78" i="4"/>
  <c r="IB78" i="4"/>
  <c r="IA78" i="4"/>
  <c r="HZ78" i="4"/>
  <c r="HY78" i="4"/>
  <c r="HX78" i="4"/>
  <c r="HW78" i="4"/>
  <c r="HV78" i="4"/>
  <c r="HU78" i="4"/>
  <c r="HT78" i="4"/>
  <c r="HS78" i="4"/>
  <c r="HR78" i="4"/>
  <c r="HQ78" i="4"/>
  <c r="HO78" i="4"/>
  <c r="HN78" i="4"/>
  <c r="HM78" i="4"/>
  <c r="HL78" i="4"/>
  <c r="HK78" i="4"/>
  <c r="HJ78" i="4"/>
  <c r="HI78" i="4"/>
  <c r="HH78" i="4"/>
  <c r="HG78" i="4"/>
  <c r="HF78" i="4"/>
  <c r="HE78" i="4"/>
  <c r="HD78" i="4"/>
  <c r="HC78" i="4"/>
  <c r="HB78" i="4"/>
  <c r="HA78" i="4"/>
  <c r="GZ78" i="4"/>
  <c r="GY78" i="4"/>
  <c r="GX78" i="4"/>
  <c r="GV78" i="4"/>
  <c r="GU78" i="4"/>
  <c r="GT78" i="4"/>
  <c r="GS78" i="4"/>
  <c r="GR78" i="4"/>
  <c r="GQ78" i="4"/>
  <c r="GP78" i="4"/>
  <c r="GO78" i="4"/>
  <c r="GN78" i="4"/>
  <c r="GM78" i="4"/>
  <c r="GL78" i="4"/>
  <c r="GK78" i="4"/>
  <c r="GJ78" i="4"/>
  <c r="GI78" i="4"/>
  <c r="GH78" i="4"/>
  <c r="GG78" i="4"/>
  <c r="GF78" i="4"/>
  <c r="GE78" i="4"/>
  <c r="GC78" i="4"/>
  <c r="GB78" i="4"/>
  <c r="GA78" i="4"/>
  <c r="FZ78" i="4"/>
  <c r="FY78" i="4"/>
  <c r="FX78" i="4"/>
  <c r="FW78" i="4"/>
  <c r="FV78" i="4"/>
  <c r="FU78" i="4"/>
  <c r="FT78" i="4"/>
  <c r="FS78" i="4"/>
  <c r="FR78" i="4"/>
  <c r="FQ78" i="4"/>
  <c r="FP78" i="4"/>
  <c r="FO78" i="4"/>
  <c r="FN78" i="4"/>
  <c r="FM78" i="4"/>
  <c r="FL78" i="4"/>
  <c r="FJ78" i="4"/>
  <c r="FI78" i="4"/>
  <c r="FH78" i="4"/>
  <c r="FG78" i="4"/>
  <c r="FF78" i="4"/>
  <c r="FE78" i="4"/>
  <c r="FD78" i="4"/>
  <c r="FC78" i="4"/>
  <c r="FB78" i="4"/>
  <c r="FA78" i="4"/>
  <c r="EZ78" i="4"/>
  <c r="EY78" i="4"/>
  <c r="EX78" i="4"/>
  <c r="EW78" i="4"/>
  <c r="EV78" i="4"/>
  <c r="EU78" i="4"/>
  <c r="ET78" i="4"/>
  <c r="ES78" i="4"/>
  <c r="EQ78" i="4"/>
  <c r="EP78" i="4"/>
  <c r="EO78" i="4"/>
  <c r="EN78" i="4"/>
  <c r="EM78" i="4"/>
  <c r="EL78" i="4"/>
  <c r="EK78" i="4"/>
  <c r="EJ78" i="4"/>
  <c r="EI78" i="4"/>
  <c r="EH78" i="4"/>
  <c r="EG78" i="4"/>
  <c r="EF78" i="4"/>
  <c r="EE78" i="4"/>
  <c r="ED78" i="4"/>
  <c r="EC78" i="4"/>
  <c r="EB78" i="4"/>
  <c r="EA78" i="4"/>
  <c r="DZ78" i="4"/>
  <c r="DX78" i="4"/>
  <c r="DW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IV77" i="4"/>
  <c r="IU77" i="4"/>
  <c r="IT77" i="4"/>
  <c r="IS77" i="4"/>
  <c r="IQ77" i="4"/>
  <c r="IP77" i="4"/>
  <c r="IO77" i="4"/>
  <c r="IN77" i="4"/>
  <c r="IM77" i="4"/>
  <c r="IL77" i="4"/>
  <c r="IK77" i="4"/>
  <c r="IJ77" i="4"/>
  <c r="II77" i="4"/>
  <c r="IH77" i="4"/>
  <c r="IG77" i="4"/>
  <c r="IF77" i="4"/>
  <c r="IE77" i="4"/>
  <c r="ID77" i="4"/>
  <c r="IC77" i="4"/>
  <c r="IB77" i="4"/>
  <c r="IA77" i="4"/>
  <c r="HZ77" i="4"/>
  <c r="HX77" i="4"/>
  <c r="HW77" i="4"/>
  <c r="HV77" i="4"/>
  <c r="HU77" i="4"/>
  <c r="HT77" i="4"/>
  <c r="HS77" i="4"/>
  <c r="HR77" i="4"/>
  <c r="HQ77" i="4"/>
  <c r="HP77" i="4"/>
  <c r="HO77" i="4"/>
  <c r="HN77" i="4"/>
  <c r="HM77" i="4"/>
  <c r="HL77" i="4"/>
  <c r="HK77" i="4"/>
  <c r="HJ77" i="4"/>
  <c r="HI77" i="4"/>
  <c r="HH77" i="4"/>
  <c r="HG77" i="4"/>
  <c r="HE77" i="4"/>
  <c r="HD77" i="4"/>
  <c r="HC77" i="4"/>
  <c r="HB77" i="4"/>
  <c r="HA77" i="4"/>
  <c r="GZ77" i="4"/>
  <c r="GY77" i="4"/>
  <c r="GX77" i="4"/>
  <c r="GW77" i="4"/>
  <c r="GV77" i="4"/>
  <c r="GU77" i="4"/>
  <c r="GT77" i="4"/>
  <c r="GS77" i="4"/>
  <c r="GR77" i="4"/>
  <c r="GQ77" i="4"/>
  <c r="GP77" i="4"/>
  <c r="GO77" i="4"/>
  <c r="GN77" i="4"/>
  <c r="GL77" i="4"/>
  <c r="GK77" i="4"/>
  <c r="GJ77" i="4"/>
  <c r="GI77" i="4"/>
  <c r="GH77" i="4"/>
  <c r="GG77" i="4"/>
  <c r="GF77" i="4"/>
  <c r="GE77" i="4"/>
  <c r="GD77" i="4"/>
  <c r="GC77" i="4"/>
  <c r="GB77" i="4"/>
  <c r="GA77" i="4"/>
  <c r="FZ77" i="4"/>
  <c r="FY77" i="4"/>
  <c r="FX77" i="4"/>
  <c r="FW77" i="4"/>
  <c r="FV77" i="4"/>
  <c r="FU77" i="4"/>
  <c r="FS77" i="4"/>
  <c r="FR77" i="4"/>
  <c r="FQ77" i="4"/>
  <c r="FP77" i="4"/>
  <c r="FO77" i="4"/>
  <c r="FN77" i="4"/>
  <c r="FM77" i="4"/>
  <c r="FL77" i="4"/>
  <c r="FK77" i="4"/>
  <c r="FJ77" i="4"/>
  <c r="FI77" i="4"/>
  <c r="FH77" i="4"/>
  <c r="FG77" i="4"/>
  <c r="FF77" i="4"/>
  <c r="FE77" i="4"/>
  <c r="FD77" i="4"/>
  <c r="FC77" i="4"/>
  <c r="FB77" i="4"/>
  <c r="EZ77" i="4"/>
  <c r="EY77" i="4"/>
  <c r="EX77" i="4"/>
  <c r="EW77" i="4"/>
  <c r="EV77" i="4"/>
  <c r="EU77" i="4"/>
  <c r="ET77" i="4"/>
  <c r="ES77" i="4"/>
  <c r="ER77" i="4"/>
  <c r="EQ77" i="4"/>
  <c r="EP77" i="4"/>
  <c r="EO77" i="4"/>
  <c r="EN77" i="4"/>
  <c r="EM77" i="4"/>
  <c r="EL77" i="4"/>
  <c r="EK77" i="4"/>
  <c r="EJ77" i="4"/>
  <c r="EI77" i="4"/>
  <c r="EG77" i="4"/>
  <c r="EF77" i="4"/>
  <c r="EE77" i="4"/>
  <c r="ED77" i="4"/>
  <c r="EC77" i="4"/>
  <c r="EB77" i="4"/>
  <c r="EA77" i="4"/>
  <c r="DZ77" i="4"/>
  <c r="DY77" i="4"/>
  <c r="DX77" i="4"/>
  <c r="DW77" i="4"/>
  <c r="DV77" i="4"/>
  <c r="DU77" i="4"/>
  <c r="DT77" i="4"/>
  <c r="DS77" i="4"/>
  <c r="DR77" i="4"/>
  <c r="DQ77" i="4"/>
  <c r="DP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D77" i="4"/>
  <c r="C77" i="4"/>
  <c r="B77" i="4"/>
  <c r="A77" i="4"/>
  <c r="IV76" i="4"/>
  <c r="IU76" i="4"/>
  <c r="IT76" i="4"/>
  <c r="IS76" i="4"/>
  <c r="IR76" i="4"/>
  <c r="IQ76" i="4"/>
  <c r="IP76" i="4"/>
  <c r="IO76" i="4"/>
  <c r="IN76" i="4"/>
  <c r="IM76" i="4"/>
  <c r="IL76" i="4"/>
  <c r="IK76" i="4"/>
  <c r="IJ76" i="4"/>
  <c r="II76" i="4"/>
  <c r="IG76" i="4"/>
  <c r="IF76" i="4"/>
  <c r="IE76" i="4"/>
  <c r="ID76" i="4"/>
  <c r="IC76" i="4"/>
  <c r="IB76" i="4"/>
  <c r="IA76" i="4"/>
  <c r="HZ76" i="4"/>
  <c r="HY76" i="4"/>
  <c r="HX76" i="4"/>
  <c r="HW76" i="4"/>
  <c r="HV76" i="4"/>
  <c r="HU76" i="4"/>
  <c r="HT76" i="4"/>
  <c r="HS76" i="4"/>
  <c r="HR76" i="4"/>
  <c r="HQ76" i="4"/>
  <c r="HP76" i="4"/>
  <c r="HN76" i="4"/>
  <c r="HM76" i="4"/>
  <c r="HL76" i="4"/>
  <c r="HK76" i="4"/>
  <c r="HJ76" i="4"/>
  <c r="HI76" i="4"/>
  <c r="HH76" i="4"/>
  <c r="HG76" i="4"/>
  <c r="HF76" i="4"/>
  <c r="HE76" i="4"/>
  <c r="HD76" i="4"/>
  <c r="HC76" i="4"/>
  <c r="HB76" i="4"/>
  <c r="HA76" i="4"/>
  <c r="GZ76" i="4"/>
  <c r="GY76" i="4"/>
  <c r="GX76" i="4"/>
  <c r="GW76" i="4"/>
  <c r="GU76" i="4"/>
  <c r="GT76" i="4"/>
  <c r="GS76" i="4"/>
  <c r="GR76" i="4"/>
  <c r="GQ76" i="4"/>
  <c r="GP76" i="4"/>
  <c r="GO76" i="4"/>
  <c r="GN76" i="4"/>
  <c r="GM76" i="4"/>
  <c r="GL76" i="4"/>
  <c r="GK76" i="4"/>
  <c r="GJ76" i="4"/>
  <c r="GI76" i="4"/>
  <c r="GH76" i="4"/>
  <c r="GG76" i="4"/>
  <c r="GF76" i="4"/>
  <c r="GE76" i="4"/>
  <c r="GD76" i="4"/>
  <c r="GB76" i="4"/>
  <c r="GA76" i="4"/>
  <c r="FZ76" i="4"/>
  <c r="FY76" i="4"/>
  <c r="FX76" i="4"/>
  <c r="FW76" i="4"/>
  <c r="FV76" i="4"/>
  <c r="FU76" i="4"/>
  <c r="FT76" i="4"/>
  <c r="FS76" i="4"/>
  <c r="FR76" i="4"/>
  <c r="FQ76" i="4"/>
  <c r="FP76" i="4"/>
  <c r="FO76" i="4"/>
  <c r="FN76" i="4"/>
  <c r="FM76" i="4"/>
  <c r="FL76" i="4"/>
  <c r="FK76" i="4"/>
  <c r="FI76" i="4"/>
  <c r="FH76" i="4"/>
  <c r="FG76" i="4"/>
  <c r="FF76" i="4"/>
  <c r="FE76" i="4"/>
  <c r="FD76" i="4"/>
  <c r="FC76" i="4"/>
  <c r="FB76" i="4"/>
  <c r="FA76" i="4"/>
  <c r="EZ76" i="4"/>
  <c r="EY76" i="4"/>
  <c r="EX76" i="4"/>
  <c r="EW76" i="4"/>
  <c r="EV76" i="4"/>
  <c r="EU76" i="4"/>
  <c r="ET76" i="4"/>
  <c r="ES76" i="4"/>
  <c r="ER76" i="4"/>
  <c r="EP76" i="4"/>
  <c r="EO76" i="4"/>
  <c r="EN76" i="4"/>
  <c r="EM76" i="4"/>
  <c r="EL76" i="4"/>
  <c r="EK76" i="4"/>
  <c r="EJ76" i="4"/>
  <c r="EI76" i="4"/>
  <c r="EH76" i="4"/>
  <c r="EG76" i="4"/>
  <c r="EF76" i="4"/>
  <c r="EE76" i="4"/>
  <c r="ED76" i="4"/>
  <c r="EC76" i="4"/>
  <c r="EB76" i="4"/>
  <c r="EA76" i="4"/>
  <c r="DZ76" i="4"/>
  <c r="DY76" i="4"/>
  <c r="DW76" i="4"/>
  <c r="DV76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IV75" i="4"/>
  <c r="IU75" i="4"/>
  <c r="IT75" i="4"/>
  <c r="IS75" i="4"/>
  <c r="IR75" i="4"/>
  <c r="IP75" i="4"/>
  <c r="IO75" i="4"/>
  <c r="IN75" i="4"/>
  <c r="IM75" i="4"/>
  <c r="IL75" i="4"/>
  <c r="IK75" i="4"/>
  <c r="IJ75" i="4"/>
  <c r="II75" i="4"/>
  <c r="IH75" i="4"/>
  <c r="IG75" i="4"/>
  <c r="IF75" i="4"/>
  <c r="IE75" i="4"/>
  <c r="ID75" i="4"/>
  <c r="IC75" i="4"/>
  <c r="IB75" i="4"/>
  <c r="IA75" i="4"/>
  <c r="HZ75" i="4"/>
  <c r="HY75" i="4"/>
  <c r="HW75" i="4"/>
  <c r="HV75" i="4"/>
  <c r="HU75" i="4"/>
  <c r="HT75" i="4"/>
  <c r="HS75" i="4"/>
  <c r="HR75" i="4"/>
  <c r="HQ75" i="4"/>
  <c r="HP75" i="4"/>
  <c r="HO75" i="4"/>
  <c r="HN75" i="4"/>
  <c r="HM75" i="4"/>
  <c r="HL75" i="4"/>
  <c r="HK75" i="4"/>
  <c r="HJ75" i="4"/>
  <c r="HI75" i="4"/>
  <c r="HH75" i="4"/>
  <c r="HG75" i="4"/>
  <c r="HF75" i="4"/>
  <c r="HD75" i="4"/>
  <c r="HC75" i="4"/>
  <c r="HB75" i="4"/>
  <c r="HA75" i="4"/>
  <c r="GZ75" i="4"/>
  <c r="GY75" i="4"/>
  <c r="GX75" i="4"/>
  <c r="GW75" i="4"/>
  <c r="GV75" i="4"/>
  <c r="GU75" i="4"/>
  <c r="GT75" i="4"/>
  <c r="GS75" i="4"/>
  <c r="GR75" i="4"/>
  <c r="GQ75" i="4"/>
  <c r="GP75" i="4"/>
  <c r="GO75" i="4"/>
  <c r="GN75" i="4"/>
  <c r="GM75" i="4"/>
  <c r="GK75" i="4"/>
  <c r="GJ75" i="4"/>
  <c r="GI75" i="4"/>
  <c r="GH75" i="4"/>
  <c r="GG75" i="4"/>
  <c r="GF75" i="4"/>
  <c r="GE75" i="4"/>
  <c r="GD75" i="4"/>
  <c r="GC75" i="4"/>
  <c r="GB75" i="4"/>
  <c r="GA75" i="4"/>
  <c r="FZ75" i="4"/>
  <c r="FY75" i="4"/>
  <c r="FX75" i="4"/>
  <c r="FW75" i="4"/>
  <c r="FV75" i="4"/>
  <c r="FU75" i="4"/>
  <c r="FT75" i="4"/>
  <c r="FR75" i="4"/>
  <c r="FQ75" i="4"/>
  <c r="FP75" i="4"/>
  <c r="FO75" i="4"/>
  <c r="FN75" i="4"/>
  <c r="FM75" i="4"/>
  <c r="FL75" i="4"/>
  <c r="FK75" i="4"/>
  <c r="FJ75" i="4"/>
  <c r="FI75" i="4"/>
  <c r="FH75" i="4"/>
  <c r="FG75" i="4"/>
  <c r="FF75" i="4"/>
  <c r="FE75" i="4"/>
  <c r="FD75" i="4"/>
  <c r="FC75" i="4"/>
  <c r="FB75" i="4"/>
  <c r="FA75" i="4"/>
  <c r="EY75" i="4"/>
  <c r="EX75" i="4"/>
  <c r="EW75" i="4"/>
  <c r="EV75" i="4"/>
  <c r="EU75" i="4"/>
  <c r="ET75" i="4"/>
  <c r="ES75" i="4"/>
  <c r="ER75" i="4"/>
  <c r="EQ75" i="4"/>
  <c r="EP75" i="4"/>
  <c r="EO75" i="4"/>
  <c r="EN75" i="4"/>
  <c r="EM75" i="4"/>
  <c r="EL75" i="4"/>
  <c r="EK75" i="4"/>
  <c r="EJ75" i="4"/>
  <c r="EI75" i="4"/>
  <c r="EH75" i="4"/>
  <c r="EF75" i="4"/>
  <c r="EE75" i="4"/>
  <c r="ED75" i="4"/>
  <c r="EC75" i="4"/>
  <c r="EB75" i="4"/>
  <c r="EA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C75" i="4"/>
  <c r="B75" i="4"/>
  <c r="A75" i="4"/>
  <c r="IV74" i="4"/>
  <c r="IU74" i="4"/>
  <c r="IT74" i="4"/>
  <c r="IS74" i="4"/>
  <c r="IR74" i="4"/>
  <c r="IQ74" i="4"/>
  <c r="IP74" i="4"/>
  <c r="IO74" i="4"/>
  <c r="IN74" i="4"/>
  <c r="IM74" i="4"/>
  <c r="IL74" i="4"/>
  <c r="IK74" i="4"/>
  <c r="IJ74" i="4"/>
  <c r="II74" i="4"/>
  <c r="IH74" i="4"/>
  <c r="IF74" i="4"/>
  <c r="IE74" i="4"/>
  <c r="ID74" i="4"/>
  <c r="IC74" i="4"/>
  <c r="IB74" i="4"/>
  <c r="IA74" i="4"/>
  <c r="HZ74" i="4"/>
  <c r="HY74" i="4"/>
  <c r="HX74" i="4"/>
  <c r="HW74" i="4"/>
  <c r="HV74" i="4"/>
  <c r="HU74" i="4"/>
  <c r="HT74" i="4"/>
  <c r="HS74" i="4"/>
  <c r="HR74" i="4"/>
  <c r="HQ74" i="4"/>
  <c r="HP74" i="4"/>
  <c r="HO74" i="4"/>
  <c r="HM74" i="4"/>
  <c r="HL74" i="4"/>
  <c r="HK74" i="4"/>
  <c r="HJ74" i="4"/>
  <c r="HI74" i="4"/>
  <c r="HH74" i="4"/>
  <c r="HG74" i="4"/>
  <c r="HF74" i="4"/>
  <c r="HE74" i="4"/>
  <c r="HD74" i="4"/>
  <c r="HC74" i="4"/>
  <c r="HB74" i="4"/>
  <c r="HA74" i="4"/>
  <c r="GZ74" i="4"/>
  <c r="GY74" i="4"/>
  <c r="GX74" i="4"/>
  <c r="GW74" i="4"/>
  <c r="GV74" i="4"/>
  <c r="GT74" i="4"/>
  <c r="GS74" i="4"/>
  <c r="GR74" i="4"/>
  <c r="GQ74" i="4"/>
  <c r="GP74" i="4"/>
  <c r="GO74" i="4"/>
  <c r="GN74" i="4"/>
  <c r="GM74" i="4"/>
  <c r="GL74" i="4"/>
  <c r="GK74" i="4"/>
  <c r="GJ74" i="4"/>
  <c r="GI74" i="4"/>
  <c r="GH74" i="4"/>
  <c r="GG74" i="4"/>
  <c r="GF74" i="4"/>
  <c r="GE74" i="4"/>
  <c r="GD74" i="4"/>
  <c r="GC74" i="4"/>
  <c r="GA74" i="4"/>
  <c r="FZ74" i="4"/>
  <c r="FY74" i="4"/>
  <c r="FX74" i="4"/>
  <c r="FW74" i="4"/>
  <c r="FV74" i="4"/>
  <c r="FU74" i="4"/>
  <c r="FT74" i="4"/>
  <c r="FS74" i="4"/>
  <c r="FR74" i="4"/>
  <c r="FQ74" i="4"/>
  <c r="FP74" i="4"/>
  <c r="FO74" i="4"/>
  <c r="FN74" i="4"/>
  <c r="FM74" i="4"/>
  <c r="FL74" i="4"/>
  <c r="FK74" i="4"/>
  <c r="FJ74" i="4"/>
  <c r="FH74" i="4"/>
  <c r="FG74" i="4"/>
  <c r="FF74" i="4"/>
  <c r="FE74" i="4"/>
  <c r="FD74" i="4"/>
  <c r="FC74" i="4"/>
  <c r="FB74" i="4"/>
  <c r="FA74" i="4"/>
  <c r="EZ74" i="4"/>
  <c r="EY74" i="4"/>
  <c r="EX74" i="4"/>
  <c r="EW74" i="4"/>
  <c r="EV74" i="4"/>
  <c r="EU74" i="4"/>
  <c r="ET74" i="4"/>
  <c r="ES74" i="4"/>
  <c r="ER74" i="4"/>
  <c r="EQ74" i="4"/>
  <c r="EO74" i="4"/>
  <c r="EN74" i="4"/>
  <c r="EM74" i="4"/>
  <c r="EL74" i="4"/>
  <c r="EK74" i="4"/>
  <c r="EJ74" i="4"/>
  <c r="EI74" i="4"/>
  <c r="EH74" i="4"/>
  <c r="EG74" i="4"/>
  <c r="EF74" i="4"/>
  <c r="EE74" i="4"/>
  <c r="ED74" i="4"/>
  <c r="EC74" i="4"/>
  <c r="EB74" i="4"/>
  <c r="EA74" i="4"/>
  <c r="DZ74" i="4"/>
  <c r="DY74" i="4"/>
  <c r="DX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L74" i="4"/>
  <c r="K74" i="4"/>
  <c r="J74" i="4"/>
  <c r="I74" i="4"/>
  <c r="H74" i="4"/>
  <c r="G74" i="4"/>
  <c r="F74" i="4"/>
  <c r="E74" i="4"/>
  <c r="D74" i="4"/>
  <c r="C74" i="4"/>
  <c r="B74" i="4"/>
  <c r="A74" i="4"/>
  <c r="IV73" i="4"/>
  <c r="IU73" i="4"/>
  <c r="IT73" i="4"/>
  <c r="IS73" i="4"/>
  <c r="IR73" i="4"/>
  <c r="IQ73" i="4"/>
  <c r="IO73" i="4"/>
  <c r="IN73" i="4"/>
  <c r="IM73" i="4"/>
  <c r="IL73" i="4"/>
  <c r="IK73" i="4"/>
  <c r="IJ73" i="4"/>
  <c r="II73" i="4"/>
  <c r="IH73" i="4"/>
  <c r="IG73" i="4"/>
  <c r="IF73" i="4"/>
  <c r="IE73" i="4"/>
  <c r="ID73" i="4"/>
  <c r="IC73" i="4"/>
  <c r="IB73" i="4"/>
  <c r="IA73" i="4"/>
  <c r="HZ73" i="4"/>
  <c r="HY73" i="4"/>
  <c r="HX73" i="4"/>
  <c r="HV73" i="4"/>
  <c r="HU73" i="4"/>
  <c r="HT73" i="4"/>
  <c r="HS73" i="4"/>
  <c r="HR73" i="4"/>
  <c r="HQ73" i="4"/>
  <c r="HP73" i="4"/>
  <c r="HO73" i="4"/>
  <c r="HN73" i="4"/>
  <c r="HM73" i="4"/>
  <c r="HL73" i="4"/>
  <c r="HK73" i="4"/>
  <c r="HJ73" i="4"/>
  <c r="HI73" i="4"/>
  <c r="HH73" i="4"/>
  <c r="HG73" i="4"/>
  <c r="HF73" i="4"/>
  <c r="HE73" i="4"/>
  <c r="HC73" i="4"/>
  <c r="HB73" i="4"/>
  <c r="HA73" i="4"/>
  <c r="GZ73" i="4"/>
  <c r="GY73" i="4"/>
  <c r="GX73" i="4"/>
  <c r="GW73" i="4"/>
  <c r="GV73" i="4"/>
  <c r="GU73" i="4"/>
  <c r="GT73" i="4"/>
  <c r="GS73" i="4"/>
  <c r="GR73" i="4"/>
  <c r="GQ73" i="4"/>
  <c r="GP73" i="4"/>
  <c r="GO73" i="4"/>
  <c r="GN73" i="4"/>
  <c r="GM73" i="4"/>
  <c r="GL73" i="4"/>
  <c r="GJ73" i="4"/>
  <c r="GI73" i="4"/>
  <c r="GH73" i="4"/>
  <c r="GG73" i="4"/>
  <c r="GF73" i="4"/>
  <c r="GE73" i="4"/>
  <c r="GD73" i="4"/>
  <c r="GC73" i="4"/>
  <c r="GB73" i="4"/>
  <c r="GA73" i="4"/>
  <c r="FZ73" i="4"/>
  <c r="FY73" i="4"/>
  <c r="FX73" i="4"/>
  <c r="FW73" i="4"/>
  <c r="FV73" i="4"/>
  <c r="FU73" i="4"/>
  <c r="FT73" i="4"/>
  <c r="FS73" i="4"/>
  <c r="FQ73" i="4"/>
  <c r="FP73" i="4"/>
  <c r="FO73" i="4"/>
  <c r="FN73" i="4"/>
  <c r="FM73" i="4"/>
  <c r="FL73" i="4"/>
  <c r="FK73" i="4"/>
  <c r="FJ73" i="4"/>
  <c r="FI73" i="4"/>
  <c r="FH73" i="4"/>
  <c r="FG73" i="4"/>
  <c r="FF73" i="4"/>
  <c r="FE73" i="4"/>
  <c r="FD73" i="4"/>
  <c r="FC73" i="4"/>
  <c r="FB73" i="4"/>
  <c r="FA73" i="4"/>
  <c r="EZ73" i="4"/>
  <c r="EX73" i="4"/>
  <c r="EW73" i="4"/>
  <c r="EV73" i="4"/>
  <c r="EU73" i="4"/>
  <c r="ET73" i="4"/>
  <c r="ES73" i="4"/>
  <c r="ER73" i="4"/>
  <c r="EQ73" i="4"/>
  <c r="EP73" i="4"/>
  <c r="EO73" i="4"/>
  <c r="EN73" i="4"/>
  <c r="EM73" i="4"/>
  <c r="EL73" i="4"/>
  <c r="EK73" i="4"/>
  <c r="EJ73" i="4"/>
  <c r="EI73" i="4"/>
  <c r="EH73" i="4"/>
  <c r="EG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B73" i="4"/>
  <c r="A73" i="4"/>
  <c r="IV72" i="4"/>
  <c r="IU72" i="4"/>
  <c r="IT72" i="4"/>
  <c r="IS72" i="4"/>
  <c r="IR72" i="4"/>
  <c r="IQ72" i="4"/>
  <c r="IP72" i="4"/>
  <c r="IO72" i="4"/>
  <c r="IN72" i="4"/>
  <c r="IM72" i="4"/>
  <c r="IL72" i="4"/>
  <c r="IK72" i="4"/>
  <c r="IJ72" i="4"/>
  <c r="II72" i="4"/>
  <c r="IH72" i="4"/>
  <c r="IG72" i="4"/>
  <c r="IE72" i="4"/>
  <c r="ID72" i="4"/>
  <c r="IC72" i="4"/>
  <c r="IB72" i="4"/>
  <c r="IA72" i="4"/>
  <c r="HZ72" i="4"/>
  <c r="HY72" i="4"/>
  <c r="HX72" i="4"/>
  <c r="HW72" i="4"/>
  <c r="HV72" i="4"/>
  <c r="HU72" i="4"/>
  <c r="HT72" i="4"/>
  <c r="HS72" i="4"/>
  <c r="HR72" i="4"/>
  <c r="HQ72" i="4"/>
  <c r="HP72" i="4"/>
  <c r="HO72" i="4"/>
  <c r="HN72" i="4"/>
  <c r="HL72" i="4"/>
  <c r="HK72" i="4"/>
  <c r="HJ72" i="4"/>
  <c r="HI72" i="4"/>
  <c r="HH72" i="4"/>
  <c r="HG72" i="4"/>
  <c r="HF72" i="4"/>
  <c r="HE72" i="4"/>
  <c r="HD72" i="4"/>
  <c r="HC72" i="4"/>
  <c r="HB72" i="4"/>
  <c r="HA72" i="4"/>
  <c r="GZ72" i="4"/>
  <c r="GY72" i="4"/>
  <c r="GX72" i="4"/>
  <c r="GW72" i="4"/>
  <c r="GV72" i="4"/>
  <c r="GU72" i="4"/>
  <c r="GS72" i="4"/>
  <c r="GR72" i="4"/>
  <c r="GQ72" i="4"/>
  <c r="GP72" i="4"/>
  <c r="GO72" i="4"/>
  <c r="GN72" i="4"/>
  <c r="GM72" i="4"/>
  <c r="GL72" i="4"/>
  <c r="GK72" i="4"/>
  <c r="GJ72" i="4"/>
  <c r="GI72" i="4"/>
  <c r="GH72" i="4"/>
  <c r="GG72" i="4"/>
  <c r="GF72" i="4"/>
  <c r="GE72" i="4"/>
  <c r="GD72" i="4"/>
  <c r="GC72" i="4"/>
  <c r="GB72" i="4"/>
  <c r="FZ72" i="4"/>
  <c r="FY72" i="4"/>
  <c r="FX72" i="4"/>
  <c r="FW72" i="4"/>
  <c r="FV72" i="4"/>
  <c r="FU72" i="4"/>
  <c r="FT72" i="4"/>
  <c r="FS72" i="4"/>
  <c r="FR72" i="4"/>
  <c r="FQ72" i="4"/>
  <c r="FP72" i="4"/>
  <c r="FO72" i="4"/>
  <c r="FN72" i="4"/>
  <c r="FM72" i="4"/>
  <c r="FL72" i="4"/>
  <c r="FK72" i="4"/>
  <c r="FJ72" i="4"/>
  <c r="FI72" i="4"/>
  <c r="FG72" i="4"/>
  <c r="FF72" i="4"/>
  <c r="FE72" i="4"/>
  <c r="FD72" i="4"/>
  <c r="FC72" i="4"/>
  <c r="FB72" i="4"/>
  <c r="FA72" i="4"/>
  <c r="EZ72" i="4"/>
  <c r="EY72" i="4"/>
  <c r="EX72" i="4"/>
  <c r="EW72" i="4"/>
  <c r="EV72" i="4"/>
  <c r="EU72" i="4"/>
  <c r="ET72" i="4"/>
  <c r="ES72" i="4"/>
  <c r="ER72" i="4"/>
  <c r="EQ72" i="4"/>
  <c r="EP72" i="4"/>
  <c r="EN72" i="4"/>
  <c r="EM72" i="4"/>
  <c r="EL72" i="4"/>
  <c r="EK72" i="4"/>
  <c r="EJ72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K72" i="4"/>
  <c r="J72" i="4"/>
  <c r="I72" i="4"/>
  <c r="H72" i="4"/>
  <c r="G72" i="4"/>
  <c r="F72" i="4"/>
  <c r="E72" i="4"/>
  <c r="D72" i="4"/>
  <c r="C72" i="4"/>
  <c r="B72" i="4"/>
  <c r="A72" i="4"/>
  <c r="IV71" i="4"/>
  <c r="IU71" i="4"/>
  <c r="IT71" i="4"/>
  <c r="IS71" i="4"/>
  <c r="IR71" i="4"/>
  <c r="IQ71" i="4"/>
  <c r="IP71" i="4"/>
  <c r="IN71" i="4"/>
  <c r="IM71" i="4"/>
  <c r="IL71" i="4"/>
  <c r="IK71" i="4"/>
  <c r="IJ71" i="4"/>
  <c r="II71" i="4"/>
  <c r="IH71" i="4"/>
  <c r="IG71" i="4"/>
  <c r="IF71" i="4"/>
  <c r="IE71" i="4"/>
  <c r="ID71" i="4"/>
  <c r="IC71" i="4"/>
  <c r="IB71" i="4"/>
  <c r="IA71" i="4"/>
  <c r="HZ71" i="4"/>
  <c r="HY71" i="4"/>
  <c r="HX71" i="4"/>
  <c r="HW71" i="4"/>
  <c r="HU71" i="4"/>
  <c r="HT71" i="4"/>
  <c r="HS71" i="4"/>
  <c r="HR71" i="4"/>
  <c r="HQ71" i="4"/>
  <c r="HP71" i="4"/>
  <c r="HO71" i="4"/>
  <c r="HN71" i="4"/>
  <c r="HM71" i="4"/>
  <c r="HL71" i="4"/>
  <c r="HK71" i="4"/>
  <c r="HJ71" i="4"/>
  <c r="HI71" i="4"/>
  <c r="HH71" i="4"/>
  <c r="HG71" i="4"/>
  <c r="HF71" i="4"/>
  <c r="HE71" i="4"/>
  <c r="HD71" i="4"/>
  <c r="HB71" i="4"/>
  <c r="HA71" i="4"/>
  <c r="GZ71" i="4"/>
  <c r="GY71" i="4"/>
  <c r="GX71" i="4"/>
  <c r="GW71" i="4"/>
  <c r="GV71" i="4"/>
  <c r="GU71" i="4"/>
  <c r="GT71" i="4"/>
  <c r="GS71" i="4"/>
  <c r="GR71" i="4"/>
  <c r="GQ71" i="4"/>
  <c r="GP71" i="4"/>
  <c r="GO71" i="4"/>
  <c r="GN71" i="4"/>
  <c r="GM71" i="4"/>
  <c r="GL71" i="4"/>
  <c r="GK71" i="4"/>
  <c r="GI71" i="4"/>
  <c r="GH71" i="4"/>
  <c r="GG71" i="4"/>
  <c r="GF71" i="4"/>
  <c r="GE71" i="4"/>
  <c r="GD71" i="4"/>
  <c r="GC71" i="4"/>
  <c r="GB71" i="4"/>
  <c r="GA71" i="4"/>
  <c r="FZ71" i="4"/>
  <c r="FY71" i="4"/>
  <c r="FX71" i="4"/>
  <c r="FW71" i="4"/>
  <c r="FV71" i="4"/>
  <c r="FU71" i="4"/>
  <c r="FT71" i="4"/>
  <c r="FS71" i="4"/>
  <c r="FR71" i="4"/>
  <c r="FP71" i="4"/>
  <c r="FO71" i="4"/>
  <c r="FN71" i="4"/>
  <c r="FM71" i="4"/>
  <c r="FL71" i="4"/>
  <c r="FK71" i="4"/>
  <c r="FJ71" i="4"/>
  <c r="FI71" i="4"/>
  <c r="FH71" i="4"/>
  <c r="FG71" i="4"/>
  <c r="FF71" i="4"/>
  <c r="FE71" i="4"/>
  <c r="FD71" i="4"/>
  <c r="FC71" i="4"/>
  <c r="FB71" i="4"/>
  <c r="FA71" i="4"/>
  <c r="EZ71" i="4"/>
  <c r="EY71" i="4"/>
  <c r="EW71" i="4"/>
  <c r="EV71" i="4"/>
  <c r="EU71" i="4"/>
  <c r="ET71" i="4"/>
  <c r="ES71" i="4"/>
  <c r="ER71" i="4"/>
  <c r="EQ71" i="4"/>
  <c r="EP71" i="4"/>
  <c r="EO71" i="4"/>
  <c r="EN71" i="4"/>
  <c r="EM71" i="4"/>
  <c r="EL71" i="4"/>
  <c r="EK71" i="4"/>
  <c r="EJ71" i="4"/>
  <c r="EI71" i="4"/>
  <c r="EH71" i="4"/>
  <c r="EG71" i="4"/>
  <c r="EF71" i="4"/>
  <c r="ED71" i="4"/>
  <c r="EC71" i="4"/>
  <c r="EB71" i="4"/>
  <c r="EA71" i="4"/>
  <c r="DZ71" i="4"/>
  <c r="DY71" i="4"/>
  <c r="DX71" i="4"/>
  <c r="DW71" i="4"/>
  <c r="DV71" i="4"/>
  <c r="DU71" i="4"/>
  <c r="DT71" i="4"/>
  <c r="DS71" i="4"/>
  <c r="DR71" i="4"/>
  <c r="DQ71" i="4"/>
  <c r="DP71" i="4"/>
  <c r="DO71" i="4"/>
  <c r="DN71" i="4"/>
  <c r="DM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A71" i="4"/>
  <c r="IV70" i="4"/>
  <c r="IU70" i="4"/>
  <c r="IT70" i="4"/>
  <c r="IS70" i="4"/>
  <c r="IR70" i="4"/>
  <c r="IQ70" i="4"/>
  <c r="IP70" i="4"/>
  <c r="IO70" i="4"/>
  <c r="IN70" i="4"/>
  <c r="IM70" i="4"/>
  <c r="IL70" i="4"/>
  <c r="IK70" i="4"/>
  <c r="IJ70" i="4"/>
  <c r="II70" i="4"/>
  <c r="IH70" i="4"/>
  <c r="IG70" i="4"/>
  <c r="IF70" i="4"/>
  <c r="ID70" i="4"/>
  <c r="IC70" i="4"/>
  <c r="IB70" i="4"/>
  <c r="IA70" i="4"/>
  <c r="HZ70" i="4"/>
  <c r="HY70" i="4"/>
  <c r="HX70" i="4"/>
  <c r="HW70" i="4"/>
  <c r="HV70" i="4"/>
  <c r="HU70" i="4"/>
  <c r="HT70" i="4"/>
  <c r="HS70" i="4"/>
  <c r="HR70" i="4"/>
  <c r="HQ70" i="4"/>
  <c r="HP70" i="4"/>
  <c r="HO70" i="4"/>
  <c r="HN70" i="4"/>
  <c r="HM70" i="4"/>
  <c r="HK70" i="4"/>
  <c r="HJ70" i="4"/>
  <c r="HI70" i="4"/>
  <c r="HH70" i="4"/>
  <c r="HG70" i="4"/>
  <c r="HF70" i="4"/>
  <c r="HE70" i="4"/>
  <c r="HD70" i="4"/>
  <c r="HC70" i="4"/>
  <c r="HB70" i="4"/>
  <c r="HA70" i="4"/>
  <c r="GZ70" i="4"/>
  <c r="GY70" i="4"/>
  <c r="GX70" i="4"/>
  <c r="GW70" i="4"/>
  <c r="GV70" i="4"/>
  <c r="GU70" i="4"/>
  <c r="GT70" i="4"/>
  <c r="GR70" i="4"/>
  <c r="GQ70" i="4"/>
  <c r="GP70" i="4"/>
  <c r="GO70" i="4"/>
  <c r="GN70" i="4"/>
  <c r="GM70" i="4"/>
  <c r="GL70" i="4"/>
  <c r="GK70" i="4"/>
  <c r="GJ70" i="4"/>
  <c r="GI70" i="4"/>
  <c r="GH70" i="4"/>
  <c r="GG70" i="4"/>
  <c r="GF70" i="4"/>
  <c r="GE70" i="4"/>
  <c r="GD70" i="4"/>
  <c r="GC70" i="4"/>
  <c r="GB70" i="4"/>
  <c r="GA70" i="4"/>
  <c r="FY70" i="4"/>
  <c r="FX70" i="4"/>
  <c r="FW70" i="4"/>
  <c r="FV70" i="4"/>
  <c r="FU70" i="4"/>
  <c r="FT70" i="4"/>
  <c r="FS70" i="4"/>
  <c r="FR70" i="4"/>
  <c r="FQ70" i="4"/>
  <c r="FP70" i="4"/>
  <c r="FO70" i="4"/>
  <c r="FN70" i="4"/>
  <c r="FM70" i="4"/>
  <c r="FL70" i="4"/>
  <c r="FK70" i="4"/>
  <c r="FJ70" i="4"/>
  <c r="FI70" i="4"/>
  <c r="FH70" i="4"/>
  <c r="FF70" i="4"/>
  <c r="FE70" i="4"/>
  <c r="FD70" i="4"/>
  <c r="FC70" i="4"/>
  <c r="FB70" i="4"/>
  <c r="FA70" i="4"/>
  <c r="EZ70" i="4"/>
  <c r="EY70" i="4"/>
  <c r="EX70" i="4"/>
  <c r="EW70" i="4"/>
  <c r="EV70" i="4"/>
  <c r="EU70" i="4"/>
  <c r="ET70" i="4"/>
  <c r="ES70" i="4"/>
  <c r="ER70" i="4"/>
  <c r="EQ70" i="4"/>
  <c r="EP70" i="4"/>
  <c r="EO70" i="4"/>
  <c r="EM70" i="4"/>
  <c r="EL70" i="4"/>
  <c r="EK70" i="4"/>
  <c r="EJ70" i="4"/>
  <c r="EI70" i="4"/>
  <c r="EH70" i="4"/>
  <c r="EG70" i="4"/>
  <c r="EF70" i="4"/>
  <c r="EE70" i="4"/>
  <c r="ED70" i="4"/>
  <c r="EC70" i="4"/>
  <c r="EB70" i="4"/>
  <c r="EA70" i="4"/>
  <c r="DZ70" i="4"/>
  <c r="DY70" i="4"/>
  <c r="DX70" i="4"/>
  <c r="DW70" i="4"/>
  <c r="DV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J70" i="4"/>
  <c r="I70" i="4"/>
  <c r="H70" i="4"/>
  <c r="G70" i="4"/>
  <c r="F70" i="4"/>
  <c r="E70" i="4"/>
  <c r="D70" i="4"/>
  <c r="C70" i="4"/>
  <c r="B70" i="4"/>
  <c r="A70" i="4"/>
  <c r="IV69" i="4"/>
  <c r="IU69" i="4"/>
  <c r="IT69" i="4"/>
  <c r="IS69" i="4"/>
  <c r="IR69" i="4"/>
  <c r="IQ69" i="4"/>
  <c r="IP69" i="4"/>
  <c r="IO69" i="4"/>
  <c r="IM69" i="4"/>
  <c r="IL69" i="4"/>
  <c r="IK69" i="4"/>
  <c r="IJ69" i="4"/>
  <c r="II69" i="4"/>
  <c r="IH69" i="4"/>
  <c r="IG69" i="4"/>
  <c r="IF69" i="4"/>
  <c r="IE69" i="4"/>
  <c r="ID69" i="4"/>
  <c r="IC69" i="4"/>
  <c r="IB69" i="4"/>
  <c r="IA69" i="4"/>
  <c r="HZ69" i="4"/>
  <c r="HY69" i="4"/>
  <c r="HX69" i="4"/>
  <c r="HW69" i="4"/>
  <c r="HV69" i="4"/>
  <c r="HT69" i="4"/>
  <c r="HS69" i="4"/>
  <c r="HR69" i="4"/>
  <c r="HQ69" i="4"/>
  <c r="HP69" i="4"/>
  <c r="HO69" i="4"/>
  <c r="HN69" i="4"/>
  <c r="HM69" i="4"/>
  <c r="HL69" i="4"/>
  <c r="HK69" i="4"/>
  <c r="HJ69" i="4"/>
  <c r="HI69" i="4"/>
  <c r="HH69" i="4"/>
  <c r="HG69" i="4"/>
  <c r="HF69" i="4"/>
  <c r="HE69" i="4"/>
  <c r="HD69" i="4"/>
  <c r="HC69" i="4"/>
  <c r="HA69" i="4"/>
  <c r="GZ69" i="4"/>
  <c r="GY69" i="4"/>
  <c r="GX69" i="4"/>
  <c r="GW69" i="4"/>
  <c r="GV69" i="4"/>
  <c r="GU69" i="4"/>
  <c r="GT69" i="4"/>
  <c r="GS69" i="4"/>
  <c r="GR69" i="4"/>
  <c r="GQ69" i="4"/>
  <c r="GP69" i="4"/>
  <c r="GO69" i="4"/>
  <c r="GN69" i="4"/>
  <c r="GM69" i="4"/>
  <c r="GL69" i="4"/>
  <c r="GK69" i="4"/>
  <c r="GJ69" i="4"/>
  <c r="GH69" i="4"/>
  <c r="GG69" i="4"/>
  <c r="GF69" i="4"/>
  <c r="GE69" i="4"/>
  <c r="GD69" i="4"/>
  <c r="GC69" i="4"/>
  <c r="GB69" i="4"/>
  <c r="GA69" i="4"/>
  <c r="FZ69" i="4"/>
  <c r="FY69" i="4"/>
  <c r="FX69" i="4"/>
  <c r="FW69" i="4"/>
  <c r="FV69" i="4"/>
  <c r="FU69" i="4"/>
  <c r="FT69" i="4"/>
  <c r="FS69" i="4"/>
  <c r="FR69" i="4"/>
  <c r="FQ69" i="4"/>
  <c r="FO69" i="4"/>
  <c r="FN69" i="4"/>
  <c r="FM69" i="4"/>
  <c r="FL69" i="4"/>
  <c r="FK69" i="4"/>
  <c r="FJ69" i="4"/>
  <c r="FI69" i="4"/>
  <c r="FH69" i="4"/>
  <c r="FG69" i="4"/>
  <c r="FF69" i="4"/>
  <c r="FE69" i="4"/>
  <c r="FD69" i="4"/>
  <c r="FC69" i="4"/>
  <c r="FB69" i="4"/>
  <c r="FA69" i="4"/>
  <c r="EZ69" i="4"/>
  <c r="EY69" i="4"/>
  <c r="EX69" i="4"/>
  <c r="EV69" i="4"/>
  <c r="EU69" i="4"/>
  <c r="ET69" i="4"/>
  <c r="ES69" i="4"/>
  <c r="ER69" i="4"/>
  <c r="EQ69" i="4"/>
  <c r="EP69" i="4"/>
  <c r="EO69" i="4"/>
  <c r="EN69" i="4"/>
  <c r="EM69" i="4"/>
  <c r="EL69" i="4"/>
  <c r="EK69" i="4"/>
  <c r="EJ69" i="4"/>
  <c r="EI69" i="4"/>
  <c r="EH69" i="4"/>
  <c r="EG69" i="4"/>
  <c r="EF69" i="4"/>
  <c r="EE69" i="4"/>
  <c r="EC69" i="4"/>
  <c r="EB69" i="4"/>
  <c r="EA69" i="4"/>
  <c r="DZ69" i="4"/>
  <c r="DY69" i="4"/>
  <c r="DX69" i="4"/>
  <c r="DW69" i="4"/>
  <c r="DV69" i="4"/>
  <c r="DU69" i="4"/>
  <c r="DT69" i="4"/>
  <c r="DS69" i="4"/>
  <c r="DR69" i="4"/>
  <c r="DQ69" i="4"/>
  <c r="DP69" i="4"/>
  <c r="DO69" i="4"/>
  <c r="DN69" i="4"/>
  <c r="DM69" i="4"/>
  <c r="DL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IV68" i="4"/>
  <c r="IU68" i="4"/>
  <c r="IT68" i="4"/>
  <c r="IS68" i="4"/>
  <c r="IR68" i="4"/>
  <c r="IQ68" i="4"/>
  <c r="IP68" i="4"/>
  <c r="IO68" i="4"/>
  <c r="IN68" i="4"/>
  <c r="IM68" i="4"/>
  <c r="IL68" i="4"/>
  <c r="IK68" i="4"/>
  <c r="IJ68" i="4"/>
  <c r="II68" i="4"/>
  <c r="IH68" i="4"/>
  <c r="IG68" i="4"/>
  <c r="IF68" i="4"/>
  <c r="IE68" i="4"/>
  <c r="IC68" i="4"/>
  <c r="IB68" i="4"/>
  <c r="IA68" i="4"/>
  <c r="HZ68" i="4"/>
  <c r="HY68" i="4"/>
  <c r="HX68" i="4"/>
  <c r="HW68" i="4"/>
  <c r="HV68" i="4"/>
  <c r="HU68" i="4"/>
  <c r="HT68" i="4"/>
  <c r="HS68" i="4"/>
  <c r="HR68" i="4"/>
  <c r="HQ68" i="4"/>
  <c r="HP68" i="4"/>
  <c r="HO68" i="4"/>
  <c r="HN68" i="4"/>
  <c r="HM68" i="4"/>
  <c r="HL68" i="4"/>
  <c r="HJ68" i="4"/>
  <c r="HI68" i="4"/>
  <c r="HH68" i="4"/>
  <c r="HG68" i="4"/>
  <c r="HF68" i="4"/>
  <c r="HE68" i="4"/>
  <c r="HD68" i="4"/>
  <c r="HC68" i="4"/>
  <c r="HB68" i="4"/>
  <c r="HA68" i="4"/>
  <c r="GZ68" i="4"/>
  <c r="GY68" i="4"/>
  <c r="GX68" i="4"/>
  <c r="GW68" i="4"/>
  <c r="GV68" i="4"/>
  <c r="GU68" i="4"/>
  <c r="GT68" i="4"/>
  <c r="GS68" i="4"/>
  <c r="GQ68" i="4"/>
  <c r="GP68" i="4"/>
  <c r="GO68" i="4"/>
  <c r="GN68" i="4"/>
  <c r="GM68" i="4"/>
  <c r="GL68" i="4"/>
  <c r="GK68" i="4"/>
  <c r="GJ68" i="4"/>
  <c r="GI68" i="4"/>
  <c r="GH68" i="4"/>
  <c r="GG68" i="4"/>
  <c r="GF68" i="4"/>
  <c r="GE68" i="4"/>
  <c r="GD68" i="4"/>
  <c r="GC68" i="4"/>
  <c r="GB68" i="4"/>
  <c r="GA68" i="4"/>
  <c r="FZ68" i="4"/>
  <c r="FX68" i="4"/>
  <c r="FW68" i="4"/>
  <c r="FV68" i="4"/>
  <c r="FU68" i="4"/>
  <c r="FT68" i="4"/>
  <c r="FS68" i="4"/>
  <c r="FR68" i="4"/>
  <c r="FQ68" i="4"/>
  <c r="FP68" i="4"/>
  <c r="FO68" i="4"/>
  <c r="FN68" i="4"/>
  <c r="FM68" i="4"/>
  <c r="FL68" i="4"/>
  <c r="FK68" i="4"/>
  <c r="FJ68" i="4"/>
  <c r="FI68" i="4"/>
  <c r="FH68" i="4"/>
  <c r="FG68" i="4"/>
  <c r="FE68" i="4"/>
  <c r="FD68" i="4"/>
  <c r="FC68" i="4"/>
  <c r="FB68" i="4"/>
  <c r="FA68" i="4"/>
  <c r="EZ68" i="4"/>
  <c r="EY68" i="4"/>
  <c r="EX68" i="4"/>
  <c r="EW68" i="4"/>
  <c r="EV68" i="4"/>
  <c r="EU68" i="4"/>
  <c r="ET68" i="4"/>
  <c r="ES68" i="4"/>
  <c r="ER68" i="4"/>
  <c r="EQ68" i="4"/>
  <c r="EP68" i="4"/>
  <c r="EO68" i="4"/>
  <c r="EN68" i="4"/>
  <c r="EL68" i="4"/>
  <c r="EK68" i="4"/>
  <c r="EJ68" i="4"/>
  <c r="EI68" i="4"/>
  <c r="EH68" i="4"/>
  <c r="EG68" i="4"/>
  <c r="EF68" i="4"/>
  <c r="EE68" i="4"/>
  <c r="ED68" i="4"/>
  <c r="EC68" i="4"/>
  <c r="EB68" i="4"/>
  <c r="EA68" i="4"/>
  <c r="DZ68" i="4"/>
  <c r="DY68" i="4"/>
  <c r="DX68" i="4"/>
  <c r="DW68" i="4"/>
  <c r="DV68" i="4"/>
  <c r="DU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I68" i="4"/>
  <c r="H68" i="4"/>
  <c r="G68" i="4"/>
  <c r="F68" i="4"/>
  <c r="E68" i="4"/>
  <c r="D68" i="4"/>
  <c r="C68" i="4"/>
  <c r="B68" i="4"/>
  <c r="A68" i="4"/>
  <c r="IV67" i="4"/>
  <c r="IU67" i="4"/>
  <c r="IT67" i="4"/>
  <c r="IS67" i="4"/>
  <c r="IR67" i="4"/>
  <c r="IQ67" i="4"/>
  <c r="IP67" i="4"/>
  <c r="IO67" i="4"/>
  <c r="IN67" i="4"/>
  <c r="IL67" i="4"/>
  <c r="IK67" i="4"/>
  <c r="IJ67" i="4"/>
  <c r="II67" i="4"/>
  <c r="IH67" i="4"/>
  <c r="IG67" i="4"/>
  <c r="IF67" i="4"/>
  <c r="IE67" i="4"/>
  <c r="ID67" i="4"/>
  <c r="IC67" i="4"/>
  <c r="IB67" i="4"/>
  <c r="IA67" i="4"/>
  <c r="HZ67" i="4"/>
  <c r="HY67" i="4"/>
  <c r="HX67" i="4"/>
  <c r="HW67" i="4"/>
  <c r="HV67" i="4"/>
  <c r="HU67" i="4"/>
  <c r="HS67" i="4"/>
  <c r="HR67" i="4"/>
  <c r="HQ67" i="4"/>
  <c r="HP67" i="4"/>
  <c r="HO67" i="4"/>
  <c r="HN67" i="4"/>
  <c r="HM67" i="4"/>
  <c r="HL67" i="4"/>
  <c r="HK67" i="4"/>
  <c r="HJ67" i="4"/>
  <c r="HI67" i="4"/>
  <c r="HH67" i="4"/>
  <c r="HG67" i="4"/>
  <c r="HF67" i="4"/>
  <c r="HE67" i="4"/>
  <c r="HD67" i="4"/>
  <c r="HC67" i="4"/>
  <c r="HB67" i="4"/>
  <c r="GZ67" i="4"/>
  <c r="GY67" i="4"/>
  <c r="GX67" i="4"/>
  <c r="GW67" i="4"/>
  <c r="GV67" i="4"/>
  <c r="GU67" i="4"/>
  <c r="GT67" i="4"/>
  <c r="GS67" i="4"/>
  <c r="GR67" i="4"/>
  <c r="GQ67" i="4"/>
  <c r="GP67" i="4"/>
  <c r="GO67" i="4"/>
  <c r="GN67" i="4"/>
  <c r="GM67" i="4"/>
  <c r="GL67" i="4"/>
  <c r="GK67" i="4"/>
  <c r="GJ67" i="4"/>
  <c r="GI67" i="4"/>
  <c r="GG67" i="4"/>
  <c r="GF67" i="4"/>
  <c r="GE67" i="4"/>
  <c r="GD67" i="4"/>
  <c r="GC67" i="4"/>
  <c r="GB67" i="4"/>
  <c r="GA67" i="4"/>
  <c r="FZ67" i="4"/>
  <c r="FY67" i="4"/>
  <c r="FX67" i="4"/>
  <c r="FW67" i="4"/>
  <c r="FV67" i="4"/>
  <c r="FU67" i="4"/>
  <c r="FT67" i="4"/>
  <c r="FS67" i="4"/>
  <c r="FR67" i="4"/>
  <c r="FQ67" i="4"/>
  <c r="FP67" i="4"/>
  <c r="FN67" i="4"/>
  <c r="FM67" i="4"/>
  <c r="FL67" i="4"/>
  <c r="FK67" i="4"/>
  <c r="FJ67" i="4"/>
  <c r="FI67" i="4"/>
  <c r="FH67" i="4"/>
  <c r="FG67" i="4"/>
  <c r="FF67" i="4"/>
  <c r="FE67" i="4"/>
  <c r="FD67" i="4"/>
  <c r="FC67" i="4"/>
  <c r="FB67" i="4"/>
  <c r="FA67" i="4"/>
  <c r="EZ67" i="4"/>
  <c r="EY67" i="4"/>
  <c r="EX67" i="4"/>
  <c r="EW67" i="4"/>
  <c r="EU67" i="4"/>
  <c r="ET67" i="4"/>
  <c r="ES67" i="4"/>
  <c r="ER67" i="4"/>
  <c r="EQ67" i="4"/>
  <c r="EP67" i="4"/>
  <c r="EO67" i="4"/>
  <c r="EN67" i="4"/>
  <c r="EM67" i="4"/>
  <c r="EL67" i="4"/>
  <c r="EK67" i="4"/>
  <c r="EJ67" i="4"/>
  <c r="EI67" i="4"/>
  <c r="EH67" i="4"/>
  <c r="EG67" i="4"/>
  <c r="EF67" i="4"/>
  <c r="EE67" i="4"/>
  <c r="ED67" i="4"/>
  <c r="EB67" i="4"/>
  <c r="EA67" i="4"/>
  <c r="DZ67" i="4"/>
  <c r="DY67" i="4"/>
  <c r="DX67" i="4"/>
  <c r="DW67" i="4"/>
  <c r="DV67" i="4"/>
  <c r="DU67" i="4"/>
  <c r="DT67" i="4"/>
  <c r="DS67" i="4"/>
  <c r="DR67" i="4"/>
  <c r="DQ67" i="4"/>
  <c r="DP67" i="4"/>
  <c r="DO67" i="4"/>
  <c r="DN67" i="4"/>
  <c r="DM67" i="4"/>
  <c r="DL67" i="4"/>
  <c r="DK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IU66" i="4"/>
  <c r="IT66" i="4"/>
  <c r="IS66" i="4"/>
  <c r="IR66" i="4"/>
  <c r="IQ66" i="4"/>
  <c r="IP66" i="4"/>
  <c r="IO66" i="4"/>
  <c r="IN66" i="4"/>
  <c r="IM66" i="4"/>
  <c r="IL66" i="4"/>
  <c r="IK66" i="4"/>
  <c r="IJ66" i="4"/>
  <c r="II66" i="4"/>
  <c r="IH66" i="4"/>
  <c r="IG66" i="4"/>
  <c r="IF66" i="4"/>
  <c r="IE66" i="4"/>
  <c r="ID66" i="4"/>
  <c r="IB66" i="4"/>
  <c r="IA66" i="4"/>
  <c r="HZ66" i="4"/>
  <c r="HY66" i="4"/>
  <c r="HX66" i="4"/>
  <c r="HW66" i="4"/>
  <c r="HV66" i="4"/>
  <c r="HU66" i="4"/>
  <c r="HT66" i="4"/>
  <c r="HS66" i="4"/>
  <c r="HR66" i="4"/>
  <c r="HQ66" i="4"/>
  <c r="HP66" i="4"/>
  <c r="HO66" i="4"/>
  <c r="HN66" i="4"/>
  <c r="HM66" i="4"/>
  <c r="HL66" i="4"/>
  <c r="HK66" i="4"/>
  <c r="HI66" i="4"/>
  <c r="HH66" i="4"/>
  <c r="HG66" i="4"/>
  <c r="HF66" i="4"/>
  <c r="HE66" i="4"/>
  <c r="HD66" i="4"/>
  <c r="HC66" i="4"/>
  <c r="HB66" i="4"/>
  <c r="HA66" i="4"/>
  <c r="GZ66" i="4"/>
  <c r="GY66" i="4"/>
  <c r="GX66" i="4"/>
  <c r="GW66" i="4"/>
  <c r="GV66" i="4"/>
  <c r="GU66" i="4"/>
  <c r="GT66" i="4"/>
  <c r="GS66" i="4"/>
  <c r="GR66" i="4"/>
  <c r="GP66" i="4"/>
  <c r="GO66" i="4"/>
  <c r="GN66" i="4"/>
  <c r="GM66" i="4"/>
  <c r="GL66" i="4"/>
  <c r="GK66" i="4"/>
  <c r="GJ66" i="4"/>
  <c r="GI66" i="4"/>
  <c r="GH66" i="4"/>
  <c r="GG66" i="4"/>
  <c r="GF66" i="4"/>
  <c r="GE66" i="4"/>
  <c r="GD66" i="4"/>
  <c r="GC66" i="4"/>
  <c r="GB66" i="4"/>
  <c r="GA66" i="4"/>
  <c r="FZ66" i="4"/>
  <c r="FY66" i="4"/>
  <c r="FW66" i="4"/>
  <c r="FV66" i="4"/>
  <c r="FU66" i="4"/>
  <c r="FT66" i="4"/>
  <c r="FS66" i="4"/>
  <c r="FR66" i="4"/>
  <c r="FQ66" i="4"/>
  <c r="FP66" i="4"/>
  <c r="FO66" i="4"/>
  <c r="FN66" i="4"/>
  <c r="FM66" i="4"/>
  <c r="FL66" i="4"/>
  <c r="FK66" i="4"/>
  <c r="FJ66" i="4"/>
  <c r="FI66" i="4"/>
  <c r="FH66" i="4"/>
  <c r="FG66" i="4"/>
  <c r="FF66" i="4"/>
  <c r="FD66" i="4"/>
  <c r="FC66" i="4"/>
  <c r="FB66" i="4"/>
  <c r="FA66" i="4"/>
  <c r="EZ66" i="4"/>
  <c r="EY66" i="4"/>
  <c r="EX66" i="4"/>
  <c r="EW66" i="4"/>
  <c r="EV66" i="4"/>
  <c r="EU66" i="4"/>
  <c r="ET66" i="4"/>
  <c r="ES66" i="4"/>
  <c r="ER66" i="4"/>
  <c r="EQ66" i="4"/>
  <c r="EP66" i="4"/>
  <c r="EO66" i="4"/>
  <c r="EN66" i="4"/>
  <c r="EM66" i="4"/>
  <c r="EK66" i="4"/>
  <c r="EJ66" i="4"/>
  <c r="EI66" i="4"/>
  <c r="EH66" i="4"/>
  <c r="EG66" i="4"/>
  <c r="EF66" i="4"/>
  <c r="EE66" i="4"/>
  <c r="ED66" i="4"/>
  <c r="EC66" i="4"/>
  <c r="EB66" i="4"/>
  <c r="EA66" i="4"/>
  <c r="DZ66" i="4"/>
  <c r="DY66" i="4"/>
  <c r="DX66" i="4"/>
  <c r="DW66" i="4"/>
  <c r="DV66" i="4"/>
  <c r="DU66" i="4"/>
  <c r="DT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H66" i="4"/>
  <c r="G66" i="4"/>
  <c r="F66" i="4"/>
  <c r="E66" i="4"/>
  <c r="D66" i="4"/>
  <c r="C66" i="4"/>
  <c r="B66" i="4"/>
  <c r="A66" i="4"/>
  <c r="IV65" i="4"/>
  <c r="IU65" i="4"/>
  <c r="IT65" i="4"/>
  <c r="IS65" i="4"/>
  <c r="IR65" i="4"/>
  <c r="IQ65" i="4"/>
  <c r="IP65" i="4"/>
  <c r="IO65" i="4"/>
  <c r="IN65" i="4"/>
  <c r="IM65" i="4"/>
  <c r="IK65" i="4"/>
  <c r="IJ65" i="4"/>
  <c r="II65" i="4"/>
  <c r="IH65" i="4"/>
  <c r="IG65" i="4"/>
  <c r="IF65" i="4"/>
  <c r="IE65" i="4"/>
  <c r="ID65" i="4"/>
  <c r="IC65" i="4"/>
  <c r="IB65" i="4"/>
  <c r="IA65" i="4"/>
  <c r="HZ65" i="4"/>
  <c r="HY65" i="4"/>
  <c r="HX65" i="4"/>
  <c r="HW65" i="4"/>
  <c r="HV65" i="4"/>
  <c r="HU65" i="4"/>
  <c r="HT65" i="4"/>
  <c r="HR65" i="4"/>
  <c r="HQ65" i="4"/>
  <c r="HP65" i="4"/>
  <c r="HO65" i="4"/>
  <c r="HN65" i="4"/>
  <c r="HM65" i="4"/>
  <c r="HL65" i="4"/>
  <c r="HK65" i="4"/>
  <c r="HJ65" i="4"/>
  <c r="HI65" i="4"/>
  <c r="HH65" i="4"/>
  <c r="HG65" i="4"/>
  <c r="HF65" i="4"/>
  <c r="HE65" i="4"/>
  <c r="HD65" i="4"/>
  <c r="HC65" i="4"/>
  <c r="HB65" i="4"/>
  <c r="HA65" i="4"/>
  <c r="GY65" i="4"/>
  <c r="GX65" i="4"/>
  <c r="GW65" i="4"/>
  <c r="GV65" i="4"/>
  <c r="GU65" i="4"/>
  <c r="GT65" i="4"/>
  <c r="GS65" i="4"/>
  <c r="GR65" i="4"/>
  <c r="GQ65" i="4"/>
  <c r="GP65" i="4"/>
  <c r="GO65" i="4"/>
  <c r="GN65" i="4"/>
  <c r="GM65" i="4"/>
  <c r="GL65" i="4"/>
  <c r="GK65" i="4"/>
  <c r="GJ65" i="4"/>
  <c r="GI65" i="4"/>
  <c r="GH65" i="4"/>
  <c r="GF65" i="4"/>
  <c r="GE65" i="4"/>
  <c r="GD65" i="4"/>
  <c r="GC65" i="4"/>
  <c r="GB65" i="4"/>
  <c r="GA65" i="4"/>
  <c r="FZ65" i="4"/>
  <c r="FY65" i="4"/>
  <c r="FX65" i="4"/>
  <c r="FW65" i="4"/>
  <c r="FV65" i="4"/>
  <c r="FU65" i="4"/>
  <c r="FT65" i="4"/>
  <c r="FS65" i="4"/>
  <c r="FR65" i="4"/>
  <c r="FQ65" i="4"/>
  <c r="FP65" i="4"/>
  <c r="FO65" i="4"/>
  <c r="FM65" i="4"/>
  <c r="FL65" i="4"/>
  <c r="FK65" i="4"/>
  <c r="FJ65" i="4"/>
  <c r="FI65" i="4"/>
  <c r="FH65" i="4"/>
  <c r="FG65" i="4"/>
  <c r="FF65" i="4"/>
  <c r="FE65" i="4"/>
  <c r="FD65" i="4"/>
  <c r="FC65" i="4"/>
  <c r="FB65" i="4"/>
  <c r="FA65" i="4"/>
  <c r="EZ65" i="4"/>
  <c r="EY65" i="4"/>
  <c r="EX65" i="4"/>
  <c r="EW65" i="4"/>
  <c r="EV65" i="4"/>
  <c r="ET65" i="4"/>
  <c r="ES65" i="4"/>
  <c r="ER65" i="4"/>
  <c r="EQ65" i="4"/>
  <c r="EP65" i="4"/>
  <c r="EO65" i="4"/>
  <c r="EN65" i="4"/>
  <c r="EM65" i="4"/>
  <c r="EL65" i="4"/>
  <c r="EK65" i="4"/>
  <c r="EJ65" i="4"/>
  <c r="EI65" i="4"/>
  <c r="EH65" i="4"/>
  <c r="EG65" i="4"/>
  <c r="EF65" i="4"/>
  <c r="EE65" i="4"/>
  <c r="ED65" i="4"/>
  <c r="EC65" i="4"/>
  <c r="EA65" i="4"/>
  <c r="DZ65" i="4"/>
  <c r="DY65" i="4"/>
  <c r="DX65" i="4"/>
  <c r="DW65" i="4"/>
  <c r="DV65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IV64" i="4"/>
  <c r="IT64" i="4"/>
  <c r="IS64" i="4"/>
  <c r="IR64" i="4"/>
  <c r="IQ64" i="4"/>
  <c r="IP64" i="4"/>
  <c r="IO64" i="4"/>
  <c r="IN64" i="4"/>
  <c r="IM64" i="4"/>
  <c r="IL64" i="4"/>
  <c r="IK64" i="4"/>
  <c r="IJ64" i="4"/>
  <c r="II64" i="4"/>
  <c r="IH64" i="4"/>
  <c r="IG64" i="4"/>
  <c r="IF64" i="4"/>
  <c r="IE64" i="4"/>
  <c r="ID64" i="4"/>
  <c r="IC64" i="4"/>
  <c r="IA64" i="4"/>
  <c r="HZ64" i="4"/>
  <c r="HY64" i="4"/>
  <c r="HX64" i="4"/>
  <c r="HW64" i="4"/>
  <c r="HV64" i="4"/>
  <c r="HU64" i="4"/>
  <c r="HT64" i="4"/>
  <c r="HS64" i="4"/>
  <c r="HR64" i="4"/>
  <c r="HQ64" i="4"/>
  <c r="HP64" i="4"/>
  <c r="HO64" i="4"/>
  <c r="HN64" i="4"/>
  <c r="HM64" i="4"/>
  <c r="HL64" i="4"/>
  <c r="HK64" i="4"/>
  <c r="HJ64" i="4"/>
  <c r="HH64" i="4"/>
  <c r="HG64" i="4"/>
  <c r="HF64" i="4"/>
  <c r="HE64" i="4"/>
  <c r="HD64" i="4"/>
  <c r="HC64" i="4"/>
  <c r="HB64" i="4"/>
  <c r="HA64" i="4"/>
  <c r="GZ64" i="4"/>
  <c r="GY64" i="4"/>
  <c r="GX64" i="4"/>
  <c r="GW64" i="4"/>
  <c r="GV64" i="4"/>
  <c r="GU64" i="4"/>
  <c r="GT64" i="4"/>
  <c r="GS64" i="4"/>
  <c r="GR64" i="4"/>
  <c r="GQ64" i="4"/>
  <c r="GO64" i="4"/>
  <c r="GN64" i="4"/>
  <c r="GM64" i="4"/>
  <c r="GL64" i="4"/>
  <c r="GK64" i="4"/>
  <c r="GJ64" i="4"/>
  <c r="GI64" i="4"/>
  <c r="GH64" i="4"/>
  <c r="GG64" i="4"/>
  <c r="GF64" i="4"/>
  <c r="GE64" i="4"/>
  <c r="GD64" i="4"/>
  <c r="GC64" i="4"/>
  <c r="GB64" i="4"/>
  <c r="GA64" i="4"/>
  <c r="FZ64" i="4"/>
  <c r="FY64" i="4"/>
  <c r="FX64" i="4"/>
  <c r="FV64" i="4"/>
  <c r="FU64" i="4"/>
  <c r="FT64" i="4"/>
  <c r="FS64" i="4"/>
  <c r="FR64" i="4"/>
  <c r="FQ64" i="4"/>
  <c r="FP64" i="4"/>
  <c r="FO64" i="4"/>
  <c r="FN64" i="4"/>
  <c r="FM64" i="4"/>
  <c r="FL64" i="4"/>
  <c r="FK64" i="4"/>
  <c r="FJ64" i="4"/>
  <c r="FI64" i="4"/>
  <c r="FH64" i="4"/>
  <c r="FG64" i="4"/>
  <c r="FF64" i="4"/>
  <c r="FE64" i="4"/>
  <c r="FC64" i="4"/>
  <c r="FB64" i="4"/>
  <c r="FA64" i="4"/>
  <c r="EZ64" i="4"/>
  <c r="EY64" i="4"/>
  <c r="EX64" i="4"/>
  <c r="EW64" i="4"/>
  <c r="EV64" i="4"/>
  <c r="EU64" i="4"/>
  <c r="ET64" i="4"/>
  <c r="ES64" i="4"/>
  <c r="ER64" i="4"/>
  <c r="EQ64" i="4"/>
  <c r="EP64" i="4"/>
  <c r="EO64" i="4"/>
  <c r="EN64" i="4"/>
  <c r="EM64" i="4"/>
  <c r="EL64" i="4"/>
  <c r="EJ64" i="4"/>
  <c r="EI64" i="4"/>
  <c r="EH64" i="4"/>
  <c r="EG64" i="4"/>
  <c r="EF64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S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G64" i="4"/>
  <c r="F64" i="4"/>
  <c r="E64" i="4"/>
  <c r="D64" i="4"/>
  <c r="C64" i="4"/>
  <c r="B64" i="4"/>
  <c r="A64" i="4"/>
  <c r="IV63" i="4"/>
  <c r="IU63" i="4"/>
  <c r="IT63" i="4"/>
  <c r="IS63" i="4"/>
  <c r="IR63" i="4"/>
  <c r="IQ63" i="4"/>
  <c r="IP63" i="4"/>
  <c r="IO63" i="4"/>
  <c r="IN63" i="4"/>
  <c r="IM63" i="4"/>
  <c r="IL63" i="4"/>
  <c r="IJ63" i="4"/>
  <c r="II63" i="4"/>
  <c r="IH63" i="4"/>
  <c r="IG63" i="4"/>
  <c r="IF63" i="4"/>
  <c r="IE63" i="4"/>
  <c r="ID63" i="4"/>
  <c r="IC63" i="4"/>
  <c r="IB63" i="4"/>
  <c r="IA63" i="4"/>
  <c r="HZ63" i="4"/>
  <c r="HY63" i="4"/>
  <c r="HX63" i="4"/>
  <c r="HW63" i="4"/>
  <c r="HV63" i="4"/>
  <c r="HU63" i="4"/>
  <c r="HT63" i="4"/>
  <c r="HS63" i="4"/>
  <c r="HQ63" i="4"/>
  <c r="HP63" i="4"/>
  <c r="HO63" i="4"/>
  <c r="HN63" i="4"/>
  <c r="HM63" i="4"/>
  <c r="HL63" i="4"/>
  <c r="HK63" i="4"/>
  <c r="HJ63" i="4"/>
  <c r="HI63" i="4"/>
  <c r="HH63" i="4"/>
  <c r="HG63" i="4"/>
  <c r="HF63" i="4"/>
  <c r="HE63" i="4"/>
  <c r="HD63" i="4"/>
  <c r="HC63" i="4"/>
  <c r="HB63" i="4"/>
  <c r="HA63" i="4"/>
  <c r="GZ63" i="4"/>
  <c r="GX63" i="4"/>
  <c r="GW63" i="4"/>
  <c r="GV63" i="4"/>
  <c r="GU63" i="4"/>
  <c r="GT63" i="4"/>
  <c r="GS63" i="4"/>
  <c r="GR63" i="4"/>
  <c r="GQ63" i="4"/>
  <c r="GP63" i="4"/>
  <c r="GO63" i="4"/>
  <c r="GN63" i="4"/>
  <c r="GM63" i="4"/>
  <c r="GL63" i="4"/>
  <c r="GK63" i="4"/>
  <c r="GJ63" i="4"/>
  <c r="GI63" i="4"/>
  <c r="GH63" i="4"/>
  <c r="GG63" i="4"/>
  <c r="GE63" i="4"/>
  <c r="GD63" i="4"/>
  <c r="GC63" i="4"/>
  <c r="GB63" i="4"/>
  <c r="GA63" i="4"/>
  <c r="FZ63" i="4"/>
  <c r="FY63" i="4"/>
  <c r="FX63" i="4"/>
  <c r="FW63" i="4"/>
  <c r="FV63" i="4"/>
  <c r="FU63" i="4"/>
  <c r="FT63" i="4"/>
  <c r="FS63" i="4"/>
  <c r="FR63" i="4"/>
  <c r="FQ63" i="4"/>
  <c r="FP63" i="4"/>
  <c r="FO63" i="4"/>
  <c r="FN63" i="4"/>
  <c r="FL63" i="4"/>
  <c r="FK63" i="4"/>
  <c r="FJ63" i="4"/>
  <c r="FI63" i="4"/>
  <c r="FH63" i="4"/>
  <c r="FG63" i="4"/>
  <c r="FF63" i="4"/>
  <c r="FE63" i="4"/>
  <c r="FD63" i="4"/>
  <c r="FC63" i="4"/>
  <c r="FB63" i="4"/>
  <c r="FA63" i="4"/>
  <c r="EZ63" i="4"/>
  <c r="EY63" i="4"/>
  <c r="EX63" i="4"/>
  <c r="EW63" i="4"/>
  <c r="EV63" i="4"/>
  <c r="EU63" i="4"/>
  <c r="ES63" i="4"/>
  <c r="ER63" i="4"/>
  <c r="EQ63" i="4"/>
  <c r="EP63" i="4"/>
  <c r="EO63" i="4"/>
  <c r="EN63" i="4"/>
  <c r="EM63" i="4"/>
  <c r="EL63" i="4"/>
  <c r="EK63" i="4"/>
  <c r="EJ63" i="4"/>
  <c r="EI63" i="4"/>
  <c r="EH63" i="4"/>
  <c r="EG63" i="4"/>
  <c r="EF63" i="4"/>
  <c r="EE63" i="4"/>
  <c r="ED63" i="4"/>
  <c r="EC63" i="4"/>
  <c r="EB63" i="4"/>
  <c r="DZ63" i="4"/>
  <c r="DY63" i="4"/>
  <c r="DX63" i="4"/>
  <c r="DW63" i="4"/>
  <c r="DV63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IV62" i="4"/>
  <c r="IU62" i="4"/>
  <c r="IS62" i="4"/>
  <c r="IR62" i="4"/>
  <c r="IQ62" i="4"/>
  <c r="IP62" i="4"/>
  <c r="IO62" i="4"/>
  <c r="IN62" i="4"/>
  <c r="IM62" i="4"/>
  <c r="IL62" i="4"/>
  <c r="IK62" i="4"/>
  <c r="IJ62" i="4"/>
  <c r="II62" i="4"/>
  <c r="IH62" i="4"/>
  <c r="IG62" i="4"/>
  <c r="IF62" i="4"/>
  <c r="IE62" i="4"/>
  <c r="ID62" i="4"/>
  <c r="IC62" i="4"/>
  <c r="IB62" i="4"/>
  <c r="HZ62" i="4"/>
  <c r="HY62" i="4"/>
  <c r="HX62" i="4"/>
  <c r="HW62" i="4"/>
  <c r="HV62" i="4"/>
  <c r="HU62" i="4"/>
  <c r="HT62" i="4"/>
  <c r="HS62" i="4"/>
  <c r="HR62" i="4"/>
  <c r="HQ62" i="4"/>
  <c r="HP62" i="4"/>
  <c r="HO62" i="4"/>
  <c r="HN62" i="4"/>
  <c r="HM62" i="4"/>
  <c r="HL62" i="4"/>
  <c r="HK62" i="4"/>
  <c r="HJ62" i="4"/>
  <c r="HI62" i="4"/>
  <c r="HG62" i="4"/>
  <c r="HF62" i="4"/>
  <c r="HE62" i="4"/>
  <c r="HD62" i="4"/>
  <c r="HC62" i="4"/>
  <c r="HB62" i="4"/>
  <c r="HA62" i="4"/>
  <c r="GZ62" i="4"/>
  <c r="GY62" i="4"/>
  <c r="GX62" i="4"/>
  <c r="GW62" i="4"/>
  <c r="GV62" i="4"/>
  <c r="GU62" i="4"/>
  <c r="GT62" i="4"/>
  <c r="GS62" i="4"/>
  <c r="GR62" i="4"/>
  <c r="GQ62" i="4"/>
  <c r="GP62" i="4"/>
  <c r="GN62" i="4"/>
  <c r="GM62" i="4"/>
  <c r="GL62" i="4"/>
  <c r="GK62" i="4"/>
  <c r="GJ62" i="4"/>
  <c r="GI62" i="4"/>
  <c r="GH62" i="4"/>
  <c r="GG62" i="4"/>
  <c r="GF62" i="4"/>
  <c r="GE62" i="4"/>
  <c r="GD62" i="4"/>
  <c r="GC62" i="4"/>
  <c r="GB62" i="4"/>
  <c r="GA62" i="4"/>
  <c r="FZ62" i="4"/>
  <c r="FY62" i="4"/>
  <c r="FX62" i="4"/>
  <c r="FW62" i="4"/>
  <c r="FU62" i="4"/>
  <c r="FT62" i="4"/>
  <c r="FS62" i="4"/>
  <c r="FR62" i="4"/>
  <c r="FQ62" i="4"/>
  <c r="FP62" i="4"/>
  <c r="FO62" i="4"/>
  <c r="FN62" i="4"/>
  <c r="FM62" i="4"/>
  <c r="FL62" i="4"/>
  <c r="FK62" i="4"/>
  <c r="FJ62" i="4"/>
  <c r="FI62" i="4"/>
  <c r="FH62" i="4"/>
  <c r="FG62" i="4"/>
  <c r="FF62" i="4"/>
  <c r="FE62" i="4"/>
  <c r="FD62" i="4"/>
  <c r="FB62" i="4"/>
  <c r="FA62" i="4"/>
  <c r="EZ62" i="4"/>
  <c r="EY62" i="4"/>
  <c r="EX62" i="4"/>
  <c r="EW62" i="4"/>
  <c r="EV62" i="4"/>
  <c r="EU62" i="4"/>
  <c r="ET62" i="4"/>
  <c r="ES62" i="4"/>
  <c r="ER62" i="4"/>
  <c r="EQ62" i="4"/>
  <c r="EP62" i="4"/>
  <c r="EO62" i="4"/>
  <c r="EN62" i="4"/>
  <c r="EM62" i="4"/>
  <c r="EL62" i="4"/>
  <c r="EK62" i="4"/>
  <c r="EI62" i="4"/>
  <c r="EH62" i="4"/>
  <c r="EG62" i="4"/>
  <c r="EF62" i="4"/>
  <c r="EE62" i="4"/>
  <c r="ED62" i="4"/>
  <c r="EC62" i="4"/>
  <c r="EB62" i="4"/>
  <c r="EA62" i="4"/>
  <c r="DZ62" i="4"/>
  <c r="DY62" i="4"/>
  <c r="DX62" i="4"/>
  <c r="DW62" i="4"/>
  <c r="DV62" i="4"/>
  <c r="DU62" i="4"/>
  <c r="DT62" i="4"/>
  <c r="DS62" i="4"/>
  <c r="DR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F62" i="4"/>
  <c r="E62" i="4"/>
  <c r="D62" i="4"/>
  <c r="C62" i="4"/>
  <c r="B62" i="4"/>
  <c r="A62" i="4"/>
  <c r="IV61" i="4"/>
  <c r="IU61" i="4"/>
  <c r="IT61" i="4"/>
  <c r="IS61" i="4"/>
  <c r="IR61" i="4"/>
  <c r="IQ61" i="4"/>
  <c r="IP61" i="4"/>
  <c r="IO61" i="4"/>
  <c r="IN61" i="4"/>
  <c r="IM61" i="4"/>
  <c r="IL61" i="4"/>
  <c r="IK61" i="4"/>
  <c r="II61" i="4"/>
  <c r="IH61" i="4"/>
  <c r="IG61" i="4"/>
  <c r="IF61" i="4"/>
  <c r="IE61" i="4"/>
  <c r="ID61" i="4"/>
  <c r="IC61" i="4"/>
  <c r="IB61" i="4"/>
  <c r="IA61" i="4"/>
  <c r="HZ61" i="4"/>
  <c r="HY61" i="4"/>
  <c r="HX61" i="4"/>
  <c r="HW61" i="4"/>
  <c r="HV61" i="4"/>
  <c r="HU61" i="4"/>
  <c r="HT61" i="4"/>
  <c r="HS61" i="4"/>
  <c r="HR61" i="4"/>
  <c r="HP61" i="4"/>
  <c r="HO61" i="4"/>
  <c r="HN61" i="4"/>
  <c r="HM61" i="4"/>
  <c r="HL61" i="4"/>
  <c r="HK61" i="4"/>
  <c r="HJ61" i="4"/>
  <c r="HI61" i="4"/>
  <c r="HH61" i="4"/>
  <c r="HG61" i="4"/>
  <c r="HF61" i="4"/>
  <c r="HE61" i="4"/>
  <c r="HD61" i="4"/>
  <c r="HC61" i="4"/>
  <c r="HB61" i="4"/>
  <c r="HA61" i="4"/>
  <c r="GZ61" i="4"/>
  <c r="GY61" i="4"/>
  <c r="GW61" i="4"/>
  <c r="GV61" i="4"/>
  <c r="GU61" i="4"/>
  <c r="GT61" i="4"/>
  <c r="GS61" i="4"/>
  <c r="GR61" i="4"/>
  <c r="GQ61" i="4"/>
  <c r="GP61" i="4"/>
  <c r="GO61" i="4"/>
  <c r="GN61" i="4"/>
  <c r="GM61" i="4"/>
  <c r="GL61" i="4"/>
  <c r="GK61" i="4"/>
  <c r="GJ61" i="4"/>
  <c r="GI61" i="4"/>
  <c r="GH61" i="4"/>
  <c r="GG61" i="4"/>
  <c r="GF61" i="4"/>
  <c r="GD61" i="4"/>
  <c r="GC61" i="4"/>
  <c r="GB61" i="4"/>
  <c r="GA61" i="4"/>
  <c r="FZ61" i="4"/>
  <c r="FY61" i="4"/>
  <c r="FX61" i="4"/>
  <c r="FW61" i="4"/>
  <c r="FV61" i="4"/>
  <c r="FU61" i="4"/>
  <c r="FT61" i="4"/>
  <c r="FS61" i="4"/>
  <c r="FR61" i="4"/>
  <c r="FQ61" i="4"/>
  <c r="FP61" i="4"/>
  <c r="FO61" i="4"/>
  <c r="FN61" i="4"/>
  <c r="FM61" i="4"/>
  <c r="FK61" i="4"/>
  <c r="FJ61" i="4"/>
  <c r="FI61" i="4"/>
  <c r="FH61" i="4"/>
  <c r="FG61" i="4"/>
  <c r="FF61" i="4"/>
  <c r="FE61" i="4"/>
  <c r="FD61" i="4"/>
  <c r="FC61" i="4"/>
  <c r="FB61" i="4"/>
  <c r="FA61" i="4"/>
  <c r="EZ61" i="4"/>
  <c r="EY61" i="4"/>
  <c r="EX61" i="4"/>
  <c r="EW61" i="4"/>
  <c r="EV61" i="4"/>
  <c r="EU61" i="4"/>
  <c r="ET61" i="4"/>
  <c r="ER61" i="4"/>
  <c r="EQ61" i="4"/>
  <c r="EP61" i="4"/>
  <c r="EO61" i="4"/>
  <c r="EN61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IV60" i="4"/>
  <c r="IU60" i="4"/>
  <c r="IT60" i="4"/>
  <c r="IR60" i="4"/>
  <c r="IQ60" i="4"/>
  <c r="IP60" i="4"/>
  <c r="IO60" i="4"/>
  <c r="IN60" i="4"/>
  <c r="IM60" i="4"/>
  <c r="IL60" i="4"/>
  <c r="IK60" i="4"/>
  <c r="IJ60" i="4"/>
  <c r="II60" i="4"/>
  <c r="IH60" i="4"/>
  <c r="IG60" i="4"/>
  <c r="IF60" i="4"/>
  <c r="IE60" i="4"/>
  <c r="ID60" i="4"/>
  <c r="IC60" i="4"/>
  <c r="IB60" i="4"/>
  <c r="IA60" i="4"/>
  <c r="HY60" i="4"/>
  <c r="HX60" i="4"/>
  <c r="HW60" i="4"/>
  <c r="HV60" i="4"/>
  <c r="HU60" i="4"/>
  <c r="HT60" i="4"/>
  <c r="HS60" i="4"/>
  <c r="HR60" i="4"/>
  <c r="HQ60" i="4"/>
  <c r="HP60" i="4"/>
  <c r="HO60" i="4"/>
  <c r="HN60" i="4"/>
  <c r="HM60" i="4"/>
  <c r="HL60" i="4"/>
  <c r="HK60" i="4"/>
  <c r="HJ60" i="4"/>
  <c r="HI60" i="4"/>
  <c r="HH60" i="4"/>
  <c r="HF60" i="4"/>
  <c r="HE60" i="4"/>
  <c r="HD60" i="4"/>
  <c r="HC60" i="4"/>
  <c r="HB60" i="4"/>
  <c r="HA60" i="4"/>
  <c r="GZ60" i="4"/>
  <c r="GY60" i="4"/>
  <c r="GX60" i="4"/>
  <c r="GW60" i="4"/>
  <c r="GV60" i="4"/>
  <c r="GU60" i="4"/>
  <c r="GT60" i="4"/>
  <c r="GS60" i="4"/>
  <c r="GR60" i="4"/>
  <c r="GQ60" i="4"/>
  <c r="GP60" i="4"/>
  <c r="GO60" i="4"/>
  <c r="GM60" i="4"/>
  <c r="GL60" i="4"/>
  <c r="GK60" i="4"/>
  <c r="GJ60" i="4"/>
  <c r="GI60" i="4"/>
  <c r="GH60" i="4"/>
  <c r="GG60" i="4"/>
  <c r="GF60" i="4"/>
  <c r="GE60" i="4"/>
  <c r="GD60" i="4"/>
  <c r="GC60" i="4"/>
  <c r="GB60" i="4"/>
  <c r="GA60" i="4"/>
  <c r="FZ60" i="4"/>
  <c r="FY60" i="4"/>
  <c r="FX60" i="4"/>
  <c r="FW60" i="4"/>
  <c r="FV60" i="4"/>
  <c r="FT60" i="4"/>
  <c r="FS60" i="4"/>
  <c r="FR60" i="4"/>
  <c r="FQ60" i="4"/>
  <c r="FP60" i="4"/>
  <c r="FO60" i="4"/>
  <c r="FN60" i="4"/>
  <c r="FM60" i="4"/>
  <c r="FL60" i="4"/>
  <c r="FK60" i="4"/>
  <c r="FJ60" i="4"/>
  <c r="FI60" i="4"/>
  <c r="FH60" i="4"/>
  <c r="FG60" i="4"/>
  <c r="FF60" i="4"/>
  <c r="FE60" i="4"/>
  <c r="FD60" i="4"/>
  <c r="FC60" i="4"/>
  <c r="FA60" i="4"/>
  <c r="EZ60" i="4"/>
  <c r="EY60" i="4"/>
  <c r="EX60" i="4"/>
  <c r="EW60" i="4"/>
  <c r="EV60" i="4"/>
  <c r="EU60" i="4"/>
  <c r="ET60" i="4"/>
  <c r="ES60" i="4"/>
  <c r="ER60" i="4"/>
  <c r="EQ60" i="4"/>
  <c r="EP60" i="4"/>
  <c r="EO60" i="4"/>
  <c r="EN60" i="4"/>
  <c r="EM60" i="4"/>
  <c r="EL60" i="4"/>
  <c r="EK60" i="4"/>
  <c r="EJ60" i="4"/>
  <c r="EH60" i="4"/>
  <c r="EG60" i="4"/>
  <c r="EF60" i="4"/>
  <c r="EE60" i="4"/>
  <c r="ED60" i="4"/>
  <c r="EC60" i="4"/>
  <c r="EB60" i="4"/>
  <c r="EA60" i="4"/>
  <c r="DZ60" i="4"/>
  <c r="DY60" i="4"/>
  <c r="DX60" i="4"/>
  <c r="DW60" i="4"/>
  <c r="DV60" i="4"/>
  <c r="DU60" i="4"/>
  <c r="DT60" i="4"/>
  <c r="DS60" i="4"/>
  <c r="DR60" i="4"/>
  <c r="DQ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E60" i="4"/>
  <c r="D60" i="4"/>
  <c r="C60" i="4"/>
  <c r="B60" i="4"/>
  <c r="A60" i="4"/>
  <c r="IV59" i="4"/>
  <c r="IU59" i="4"/>
  <c r="IT59" i="4"/>
  <c r="IS59" i="4"/>
  <c r="IR59" i="4"/>
  <c r="IQ59" i="4"/>
  <c r="IP59" i="4"/>
  <c r="IO59" i="4"/>
  <c r="IN59" i="4"/>
  <c r="IM59" i="4"/>
  <c r="IL59" i="4"/>
  <c r="IK59" i="4"/>
  <c r="IJ59" i="4"/>
  <c r="IH59" i="4"/>
  <c r="IG59" i="4"/>
  <c r="IF59" i="4"/>
  <c r="IE59" i="4"/>
  <c r="ID59" i="4"/>
  <c r="IC59" i="4"/>
  <c r="IB59" i="4"/>
  <c r="IA59" i="4"/>
  <c r="HZ59" i="4"/>
  <c r="HY59" i="4"/>
  <c r="HX59" i="4"/>
  <c r="HW59" i="4"/>
  <c r="HV59" i="4"/>
  <c r="HU59" i="4"/>
  <c r="HT59" i="4"/>
  <c r="HS59" i="4"/>
  <c r="HR59" i="4"/>
  <c r="HQ59" i="4"/>
  <c r="HO59" i="4"/>
  <c r="HN59" i="4"/>
  <c r="HM59" i="4"/>
  <c r="HL59" i="4"/>
  <c r="HK59" i="4"/>
  <c r="HJ59" i="4"/>
  <c r="HI59" i="4"/>
  <c r="HH59" i="4"/>
  <c r="HG59" i="4"/>
  <c r="HF59" i="4"/>
  <c r="HE59" i="4"/>
  <c r="HD59" i="4"/>
  <c r="HC59" i="4"/>
  <c r="HB59" i="4"/>
  <c r="HA59" i="4"/>
  <c r="GZ59" i="4"/>
  <c r="GY59" i="4"/>
  <c r="GX59" i="4"/>
  <c r="GV59" i="4"/>
  <c r="GU59" i="4"/>
  <c r="GT59" i="4"/>
  <c r="GS59" i="4"/>
  <c r="GR59" i="4"/>
  <c r="GQ59" i="4"/>
  <c r="GP59" i="4"/>
  <c r="GO59" i="4"/>
  <c r="GN59" i="4"/>
  <c r="GM59" i="4"/>
  <c r="GL59" i="4"/>
  <c r="GK59" i="4"/>
  <c r="GJ59" i="4"/>
  <c r="GI59" i="4"/>
  <c r="GH59" i="4"/>
  <c r="GG59" i="4"/>
  <c r="GF59" i="4"/>
  <c r="GE59" i="4"/>
  <c r="GC59" i="4"/>
  <c r="GB59" i="4"/>
  <c r="GA59" i="4"/>
  <c r="FZ59" i="4"/>
  <c r="FY59" i="4"/>
  <c r="FX59" i="4"/>
  <c r="FW59" i="4"/>
  <c r="FV59" i="4"/>
  <c r="FU59" i="4"/>
  <c r="FT59" i="4"/>
  <c r="FS59" i="4"/>
  <c r="FR59" i="4"/>
  <c r="FQ59" i="4"/>
  <c r="FP59" i="4"/>
  <c r="FO59" i="4"/>
  <c r="FN59" i="4"/>
  <c r="FM59" i="4"/>
  <c r="FL59" i="4"/>
  <c r="FJ59" i="4"/>
  <c r="FI59" i="4"/>
  <c r="FH59" i="4"/>
  <c r="FG59" i="4"/>
  <c r="FF59" i="4"/>
  <c r="FE59" i="4"/>
  <c r="FD59" i="4"/>
  <c r="FC59" i="4"/>
  <c r="FB59" i="4"/>
  <c r="FA59" i="4"/>
  <c r="EZ59" i="4"/>
  <c r="EY59" i="4"/>
  <c r="EX59" i="4"/>
  <c r="EW59" i="4"/>
  <c r="EV59" i="4"/>
  <c r="EU59" i="4"/>
  <c r="ET59" i="4"/>
  <c r="ES59" i="4"/>
  <c r="EQ59" i="4"/>
  <c r="EP59" i="4"/>
  <c r="EO59" i="4"/>
  <c r="EN59" i="4"/>
  <c r="EM59" i="4"/>
  <c r="EL59" i="4"/>
  <c r="EK59" i="4"/>
  <c r="EJ59" i="4"/>
  <c r="EI59" i="4"/>
  <c r="EH59" i="4"/>
  <c r="EG59" i="4"/>
  <c r="EF59" i="4"/>
  <c r="EE59" i="4"/>
  <c r="ED59" i="4"/>
  <c r="EC59" i="4"/>
  <c r="EB59" i="4"/>
  <c r="EA59" i="4"/>
  <c r="DZ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IV58" i="4"/>
  <c r="IU58" i="4"/>
  <c r="IT58" i="4"/>
  <c r="IS58" i="4"/>
  <c r="IQ58" i="4"/>
  <c r="IP58" i="4"/>
  <c r="IO58" i="4"/>
  <c r="IN58" i="4"/>
  <c r="IM58" i="4"/>
  <c r="IL58" i="4"/>
  <c r="IK58" i="4"/>
  <c r="IJ58" i="4"/>
  <c r="II58" i="4"/>
  <c r="IH58" i="4"/>
  <c r="IG58" i="4"/>
  <c r="IF58" i="4"/>
  <c r="IE58" i="4"/>
  <c r="ID58" i="4"/>
  <c r="IC58" i="4"/>
  <c r="IB58" i="4"/>
  <c r="IA58" i="4"/>
  <c r="HZ58" i="4"/>
  <c r="HX58" i="4"/>
  <c r="HW58" i="4"/>
  <c r="HV58" i="4"/>
  <c r="HU58" i="4"/>
  <c r="HT58" i="4"/>
  <c r="HS58" i="4"/>
  <c r="HR58" i="4"/>
  <c r="HQ58" i="4"/>
  <c r="HP58" i="4"/>
  <c r="HO58" i="4"/>
  <c r="HN58" i="4"/>
  <c r="HM58" i="4"/>
  <c r="HL58" i="4"/>
  <c r="HK58" i="4"/>
  <c r="HJ58" i="4"/>
  <c r="HI58" i="4"/>
  <c r="HH58" i="4"/>
  <c r="HG58" i="4"/>
  <c r="HE58" i="4"/>
  <c r="HD58" i="4"/>
  <c r="HC58" i="4"/>
  <c r="HB58" i="4"/>
  <c r="HA58" i="4"/>
  <c r="GZ58" i="4"/>
  <c r="GY58" i="4"/>
  <c r="GX58" i="4"/>
  <c r="GW58" i="4"/>
  <c r="GV58" i="4"/>
  <c r="GU58" i="4"/>
  <c r="GT58" i="4"/>
  <c r="GS58" i="4"/>
  <c r="GR58" i="4"/>
  <c r="GQ58" i="4"/>
  <c r="GP58" i="4"/>
  <c r="GO58" i="4"/>
  <c r="GN58" i="4"/>
  <c r="GL58" i="4"/>
  <c r="GK58" i="4"/>
  <c r="GJ58" i="4"/>
  <c r="GI58" i="4"/>
  <c r="GH58" i="4"/>
  <c r="GG58" i="4"/>
  <c r="GF58" i="4"/>
  <c r="GE58" i="4"/>
  <c r="GD58" i="4"/>
  <c r="GC58" i="4"/>
  <c r="GB58" i="4"/>
  <c r="GA58" i="4"/>
  <c r="FZ58" i="4"/>
  <c r="FY58" i="4"/>
  <c r="FX58" i="4"/>
  <c r="FW58" i="4"/>
  <c r="FV58" i="4"/>
  <c r="FU58" i="4"/>
  <c r="FS58" i="4"/>
  <c r="FR58" i="4"/>
  <c r="FQ58" i="4"/>
  <c r="FP58" i="4"/>
  <c r="FO58" i="4"/>
  <c r="FN58" i="4"/>
  <c r="FM58" i="4"/>
  <c r="FL58" i="4"/>
  <c r="FK58" i="4"/>
  <c r="FJ58" i="4"/>
  <c r="FI58" i="4"/>
  <c r="FH58" i="4"/>
  <c r="FG58" i="4"/>
  <c r="FF58" i="4"/>
  <c r="FE58" i="4"/>
  <c r="FD58" i="4"/>
  <c r="FC58" i="4"/>
  <c r="FB58" i="4"/>
  <c r="EZ58" i="4"/>
  <c r="EY58" i="4"/>
  <c r="EX58" i="4"/>
  <c r="EW58" i="4"/>
  <c r="EV58" i="4"/>
  <c r="EU58" i="4"/>
  <c r="ET58" i="4"/>
  <c r="ES58" i="4"/>
  <c r="ER58" i="4"/>
  <c r="EQ58" i="4"/>
  <c r="EP58" i="4"/>
  <c r="EO58" i="4"/>
  <c r="EN58" i="4"/>
  <c r="EM58" i="4"/>
  <c r="EL58" i="4"/>
  <c r="EK58" i="4"/>
  <c r="EJ58" i="4"/>
  <c r="EI58" i="4"/>
  <c r="EG58" i="4"/>
  <c r="EF58" i="4"/>
  <c r="EE58" i="4"/>
  <c r="ED58" i="4"/>
  <c r="EC58" i="4"/>
  <c r="EB58" i="4"/>
  <c r="EA58" i="4"/>
  <c r="DZ58" i="4"/>
  <c r="DY58" i="4"/>
  <c r="DX58" i="4"/>
  <c r="DW58" i="4"/>
  <c r="DV58" i="4"/>
  <c r="DU58" i="4"/>
  <c r="DT58" i="4"/>
  <c r="DS58" i="4"/>
  <c r="DR58" i="4"/>
  <c r="DQ58" i="4"/>
  <c r="DP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D58" i="4"/>
  <c r="C58" i="4"/>
  <c r="B58" i="4"/>
  <c r="A58" i="4"/>
  <c r="IV57" i="4"/>
  <c r="IU57" i="4"/>
  <c r="IT57" i="4"/>
  <c r="IS57" i="4"/>
  <c r="IR57" i="4"/>
  <c r="IQ57" i="4"/>
  <c r="IP57" i="4"/>
  <c r="IO57" i="4"/>
  <c r="IN57" i="4"/>
  <c r="IM57" i="4"/>
  <c r="IL57" i="4"/>
  <c r="IK57" i="4"/>
  <c r="IJ57" i="4"/>
  <c r="II57" i="4"/>
  <c r="IG57" i="4"/>
  <c r="IF57" i="4"/>
  <c r="IE57" i="4"/>
  <c r="ID57" i="4"/>
  <c r="IC57" i="4"/>
  <c r="IB57" i="4"/>
  <c r="IA57" i="4"/>
  <c r="HZ57" i="4"/>
  <c r="HY57" i="4"/>
  <c r="HX57" i="4"/>
  <c r="HW57" i="4"/>
  <c r="HV57" i="4"/>
  <c r="HU57" i="4"/>
  <c r="HT57" i="4"/>
  <c r="HS57" i="4"/>
  <c r="HR57" i="4"/>
  <c r="HQ57" i="4"/>
  <c r="HP57" i="4"/>
  <c r="HN57" i="4"/>
  <c r="HM57" i="4"/>
  <c r="HL57" i="4"/>
  <c r="HK57" i="4"/>
  <c r="HJ57" i="4"/>
  <c r="HI57" i="4"/>
  <c r="HH57" i="4"/>
  <c r="HG57" i="4"/>
  <c r="HF57" i="4"/>
  <c r="HE57" i="4"/>
  <c r="HD57" i="4"/>
  <c r="HC57" i="4"/>
  <c r="HB57" i="4"/>
  <c r="HA57" i="4"/>
  <c r="GZ57" i="4"/>
  <c r="GY57" i="4"/>
  <c r="GX57" i="4"/>
  <c r="GW57" i="4"/>
  <c r="GU57" i="4"/>
  <c r="GT57" i="4"/>
  <c r="GS57" i="4"/>
  <c r="GR57" i="4"/>
  <c r="GQ57" i="4"/>
  <c r="GP57" i="4"/>
  <c r="GO57" i="4"/>
  <c r="GN57" i="4"/>
  <c r="GM57" i="4"/>
  <c r="GL57" i="4"/>
  <c r="GK57" i="4"/>
  <c r="GJ57" i="4"/>
  <c r="GI57" i="4"/>
  <c r="GH57" i="4"/>
  <c r="GG57" i="4"/>
  <c r="GF57" i="4"/>
  <c r="GE57" i="4"/>
  <c r="GD57" i="4"/>
  <c r="GB57" i="4"/>
  <c r="GA57" i="4"/>
  <c r="FZ57" i="4"/>
  <c r="FY57" i="4"/>
  <c r="FX57" i="4"/>
  <c r="FW57" i="4"/>
  <c r="FV57" i="4"/>
  <c r="FU57" i="4"/>
  <c r="FT57" i="4"/>
  <c r="FS57" i="4"/>
  <c r="FR57" i="4"/>
  <c r="FQ57" i="4"/>
  <c r="FP57" i="4"/>
  <c r="FO57" i="4"/>
  <c r="FN57" i="4"/>
  <c r="FM57" i="4"/>
  <c r="FL57" i="4"/>
  <c r="FK57" i="4"/>
  <c r="FI57" i="4"/>
  <c r="FH57" i="4"/>
  <c r="FG57" i="4"/>
  <c r="FF57" i="4"/>
  <c r="FE57" i="4"/>
  <c r="FD57" i="4"/>
  <c r="FC57" i="4"/>
  <c r="FB57" i="4"/>
  <c r="FA57" i="4"/>
  <c r="EZ57" i="4"/>
  <c r="EY57" i="4"/>
  <c r="EX57" i="4"/>
  <c r="EW57" i="4"/>
  <c r="EV57" i="4"/>
  <c r="EU57" i="4"/>
  <c r="ET57" i="4"/>
  <c r="ES57" i="4"/>
  <c r="ER57" i="4"/>
  <c r="EP57" i="4"/>
  <c r="EO57" i="4"/>
  <c r="EN57" i="4"/>
  <c r="EM57" i="4"/>
  <c r="EL57" i="4"/>
  <c r="EK57" i="4"/>
  <c r="EJ57" i="4"/>
  <c r="EI57" i="4"/>
  <c r="EH57" i="4"/>
  <c r="EG57" i="4"/>
  <c r="EF57" i="4"/>
  <c r="EE57" i="4"/>
  <c r="ED57" i="4"/>
  <c r="EC57" i="4"/>
  <c r="EB57" i="4"/>
  <c r="EA57" i="4"/>
  <c r="DZ57" i="4"/>
  <c r="DY57" i="4"/>
  <c r="DW57" i="4"/>
  <c r="DV57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IV56" i="4"/>
  <c r="IU56" i="4"/>
  <c r="IT56" i="4"/>
  <c r="IS56" i="4"/>
  <c r="IR56" i="4"/>
  <c r="IP56" i="4"/>
  <c r="IO56" i="4"/>
  <c r="IN56" i="4"/>
  <c r="IM56" i="4"/>
  <c r="IL56" i="4"/>
  <c r="IK56" i="4"/>
  <c r="IJ56" i="4"/>
  <c r="II56" i="4"/>
  <c r="IH56" i="4"/>
  <c r="IG56" i="4"/>
  <c r="IF56" i="4"/>
  <c r="IE56" i="4"/>
  <c r="ID56" i="4"/>
  <c r="IC56" i="4"/>
  <c r="IB56" i="4"/>
  <c r="IA56" i="4"/>
  <c r="HZ56" i="4"/>
  <c r="HY56" i="4"/>
  <c r="HW56" i="4"/>
  <c r="HV56" i="4"/>
  <c r="HU56" i="4"/>
  <c r="HT56" i="4"/>
  <c r="HS56" i="4"/>
  <c r="HR56" i="4"/>
  <c r="HQ56" i="4"/>
  <c r="HP56" i="4"/>
  <c r="HO56" i="4"/>
  <c r="HN56" i="4"/>
  <c r="HM56" i="4"/>
  <c r="HL56" i="4"/>
  <c r="HK56" i="4"/>
  <c r="HJ56" i="4"/>
  <c r="HI56" i="4"/>
  <c r="HH56" i="4"/>
  <c r="HG56" i="4"/>
  <c r="HF56" i="4"/>
  <c r="HD56" i="4"/>
  <c r="HC56" i="4"/>
  <c r="HB56" i="4"/>
  <c r="HA56" i="4"/>
  <c r="GZ56" i="4"/>
  <c r="GY56" i="4"/>
  <c r="GX56" i="4"/>
  <c r="GW56" i="4"/>
  <c r="GV56" i="4"/>
  <c r="GU56" i="4"/>
  <c r="GT56" i="4"/>
  <c r="GS56" i="4"/>
  <c r="GR56" i="4"/>
  <c r="GQ56" i="4"/>
  <c r="GP56" i="4"/>
  <c r="GO56" i="4"/>
  <c r="GN56" i="4"/>
  <c r="GM56" i="4"/>
  <c r="GK56" i="4"/>
  <c r="GJ56" i="4"/>
  <c r="GI56" i="4"/>
  <c r="GH56" i="4"/>
  <c r="GG56" i="4"/>
  <c r="GF56" i="4"/>
  <c r="GE56" i="4"/>
  <c r="GD56" i="4"/>
  <c r="GC56" i="4"/>
  <c r="GB56" i="4"/>
  <c r="GA56" i="4"/>
  <c r="FZ56" i="4"/>
  <c r="FY56" i="4"/>
  <c r="FX56" i="4"/>
  <c r="FW56" i="4"/>
  <c r="FV56" i="4"/>
  <c r="FU56" i="4"/>
  <c r="FT56" i="4"/>
  <c r="FR56" i="4"/>
  <c r="FQ56" i="4"/>
  <c r="FP56" i="4"/>
  <c r="FO56" i="4"/>
  <c r="FN56" i="4"/>
  <c r="FM56" i="4"/>
  <c r="FL56" i="4"/>
  <c r="FK56" i="4"/>
  <c r="FJ56" i="4"/>
  <c r="FI56" i="4"/>
  <c r="FH56" i="4"/>
  <c r="FG56" i="4"/>
  <c r="FF56" i="4"/>
  <c r="FE56" i="4"/>
  <c r="FD56" i="4"/>
  <c r="FC56" i="4"/>
  <c r="FB56" i="4"/>
  <c r="FA56" i="4"/>
  <c r="EY56" i="4"/>
  <c r="EX56" i="4"/>
  <c r="EW56" i="4"/>
  <c r="EV56" i="4"/>
  <c r="EU56" i="4"/>
  <c r="ET56" i="4"/>
  <c r="ES56" i="4"/>
  <c r="ER56" i="4"/>
  <c r="EQ56" i="4"/>
  <c r="EP56" i="4"/>
  <c r="EO56" i="4"/>
  <c r="EN56" i="4"/>
  <c r="EM56" i="4"/>
  <c r="EL56" i="4"/>
  <c r="EK56" i="4"/>
  <c r="EJ56" i="4"/>
  <c r="EI56" i="4"/>
  <c r="EH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C56" i="4"/>
  <c r="B56" i="4"/>
  <c r="A56" i="4"/>
  <c r="IV55" i="4"/>
  <c r="IU55" i="4"/>
  <c r="IT55" i="4"/>
  <c r="IS55" i="4"/>
  <c r="IR55" i="4"/>
  <c r="IQ55" i="4"/>
  <c r="IP55" i="4"/>
  <c r="IO55" i="4"/>
  <c r="IN55" i="4"/>
  <c r="IM55" i="4"/>
  <c r="IL55" i="4"/>
  <c r="IK55" i="4"/>
  <c r="IJ55" i="4"/>
  <c r="II55" i="4"/>
  <c r="IH55" i="4"/>
  <c r="IF55" i="4"/>
  <c r="IE55" i="4"/>
  <c r="ID55" i="4"/>
  <c r="IC55" i="4"/>
  <c r="IB55" i="4"/>
  <c r="IA55" i="4"/>
  <c r="HZ55" i="4"/>
  <c r="HY55" i="4"/>
  <c r="HX55" i="4"/>
  <c r="HW55" i="4"/>
  <c r="HV55" i="4"/>
  <c r="HU55" i="4"/>
  <c r="HT55" i="4"/>
  <c r="HS55" i="4"/>
  <c r="HR55" i="4"/>
  <c r="HQ55" i="4"/>
  <c r="HP55" i="4"/>
  <c r="HO55" i="4"/>
  <c r="HM55" i="4"/>
  <c r="HL55" i="4"/>
  <c r="HK55" i="4"/>
  <c r="HJ55" i="4"/>
  <c r="HI55" i="4"/>
  <c r="HH55" i="4"/>
  <c r="HG55" i="4"/>
  <c r="HF55" i="4"/>
  <c r="HE55" i="4"/>
  <c r="HD55" i="4"/>
  <c r="HC55" i="4"/>
  <c r="HB55" i="4"/>
  <c r="HA55" i="4"/>
  <c r="GZ55" i="4"/>
  <c r="GY55" i="4"/>
  <c r="GX55" i="4"/>
  <c r="GW55" i="4"/>
  <c r="GV55" i="4"/>
  <c r="GT55" i="4"/>
  <c r="GS55" i="4"/>
  <c r="GR55" i="4"/>
  <c r="GQ55" i="4"/>
  <c r="GP55" i="4"/>
  <c r="GO55" i="4"/>
  <c r="GN55" i="4"/>
  <c r="GM55" i="4"/>
  <c r="GL55" i="4"/>
  <c r="GK55" i="4"/>
  <c r="GJ55" i="4"/>
  <c r="GI55" i="4"/>
  <c r="GH55" i="4"/>
  <c r="GG55" i="4"/>
  <c r="GF55" i="4"/>
  <c r="GE55" i="4"/>
  <c r="GD55" i="4"/>
  <c r="GC55" i="4"/>
  <c r="GA55" i="4"/>
  <c r="FZ55" i="4"/>
  <c r="FY55" i="4"/>
  <c r="FX55" i="4"/>
  <c r="FW55" i="4"/>
  <c r="FV55" i="4"/>
  <c r="FU55" i="4"/>
  <c r="FT55" i="4"/>
  <c r="FS55" i="4"/>
  <c r="FR55" i="4"/>
  <c r="FQ55" i="4"/>
  <c r="FP55" i="4"/>
  <c r="FO55" i="4"/>
  <c r="FN55" i="4"/>
  <c r="FM55" i="4"/>
  <c r="FL55" i="4"/>
  <c r="FK55" i="4"/>
  <c r="FJ55" i="4"/>
  <c r="FH55" i="4"/>
  <c r="FG55" i="4"/>
  <c r="FF55" i="4"/>
  <c r="FE55" i="4"/>
  <c r="FD55" i="4"/>
  <c r="FC55" i="4"/>
  <c r="FB55" i="4"/>
  <c r="FA55" i="4"/>
  <c r="EZ55" i="4"/>
  <c r="EY55" i="4"/>
  <c r="EX55" i="4"/>
  <c r="EW55" i="4"/>
  <c r="EV55" i="4"/>
  <c r="EU55" i="4"/>
  <c r="ET55" i="4"/>
  <c r="ES55" i="4"/>
  <c r="ER55" i="4"/>
  <c r="EQ55" i="4"/>
  <c r="EO55" i="4"/>
  <c r="EN55" i="4"/>
  <c r="EM55" i="4"/>
  <c r="EL55" i="4"/>
  <c r="EK55" i="4"/>
  <c r="EJ55" i="4"/>
  <c r="EI55" i="4"/>
  <c r="EH55" i="4"/>
  <c r="EG55" i="4"/>
  <c r="EF55" i="4"/>
  <c r="EE55" i="4"/>
  <c r="ED55" i="4"/>
  <c r="EC55" i="4"/>
  <c r="EB55" i="4"/>
  <c r="EA55" i="4"/>
  <c r="DZ55" i="4"/>
  <c r="DY55" i="4"/>
  <c r="DX55" i="4"/>
  <c r="DV55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L55" i="4"/>
  <c r="K55" i="4"/>
  <c r="J55" i="4"/>
  <c r="I55" i="4"/>
  <c r="H55" i="4"/>
  <c r="G55" i="4"/>
  <c r="F55" i="4"/>
  <c r="E55" i="4"/>
  <c r="D55" i="4"/>
  <c r="C55" i="4"/>
  <c r="B55" i="4"/>
  <c r="A55" i="4"/>
  <c r="IV54" i="4"/>
  <c r="IU54" i="4"/>
  <c r="IT54" i="4"/>
  <c r="IS54" i="4"/>
  <c r="IR54" i="4"/>
  <c r="IQ54" i="4"/>
  <c r="IO54" i="4"/>
  <c r="IN54" i="4"/>
  <c r="IM54" i="4"/>
  <c r="IL54" i="4"/>
  <c r="IK54" i="4"/>
  <c r="IJ54" i="4"/>
  <c r="II54" i="4"/>
  <c r="IH54" i="4"/>
  <c r="IG54" i="4"/>
  <c r="IF54" i="4"/>
  <c r="IE54" i="4"/>
  <c r="ID54" i="4"/>
  <c r="IC54" i="4"/>
  <c r="IB54" i="4"/>
  <c r="IA54" i="4"/>
  <c r="HZ54" i="4"/>
  <c r="HY54" i="4"/>
  <c r="HX54" i="4"/>
  <c r="HV54" i="4"/>
  <c r="HU54" i="4"/>
  <c r="HT54" i="4"/>
  <c r="HS54" i="4"/>
  <c r="HR54" i="4"/>
  <c r="HQ54" i="4"/>
  <c r="HP54" i="4"/>
  <c r="HO54" i="4"/>
  <c r="HN54" i="4"/>
  <c r="HM54" i="4"/>
  <c r="HL54" i="4"/>
  <c r="HK54" i="4"/>
  <c r="HJ54" i="4"/>
  <c r="HI54" i="4"/>
  <c r="HH54" i="4"/>
  <c r="HG54" i="4"/>
  <c r="HF54" i="4"/>
  <c r="HE54" i="4"/>
  <c r="HC54" i="4"/>
  <c r="HB54" i="4"/>
  <c r="HA54" i="4"/>
  <c r="GZ54" i="4"/>
  <c r="GY54" i="4"/>
  <c r="GX54" i="4"/>
  <c r="GW54" i="4"/>
  <c r="GV54" i="4"/>
  <c r="GU54" i="4"/>
  <c r="GT54" i="4"/>
  <c r="GS54" i="4"/>
  <c r="GR54" i="4"/>
  <c r="GQ54" i="4"/>
  <c r="GP54" i="4"/>
  <c r="GO54" i="4"/>
  <c r="GN54" i="4"/>
  <c r="GM54" i="4"/>
  <c r="GL54" i="4"/>
  <c r="GJ54" i="4"/>
  <c r="GI54" i="4"/>
  <c r="GH54" i="4"/>
  <c r="GG54" i="4"/>
  <c r="GF54" i="4"/>
  <c r="GE54" i="4"/>
  <c r="GD54" i="4"/>
  <c r="GC54" i="4"/>
  <c r="GB54" i="4"/>
  <c r="GA54" i="4"/>
  <c r="FZ54" i="4"/>
  <c r="FY54" i="4"/>
  <c r="FX54" i="4"/>
  <c r="FW54" i="4"/>
  <c r="FV54" i="4"/>
  <c r="FU54" i="4"/>
  <c r="FT54" i="4"/>
  <c r="FS54" i="4"/>
  <c r="FQ54" i="4"/>
  <c r="FP54" i="4"/>
  <c r="FO54" i="4"/>
  <c r="FN54" i="4"/>
  <c r="FM54" i="4"/>
  <c r="FL54" i="4"/>
  <c r="FK54" i="4"/>
  <c r="FJ54" i="4"/>
  <c r="FI54" i="4"/>
  <c r="FH54" i="4"/>
  <c r="FG54" i="4"/>
  <c r="FF54" i="4"/>
  <c r="FE54" i="4"/>
  <c r="FD54" i="4"/>
  <c r="FC54" i="4"/>
  <c r="FB54" i="4"/>
  <c r="FA54" i="4"/>
  <c r="EZ54" i="4"/>
  <c r="EX54" i="4"/>
  <c r="EW54" i="4"/>
  <c r="EV54" i="4"/>
  <c r="EU54" i="4"/>
  <c r="ET54" i="4"/>
  <c r="ES54" i="4"/>
  <c r="ER54" i="4"/>
  <c r="EQ54" i="4"/>
  <c r="EP54" i="4"/>
  <c r="EO54" i="4"/>
  <c r="EN54" i="4"/>
  <c r="EM54" i="4"/>
  <c r="EL54" i="4"/>
  <c r="EK54" i="4"/>
  <c r="EJ54" i="4"/>
  <c r="EI54" i="4"/>
  <c r="EH54" i="4"/>
  <c r="EG54" i="4"/>
  <c r="EE54" i="4"/>
  <c r="ED54" i="4"/>
  <c r="EC54" i="4"/>
  <c r="EB54" i="4"/>
  <c r="EA54" i="4"/>
  <c r="DZ54" i="4"/>
  <c r="DY54" i="4"/>
  <c r="DX54" i="4"/>
  <c r="DW54" i="4"/>
  <c r="DV54" i="4"/>
  <c r="DU54" i="4"/>
  <c r="DT54" i="4"/>
  <c r="DS54" i="4"/>
  <c r="DR54" i="4"/>
  <c r="DQ54" i="4"/>
  <c r="DP54" i="4"/>
  <c r="DO54" i="4"/>
  <c r="DN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B54" i="4"/>
  <c r="A54" i="4"/>
  <c r="IV53" i="4"/>
  <c r="IU53" i="4"/>
  <c r="IT53" i="4"/>
  <c r="IS53" i="4"/>
  <c r="IR53" i="4"/>
  <c r="IQ53" i="4"/>
  <c r="IP53" i="4"/>
  <c r="IO53" i="4"/>
  <c r="IN53" i="4"/>
  <c r="IM53" i="4"/>
  <c r="IL53" i="4"/>
  <c r="IK53" i="4"/>
  <c r="IJ53" i="4"/>
  <c r="II53" i="4"/>
  <c r="IH53" i="4"/>
  <c r="IG53" i="4"/>
  <c r="IE53" i="4"/>
  <c r="ID53" i="4"/>
  <c r="IC53" i="4"/>
  <c r="IB53" i="4"/>
  <c r="IA53" i="4"/>
  <c r="HZ53" i="4"/>
  <c r="HY53" i="4"/>
  <c r="HX53" i="4"/>
  <c r="HW53" i="4"/>
  <c r="HV53" i="4"/>
  <c r="HU53" i="4"/>
  <c r="HT53" i="4"/>
  <c r="HS53" i="4"/>
  <c r="HR53" i="4"/>
  <c r="HQ53" i="4"/>
  <c r="HP53" i="4"/>
  <c r="HO53" i="4"/>
  <c r="HN53" i="4"/>
  <c r="HL53" i="4"/>
  <c r="HK53" i="4"/>
  <c r="HJ53" i="4"/>
  <c r="HI53" i="4"/>
  <c r="HH53" i="4"/>
  <c r="HG53" i="4"/>
  <c r="HF53" i="4"/>
  <c r="HE53" i="4"/>
  <c r="HD53" i="4"/>
  <c r="HC53" i="4"/>
  <c r="HB53" i="4"/>
  <c r="HA53" i="4"/>
  <c r="GZ53" i="4"/>
  <c r="GY53" i="4"/>
  <c r="GX53" i="4"/>
  <c r="GW53" i="4"/>
  <c r="GV53" i="4"/>
  <c r="GU53" i="4"/>
  <c r="GS53" i="4"/>
  <c r="GR53" i="4"/>
  <c r="GQ53" i="4"/>
  <c r="GP53" i="4"/>
  <c r="GO53" i="4"/>
  <c r="GN53" i="4"/>
  <c r="GM53" i="4"/>
  <c r="GL53" i="4"/>
  <c r="GK53" i="4"/>
  <c r="GJ53" i="4"/>
  <c r="GI53" i="4"/>
  <c r="GH53" i="4"/>
  <c r="GG53" i="4"/>
  <c r="GF53" i="4"/>
  <c r="GE53" i="4"/>
  <c r="GD53" i="4"/>
  <c r="GC53" i="4"/>
  <c r="GB53" i="4"/>
  <c r="FZ53" i="4"/>
  <c r="FY53" i="4"/>
  <c r="FX53" i="4"/>
  <c r="FW53" i="4"/>
  <c r="FV53" i="4"/>
  <c r="FU53" i="4"/>
  <c r="FT53" i="4"/>
  <c r="FS53" i="4"/>
  <c r="FR53" i="4"/>
  <c r="FQ53" i="4"/>
  <c r="FP53" i="4"/>
  <c r="FO53" i="4"/>
  <c r="FN53" i="4"/>
  <c r="FM53" i="4"/>
  <c r="FL53" i="4"/>
  <c r="FK53" i="4"/>
  <c r="FJ53" i="4"/>
  <c r="FI53" i="4"/>
  <c r="FG53" i="4"/>
  <c r="FF53" i="4"/>
  <c r="FE53" i="4"/>
  <c r="FD53" i="4"/>
  <c r="FC53" i="4"/>
  <c r="FB53" i="4"/>
  <c r="FA53" i="4"/>
  <c r="EZ53" i="4"/>
  <c r="EY53" i="4"/>
  <c r="EX53" i="4"/>
  <c r="EW53" i="4"/>
  <c r="EV53" i="4"/>
  <c r="EU53" i="4"/>
  <c r="ET53" i="4"/>
  <c r="ES53" i="4"/>
  <c r="ER53" i="4"/>
  <c r="EQ53" i="4"/>
  <c r="EP53" i="4"/>
  <c r="EN53" i="4"/>
  <c r="EM53" i="4"/>
  <c r="EL53" i="4"/>
  <c r="EK53" i="4"/>
  <c r="EJ53" i="4"/>
  <c r="EI53" i="4"/>
  <c r="EH53" i="4"/>
  <c r="EG53" i="4"/>
  <c r="EF53" i="4"/>
  <c r="EE53" i="4"/>
  <c r="ED53" i="4"/>
  <c r="EC53" i="4"/>
  <c r="EB53" i="4"/>
  <c r="EA53" i="4"/>
  <c r="DZ53" i="4"/>
  <c r="DY53" i="4"/>
  <c r="DX53" i="4"/>
  <c r="DW53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K53" i="4"/>
  <c r="J53" i="4"/>
  <c r="I53" i="4"/>
  <c r="H53" i="4"/>
  <c r="G53" i="4"/>
  <c r="F53" i="4"/>
  <c r="E53" i="4"/>
  <c r="D53" i="4"/>
  <c r="C53" i="4"/>
  <c r="B53" i="4"/>
  <c r="A53" i="4"/>
  <c r="IV52" i="4"/>
  <c r="IU52" i="4"/>
  <c r="IT52" i="4"/>
  <c r="IS52" i="4"/>
  <c r="IR52" i="4"/>
  <c r="IQ52" i="4"/>
  <c r="IP52" i="4"/>
  <c r="IN52" i="4"/>
  <c r="IM52" i="4"/>
  <c r="IL52" i="4"/>
  <c r="IK52" i="4"/>
  <c r="IJ52" i="4"/>
  <c r="II52" i="4"/>
  <c r="IH52" i="4"/>
  <c r="IG52" i="4"/>
  <c r="IF52" i="4"/>
  <c r="IE52" i="4"/>
  <c r="ID52" i="4"/>
  <c r="IC52" i="4"/>
  <c r="IB52" i="4"/>
  <c r="IA52" i="4"/>
  <c r="HZ52" i="4"/>
  <c r="HY52" i="4"/>
  <c r="HX52" i="4"/>
  <c r="HW52" i="4"/>
  <c r="HU52" i="4"/>
  <c r="HT52" i="4"/>
  <c r="HS52" i="4"/>
  <c r="HR52" i="4"/>
  <c r="HQ52" i="4"/>
  <c r="HP52" i="4"/>
  <c r="HO52" i="4"/>
  <c r="HN52" i="4"/>
  <c r="HM52" i="4"/>
  <c r="HL52" i="4"/>
  <c r="HK52" i="4"/>
  <c r="HJ52" i="4"/>
  <c r="HI52" i="4"/>
  <c r="HH52" i="4"/>
  <c r="HG52" i="4"/>
  <c r="HF52" i="4"/>
  <c r="HE52" i="4"/>
  <c r="HD52" i="4"/>
  <c r="HB52" i="4"/>
  <c r="HA52" i="4"/>
  <c r="GZ52" i="4"/>
  <c r="GY52" i="4"/>
  <c r="GX52" i="4"/>
  <c r="GW52" i="4"/>
  <c r="GV52" i="4"/>
  <c r="GU52" i="4"/>
  <c r="GT52" i="4"/>
  <c r="GS52" i="4"/>
  <c r="GR52" i="4"/>
  <c r="GQ52" i="4"/>
  <c r="GP52" i="4"/>
  <c r="GO52" i="4"/>
  <c r="GN52" i="4"/>
  <c r="GM52" i="4"/>
  <c r="GL52" i="4"/>
  <c r="GK52" i="4"/>
  <c r="GI52" i="4"/>
  <c r="GH52" i="4"/>
  <c r="GG52" i="4"/>
  <c r="GF52" i="4"/>
  <c r="GE52" i="4"/>
  <c r="GD52" i="4"/>
  <c r="GC52" i="4"/>
  <c r="GB52" i="4"/>
  <c r="GA52" i="4"/>
  <c r="FZ52" i="4"/>
  <c r="FY52" i="4"/>
  <c r="FX52" i="4"/>
  <c r="FW52" i="4"/>
  <c r="FV52" i="4"/>
  <c r="FU52" i="4"/>
  <c r="FT52" i="4"/>
  <c r="FS52" i="4"/>
  <c r="FR52" i="4"/>
  <c r="FP52" i="4"/>
  <c r="FO52" i="4"/>
  <c r="FN52" i="4"/>
  <c r="FM52" i="4"/>
  <c r="FL52" i="4"/>
  <c r="FK52" i="4"/>
  <c r="FJ52" i="4"/>
  <c r="FI52" i="4"/>
  <c r="FH52" i="4"/>
  <c r="FG52" i="4"/>
  <c r="FF52" i="4"/>
  <c r="FE52" i="4"/>
  <c r="FD52" i="4"/>
  <c r="FC52" i="4"/>
  <c r="FB52" i="4"/>
  <c r="FA52" i="4"/>
  <c r="EZ52" i="4"/>
  <c r="EY52" i="4"/>
  <c r="EW52" i="4"/>
  <c r="EV52" i="4"/>
  <c r="EU52" i="4"/>
  <c r="ET52" i="4"/>
  <c r="ES52" i="4"/>
  <c r="ER52" i="4"/>
  <c r="EQ52" i="4"/>
  <c r="EP52" i="4"/>
  <c r="EO52" i="4"/>
  <c r="EN52" i="4"/>
  <c r="EM52" i="4"/>
  <c r="EL52" i="4"/>
  <c r="EK52" i="4"/>
  <c r="EJ52" i="4"/>
  <c r="EI52" i="4"/>
  <c r="EH52" i="4"/>
  <c r="EG52" i="4"/>
  <c r="EF52" i="4"/>
  <c r="ED52" i="4"/>
  <c r="EC52" i="4"/>
  <c r="EB52" i="4"/>
  <c r="EA52" i="4"/>
  <c r="DZ52" i="4"/>
  <c r="DY52" i="4"/>
  <c r="DX52" i="4"/>
  <c r="DW52" i="4"/>
  <c r="DV52" i="4"/>
  <c r="DU52" i="4"/>
  <c r="DT52" i="4"/>
  <c r="DS52" i="4"/>
  <c r="DR52" i="4"/>
  <c r="DQ52" i="4"/>
  <c r="DP52" i="4"/>
  <c r="DO52" i="4"/>
  <c r="DN52" i="4"/>
  <c r="DM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A52" i="4"/>
  <c r="IV51" i="4"/>
  <c r="IU51" i="4"/>
  <c r="IT51" i="4"/>
  <c r="IS51" i="4"/>
  <c r="IR51" i="4"/>
  <c r="IQ51" i="4"/>
  <c r="IP51" i="4"/>
  <c r="IO51" i="4"/>
  <c r="IN51" i="4"/>
  <c r="IM51" i="4"/>
  <c r="IL51" i="4"/>
  <c r="IK51" i="4"/>
  <c r="IJ51" i="4"/>
  <c r="II51" i="4"/>
  <c r="IH51" i="4"/>
  <c r="IG51" i="4"/>
  <c r="IF51" i="4"/>
  <c r="ID51" i="4"/>
  <c r="IC51" i="4"/>
  <c r="IB51" i="4"/>
  <c r="IA51" i="4"/>
  <c r="HZ51" i="4"/>
  <c r="HY51" i="4"/>
  <c r="HX51" i="4"/>
  <c r="HW51" i="4"/>
  <c r="HV51" i="4"/>
  <c r="HU51" i="4"/>
  <c r="HT51" i="4"/>
  <c r="HS51" i="4"/>
  <c r="HR51" i="4"/>
  <c r="HQ51" i="4"/>
  <c r="HP51" i="4"/>
  <c r="HO51" i="4"/>
  <c r="HN51" i="4"/>
  <c r="HM51" i="4"/>
  <c r="HK51" i="4"/>
  <c r="HJ51" i="4"/>
  <c r="HI51" i="4"/>
  <c r="HH51" i="4"/>
  <c r="HG51" i="4"/>
  <c r="HF51" i="4"/>
  <c r="HE51" i="4"/>
  <c r="HD51" i="4"/>
  <c r="HC51" i="4"/>
  <c r="HB51" i="4"/>
  <c r="HA51" i="4"/>
  <c r="GZ51" i="4"/>
  <c r="GY51" i="4"/>
  <c r="GX51" i="4"/>
  <c r="GW51" i="4"/>
  <c r="GV51" i="4"/>
  <c r="GU51" i="4"/>
  <c r="GT51" i="4"/>
  <c r="GR51" i="4"/>
  <c r="GQ51" i="4"/>
  <c r="GP51" i="4"/>
  <c r="GO51" i="4"/>
  <c r="GN51" i="4"/>
  <c r="GM51" i="4"/>
  <c r="GL51" i="4"/>
  <c r="GK51" i="4"/>
  <c r="GJ51" i="4"/>
  <c r="GI51" i="4"/>
  <c r="GH51" i="4"/>
  <c r="GG51" i="4"/>
  <c r="GF51" i="4"/>
  <c r="GE51" i="4"/>
  <c r="GD51" i="4"/>
  <c r="GC51" i="4"/>
  <c r="GB51" i="4"/>
  <c r="GA51" i="4"/>
  <c r="FY51" i="4"/>
  <c r="FX51" i="4"/>
  <c r="FW51" i="4"/>
  <c r="FV51" i="4"/>
  <c r="FU51" i="4"/>
  <c r="FT51" i="4"/>
  <c r="FS51" i="4"/>
  <c r="FR51" i="4"/>
  <c r="FQ51" i="4"/>
  <c r="FP51" i="4"/>
  <c r="FO51" i="4"/>
  <c r="FN51" i="4"/>
  <c r="FM51" i="4"/>
  <c r="FL51" i="4"/>
  <c r="FK51" i="4"/>
  <c r="FJ51" i="4"/>
  <c r="FI51" i="4"/>
  <c r="FH51" i="4"/>
  <c r="FF51" i="4"/>
  <c r="FE51" i="4"/>
  <c r="FD51" i="4"/>
  <c r="FC51" i="4"/>
  <c r="FB51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EO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J51" i="4"/>
  <c r="I51" i="4"/>
  <c r="H51" i="4"/>
  <c r="G51" i="4"/>
  <c r="F51" i="4"/>
  <c r="E51" i="4"/>
  <c r="D51" i="4"/>
  <c r="C51" i="4"/>
  <c r="B51" i="4"/>
  <c r="A51" i="4"/>
  <c r="IV50" i="4"/>
  <c r="IU50" i="4"/>
  <c r="IT50" i="4"/>
  <c r="IS50" i="4"/>
  <c r="IR50" i="4"/>
  <c r="IQ50" i="4"/>
  <c r="IP50" i="4"/>
  <c r="IO50" i="4"/>
  <c r="IM50" i="4"/>
  <c r="IL50" i="4"/>
  <c r="IK50" i="4"/>
  <c r="IJ50" i="4"/>
  <c r="II50" i="4"/>
  <c r="IH50" i="4"/>
  <c r="IG50" i="4"/>
  <c r="IF50" i="4"/>
  <c r="IE50" i="4"/>
  <c r="ID50" i="4"/>
  <c r="IC50" i="4"/>
  <c r="IB50" i="4"/>
  <c r="IA50" i="4"/>
  <c r="HZ50" i="4"/>
  <c r="HY50" i="4"/>
  <c r="HX50" i="4"/>
  <c r="HW50" i="4"/>
  <c r="HV50" i="4"/>
  <c r="HT50" i="4"/>
  <c r="HS50" i="4"/>
  <c r="HR50" i="4"/>
  <c r="HQ50" i="4"/>
  <c r="HP50" i="4"/>
  <c r="HO50" i="4"/>
  <c r="HN50" i="4"/>
  <c r="HM50" i="4"/>
  <c r="HL50" i="4"/>
  <c r="HK50" i="4"/>
  <c r="HJ50" i="4"/>
  <c r="HI50" i="4"/>
  <c r="HH50" i="4"/>
  <c r="HG50" i="4"/>
  <c r="HF50" i="4"/>
  <c r="HE50" i="4"/>
  <c r="HD50" i="4"/>
  <c r="HC50" i="4"/>
  <c r="HA50" i="4"/>
  <c r="GZ50" i="4"/>
  <c r="GY50" i="4"/>
  <c r="GX50" i="4"/>
  <c r="GW50" i="4"/>
  <c r="GV50" i="4"/>
  <c r="GU50" i="4"/>
  <c r="GT50" i="4"/>
  <c r="GS50" i="4"/>
  <c r="GR50" i="4"/>
  <c r="GQ50" i="4"/>
  <c r="GP50" i="4"/>
  <c r="GO50" i="4"/>
  <c r="GN50" i="4"/>
  <c r="GM50" i="4"/>
  <c r="GL50" i="4"/>
  <c r="GK50" i="4"/>
  <c r="GJ50" i="4"/>
  <c r="GH50" i="4"/>
  <c r="GG50" i="4"/>
  <c r="GF50" i="4"/>
  <c r="GE50" i="4"/>
  <c r="GD50" i="4"/>
  <c r="GC50" i="4"/>
  <c r="GB50" i="4"/>
  <c r="GA50" i="4"/>
  <c r="FZ50" i="4"/>
  <c r="FY50" i="4"/>
  <c r="FX50" i="4"/>
  <c r="FW50" i="4"/>
  <c r="FV50" i="4"/>
  <c r="FU50" i="4"/>
  <c r="FT50" i="4"/>
  <c r="FS50" i="4"/>
  <c r="FR50" i="4"/>
  <c r="FQ50" i="4"/>
  <c r="FO50" i="4"/>
  <c r="FN50" i="4"/>
  <c r="FM50" i="4"/>
  <c r="FL50" i="4"/>
  <c r="FK50" i="4"/>
  <c r="FJ50" i="4"/>
  <c r="FI50" i="4"/>
  <c r="FH50" i="4"/>
  <c r="FG50" i="4"/>
  <c r="FF50" i="4"/>
  <c r="FE50" i="4"/>
  <c r="FD50" i="4"/>
  <c r="FC50" i="4"/>
  <c r="FB50" i="4"/>
  <c r="FA50" i="4"/>
  <c r="EZ50" i="4"/>
  <c r="EY50" i="4"/>
  <c r="EX50" i="4"/>
  <c r="EV50" i="4"/>
  <c r="EU50" i="4"/>
  <c r="ET50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IV49" i="4"/>
  <c r="IU49" i="4"/>
  <c r="IT49" i="4"/>
  <c r="IS49" i="4"/>
  <c r="IR49" i="4"/>
  <c r="IQ49" i="4"/>
  <c r="IP49" i="4"/>
  <c r="IO49" i="4"/>
  <c r="IN49" i="4"/>
  <c r="IM49" i="4"/>
  <c r="IL49" i="4"/>
  <c r="IK49" i="4"/>
  <c r="IJ49" i="4"/>
  <c r="II49" i="4"/>
  <c r="IH49" i="4"/>
  <c r="IG49" i="4"/>
  <c r="IF49" i="4"/>
  <c r="IE49" i="4"/>
  <c r="ID49" i="4"/>
  <c r="IC49" i="4"/>
  <c r="IB49" i="4"/>
  <c r="IA49" i="4"/>
  <c r="HZ49" i="4"/>
  <c r="HY49" i="4"/>
  <c r="HX49" i="4"/>
  <c r="HW49" i="4"/>
  <c r="HV49" i="4"/>
  <c r="HU49" i="4"/>
  <c r="HT49" i="4"/>
  <c r="HS49" i="4"/>
  <c r="HR49" i="4"/>
  <c r="HQ49" i="4"/>
  <c r="HP49" i="4"/>
  <c r="HO49" i="4"/>
  <c r="HN49" i="4"/>
  <c r="HM49" i="4"/>
  <c r="HL49" i="4"/>
  <c r="HK49" i="4"/>
  <c r="HJ49" i="4"/>
  <c r="HI49" i="4"/>
  <c r="HH49" i="4"/>
  <c r="HG49" i="4"/>
  <c r="HF49" i="4"/>
  <c r="HE49" i="4"/>
  <c r="HD49" i="4"/>
  <c r="HC49" i="4"/>
  <c r="HB49" i="4"/>
  <c r="HA49" i="4"/>
  <c r="GZ49" i="4"/>
  <c r="GY49" i="4"/>
  <c r="GX49" i="4"/>
  <c r="GW49" i="4"/>
  <c r="GV49" i="4"/>
  <c r="GU49" i="4"/>
  <c r="GT49" i="4"/>
  <c r="GS49" i="4"/>
  <c r="GR49" i="4"/>
  <c r="GQ49" i="4"/>
  <c r="GP49" i="4"/>
  <c r="GO49" i="4"/>
  <c r="GN49" i="4"/>
  <c r="GM49" i="4"/>
  <c r="GL49" i="4"/>
  <c r="GK49" i="4"/>
  <c r="GJ49" i="4"/>
  <c r="GI49" i="4"/>
  <c r="GH49" i="4"/>
  <c r="GG49" i="4"/>
  <c r="GF49" i="4"/>
  <c r="GE49" i="4"/>
  <c r="GD49" i="4"/>
  <c r="GC49" i="4"/>
  <c r="GB49" i="4"/>
  <c r="GA49" i="4"/>
  <c r="FZ49" i="4"/>
  <c r="FY49" i="4"/>
  <c r="FX49" i="4"/>
  <c r="FW49" i="4"/>
  <c r="FV49" i="4"/>
  <c r="FU49" i="4"/>
  <c r="FT49" i="4"/>
  <c r="FS49" i="4"/>
  <c r="FR49" i="4"/>
  <c r="FQ49" i="4"/>
  <c r="FP49" i="4"/>
  <c r="FO49" i="4"/>
  <c r="FN49" i="4"/>
  <c r="FM49" i="4"/>
  <c r="FL49" i="4"/>
  <c r="FK49" i="4"/>
  <c r="FJ49" i="4"/>
  <c r="FI49" i="4"/>
  <c r="FH49" i="4"/>
  <c r="FG49" i="4"/>
  <c r="FF49" i="4"/>
  <c r="FE49" i="4"/>
  <c r="FD49" i="4"/>
  <c r="FC49" i="4"/>
  <c r="FB49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IV48" i="4"/>
  <c r="IU48" i="4"/>
  <c r="IT48" i="4"/>
  <c r="IS48" i="4"/>
  <c r="IR48" i="4"/>
  <c r="IQ48" i="4"/>
  <c r="IP48" i="4"/>
  <c r="IO48" i="4"/>
  <c r="IN48" i="4"/>
  <c r="IM48" i="4"/>
  <c r="IL48" i="4"/>
  <c r="IK48" i="4"/>
  <c r="IJ48" i="4"/>
  <c r="II48" i="4"/>
  <c r="IH48" i="4"/>
  <c r="IG48" i="4"/>
  <c r="IF48" i="4"/>
  <c r="IE48" i="4"/>
  <c r="ID48" i="4"/>
  <c r="IC48" i="4"/>
  <c r="IB48" i="4"/>
  <c r="IA48" i="4"/>
  <c r="HZ48" i="4"/>
  <c r="HY48" i="4"/>
  <c r="HX48" i="4"/>
  <c r="HW48" i="4"/>
  <c r="HV48" i="4"/>
  <c r="HU48" i="4"/>
  <c r="HT48" i="4"/>
  <c r="HS48" i="4"/>
  <c r="HR48" i="4"/>
  <c r="HQ48" i="4"/>
  <c r="HP48" i="4"/>
  <c r="HO48" i="4"/>
  <c r="HN48" i="4"/>
  <c r="HM48" i="4"/>
  <c r="HL48" i="4"/>
  <c r="HK48" i="4"/>
  <c r="HJ48" i="4"/>
  <c r="HI48" i="4"/>
  <c r="HH48" i="4"/>
  <c r="HG48" i="4"/>
  <c r="HF48" i="4"/>
  <c r="HE48" i="4"/>
  <c r="HD48" i="4"/>
  <c r="HC48" i="4"/>
  <c r="HB48" i="4"/>
  <c r="HA48" i="4"/>
  <c r="GZ48" i="4"/>
  <c r="GY48" i="4"/>
  <c r="GX48" i="4"/>
  <c r="GW48" i="4"/>
  <c r="GV48" i="4"/>
  <c r="GU48" i="4"/>
  <c r="GT48" i="4"/>
  <c r="GS48" i="4"/>
  <c r="GR48" i="4"/>
  <c r="GQ48" i="4"/>
  <c r="GP48" i="4"/>
  <c r="GO48" i="4"/>
  <c r="GN48" i="4"/>
  <c r="GM48" i="4"/>
  <c r="GL48" i="4"/>
  <c r="GK48" i="4"/>
  <c r="GJ48" i="4"/>
  <c r="GI48" i="4"/>
  <c r="GH48" i="4"/>
  <c r="GG48" i="4"/>
  <c r="GF48" i="4"/>
  <c r="GE48" i="4"/>
  <c r="GD48" i="4"/>
  <c r="GC48" i="4"/>
  <c r="GB48" i="4"/>
  <c r="GA48" i="4"/>
  <c r="FZ48" i="4"/>
  <c r="FY48" i="4"/>
  <c r="FX48" i="4"/>
  <c r="FW48" i="4"/>
  <c r="FV48" i="4"/>
  <c r="FU48" i="4"/>
  <c r="FT48" i="4"/>
  <c r="FS48" i="4"/>
  <c r="FR48" i="4"/>
  <c r="FQ48" i="4"/>
  <c r="FP48" i="4"/>
  <c r="FO48" i="4"/>
  <c r="FN48" i="4"/>
  <c r="FM48" i="4"/>
  <c r="FL48" i="4"/>
  <c r="FK48" i="4"/>
  <c r="FJ48" i="4"/>
  <c r="FI48" i="4"/>
  <c r="FH48" i="4"/>
  <c r="FG48" i="4"/>
  <c r="FF48" i="4"/>
  <c r="FE48" i="4"/>
  <c r="FD48" i="4"/>
  <c r="FC48" i="4"/>
  <c r="FB48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IV47" i="4"/>
  <c r="IU47" i="4"/>
  <c r="IT47" i="4"/>
  <c r="IS47" i="4"/>
  <c r="IR47" i="4"/>
  <c r="IQ47" i="4"/>
  <c r="IP47" i="4"/>
  <c r="IO47" i="4"/>
  <c r="IN47" i="4"/>
  <c r="IM47" i="4"/>
  <c r="IL47" i="4"/>
  <c r="IK47" i="4"/>
  <c r="IJ47" i="4"/>
  <c r="II47" i="4"/>
  <c r="IH47" i="4"/>
  <c r="IG47" i="4"/>
  <c r="IF47" i="4"/>
  <c r="IE47" i="4"/>
  <c r="ID47" i="4"/>
  <c r="IC47" i="4"/>
  <c r="IB47" i="4"/>
  <c r="IA47" i="4"/>
  <c r="HZ47" i="4"/>
  <c r="HY47" i="4"/>
  <c r="HX47" i="4"/>
  <c r="HW47" i="4"/>
  <c r="HV47" i="4"/>
  <c r="HU47" i="4"/>
  <c r="HT47" i="4"/>
  <c r="HS47" i="4"/>
  <c r="HR47" i="4"/>
  <c r="HQ47" i="4"/>
  <c r="HP47" i="4"/>
  <c r="HO47" i="4"/>
  <c r="HN47" i="4"/>
  <c r="HM47" i="4"/>
  <c r="HL47" i="4"/>
  <c r="HK47" i="4"/>
  <c r="HJ47" i="4"/>
  <c r="HI47" i="4"/>
  <c r="HH47" i="4"/>
  <c r="HG47" i="4"/>
  <c r="HF47" i="4"/>
  <c r="HE47" i="4"/>
  <c r="HD47" i="4"/>
  <c r="HC47" i="4"/>
  <c r="HB47" i="4"/>
  <c r="HA47" i="4"/>
  <c r="GZ47" i="4"/>
  <c r="GY47" i="4"/>
  <c r="GX47" i="4"/>
  <c r="GW47" i="4"/>
  <c r="GV47" i="4"/>
  <c r="GU47" i="4"/>
  <c r="GT47" i="4"/>
  <c r="GS47" i="4"/>
  <c r="GR47" i="4"/>
  <c r="GQ47" i="4"/>
  <c r="GP47" i="4"/>
  <c r="GO47" i="4"/>
  <c r="GN47" i="4"/>
  <c r="GM47" i="4"/>
  <c r="GL47" i="4"/>
  <c r="GK47" i="4"/>
  <c r="GJ47" i="4"/>
  <c r="GI47" i="4"/>
  <c r="GH47" i="4"/>
  <c r="GG47" i="4"/>
  <c r="GF47" i="4"/>
  <c r="GE47" i="4"/>
  <c r="GD47" i="4"/>
  <c r="GC47" i="4"/>
  <c r="GB47" i="4"/>
  <c r="GA47" i="4"/>
  <c r="FZ47" i="4"/>
  <c r="FY47" i="4"/>
  <c r="FX47" i="4"/>
  <c r="FW47" i="4"/>
  <c r="FV47" i="4"/>
  <c r="FU47" i="4"/>
  <c r="FT47" i="4"/>
  <c r="FS47" i="4"/>
  <c r="FR47" i="4"/>
  <c r="FQ47" i="4"/>
  <c r="FP47" i="4"/>
  <c r="FO47" i="4"/>
  <c r="FN47" i="4"/>
  <c r="FM47" i="4"/>
  <c r="FL47" i="4"/>
  <c r="FK47" i="4"/>
  <c r="FJ47" i="4"/>
  <c r="FI47" i="4"/>
  <c r="FH47" i="4"/>
  <c r="FG47" i="4"/>
  <c r="FF47" i="4"/>
  <c r="FE47" i="4"/>
  <c r="FD47" i="4"/>
  <c r="FC47" i="4"/>
  <c r="FB47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IV46" i="4"/>
  <c r="IU46" i="4"/>
  <c r="IT46" i="4"/>
  <c r="IS46" i="4"/>
  <c r="IR46" i="4"/>
  <c r="IQ46" i="4"/>
  <c r="IP46" i="4"/>
  <c r="IO46" i="4"/>
  <c r="IN46" i="4"/>
  <c r="IM46" i="4"/>
  <c r="IL46" i="4"/>
  <c r="IK46" i="4"/>
  <c r="IJ46" i="4"/>
  <c r="II46" i="4"/>
  <c r="IH46" i="4"/>
  <c r="IG46" i="4"/>
  <c r="IF46" i="4"/>
  <c r="IE46" i="4"/>
  <c r="ID46" i="4"/>
  <c r="IC46" i="4"/>
  <c r="IB46" i="4"/>
  <c r="IA46" i="4"/>
  <c r="HZ46" i="4"/>
  <c r="HY46" i="4"/>
  <c r="HX46" i="4"/>
  <c r="HW46" i="4"/>
  <c r="HV46" i="4"/>
  <c r="HU46" i="4"/>
  <c r="HT46" i="4"/>
  <c r="HS46" i="4"/>
  <c r="HR46" i="4"/>
  <c r="HQ46" i="4"/>
  <c r="HP46" i="4"/>
  <c r="HO46" i="4"/>
  <c r="HN46" i="4"/>
  <c r="HM46" i="4"/>
  <c r="HL46" i="4"/>
  <c r="HK46" i="4"/>
  <c r="HJ46" i="4"/>
  <c r="HI46" i="4"/>
  <c r="HH46" i="4"/>
  <c r="HG46" i="4"/>
  <c r="HF46" i="4"/>
  <c r="HE46" i="4"/>
  <c r="HD46" i="4"/>
  <c r="HC46" i="4"/>
  <c r="HB46" i="4"/>
  <c r="HA46" i="4"/>
  <c r="GZ46" i="4"/>
  <c r="GY46" i="4"/>
  <c r="GX46" i="4"/>
  <c r="GW46" i="4"/>
  <c r="GV46" i="4"/>
  <c r="GU46" i="4"/>
  <c r="GT46" i="4"/>
  <c r="GS46" i="4"/>
  <c r="GR46" i="4"/>
  <c r="GQ46" i="4"/>
  <c r="GP46" i="4"/>
  <c r="GO46" i="4"/>
  <c r="GN46" i="4"/>
  <c r="GM46" i="4"/>
  <c r="GL46" i="4"/>
  <c r="GK46" i="4"/>
  <c r="GJ46" i="4"/>
  <c r="GI46" i="4"/>
  <c r="GH46" i="4"/>
  <c r="GG46" i="4"/>
  <c r="GF46" i="4"/>
  <c r="GE46" i="4"/>
  <c r="GD46" i="4"/>
  <c r="GC46" i="4"/>
  <c r="GB46" i="4"/>
  <c r="GA46" i="4"/>
  <c r="FZ46" i="4"/>
  <c r="FY46" i="4"/>
  <c r="FX46" i="4"/>
  <c r="FW46" i="4"/>
  <c r="FV46" i="4"/>
  <c r="FU46" i="4"/>
  <c r="FT46" i="4"/>
  <c r="FS46" i="4"/>
  <c r="FR46" i="4"/>
  <c r="FQ46" i="4"/>
  <c r="FP46" i="4"/>
  <c r="FO46" i="4"/>
  <c r="FN46" i="4"/>
  <c r="FM46" i="4"/>
  <c r="FL46" i="4"/>
  <c r="FK46" i="4"/>
  <c r="FJ46" i="4"/>
  <c r="FI46" i="4"/>
  <c r="FH46" i="4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IV45" i="4"/>
  <c r="IU45" i="4"/>
  <c r="IT45" i="4"/>
  <c r="IS45" i="4"/>
  <c r="IR45" i="4"/>
  <c r="IQ45" i="4"/>
  <c r="IP45" i="4"/>
  <c r="IO45" i="4"/>
  <c r="IN45" i="4"/>
  <c r="IM45" i="4"/>
  <c r="IL45" i="4"/>
  <c r="IK45" i="4"/>
  <c r="IJ45" i="4"/>
  <c r="II45" i="4"/>
  <c r="IH45" i="4"/>
  <c r="IG45" i="4"/>
  <c r="IF45" i="4"/>
  <c r="IE45" i="4"/>
  <c r="ID45" i="4"/>
  <c r="IC45" i="4"/>
  <c r="IB45" i="4"/>
  <c r="IA45" i="4"/>
  <c r="HZ45" i="4"/>
  <c r="HY45" i="4"/>
  <c r="HX45" i="4"/>
  <c r="HW45" i="4"/>
  <c r="HV45" i="4"/>
  <c r="HU45" i="4"/>
  <c r="HT45" i="4"/>
  <c r="HS45" i="4"/>
  <c r="HR45" i="4"/>
  <c r="HQ45" i="4"/>
  <c r="HP45" i="4"/>
  <c r="HO45" i="4"/>
  <c r="HN45" i="4"/>
  <c r="HM45" i="4"/>
  <c r="HL45" i="4"/>
  <c r="HK45" i="4"/>
  <c r="HJ45" i="4"/>
  <c r="HI45" i="4"/>
  <c r="HH45" i="4"/>
  <c r="HG45" i="4"/>
  <c r="HF45" i="4"/>
  <c r="HE45" i="4"/>
  <c r="HD45" i="4"/>
  <c r="HC45" i="4"/>
  <c r="HB45" i="4"/>
  <c r="HA45" i="4"/>
  <c r="GZ45" i="4"/>
  <c r="GY45" i="4"/>
  <c r="GX45" i="4"/>
  <c r="GW45" i="4"/>
  <c r="GV45" i="4"/>
  <c r="GU45" i="4"/>
  <c r="GT45" i="4"/>
  <c r="GS45" i="4"/>
  <c r="GR45" i="4"/>
  <c r="GQ45" i="4"/>
  <c r="GP45" i="4"/>
  <c r="GO45" i="4"/>
  <c r="GN45" i="4"/>
  <c r="GM45" i="4"/>
  <c r="GL45" i="4"/>
  <c r="GK45" i="4"/>
  <c r="GJ45" i="4"/>
  <c r="GI45" i="4"/>
  <c r="GH45" i="4"/>
  <c r="GG45" i="4"/>
  <c r="GF45" i="4"/>
  <c r="GE45" i="4"/>
  <c r="GD45" i="4"/>
  <c r="GC45" i="4"/>
  <c r="GB45" i="4"/>
  <c r="GA45" i="4"/>
  <c r="FZ45" i="4"/>
  <c r="FY45" i="4"/>
  <c r="FX45" i="4"/>
  <c r="FW45" i="4"/>
  <c r="FV45" i="4"/>
  <c r="FU45" i="4"/>
  <c r="FT45" i="4"/>
  <c r="FS45" i="4"/>
  <c r="FR45" i="4"/>
  <c r="FQ45" i="4"/>
  <c r="FP45" i="4"/>
  <c r="FO45" i="4"/>
  <c r="FN45" i="4"/>
  <c r="FM45" i="4"/>
  <c r="FL45" i="4"/>
  <c r="FK45" i="4"/>
  <c r="FJ45" i="4"/>
  <c r="FI45" i="4"/>
  <c r="FH45" i="4"/>
  <c r="FG45" i="4"/>
  <c r="FF45" i="4"/>
  <c r="FE45" i="4"/>
  <c r="FD45" i="4"/>
  <c r="FC45" i="4"/>
  <c r="FB45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IV44" i="4"/>
  <c r="IU44" i="4"/>
  <c r="IT44" i="4"/>
  <c r="IS44" i="4"/>
  <c r="IR44" i="4"/>
  <c r="IQ44" i="4"/>
  <c r="IP44" i="4"/>
  <c r="IO44" i="4"/>
  <c r="IN44" i="4"/>
  <c r="IM44" i="4"/>
  <c r="IL44" i="4"/>
  <c r="IK44" i="4"/>
  <c r="IJ44" i="4"/>
  <c r="II44" i="4"/>
  <c r="IH44" i="4"/>
  <c r="IG44" i="4"/>
  <c r="IF44" i="4"/>
  <c r="IE44" i="4"/>
  <c r="ID44" i="4"/>
  <c r="IC44" i="4"/>
  <c r="IB44" i="4"/>
  <c r="IA44" i="4"/>
  <c r="HZ44" i="4"/>
  <c r="HY44" i="4"/>
  <c r="HX44" i="4"/>
  <c r="HW44" i="4"/>
  <c r="HV44" i="4"/>
  <c r="HU44" i="4"/>
  <c r="HT44" i="4"/>
  <c r="HS44" i="4"/>
  <c r="HR44" i="4"/>
  <c r="HQ44" i="4"/>
  <c r="HP44" i="4"/>
  <c r="HO44" i="4"/>
  <c r="HN44" i="4"/>
  <c r="HM44" i="4"/>
  <c r="HL44" i="4"/>
  <c r="HK44" i="4"/>
  <c r="HJ44" i="4"/>
  <c r="HI44" i="4"/>
  <c r="HH44" i="4"/>
  <c r="HG44" i="4"/>
  <c r="HF44" i="4"/>
  <c r="HE44" i="4"/>
  <c r="HD44" i="4"/>
  <c r="HC44" i="4"/>
  <c r="HB44" i="4"/>
  <c r="HA44" i="4"/>
  <c r="GZ44" i="4"/>
  <c r="GY44" i="4"/>
  <c r="GX44" i="4"/>
  <c r="GW44" i="4"/>
  <c r="GV44" i="4"/>
  <c r="GU44" i="4"/>
  <c r="GT44" i="4"/>
  <c r="GS44" i="4"/>
  <c r="GR44" i="4"/>
  <c r="GQ44" i="4"/>
  <c r="GP44" i="4"/>
  <c r="GO44" i="4"/>
  <c r="GN44" i="4"/>
  <c r="GM44" i="4"/>
  <c r="GL44" i="4"/>
  <c r="GK44" i="4"/>
  <c r="GJ44" i="4"/>
  <c r="GI44" i="4"/>
  <c r="GH44" i="4"/>
  <c r="GG44" i="4"/>
  <c r="GF44" i="4"/>
  <c r="GE44" i="4"/>
  <c r="GD44" i="4"/>
  <c r="GC44" i="4"/>
  <c r="GB44" i="4"/>
  <c r="GA44" i="4"/>
  <c r="FZ44" i="4"/>
  <c r="FY44" i="4"/>
  <c r="FX44" i="4"/>
  <c r="FW44" i="4"/>
  <c r="FV44" i="4"/>
  <c r="FU44" i="4"/>
  <c r="FT44" i="4"/>
  <c r="FS44" i="4"/>
  <c r="FR44" i="4"/>
  <c r="FQ44" i="4"/>
  <c r="FP44" i="4"/>
  <c r="FO44" i="4"/>
  <c r="FN44" i="4"/>
  <c r="FM44" i="4"/>
  <c r="FL44" i="4"/>
  <c r="FK44" i="4"/>
  <c r="FJ44" i="4"/>
  <c r="FI44" i="4"/>
  <c r="FH44" i="4"/>
  <c r="FG44" i="4"/>
  <c r="FF44" i="4"/>
  <c r="FE44" i="4"/>
  <c r="FD44" i="4"/>
  <c r="FC44" i="4"/>
  <c r="FB44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IV43" i="4"/>
  <c r="IU43" i="4"/>
  <c r="IT43" i="4"/>
  <c r="IS43" i="4"/>
  <c r="IR43" i="4"/>
  <c r="IQ43" i="4"/>
  <c r="IP43" i="4"/>
  <c r="IO43" i="4"/>
  <c r="IN43" i="4"/>
  <c r="IM43" i="4"/>
  <c r="IL43" i="4"/>
  <c r="IK43" i="4"/>
  <c r="IJ43" i="4"/>
  <c r="II43" i="4"/>
  <c r="IH43" i="4"/>
  <c r="IG43" i="4"/>
  <c r="IF43" i="4"/>
  <c r="IE43" i="4"/>
  <c r="ID43" i="4"/>
  <c r="IC43" i="4"/>
  <c r="IB43" i="4"/>
  <c r="IA43" i="4"/>
  <c r="HZ43" i="4"/>
  <c r="HY43" i="4"/>
  <c r="HX43" i="4"/>
  <c r="HW43" i="4"/>
  <c r="HV43" i="4"/>
  <c r="HU43" i="4"/>
  <c r="HT43" i="4"/>
  <c r="HS43" i="4"/>
  <c r="HR43" i="4"/>
  <c r="HQ43" i="4"/>
  <c r="HP43" i="4"/>
  <c r="HO43" i="4"/>
  <c r="HN43" i="4"/>
  <c r="HM43" i="4"/>
  <c r="HL43" i="4"/>
  <c r="HK43" i="4"/>
  <c r="HJ43" i="4"/>
  <c r="HI43" i="4"/>
  <c r="HH43" i="4"/>
  <c r="HG43" i="4"/>
  <c r="HF43" i="4"/>
  <c r="HE43" i="4"/>
  <c r="HD43" i="4"/>
  <c r="HC43" i="4"/>
  <c r="HB43" i="4"/>
  <c r="HA43" i="4"/>
  <c r="GZ43" i="4"/>
  <c r="GY43" i="4"/>
  <c r="GX43" i="4"/>
  <c r="GW43" i="4"/>
  <c r="GV43" i="4"/>
  <c r="GU43" i="4"/>
  <c r="GT43" i="4"/>
  <c r="GS43" i="4"/>
  <c r="GR43" i="4"/>
  <c r="GQ43" i="4"/>
  <c r="GP43" i="4"/>
  <c r="GO43" i="4"/>
  <c r="GN43" i="4"/>
  <c r="GM43" i="4"/>
  <c r="GL43" i="4"/>
  <c r="GK43" i="4"/>
  <c r="GJ43" i="4"/>
  <c r="GI43" i="4"/>
  <c r="GH43" i="4"/>
  <c r="GG43" i="4"/>
  <c r="GF43" i="4"/>
  <c r="GE43" i="4"/>
  <c r="GD43" i="4"/>
  <c r="GC43" i="4"/>
  <c r="GB43" i="4"/>
  <c r="GA43" i="4"/>
  <c r="FZ43" i="4"/>
  <c r="FY43" i="4"/>
  <c r="FX43" i="4"/>
  <c r="FW43" i="4"/>
  <c r="FV43" i="4"/>
  <c r="FU43" i="4"/>
  <c r="FT43" i="4"/>
  <c r="FS43" i="4"/>
  <c r="FR43" i="4"/>
  <c r="FQ43" i="4"/>
  <c r="FP43" i="4"/>
  <c r="FO43" i="4"/>
  <c r="FN43" i="4"/>
  <c r="FM43" i="4"/>
  <c r="FL43" i="4"/>
  <c r="FK43" i="4"/>
  <c r="FJ43" i="4"/>
  <c r="FI43" i="4"/>
  <c r="FH43" i="4"/>
  <c r="FG43" i="4"/>
  <c r="FF43" i="4"/>
  <c r="FE43" i="4"/>
  <c r="FD43" i="4"/>
  <c r="FC43" i="4"/>
  <c r="FB43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IV42" i="4"/>
  <c r="IU42" i="4"/>
  <c r="IT42" i="4"/>
  <c r="IS42" i="4"/>
  <c r="IR42" i="4"/>
  <c r="IQ42" i="4"/>
  <c r="IP42" i="4"/>
  <c r="IO42" i="4"/>
  <c r="IN42" i="4"/>
  <c r="IM42" i="4"/>
  <c r="IL42" i="4"/>
  <c r="IK42" i="4"/>
  <c r="IJ42" i="4"/>
  <c r="II42" i="4"/>
  <c r="IH42" i="4"/>
  <c r="IG42" i="4"/>
  <c r="IF42" i="4"/>
  <c r="IE42" i="4"/>
  <c r="ID42" i="4"/>
  <c r="IC42" i="4"/>
  <c r="IB42" i="4"/>
  <c r="IA42" i="4"/>
  <c r="HZ42" i="4"/>
  <c r="HY42" i="4"/>
  <c r="HX42" i="4"/>
  <c r="HW42" i="4"/>
  <c r="HV42" i="4"/>
  <c r="HU42" i="4"/>
  <c r="HT42" i="4"/>
  <c r="HS42" i="4"/>
  <c r="HR42" i="4"/>
  <c r="HQ42" i="4"/>
  <c r="HP42" i="4"/>
  <c r="HO42" i="4"/>
  <c r="HN42" i="4"/>
  <c r="HM42" i="4"/>
  <c r="HL42" i="4"/>
  <c r="HK42" i="4"/>
  <c r="HJ42" i="4"/>
  <c r="HI42" i="4"/>
  <c r="HH42" i="4"/>
  <c r="HG42" i="4"/>
  <c r="HF42" i="4"/>
  <c r="HE42" i="4"/>
  <c r="HD42" i="4"/>
  <c r="HC42" i="4"/>
  <c r="HB42" i="4"/>
  <c r="HA42" i="4"/>
  <c r="GZ42" i="4"/>
  <c r="GY42" i="4"/>
  <c r="GX42" i="4"/>
  <c r="GW42" i="4"/>
  <c r="GV42" i="4"/>
  <c r="GU42" i="4"/>
  <c r="GT42" i="4"/>
  <c r="GS42" i="4"/>
  <c r="GR42" i="4"/>
  <c r="GQ42" i="4"/>
  <c r="GP42" i="4"/>
  <c r="GO42" i="4"/>
  <c r="GN42" i="4"/>
  <c r="GM42" i="4"/>
  <c r="GL42" i="4"/>
  <c r="GK42" i="4"/>
  <c r="GJ42" i="4"/>
  <c r="GI42" i="4"/>
  <c r="GH42" i="4"/>
  <c r="GG42" i="4"/>
  <c r="GF42" i="4"/>
  <c r="GE42" i="4"/>
  <c r="GD42" i="4"/>
  <c r="GC42" i="4"/>
  <c r="GB42" i="4"/>
  <c r="GA42" i="4"/>
  <c r="FZ42" i="4"/>
  <c r="FY42" i="4"/>
  <c r="FX42" i="4"/>
  <c r="FW42" i="4"/>
  <c r="FV42" i="4"/>
  <c r="FU42" i="4"/>
  <c r="FT42" i="4"/>
  <c r="FS42" i="4"/>
  <c r="FR42" i="4"/>
  <c r="FQ42" i="4"/>
  <c r="FP42" i="4"/>
  <c r="FO42" i="4"/>
  <c r="FN42" i="4"/>
  <c r="FM42" i="4"/>
  <c r="FL42" i="4"/>
  <c r="FK42" i="4"/>
  <c r="FJ42" i="4"/>
  <c r="FI42" i="4"/>
  <c r="FH42" i="4"/>
  <c r="FG42" i="4"/>
  <c r="FF42" i="4"/>
  <c r="FE42" i="4"/>
  <c r="FD42" i="4"/>
  <c r="FC42" i="4"/>
  <c r="FB42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IV41" i="4"/>
  <c r="IU41" i="4"/>
  <c r="IT41" i="4"/>
  <c r="IS41" i="4"/>
  <c r="IR41" i="4"/>
  <c r="IQ41" i="4"/>
  <c r="IP41" i="4"/>
  <c r="IO41" i="4"/>
  <c r="IN41" i="4"/>
  <c r="IM41" i="4"/>
  <c r="IL41" i="4"/>
  <c r="IK41" i="4"/>
  <c r="IJ41" i="4"/>
  <c r="II41" i="4"/>
  <c r="IH41" i="4"/>
  <c r="IG41" i="4"/>
  <c r="IF41" i="4"/>
  <c r="IE41" i="4"/>
  <c r="ID41" i="4"/>
  <c r="IC41" i="4"/>
  <c r="IB41" i="4"/>
  <c r="IA41" i="4"/>
  <c r="HZ41" i="4"/>
  <c r="HY41" i="4"/>
  <c r="HX41" i="4"/>
  <c r="HW41" i="4"/>
  <c r="HV41" i="4"/>
  <c r="HU41" i="4"/>
  <c r="HT41" i="4"/>
  <c r="HS41" i="4"/>
  <c r="HR41" i="4"/>
  <c r="HQ41" i="4"/>
  <c r="HP41" i="4"/>
  <c r="HO41" i="4"/>
  <c r="HN41" i="4"/>
  <c r="HM41" i="4"/>
  <c r="HL41" i="4"/>
  <c r="HK41" i="4"/>
  <c r="HJ41" i="4"/>
  <c r="HI41" i="4"/>
  <c r="HH41" i="4"/>
  <c r="HG41" i="4"/>
  <c r="HF41" i="4"/>
  <c r="HE41" i="4"/>
  <c r="HD41" i="4"/>
  <c r="HC41" i="4"/>
  <c r="HB41" i="4"/>
  <c r="HA41" i="4"/>
  <c r="GZ41" i="4"/>
  <c r="GY41" i="4"/>
  <c r="GX41" i="4"/>
  <c r="GW41" i="4"/>
  <c r="GV41" i="4"/>
  <c r="GU41" i="4"/>
  <c r="GT41" i="4"/>
  <c r="GS41" i="4"/>
  <c r="GR41" i="4"/>
  <c r="GQ41" i="4"/>
  <c r="GP41" i="4"/>
  <c r="GO41" i="4"/>
  <c r="GN41" i="4"/>
  <c r="GM41" i="4"/>
  <c r="GL41" i="4"/>
  <c r="GK41" i="4"/>
  <c r="GJ41" i="4"/>
  <c r="GI41" i="4"/>
  <c r="GH41" i="4"/>
  <c r="GG41" i="4"/>
  <c r="GF41" i="4"/>
  <c r="GE41" i="4"/>
  <c r="GD41" i="4"/>
  <c r="GC41" i="4"/>
  <c r="GB41" i="4"/>
  <c r="GA41" i="4"/>
  <c r="FZ41" i="4"/>
  <c r="FY41" i="4"/>
  <c r="FX41" i="4"/>
  <c r="FW41" i="4"/>
  <c r="FV41" i="4"/>
  <c r="FU41" i="4"/>
  <c r="FT41" i="4"/>
  <c r="FS41" i="4"/>
  <c r="FR41" i="4"/>
  <c r="FQ41" i="4"/>
  <c r="FP41" i="4"/>
  <c r="FO41" i="4"/>
  <c r="FN41" i="4"/>
  <c r="FM41" i="4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IV40" i="4"/>
  <c r="IU40" i="4"/>
  <c r="IT40" i="4"/>
  <c r="IS40" i="4"/>
  <c r="IR40" i="4"/>
  <c r="IQ40" i="4"/>
  <c r="IP40" i="4"/>
  <c r="IO40" i="4"/>
  <c r="IN40" i="4"/>
  <c r="IM40" i="4"/>
  <c r="IL40" i="4"/>
  <c r="IK40" i="4"/>
  <c r="IJ40" i="4"/>
  <c r="II40" i="4"/>
  <c r="IH40" i="4"/>
  <c r="IG40" i="4"/>
  <c r="IF40" i="4"/>
  <c r="IE40" i="4"/>
  <c r="ID40" i="4"/>
  <c r="IC40" i="4"/>
  <c r="IB40" i="4"/>
  <c r="IA40" i="4"/>
  <c r="HZ40" i="4"/>
  <c r="HY40" i="4"/>
  <c r="HX40" i="4"/>
  <c r="HW40" i="4"/>
  <c r="HV40" i="4"/>
  <c r="HU40" i="4"/>
  <c r="HT40" i="4"/>
  <c r="HS40" i="4"/>
  <c r="HR40" i="4"/>
  <c r="HQ40" i="4"/>
  <c r="HP40" i="4"/>
  <c r="HO40" i="4"/>
  <c r="HN40" i="4"/>
  <c r="HM40" i="4"/>
  <c r="HL40" i="4"/>
  <c r="HK40" i="4"/>
  <c r="HJ40" i="4"/>
  <c r="HI40" i="4"/>
  <c r="HH40" i="4"/>
  <c r="HG40" i="4"/>
  <c r="HF40" i="4"/>
  <c r="HE40" i="4"/>
  <c r="HD40" i="4"/>
  <c r="HC40" i="4"/>
  <c r="HB40" i="4"/>
  <c r="HA40" i="4"/>
  <c r="GZ40" i="4"/>
  <c r="GY40" i="4"/>
  <c r="GX40" i="4"/>
  <c r="GW40" i="4"/>
  <c r="GV40" i="4"/>
  <c r="GU40" i="4"/>
  <c r="GT40" i="4"/>
  <c r="GS40" i="4"/>
  <c r="GR40" i="4"/>
  <c r="GQ40" i="4"/>
  <c r="GP40" i="4"/>
  <c r="GO40" i="4"/>
  <c r="GN40" i="4"/>
  <c r="GM40" i="4"/>
  <c r="GL40" i="4"/>
  <c r="GK40" i="4"/>
  <c r="GJ40" i="4"/>
  <c r="GI40" i="4"/>
  <c r="GH40" i="4"/>
  <c r="GG40" i="4"/>
  <c r="GF40" i="4"/>
  <c r="GE40" i="4"/>
  <c r="GD40" i="4"/>
  <c r="GC40" i="4"/>
  <c r="GB40" i="4"/>
  <c r="GA40" i="4"/>
  <c r="FZ40" i="4"/>
  <c r="FY40" i="4"/>
  <c r="FX40" i="4"/>
  <c r="FW40" i="4"/>
  <c r="FV40" i="4"/>
  <c r="FU40" i="4"/>
  <c r="FT40" i="4"/>
  <c r="FS40" i="4"/>
  <c r="FR40" i="4"/>
  <c r="FQ40" i="4"/>
  <c r="FP40" i="4"/>
  <c r="FO40" i="4"/>
  <c r="FN40" i="4"/>
  <c r="FM40" i="4"/>
  <c r="FL40" i="4"/>
  <c r="FK40" i="4"/>
  <c r="FJ40" i="4"/>
  <c r="FI40" i="4"/>
  <c r="FH40" i="4"/>
  <c r="FG40" i="4"/>
  <c r="FF40" i="4"/>
  <c r="FE40" i="4"/>
  <c r="FD40" i="4"/>
  <c r="FC40" i="4"/>
  <c r="FB40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IV39" i="4"/>
  <c r="IU39" i="4"/>
  <c r="IT39" i="4"/>
  <c r="IS39" i="4"/>
  <c r="IR39" i="4"/>
  <c r="IQ39" i="4"/>
  <c r="IP39" i="4"/>
  <c r="IO39" i="4"/>
  <c r="IN39" i="4"/>
  <c r="IM39" i="4"/>
  <c r="IL39" i="4"/>
  <c r="IK39" i="4"/>
  <c r="IJ39" i="4"/>
  <c r="II39" i="4"/>
  <c r="IH39" i="4"/>
  <c r="IG39" i="4"/>
  <c r="IF39" i="4"/>
  <c r="IE39" i="4"/>
  <c r="ID39" i="4"/>
  <c r="IC39" i="4"/>
  <c r="IB39" i="4"/>
  <c r="IA39" i="4"/>
  <c r="HZ39" i="4"/>
  <c r="HY39" i="4"/>
  <c r="HX39" i="4"/>
  <c r="HW39" i="4"/>
  <c r="HV39" i="4"/>
  <c r="HU39" i="4"/>
  <c r="HT39" i="4"/>
  <c r="HS39" i="4"/>
  <c r="HR39" i="4"/>
  <c r="HQ39" i="4"/>
  <c r="HP39" i="4"/>
  <c r="HO39" i="4"/>
  <c r="HN39" i="4"/>
  <c r="HM39" i="4"/>
  <c r="HL39" i="4"/>
  <c r="HK39" i="4"/>
  <c r="HJ39" i="4"/>
  <c r="HI39" i="4"/>
  <c r="HH39" i="4"/>
  <c r="HG39" i="4"/>
  <c r="HF39" i="4"/>
  <c r="HE39" i="4"/>
  <c r="HD39" i="4"/>
  <c r="HC39" i="4"/>
  <c r="HB39" i="4"/>
  <c r="HA39" i="4"/>
  <c r="GZ39" i="4"/>
  <c r="GY39" i="4"/>
  <c r="GX39" i="4"/>
  <c r="GW39" i="4"/>
  <c r="GV39" i="4"/>
  <c r="GU39" i="4"/>
  <c r="GT39" i="4"/>
  <c r="GS39" i="4"/>
  <c r="GR39" i="4"/>
  <c r="GQ39" i="4"/>
  <c r="GP39" i="4"/>
  <c r="GO39" i="4"/>
  <c r="GN39" i="4"/>
  <c r="GM39" i="4"/>
  <c r="GL39" i="4"/>
  <c r="GK39" i="4"/>
  <c r="GJ39" i="4"/>
  <c r="GI39" i="4"/>
  <c r="GH39" i="4"/>
  <c r="GG39" i="4"/>
  <c r="GF39" i="4"/>
  <c r="GE39" i="4"/>
  <c r="GD39" i="4"/>
  <c r="GC39" i="4"/>
  <c r="GB39" i="4"/>
  <c r="GA39" i="4"/>
  <c r="FZ39" i="4"/>
  <c r="FY39" i="4"/>
  <c r="FX39" i="4"/>
  <c r="FW39" i="4"/>
  <c r="FV39" i="4"/>
  <c r="FU39" i="4"/>
  <c r="FT39" i="4"/>
  <c r="FS39" i="4"/>
  <c r="FR39" i="4"/>
  <c r="FQ39" i="4"/>
  <c r="FP39" i="4"/>
  <c r="FO39" i="4"/>
  <c r="FN39" i="4"/>
  <c r="FM39" i="4"/>
  <c r="FL39" i="4"/>
  <c r="FK39" i="4"/>
  <c r="FJ39" i="4"/>
  <c r="FI39" i="4"/>
  <c r="FH39" i="4"/>
  <c r="FG39" i="4"/>
  <c r="FF39" i="4"/>
  <c r="FE39" i="4"/>
  <c r="FD39" i="4"/>
  <c r="FC39" i="4"/>
  <c r="FB39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IV38" i="4"/>
  <c r="IU38" i="4"/>
  <c r="IT38" i="4"/>
  <c r="IS38" i="4"/>
  <c r="IR38" i="4"/>
  <c r="IQ38" i="4"/>
  <c r="IP38" i="4"/>
  <c r="IO38" i="4"/>
  <c r="IN38" i="4"/>
  <c r="IM38" i="4"/>
  <c r="IL38" i="4"/>
  <c r="IK38" i="4"/>
  <c r="IJ38" i="4"/>
  <c r="II38" i="4"/>
  <c r="IH38" i="4"/>
  <c r="IG38" i="4"/>
  <c r="IF38" i="4"/>
  <c r="IE38" i="4"/>
  <c r="ID38" i="4"/>
  <c r="IC38" i="4"/>
  <c r="IB38" i="4"/>
  <c r="IA38" i="4"/>
  <c r="HZ38" i="4"/>
  <c r="HY38" i="4"/>
  <c r="HX38" i="4"/>
  <c r="HW38" i="4"/>
  <c r="HV38" i="4"/>
  <c r="HU38" i="4"/>
  <c r="HT38" i="4"/>
  <c r="HS38" i="4"/>
  <c r="HR38" i="4"/>
  <c r="HQ38" i="4"/>
  <c r="HP38" i="4"/>
  <c r="HO38" i="4"/>
  <c r="HN38" i="4"/>
  <c r="HM38" i="4"/>
  <c r="HL38" i="4"/>
  <c r="HK38" i="4"/>
  <c r="HJ38" i="4"/>
  <c r="HI38" i="4"/>
  <c r="HH38" i="4"/>
  <c r="HG38" i="4"/>
  <c r="HF38" i="4"/>
  <c r="HE38" i="4"/>
  <c r="HD38" i="4"/>
  <c r="HC38" i="4"/>
  <c r="HB38" i="4"/>
  <c r="HA38" i="4"/>
  <c r="GZ38" i="4"/>
  <c r="GY38" i="4"/>
  <c r="GX38" i="4"/>
  <c r="GW38" i="4"/>
  <c r="GV38" i="4"/>
  <c r="GU38" i="4"/>
  <c r="GT38" i="4"/>
  <c r="GS38" i="4"/>
  <c r="GR38" i="4"/>
  <c r="GQ38" i="4"/>
  <c r="GP38" i="4"/>
  <c r="GO38" i="4"/>
  <c r="GN38" i="4"/>
  <c r="GM38" i="4"/>
  <c r="GL38" i="4"/>
  <c r="GK38" i="4"/>
  <c r="GJ38" i="4"/>
  <c r="GI38" i="4"/>
  <c r="GH38" i="4"/>
  <c r="GG38" i="4"/>
  <c r="GF38" i="4"/>
  <c r="GE38" i="4"/>
  <c r="GD38" i="4"/>
  <c r="GC38" i="4"/>
  <c r="GB38" i="4"/>
  <c r="GA38" i="4"/>
  <c r="FZ38" i="4"/>
  <c r="FY38" i="4"/>
  <c r="FX38" i="4"/>
  <c r="FW38" i="4"/>
  <c r="FV38" i="4"/>
  <c r="FU38" i="4"/>
  <c r="FT38" i="4"/>
  <c r="FS38" i="4"/>
  <c r="FR38" i="4"/>
  <c r="FQ38" i="4"/>
  <c r="FP38" i="4"/>
  <c r="FO38" i="4"/>
  <c r="FN38" i="4"/>
  <c r="FM38" i="4"/>
  <c r="FL38" i="4"/>
  <c r="FK38" i="4"/>
  <c r="FJ38" i="4"/>
  <c r="FI38" i="4"/>
  <c r="FH38" i="4"/>
  <c r="FG38" i="4"/>
  <c r="FF38" i="4"/>
  <c r="FE38" i="4"/>
  <c r="FD38" i="4"/>
  <c r="FC38" i="4"/>
  <c r="FB38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IV37" i="4"/>
  <c r="IU37" i="4"/>
  <c r="IT37" i="4"/>
  <c r="IS37" i="4"/>
  <c r="IR37" i="4"/>
  <c r="IQ37" i="4"/>
  <c r="IP37" i="4"/>
  <c r="IO37" i="4"/>
  <c r="IN37" i="4"/>
  <c r="IM37" i="4"/>
  <c r="IL37" i="4"/>
  <c r="IK37" i="4"/>
  <c r="IJ37" i="4"/>
  <c r="II37" i="4"/>
  <c r="IH37" i="4"/>
  <c r="IG37" i="4"/>
  <c r="IF37" i="4"/>
  <c r="IE37" i="4"/>
  <c r="ID37" i="4"/>
  <c r="IC37" i="4"/>
  <c r="IB37" i="4"/>
  <c r="IA37" i="4"/>
  <c r="HZ37" i="4"/>
  <c r="HY37" i="4"/>
  <c r="HX37" i="4"/>
  <c r="HW37" i="4"/>
  <c r="HV37" i="4"/>
  <c r="HU37" i="4"/>
  <c r="HT37" i="4"/>
  <c r="HS37" i="4"/>
  <c r="HR37" i="4"/>
  <c r="HQ37" i="4"/>
  <c r="HP37" i="4"/>
  <c r="HO37" i="4"/>
  <c r="HN37" i="4"/>
  <c r="HM37" i="4"/>
  <c r="HL37" i="4"/>
  <c r="HK37" i="4"/>
  <c r="HJ37" i="4"/>
  <c r="HI37" i="4"/>
  <c r="HH37" i="4"/>
  <c r="HG37" i="4"/>
  <c r="HF37" i="4"/>
  <c r="HE37" i="4"/>
  <c r="HD37" i="4"/>
  <c r="HC37" i="4"/>
  <c r="HB37" i="4"/>
  <c r="HA37" i="4"/>
  <c r="GZ37" i="4"/>
  <c r="GY37" i="4"/>
  <c r="GX37" i="4"/>
  <c r="GW37" i="4"/>
  <c r="GV37" i="4"/>
  <c r="GU37" i="4"/>
  <c r="GT37" i="4"/>
  <c r="GS37" i="4"/>
  <c r="GR37" i="4"/>
  <c r="GQ37" i="4"/>
  <c r="GP37" i="4"/>
  <c r="GO37" i="4"/>
  <c r="GN37" i="4"/>
  <c r="GM37" i="4"/>
  <c r="GL37" i="4"/>
  <c r="GK37" i="4"/>
  <c r="GJ37" i="4"/>
  <c r="GI37" i="4"/>
  <c r="GH37" i="4"/>
  <c r="GG37" i="4"/>
  <c r="GF37" i="4"/>
  <c r="GE37" i="4"/>
  <c r="GD37" i="4"/>
  <c r="GC37" i="4"/>
  <c r="GB37" i="4"/>
  <c r="GA37" i="4"/>
  <c r="FZ37" i="4"/>
  <c r="FY37" i="4"/>
  <c r="FX37" i="4"/>
  <c r="FW37" i="4"/>
  <c r="FV37" i="4"/>
  <c r="FU37" i="4"/>
  <c r="FT37" i="4"/>
  <c r="FS37" i="4"/>
  <c r="FR37" i="4"/>
  <c r="FQ37" i="4"/>
  <c r="FP37" i="4"/>
  <c r="FO37" i="4"/>
  <c r="FN37" i="4"/>
  <c r="FM37" i="4"/>
  <c r="FL37" i="4"/>
  <c r="FK37" i="4"/>
  <c r="FJ37" i="4"/>
  <c r="FI37" i="4"/>
  <c r="FH37" i="4"/>
  <c r="FG37" i="4"/>
  <c r="FF37" i="4"/>
  <c r="FE37" i="4"/>
  <c r="FD37" i="4"/>
  <c r="FC37" i="4"/>
  <c r="FB37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IV36" i="4"/>
  <c r="IU36" i="4"/>
  <c r="IT36" i="4"/>
  <c r="IS36" i="4"/>
  <c r="IR36" i="4"/>
  <c r="IQ36" i="4"/>
  <c r="IP36" i="4"/>
  <c r="IO36" i="4"/>
  <c r="IN36" i="4"/>
  <c r="IM36" i="4"/>
  <c r="IL36" i="4"/>
  <c r="IK36" i="4"/>
  <c r="IJ36" i="4"/>
  <c r="II36" i="4"/>
  <c r="IH36" i="4"/>
  <c r="IG36" i="4"/>
  <c r="IF36" i="4"/>
  <c r="IE36" i="4"/>
  <c r="ID36" i="4"/>
  <c r="IC36" i="4"/>
  <c r="IB36" i="4"/>
  <c r="IA36" i="4"/>
  <c r="HZ36" i="4"/>
  <c r="HY36" i="4"/>
  <c r="HX36" i="4"/>
  <c r="HW36" i="4"/>
  <c r="HV36" i="4"/>
  <c r="HU36" i="4"/>
  <c r="HT36" i="4"/>
  <c r="HS36" i="4"/>
  <c r="HR36" i="4"/>
  <c r="HQ36" i="4"/>
  <c r="HP36" i="4"/>
  <c r="HO36" i="4"/>
  <c r="HN36" i="4"/>
  <c r="HM36" i="4"/>
  <c r="HL36" i="4"/>
  <c r="HK36" i="4"/>
  <c r="HJ36" i="4"/>
  <c r="HI36" i="4"/>
  <c r="HH36" i="4"/>
  <c r="HG36" i="4"/>
  <c r="HF36" i="4"/>
  <c r="HE36" i="4"/>
  <c r="HD36" i="4"/>
  <c r="HC36" i="4"/>
  <c r="HB36" i="4"/>
  <c r="HA36" i="4"/>
  <c r="GZ36" i="4"/>
  <c r="GY36" i="4"/>
  <c r="GX36" i="4"/>
  <c r="GW36" i="4"/>
  <c r="GV36" i="4"/>
  <c r="GU36" i="4"/>
  <c r="GT36" i="4"/>
  <c r="GS36" i="4"/>
  <c r="GR36" i="4"/>
  <c r="GQ36" i="4"/>
  <c r="GP36" i="4"/>
  <c r="GO36" i="4"/>
  <c r="GN36" i="4"/>
  <c r="GM36" i="4"/>
  <c r="GL36" i="4"/>
  <c r="GK36" i="4"/>
  <c r="GJ36" i="4"/>
  <c r="GI36" i="4"/>
  <c r="GH36" i="4"/>
  <c r="GG36" i="4"/>
  <c r="GF36" i="4"/>
  <c r="GE36" i="4"/>
  <c r="GD36" i="4"/>
  <c r="GC36" i="4"/>
  <c r="GB36" i="4"/>
  <c r="GA36" i="4"/>
  <c r="FZ36" i="4"/>
  <c r="FY36" i="4"/>
  <c r="FX36" i="4"/>
  <c r="FW36" i="4"/>
  <c r="FV36" i="4"/>
  <c r="FU36" i="4"/>
  <c r="FT36" i="4"/>
  <c r="FS36" i="4"/>
  <c r="FR36" i="4"/>
  <c r="FQ36" i="4"/>
  <c r="FP36" i="4"/>
  <c r="FO36" i="4"/>
  <c r="FN36" i="4"/>
  <c r="FM36" i="4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Y36" i="4"/>
  <c r="EX36" i="4"/>
  <c r="EW36" i="4"/>
  <c r="EV36" i="4"/>
  <c r="EU36" i="4"/>
  <c r="ET36" i="4"/>
  <c r="ES36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IV35" i="4"/>
  <c r="IU35" i="4"/>
  <c r="IT35" i="4"/>
  <c r="IS35" i="4"/>
  <c r="IR35" i="4"/>
  <c r="IQ35" i="4"/>
  <c r="IP35" i="4"/>
  <c r="IO35" i="4"/>
  <c r="IN35" i="4"/>
  <c r="IM35" i="4"/>
  <c r="IL35" i="4"/>
  <c r="IK35" i="4"/>
  <c r="IJ35" i="4"/>
  <c r="II35" i="4"/>
  <c r="IH35" i="4"/>
  <c r="IG35" i="4"/>
  <c r="IF35" i="4"/>
  <c r="IE35" i="4"/>
  <c r="ID35" i="4"/>
  <c r="IC35" i="4"/>
  <c r="IB35" i="4"/>
  <c r="IA35" i="4"/>
  <c r="HZ35" i="4"/>
  <c r="HY35" i="4"/>
  <c r="HX35" i="4"/>
  <c r="HW35" i="4"/>
  <c r="HV35" i="4"/>
  <c r="HU35" i="4"/>
  <c r="HT35" i="4"/>
  <c r="HS35" i="4"/>
  <c r="HR35" i="4"/>
  <c r="HQ35" i="4"/>
  <c r="HP35" i="4"/>
  <c r="HO35" i="4"/>
  <c r="HN35" i="4"/>
  <c r="HM35" i="4"/>
  <c r="HL35" i="4"/>
  <c r="HK35" i="4"/>
  <c r="HJ35" i="4"/>
  <c r="HI35" i="4"/>
  <c r="HH35" i="4"/>
  <c r="HG35" i="4"/>
  <c r="HF35" i="4"/>
  <c r="HE35" i="4"/>
  <c r="HD35" i="4"/>
  <c r="HC35" i="4"/>
  <c r="HB35" i="4"/>
  <c r="HA35" i="4"/>
  <c r="GZ35" i="4"/>
  <c r="GY35" i="4"/>
  <c r="GX35" i="4"/>
  <c r="GW35" i="4"/>
  <c r="GV35" i="4"/>
  <c r="GU35" i="4"/>
  <c r="GT35" i="4"/>
  <c r="GS35" i="4"/>
  <c r="GR35" i="4"/>
  <c r="GQ35" i="4"/>
  <c r="GP35" i="4"/>
  <c r="GO35" i="4"/>
  <c r="GN35" i="4"/>
  <c r="GM35" i="4"/>
  <c r="GL35" i="4"/>
  <c r="GK35" i="4"/>
  <c r="GJ35" i="4"/>
  <c r="GI35" i="4"/>
  <c r="GH35" i="4"/>
  <c r="GG35" i="4"/>
  <c r="GF35" i="4"/>
  <c r="GE35" i="4"/>
  <c r="GD35" i="4"/>
  <c r="GC35" i="4"/>
  <c r="GB35" i="4"/>
  <c r="GA35" i="4"/>
  <c r="FZ35" i="4"/>
  <c r="FY35" i="4"/>
  <c r="FX35" i="4"/>
  <c r="FW35" i="4"/>
  <c r="FV35" i="4"/>
  <c r="FU35" i="4"/>
  <c r="FT35" i="4"/>
  <c r="FS35" i="4"/>
  <c r="FR35" i="4"/>
  <c r="FQ35" i="4"/>
  <c r="FP35" i="4"/>
  <c r="FO35" i="4"/>
  <c r="FN35" i="4"/>
  <c r="FM35" i="4"/>
  <c r="FL35" i="4"/>
  <c r="FK35" i="4"/>
  <c r="FJ35" i="4"/>
  <c r="FI35" i="4"/>
  <c r="FH35" i="4"/>
  <c r="FG35" i="4"/>
  <c r="FF35" i="4"/>
  <c r="FE35" i="4"/>
  <c r="FD35" i="4"/>
  <c r="FC35" i="4"/>
  <c r="FB35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IV34" i="4"/>
  <c r="IU34" i="4"/>
  <c r="IT34" i="4"/>
  <c r="IS34" i="4"/>
  <c r="IR34" i="4"/>
  <c r="IQ34" i="4"/>
  <c r="IP34" i="4"/>
  <c r="IO34" i="4"/>
  <c r="IN34" i="4"/>
  <c r="IM34" i="4"/>
  <c r="IL34" i="4"/>
  <c r="IK34" i="4"/>
  <c r="IJ34" i="4"/>
  <c r="II34" i="4"/>
  <c r="IH34" i="4"/>
  <c r="IG34" i="4"/>
  <c r="IF34" i="4"/>
  <c r="IE34" i="4"/>
  <c r="ID34" i="4"/>
  <c r="IC34" i="4"/>
  <c r="IB34" i="4"/>
  <c r="IA34" i="4"/>
  <c r="HZ34" i="4"/>
  <c r="HY34" i="4"/>
  <c r="HX34" i="4"/>
  <c r="HW34" i="4"/>
  <c r="HV34" i="4"/>
  <c r="HU34" i="4"/>
  <c r="HT34" i="4"/>
  <c r="HS34" i="4"/>
  <c r="HR34" i="4"/>
  <c r="HQ34" i="4"/>
  <c r="HP34" i="4"/>
  <c r="HO34" i="4"/>
  <c r="HN34" i="4"/>
  <c r="HM34" i="4"/>
  <c r="HL34" i="4"/>
  <c r="HK34" i="4"/>
  <c r="HJ34" i="4"/>
  <c r="HI34" i="4"/>
  <c r="HH34" i="4"/>
  <c r="HG34" i="4"/>
  <c r="HF34" i="4"/>
  <c r="HE34" i="4"/>
  <c r="HD34" i="4"/>
  <c r="HC34" i="4"/>
  <c r="HB34" i="4"/>
  <c r="HA34" i="4"/>
  <c r="GZ34" i="4"/>
  <c r="GY34" i="4"/>
  <c r="GX34" i="4"/>
  <c r="GW34" i="4"/>
  <c r="GV34" i="4"/>
  <c r="GU34" i="4"/>
  <c r="GT34" i="4"/>
  <c r="GS34" i="4"/>
  <c r="GR34" i="4"/>
  <c r="GQ34" i="4"/>
  <c r="GP34" i="4"/>
  <c r="GO34" i="4"/>
  <c r="GN34" i="4"/>
  <c r="GM34" i="4"/>
  <c r="GL34" i="4"/>
  <c r="GK34" i="4"/>
  <c r="GJ34" i="4"/>
  <c r="GI34" i="4"/>
  <c r="GH34" i="4"/>
  <c r="GG34" i="4"/>
  <c r="GF34" i="4"/>
  <c r="GE34" i="4"/>
  <c r="GD34" i="4"/>
  <c r="GC34" i="4"/>
  <c r="GB34" i="4"/>
  <c r="GA34" i="4"/>
  <c r="FZ34" i="4"/>
  <c r="FY34" i="4"/>
  <c r="FX34" i="4"/>
  <c r="FW34" i="4"/>
  <c r="FV34" i="4"/>
  <c r="FU34" i="4"/>
  <c r="FT34" i="4"/>
  <c r="FS34" i="4"/>
  <c r="FR34" i="4"/>
  <c r="FQ34" i="4"/>
  <c r="FP34" i="4"/>
  <c r="FO34" i="4"/>
  <c r="FN34" i="4"/>
  <c r="FM34" i="4"/>
  <c r="FL34" i="4"/>
  <c r="FK34" i="4"/>
  <c r="FJ34" i="4"/>
  <c r="FI34" i="4"/>
  <c r="FH34" i="4"/>
  <c r="FG34" i="4"/>
  <c r="FF34" i="4"/>
  <c r="FE34" i="4"/>
  <c r="FD34" i="4"/>
  <c r="FC34" i="4"/>
  <c r="FB34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IV33" i="4"/>
  <c r="IU33" i="4"/>
  <c r="IT33" i="4"/>
  <c r="IS33" i="4"/>
  <c r="IR33" i="4"/>
  <c r="IQ33" i="4"/>
  <c r="IP33" i="4"/>
  <c r="IO33" i="4"/>
  <c r="IN33" i="4"/>
  <c r="IM33" i="4"/>
  <c r="IL33" i="4"/>
  <c r="IK33" i="4"/>
  <c r="IJ33" i="4"/>
  <c r="II33" i="4"/>
  <c r="IH33" i="4"/>
  <c r="IG33" i="4"/>
  <c r="IF33" i="4"/>
  <c r="IE33" i="4"/>
  <c r="ID33" i="4"/>
  <c r="IC33" i="4"/>
  <c r="IB33" i="4"/>
  <c r="IA33" i="4"/>
  <c r="HZ33" i="4"/>
  <c r="HY33" i="4"/>
  <c r="HX33" i="4"/>
  <c r="HW33" i="4"/>
  <c r="HV33" i="4"/>
  <c r="HU33" i="4"/>
  <c r="HT33" i="4"/>
  <c r="HS33" i="4"/>
  <c r="HR33" i="4"/>
  <c r="HQ33" i="4"/>
  <c r="HP33" i="4"/>
  <c r="HO33" i="4"/>
  <c r="HN33" i="4"/>
  <c r="HM33" i="4"/>
  <c r="HL33" i="4"/>
  <c r="HK33" i="4"/>
  <c r="HJ33" i="4"/>
  <c r="HI33" i="4"/>
  <c r="HH33" i="4"/>
  <c r="HG33" i="4"/>
  <c r="HF33" i="4"/>
  <c r="HE33" i="4"/>
  <c r="HD33" i="4"/>
  <c r="HC33" i="4"/>
  <c r="HB33" i="4"/>
  <c r="HA33" i="4"/>
  <c r="GZ33" i="4"/>
  <c r="GY33" i="4"/>
  <c r="GX33" i="4"/>
  <c r="GW33" i="4"/>
  <c r="GV33" i="4"/>
  <c r="GU33" i="4"/>
  <c r="GT33" i="4"/>
  <c r="GS33" i="4"/>
  <c r="GR33" i="4"/>
  <c r="GQ33" i="4"/>
  <c r="GP33" i="4"/>
  <c r="GO33" i="4"/>
  <c r="GN33" i="4"/>
  <c r="GM33" i="4"/>
  <c r="GL33" i="4"/>
  <c r="GK33" i="4"/>
  <c r="GJ33" i="4"/>
  <c r="GI33" i="4"/>
  <c r="GH33" i="4"/>
  <c r="GG33" i="4"/>
  <c r="GF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IV32" i="4"/>
  <c r="IU32" i="4"/>
  <c r="IT32" i="4"/>
  <c r="IS32" i="4"/>
  <c r="IR32" i="4"/>
  <c r="IQ32" i="4"/>
  <c r="IP32" i="4"/>
  <c r="IO32" i="4"/>
  <c r="IN32" i="4"/>
  <c r="IM32" i="4"/>
  <c r="IL32" i="4"/>
  <c r="IK32" i="4"/>
  <c r="IJ32" i="4"/>
  <c r="II32" i="4"/>
  <c r="IH32" i="4"/>
  <c r="IG32" i="4"/>
  <c r="IF32" i="4"/>
  <c r="IE32" i="4"/>
  <c r="ID32" i="4"/>
  <c r="IC32" i="4"/>
  <c r="IB32" i="4"/>
  <c r="IA32" i="4"/>
  <c r="HZ32" i="4"/>
  <c r="HY32" i="4"/>
  <c r="HX32" i="4"/>
  <c r="HW32" i="4"/>
  <c r="HV32" i="4"/>
  <c r="HU32" i="4"/>
  <c r="HT32" i="4"/>
  <c r="HS32" i="4"/>
  <c r="HR32" i="4"/>
  <c r="HQ32" i="4"/>
  <c r="HP32" i="4"/>
  <c r="HO32" i="4"/>
  <c r="HN32" i="4"/>
  <c r="HM32" i="4"/>
  <c r="HL32" i="4"/>
  <c r="HK32" i="4"/>
  <c r="HJ32" i="4"/>
  <c r="HI32" i="4"/>
  <c r="HH32" i="4"/>
  <c r="HG32" i="4"/>
  <c r="HF32" i="4"/>
  <c r="HE32" i="4"/>
  <c r="HD32" i="4"/>
  <c r="HC32" i="4"/>
  <c r="HB32" i="4"/>
  <c r="HA32" i="4"/>
  <c r="GZ32" i="4"/>
  <c r="GY32" i="4"/>
  <c r="GX32" i="4"/>
  <c r="GW32" i="4"/>
  <c r="GV32" i="4"/>
  <c r="GU32" i="4"/>
  <c r="GT32" i="4"/>
  <c r="GS32" i="4"/>
  <c r="GR32" i="4"/>
  <c r="GQ32" i="4"/>
  <c r="GP32" i="4"/>
  <c r="GO32" i="4"/>
  <c r="GN32" i="4"/>
  <c r="GM32" i="4"/>
  <c r="GL32" i="4"/>
  <c r="GK32" i="4"/>
  <c r="GJ32" i="4"/>
  <c r="GI32" i="4"/>
  <c r="GH32" i="4"/>
  <c r="GG32" i="4"/>
  <c r="GF32" i="4"/>
  <c r="GE32" i="4"/>
  <c r="GD32" i="4"/>
  <c r="GC32" i="4"/>
  <c r="GB32" i="4"/>
  <c r="GA32" i="4"/>
  <c r="FZ32" i="4"/>
  <c r="FY32" i="4"/>
  <c r="FX32" i="4"/>
  <c r="FW32" i="4"/>
  <c r="FV32" i="4"/>
  <c r="FU32" i="4"/>
  <c r="FT32" i="4"/>
  <c r="FS32" i="4"/>
  <c r="FR32" i="4"/>
  <c r="FQ32" i="4"/>
  <c r="FP32" i="4"/>
  <c r="FO32" i="4"/>
  <c r="FN32" i="4"/>
  <c r="FM32" i="4"/>
  <c r="FL32" i="4"/>
  <c r="FK32" i="4"/>
  <c r="FJ32" i="4"/>
  <c r="FI32" i="4"/>
  <c r="FH32" i="4"/>
  <c r="FG32" i="4"/>
  <c r="FF32" i="4"/>
  <c r="FE32" i="4"/>
  <c r="FD32" i="4"/>
  <c r="FC32" i="4"/>
  <c r="FB32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IV31" i="4"/>
  <c r="IU31" i="4"/>
  <c r="IT31" i="4"/>
  <c r="IS31" i="4"/>
  <c r="IR31" i="4"/>
  <c r="IQ31" i="4"/>
  <c r="IP31" i="4"/>
  <c r="IO31" i="4"/>
  <c r="IN31" i="4"/>
  <c r="IM31" i="4"/>
  <c r="IL31" i="4"/>
  <c r="IK31" i="4"/>
  <c r="IJ31" i="4"/>
  <c r="II31" i="4"/>
  <c r="IH31" i="4"/>
  <c r="IG31" i="4"/>
  <c r="IF31" i="4"/>
  <c r="IE31" i="4"/>
  <c r="ID31" i="4"/>
  <c r="IC31" i="4"/>
  <c r="IB31" i="4"/>
  <c r="IA31" i="4"/>
  <c r="HZ31" i="4"/>
  <c r="HY31" i="4"/>
  <c r="HX31" i="4"/>
  <c r="HW31" i="4"/>
  <c r="HV31" i="4"/>
  <c r="HU31" i="4"/>
  <c r="HT31" i="4"/>
  <c r="HS31" i="4"/>
  <c r="HR31" i="4"/>
  <c r="HQ31" i="4"/>
  <c r="HP31" i="4"/>
  <c r="HO31" i="4"/>
  <c r="HN31" i="4"/>
  <c r="HM31" i="4"/>
  <c r="HL31" i="4"/>
  <c r="HK31" i="4"/>
  <c r="HJ31" i="4"/>
  <c r="HI31" i="4"/>
  <c r="HH31" i="4"/>
  <c r="HG31" i="4"/>
  <c r="HF31" i="4"/>
  <c r="HE31" i="4"/>
  <c r="HD31" i="4"/>
  <c r="HC31" i="4"/>
  <c r="HB31" i="4"/>
  <c r="HA31" i="4"/>
  <c r="GZ31" i="4"/>
  <c r="GY31" i="4"/>
  <c r="GX31" i="4"/>
  <c r="GW31" i="4"/>
  <c r="GV31" i="4"/>
  <c r="GU31" i="4"/>
  <c r="GT31" i="4"/>
  <c r="GS31" i="4"/>
  <c r="GR31" i="4"/>
  <c r="GQ31" i="4"/>
  <c r="GP31" i="4"/>
  <c r="GO31" i="4"/>
  <c r="GN31" i="4"/>
  <c r="GM31" i="4"/>
  <c r="GL31" i="4"/>
  <c r="GK31" i="4"/>
  <c r="GJ31" i="4"/>
  <c r="GI31" i="4"/>
  <c r="GH31" i="4"/>
  <c r="GG31" i="4"/>
  <c r="GF31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FS31" i="4"/>
  <c r="FR31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IV30" i="4"/>
  <c r="IU30" i="4"/>
  <c r="IT30" i="4"/>
  <c r="IS30" i="4"/>
  <c r="IR30" i="4"/>
  <c r="IQ30" i="4"/>
  <c r="IP30" i="4"/>
  <c r="IO30" i="4"/>
  <c r="IN30" i="4"/>
  <c r="IM30" i="4"/>
  <c r="IL30" i="4"/>
  <c r="IK30" i="4"/>
  <c r="IJ30" i="4"/>
  <c r="II30" i="4"/>
  <c r="IH30" i="4"/>
  <c r="IG30" i="4"/>
  <c r="IF30" i="4"/>
  <c r="IE30" i="4"/>
  <c r="ID30" i="4"/>
  <c r="IC30" i="4"/>
  <c r="IB30" i="4"/>
  <c r="IA30" i="4"/>
  <c r="HZ30" i="4"/>
  <c r="HY30" i="4"/>
  <c r="HX30" i="4"/>
  <c r="HW30" i="4"/>
  <c r="HV30" i="4"/>
  <c r="HU30" i="4"/>
  <c r="HT30" i="4"/>
  <c r="HS30" i="4"/>
  <c r="HR30" i="4"/>
  <c r="HQ30" i="4"/>
  <c r="HP30" i="4"/>
  <c r="HO30" i="4"/>
  <c r="HN30" i="4"/>
  <c r="HM30" i="4"/>
  <c r="HL30" i="4"/>
  <c r="HK30" i="4"/>
  <c r="HJ30" i="4"/>
  <c r="HI30" i="4"/>
  <c r="HH30" i="4"/>
  <c r="HG30" i="4"/>
  <c r="HF30" i="4"/>
  <c r="HE30" i="4"/>
  <c r="HD30" i="4"/>
  <c r="HC30" i="4"/>
  <c r="HB30" i="4"/>
  <c r="HA30" i="4"/>
  <c r="GZ30" i="4"/>
  <c r="GY30" i="4"/>
  <c r="GX30" i="4"/>
  <c r="GW30" i="4"/>
  <c r="GV30" i="4"/>
  <c r="GU30" i="4"/>
  <c r="GT30" i="4"/>
  <c r="GS30" i="4"/>
  <c r="GR30" i="4"/>
  <c r="GQ30" i="4"/>
  <c r="GP30" i="4"/>
  <c r="GO30" i="4"/>
  <c r="GN30" i="4"/>
  <c r="GM30" i="4"/>
  <c r="GL30" i="4"/>
  <c r="GK30" i="4"/>
  <c r="GJ30" i="4"/>
  <c r="GI30" i="4"/>
  <c r="GH30" i="4"/>
  <c r="GG30" i="4"/>
  <c r="GF30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FS30" i="4"/>
  <c r="FR30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IV29" i="4"/>
  <c r="IU29" i="4"/>
  <c r="IT29" i="4"/>
  <c r="IS29" i="4"/>
  <c r="IR29" i="4"/>
  <c r="IQ29" i="4"/>
  <c r="IP29" i="4"/>
  <c r="IO29" i="4"/>
  <c r="IN29" i="4"/>
  <c r="IM29" i="4"/>
  <c r="IL29" i="4"/>
  <c r="IK29" i="4"/>
  <c r="IJ29" i="4"/>
  <c r="II29" i="4"/>
  <c r="IH29" i="4"/>
  <c r="IG29" i="4"/>
  <c r="IF29" i="4"/>
  <c r="IE29" i="4"/>
  <c r="ID29" i="4"/>
  <c r="IC29" i="4"/>
  <c r="IB29" i="4"/>
  <c r="IA29" i="4"/>
  <c r="HZ29" i="4"/>
  <c r="HY29" i="4"/>
  <c r="HX29" i="4"/>
  <c r="HW29" i="4"/>
  <c r="HV29" i="4"/>
  <c r="HU29" i="4"/>
  <c r="HT29" i="4"/>
  <c r="HS29" i="4"/>
  <c r="HR29" i="4"/>
  <c r="HQ29" i="4"/>
  <c r="HP29" i="4"/>
  <c r="HO29" i="4"/>
  <c r="HN29" i="4"/>
  <c r="HM29" i="4"/>
  <c r="HL29" i="4"/>
  <c r="HK29" i="4"/>
  <c r="HJ29" i="4"/>
  <c r="HI29" i="4"/>
  <c r="HH29" i="4"/>
  <c r="HG29" i="4"/>
  <c r="HF29" i="4"/>
  <c r="HE29" i="4"/>
  <c r="HD29" i="4"/>
  <c r="HC29" i="4"/>
  <c r="HB29" i="4"/>
  <c r="HA29" i="4"/>
  <c r="GZ29" i="4"/>
  <c r="GY29" i="4"/>
  <c r="GX29" i="4"/>
  <c r="GW29" i="4"/>
  <c r="GV29" i="4"/>
  <c r="GU29" i="4"/>
  <c r="GT29" i="4"/>
  <c r="GS29" i="4"/>
  <c r="GR29" i="4"/>
  <c r="GQ29" i="4"/>
  <c r="GP29" i="4"/>
  <c r="GO29" i="4"/>
  <c r="GN29" i="4"/>
  <c r="GM29" i="4"/>
  <c r="GL29" i="4"/>
  <c r="GK29" i="4"/>
  <c r="GJ29" i="4"/>
  <c r="GI29" i="4"/>
  <c r="GH29" i="4"/>
  <c r="GG29" i="4"/>
  <c r="GF29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FS29" i="4"/>
  <c r="FR29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IT28" i="4"/>
  <c r="IS28" i="4"/>
  <c r="IR28" i="4"/>
  <c r="IQ28" i="4"/>
  <c r="IP28" i="4"/>
  <c r="IO28" i="4"/>
  <c r="IN28" i="4"/>
  <c r="IM28" i="4"/>
  <c r="IL28" i="4"/>
  <c r="IK28" i="4"/>
  <c r="IJ28" i="4"/>
  <c r="II28" i="4"/>
  <c r="IH28" i="4"/>
  <c r="IG28" i="4"/>
  <c r="IF28" i="4"/>
  <c r="IE28" i="4"/>
  <c r="ID28" i="4"/>
  <c r="IC28" i="4"/>
  <c r="IB28" i="4"/>
  <c r="IA28" i="4"/>
  <c r="HY28" i="4"/>
  <c r="HX28" i="4"/>
  <c r="HW28" i="4"/>
  <c r="HV28" i="4"/>
  <c r="HU28" i="4"/>
  <c r="HT28" i="4"/>
  <c r="HS28" i="4"/>
  <c r="HR28" i="4"/>
  <c r="HQ28" i="4"/>
  <c r="HO28" i="4"/>
  <c r="HN28" i="4"/>
  <c r="HM28" i="4"/>
  <c r="HL28" i="4"/>
  <c r="HK28" i="4"/>
  <c r="HJ28" i="4"/>
  <c r="HI28" i="4"/>
  <c r="HH28" i="4"/>
  <c r="HG28" i="4"/>
  <c r="HE28" i="4"/>
  <c r="HD28" i="4"/>
  <c r="HC28" i="4"/>
  <c r="HB28" i="4"/>
  <c r="HA28" i="4"/>
  <c r="GZ28" i="4"/>
  <c r="GY28" i="4"/>
  <c r="GX28" i="4"/>
  <c r="GW28" i="4"/>
  <c r="GU28" i="4"/>
  <c r="GT28" i="4"/>
  <c r="GS28" i="4"/>
  <c r="GR28" i="4"/>
  <c r="GQ28" i="4"/>
  <c r="GP28" i="4"/>
  <c r="GO28" i="4"/>
  <c r="GN28" i="4"/>
  <c r="GM28" i="4"/>
  <c r="GK28" i="4"/>
  <c r="GJ28" i="4"/>
  <c r="GI28" i="4"/>
  <c r="GH28" i="4"/>
  <c r="GG28" i="4"/>
  <c r="GF28" i="4"/>
  <c r="GE28" i="4"/>
  <c r="GD28" i="4"/>
  <c r="GC28" i="4"/>
  <c r="GA28" i="4"/>
  <c r="FZ28" i="4"/>
  <c r="FY28" i="4"/>
  <c r="FX28" i="4"/>
  <c r="FW28" i="4"/>
  <c r="FV28" i="4"/>
  <c r="FU28" i="4"/>
  <c r="FT28" i="4"/>
  <c r="FS28" i="4"/>
  <c r="FQ28" i="4"/>
  <c r="FP28" i="4"/>
  <c r="FO28" i="4"/>
  <c r="FN28" i="4"/>
  <c r="FM28" i="4"/>
  <c r="FL28" i="4"/>
  <c r="FK28" i="4"/>
  <c r="FJ28" i="4"/>
  <c r="FI28" i="4"/>
  <c r="FG28" i="4"/>
  <c r="FF28" i="4"/>
  <c r="FE28" i="4"/>
  <c r="FD28" i="4"/>
  <c r="FC28" i="4"/>
  <c r="FB28" i="4"/>
  <c r="FA28" i="4"/>
  <c r="EZ28" i="4"/>
  <c r="EY28" i="4"/>
  <c r="EW28" i="4"/>
  <c r="EV28" i="4"/>
  <c r="EU28" i="4"/>
  <c r="ET28" i="4"/>
  <c r="ES28" i="4"/>
  <c r="ER28" i="4"/>
  <c r="EQ28" i="4"/>
  <c r="EP28" i="4"/>
  <c r="EO28" i="4"/>
  <c r="EM28" i="4"/>
  <c r="EL28" i="4"/>
  <c r="EK28" i="4"/>
  <c r="EJ28" i="4"/>
  <c r="EI28" i="4"/>
  <c r="EH28" i="4"/>
  <c r="EG28" i="4"/>
  <c r="EF28" i="4"/>
  <c r="EE28" i="4"/>
  <c r="EC28" i="4"/>
  <c r="EB28" i="4"/>
  <c r="EA28" i="4"/>
  <c r="DZ28" i="4"/>
  <c r="DY28" i="4"/>
  <c r="DX28" i="4"/>
  <c r="DW28" i="4"/>
  <c r="DV28" i="4"/>
  <c r="DU28" i="4"/>
  <c r="DS28" i="4"/>
  <c r="DR28" i="4"/>
  <c r="DQ28" i="4"/>
  <c r="DP28" i="4"/>
  <c r="DO28" i="4"/>
  <c r="DN28" i="4"/>
  <c r="DM28" i="4"/>
  <c r="DL28" i="4"/>
  <c r="DK28" i="4"/>
  <c r="DI28" i="4"/>
  <c r="DH28" i="4"/>
  <c r="DG28" i="4"/>
  <c r="DF28" i="4"/>
  <c r="DE28" i="4"/>
  <c r="DD28" i="4"/>
  <c r="DC28" i="4"/>
  <c r="DB28" i="4"/>
  <c r="DA28" i="4"/>
  <c r="CY28" i="4"/>
  <c r="CX28" i="4"/>
  <c r="CW28" i="4"/>
  <c r="CV28" i="4"/>
  <c r="CU28" i="4"/>
  <c r="CT28" i="4"/>
  <c r="CS28" i="4"/>
  <c r="CR28" i="4"/>
  <c r="CQ28" i="4"/>
  <c r="CO28" i="4"/>
  <c r="CN28" i="4"/>
  <c r="CM28" i="4"/>
  <c r="CL28" i="4"/>
  <c r="CK28" i="4"/>
  <c r="CJ28" i="4"/>
  <c r="CI28" i="4"/>
  <c r="CH28" i="4"/>
  <c r="CG28" i="4"/>
  <c r="CE28" i="4"/>
  <c r="CD28" i="4"/>
  <c r="CC28" i="4"/>
  <c r="CB28" i="4"/>
  <c r="CA28" i="4"/>
  <c r="BZ28" i="4"/>
  <c r="BY28" i="4"/>
  <c r="BX28" i="4"/>
  <c r="BW28" i="4"/>
  <c r="BU28" i="4"/>
  <c r="BT28" i="4"/>
  <c r="BS28" i="4"/>
  <c r="BR28" i="4"/>
  <c r="BQ28" i="4"/>
  <c r="BP28" i="4"/>
  <c r="BO28" i="4"/>
  <c r="BN28" i="4"/>
  <c r="BM28" i="4"/>
  <c r="BK28" i="4"/>
  <c r="BJ28" i="4"/>
  <c r="BI28" i="4"/>
  <c r="BH28" i="4"/>
  <c r="BG28" i="4"/>
  <c r="BF28" i="4"/>
  <c r="BE28" i="4"/>
  <c r="BD28" i="4"/>
  <c r="BC28" i="4"/>
  <c r="BA28" i="4"/>
  <c r="AZ28" i="4"/>
  <c r="AY28" i="4"/>
  <c r="AX28" i="4"/>
  <c r="AW28" i="4"/>
  <c r="AV28" i="4"/>
  <c r="AU28" i="4"/>
  <c r="AT28" i="4"/>
  <c r="AS28" i="4"/>
  <c r="AQ28" i="4"/>
  <c r="AP28" i="4"/>
  <c r="AO28" i="4"/>
  <c r="AN28" i="4"/>
  <c r="AM28" i="4"/>
  <c r="AL28" i="4"/>
  <c r="AK28" i="4"/>
  <c r="AJ28" i="4"/>
  <c r="AI28" i="4"/>
  <c r="AG28" i="4"/>
  <c r="AF28" i="4"/>
  <c r="AE28" i="4"/>
  <c r="AD28" i="4"/>
  <c r="AC28" i="4"/>
  <c r="AB28" i="4"/>
  <c r="AA28" i="4"/>
  <c r="Z28" i="4"/>
  <c r="Y28" i="4"/>
  <c r="W28" i="4"/>
  <c r="V28" i="4"/>
  <c r="U28" i="4"/>
  <c r="T28" i="4"/>
  <c r="S28" i="4"/>
  <c r="R28" i="4"/>
  <c r="Q28" i="4"/>
  <c r="P28" i="4"/>
  <c r="O28" i="4"/>
  <c r="M28" i="4"/>
  <c r="L28" i="4"/>
  <c r="K28" i="4"/>
  <c r="J28" i="4"/>
  <c r="I28" i="4"/>
  <c r="H28" i="4"/>
  <c r="G28" i="4"/>
  <c r="F28" i="4"/>
  <c r="E28" i="4"/>
  <c r="C28" i="4"/>
  <c r="B28" i="4"/>
  <c r="A28" i="4"/>
  <c r="IV27" i="4"/>
  <c r="IU27" i="4"/>
  <c r="IT27" i="4"/>
  <c r="IS27" i="4"/>
  <c r="IR27" i="4"/>
  <c r="IQ27" i="4"/>
  <c r="IO27" i="4"/>
  <c r="IN27" i="4"/>
  <c r="IM27" i="4"/>
  <c r="IL27" i="4"/>
  <c r="IK27" i="4"/>
  <c r="IJ27" i="4"/>
  <c r="II27" i="4"/>
  <c r="IH27" i="4"/>
  <c r="IG27" i="4"/>
  <c r="IE27" i="4"/>
  <c r="ID27" i="4"/>
  <c r="IC27" i="4"/>
  <c r="IB27" i="4"/>
  <c r="IA27" i="4"/>
  <c r="HZ27" i="4"/>
  <c r="HY27" i="4"/>
  <c r="HX27" i="4"/>
  <c r="HW27" i="4"/>
  <c r="HU27" i="4"/>
  <c r="HT27" i="4"/>
  <c r="HS27" i="4"/>
  <c r="HR27" i="4"/>
  <c r="HQ27" i="4"/>
  <c r="HP27" i="4"/>
  <c r="HO27" i="4"/>
  <c r="HN27" i="4"/>
  <c r="HM27" i="4"/>
  <c r="HK27" i="4"/>
  <c r="HJ27" i="4"/>
  <c r="HI27" i="4"/>
  <c r="HH27" i="4"/>
  <c r="HG27" i="4"/>
  <c r="HF27" i="4"/>
  <c r="HE27" i="4"/>
  <c r="HD27" i="4"/>
  <c r="HC27" i="4"/>
  <c r="HA27" i="4"/>
  <c r="GZ27" i="4"/>
  <c r="GY27" i="4"/>
  <c r="GX27" i="4"/>
  <c r="GW27" i="4"/>
  <c r="GV27" i="4"/>
  <c r="GU27" i="4"/>
  <c r="GT27" i="4"/>
  <c r="GS27" i="4"/>
  <c r="GQ27" i="4"/>
  <c r="GP27" i="4"/>
  <c r="GO27" i="4"/>
  <c r="GN27" i="4"/>
  <c r="GM27" i="4"/>
  <c r="GL27" i="4"/>
  <c r="GK27" i="4"/>
  <c r="GJ27" i="4"/>
  <c r="GI27" i="4"/>
  <c r="GG27" i="4"/>
  <c r="GF27" i="4"/>
  <c r="GE27" i="4"/>
  <c r="GD27" i="4"/>
  <c r="GC27" i="4"/>
  <c r="GB27" i="4"/>
  <c r="GA27" i="4"/>
  <c r="FZ27" i="4"/>
  <c r="FY27" i="4"/>
  <c r="FW27" i="4"/>
  <c r="FV27" i="4"/>
  <c r="FU27" i="4"/>
  <c r="FT27" i="4"/>
  <c r="FS27" i="4"/>
  <c r="FR27" i="4"/>
  <c r="FQ27" i="4"/>
  <c r="FP27" i="4"/>
  <c r="FO27" i="4"/>
  <c r="FM27" i="4"/>
  <c r="FL27" i="4"/>
  <c r="FK27" i="4"/>
  <c r="FJ27" i="4"/>
  <c r="FI27" i="4"/>
  <c r="FH27" i="4"/>
  <c r="FG27" i="4"/>
  <c r="FF27" i="4"/>
  <c r="FE27" i="4"/>
  <c r="FC27" i="4"/>
  <c r="FB27" i="4"/>
  <c r="FA27" i="4"/>
  <c r="EZ27" i="4"/>
  <c r="EY27" i="4"/>
  <c r="EX27" i="4"/>
  <c r="EW27" i="4"/>
  <c r="EV27" i="4"/>
  <c r="EU27" i="4"/>
  <c r="ES27" i="4"/>
  <c r="ER27" i="4"/>
  <c r="EQ27" i="4"/>
  <c r="EP27" i="4"/>
  <c r="EO27" i="4"/>
  <c r="EN27" i="4"/>
  <c r="EM27" i="4"/>
  <c r="EL27" i="4"/>
  <c r="EK27" i="4"/>
  <c r="EI27" i="4"/>
  <c r="EH27" i="4"/>
  <c r="EG27" i="4"/>
  <c r="EF27" i="4"/>
  <c r="EE27" i="4"/>
  <c r="ED27" i="4"/>
  <c r="EC27" i="4"/>
  <c r="EB27" i="4"/>
  <c r="EA27" i="4"/>
  <c r="DY27" i="4"/>
  <c r="DX27" i="4"/>
  <c r="DW27" i="4"/>
  <c r="DV27" i="4"/>
  <c r="DU27" i="4"/>
  <c r="DT27" i="4"/>
  <c r="DS27" i="4"/>
  <c r="DR27" i="4"/>
  <c r="DQ27" i="4"/>
  <c r="DO27" i="4"/>
  <c r="DN27" i="4"/>
  <c r="DM27" i="4"/>
  <c r="DL27" i="4"/>
  <c r="DK27" i="4"/>
  <c r="DJ27" i="4"/>
  <c r="DI27" i="4"/>
  <c r="DH27" i="4"/>
  <c r="DG27" i="4"/>
  <c r="DE27" i="4"/>
  <c r="DD27" i="4"/>
  <c r="DC27" i="4"/>
  <c r="DB27" i="4"/>
  <c r="DA27" i="4"/>
  <c r="CZ27" i="4"/>
  <c r="CY27" i="4"/>
  <c r="CX27" i="4"/>
  <c r="CW27" i="4"/>
  <c r="CU27" i="4"/>
  <c r="CT27" i="4"/>
  <c r="CS27" i="4"/>
  <c r="CR27" i="4"/>
  <c r="CQ27" i="4"/>
  <c r="CP27" i="4"/>
  <c r="CO27" i="4"/>
  <c r="CN27" i="4"/>
  <c r="CM27" i="4"/>
  <c r="CK27" i="4"/>
  <c r="CJ27" i="4"/>
  <c r="CI27" i="4"/>
  <c r="CH27" i="4"/>
  <c r="CG27" i="4"/>
  <c r="CF27" i="4"/>
  <c r="CE27" i="4"/>
  <c r="CD27" i="4"/>
  <c r="CC27" i="4"/>
  <c r="CA27" i="4"/>
  <c r="BZ27" i="4"/>
  <c r="BY27" i="4"/>
  <c r="BX27" i="4"/>
  <c r="BW27" i="4"/>
  <c r="BV27" i="4"/>
  <c r="BU27" i="4"/>
  <c r="BT27" i="4"/>
  <c r="BS27" i="4"/>
  <c r="BQ27" i="4"/>
  <c r="BP27" i="4"/>
  <c r="BO27" i="4"/>
  <c r="BN27" i="4"/>
  <c r="BM27" i="4"/>
  <c r="BL27" i="4"/>
  <c r="BK27" i="4"/>
  <c r="BJ27" i="4"/>
  <c r="BI27" i="4"/>
  <c r="BG27" i="4"/>
  <c r="BF27" i="4"/>
  <c r="BE27" i="4"/>
  <c r="BD27" i="4"/>
  <c r="BC27" i="4"/>
  <c r="BB27" i="4"/>
  <c r="BA27" i="4"/>
  <c r="AZ27" i="4"/>
  <c r="AY27" i="4"/>
  <c r="AW27" i="4"/>
  <c r="AV27" i="4"/>
  <c r="AU27" i="4"/>
  <c r="AT27" i="4"/>
  <c r="AS27" i="4"/>
  <c r="AR27" i="4"/>
  <c r="AQ27" i="4"/>
  <c r="AP27" i="4"/>
  <c r="AO27" i="4"/>
  <c r="AM27" i="4"/>
  <c r="AL27" i="4"/>
  <c r="AK27" i="4"/>
  <c r="AJ27" i="4"/>
  <c r="AI27" i="4"/>
  <c r="AH27" i="4"/>
  <c r="AG27" i="4"/>
  <c r="AF27" i="4"/>
  <c r="AE27" i="4"/>
  <c r="AC27" i="4"/>
  <c r="AB27" i="4"/>
  <c r="AA27" i="4"/>
  <c r="Z27" i="4"/>
  <c r="Y27" i="4"/>
  <c r="X27" i="4"/>
  <c r="W27" i="4"/>
  <c r="V27" i="4"/>
  <c r="U27" i="4"/>
  <c r="S27" i="4"/>
  <c r="R27" i="4"/>
  <c r="Q27" i="4"/>
  <c r="P27" i="4"/>
  <c r="O27" i="4"/>
  <c r="N27" i="4"/>
  <c r="M27" i="4"/>
  <c r="L27" i="4"/>
  <c r="K27" i="4"/>
  <c r="I27" i="4"/>
  <c r="H27" i="4"/>
  <c r="G27" i="4"/>
  <c r="F27" i="4"/>
  <c r="E27" i="4"/>
  <c r="D27" i="4"/>
  <c r="C27" i="4"/>
  <c r="B27" i="4"/>
  <c r="A27" i="4"/>
  <c r="IU26" i="4"/>
  <c r="IT26" i="4"/>
  <c r="IS26" i="4"/>
  <c r="IR26" i="4"/>
  <c r="IQ26" i="4"/>
  <c r="IP26" i="4"/>
  <c r="IO26" i="4"/>
  <c r="IN26" i="4"/>
  <c r="IM26" i="4"/>
  <c r="IK26" i="4"/>
  <c r="IJ26" i="4"/>
  <c r="II26" i="4"/>
  <c r="IH26" i="4"/>
  <c r="IG26" i="4"/>
  <c r="IF26" i="4"/>
  <c r="IE26" i="4"/>
  <c r="ID26" i="4"/>
  <c r="IC26" i="4"/>
  <c r="IA26" i="4"/>
  <c r="HZ26" i="4"/>
  <c r="HY26" i="4"/>
  <c r="HX26" i="4"/>
  <c r="HW26" i="4"/>
  <c r="HV26" i="4"/>
  <c r="HU26" i="4"/>
  <c r="HT26" i="4"/>
  <c r="HS26" i="4"/>
  <c r="HQ26" i="4"/>
  <c r="HP26" i="4"/>
  <c r="HO26" i="4"/>
  <c r="HN26" i="4"/>
  <c r="HM26" i="4"/>
  <c r="HL26" i="4"/>
  <c r="HK26" i="4"/>
  <c r="HJ26" i="4"/>
  <c r="HI26" i="4"/>
  <c r="HG26" i="4"/>
  <c r="HF26" i="4"/>
  <c r="HE26" i="4"/>
  <c r="HD26" i="4"/>
  <c r="HC26" i="4"/>
  <c r="HB26" i="4"/>
  <c r="HA26" i="4"/>
  <c r="GZ26" i="4"/>
  <c r="GY26" i="4"/>
  <c r="GW26" i="4"/>
  <c r="GV26" i="4"/>
  <c r="GU26" i="4"/>
  <c r="GT26" i="4"/>
  <c r="GS26" i="4"/>
  <c r="GR26" i="4"/>
  <c r="GQ26" i="4"/>
  <c r="GP26" i="4"/>
  <c r="GO26" i="4"/>
  <c r="GM26" i="4"/>
  <c r="GL26" i="4"/>
  <c r="GK26" i="4"/>
  <c r="GJ26" i="4"/>
  <c r="GI26" i="4"/>
  <c r="GH26" i="4"/>
  <c r="GG26" i="4"/>
  <c r="GF26" i="4"/>
  <c r="GE26" i="4"/>
  <c r="GC26" i="4"/>
  <c r="GB26" i="4"/>
  <c r="GA26" i="4"/>
  <c r="FZ26" i="4"/>
  <c r="FY26" i="4"/>
  <c r="FX26" i="4"/>
  <c r="FW26" i="4"/>
  <c r="FV26" i="4"/>
  <c r="FU26" i="4"/>
  <c r="FS26" i="4"/>
  <c r="FR26" i="4"/>
  <c r="FQ26" i="4"/>
  <c r="FP26" i="4"/>
  <c r="FO26" i="4"/>
  <c r="FN26" i="4"/>
  <c r="FM26" i="4"/>
  <c r="FL26" i="4"/>
  <c r="FK26" i="4"/>
  <c r="FI26" i="4"/>
  <c r="FH26" i="4"/>
  <c r="FG26" i="4"/>
  <c r="FF26" i="4"/>
  <c r="FE26" i="4"/>
  <c r="FD26" i="4"/>
  <c r="FC26" i="4"/>
  <c r="FB26" i="4"/>
  <c r="FA26" i="4"/>
  <c r="EY26" i="4"/>
  <c r="EX26" i="4"/>
  <c r="EW26" i="4"/>
  <c r="EV26" i="4"/>
  <c r="EU26" i="4"/>
  <c r="ET26" i="4"/>
  <c r="ES26" i="4"/>
  <c r="ER26" i="4"/>
  <c r="EQ26" i="4"/>
  <c r="EO26" i="4"/>
  <c r="EN26" i="4"/>
  <c r="EM26" i="4"/>
  <c r="EL26" i="4"/>
  <c r="EK26" i="4"/>
  <c r="EJ26" i="4"/>
  <c r="EI26" i="4"/>
  <c r="EH26" i="4"/>
  <c r="EG26" i="4"/>
  <c r="EE26" i="4"/>
  <c r="ED26" i="4"/>
  <c r="EC26" i="4"/>
  <c r="EB26" i="4"/>
  <c r="EA26" i="4"/>
  <c r="DZ26" i="4"/>
  <c r="DY26" i="4"/>
  <c r="DX26" i="4"/>
  <c r="DW26" i="4"/>
  <c r="DU26" i="4"/>
  <c r="DT26" i="4"/>
  <c r="DS26" i="4"/>
  <c r="DR26" i="4"/>
  <c r="DQ26" i="4"/>
  <c r="DP26" i="4"/>
  <c r="DO26" i="4"/>
  <c r="DN26" i="4"/>
  <c r="DM26" i="4"/>
  <c r="DK26" i="4"/>
  <c r="DJ26" i="4"/>
  <c r="DI26" i="4"/>
  <c r="DH26" i="4"/>
  <c r="DG26" i="4"/>
  <c r="DF26" i="4"/>
  <c r="DE26" i="4"/>
  <c r="DD26" i="4"/>
  <c r="DC26" i="4"/>
  <c r="DA26" i="4"/>
  <c r="CZ26" i="4"/>
  <c r="CY26" i="4"/>
  <c r="CX26" i="4"/>
  <c r="CW26" i="4"/>
  <c r="CV26" i="4"/>
  <c r="CU26" i="4"/>
  <c r="CT26" i="4"/>
  <c r="CS26" i="4"/>
  <c r="CQ26" i="4"/>
  <c r="CP26" i="4"/>
  <c r="CO26" i="4"/>
  <c r="CN26" i="4"/>
  <c r="CM26" i="4"/>
  <c r="CL26" i="4"/>
  <c r="CK26" i="4"/>
  <c r="CJ26" i="4"/>
  <c r="CI26" i="4"/>
  <c r="CG26" i="4"/>
  <c r="CF26" i="4"/>
  <c r="CE26" i="4"/>
  <c r="CD26" i="4"/>
  <c r="CC26" i="4"/>
  <c r="CB26" i="4"/>
  <c r="CA26" i="4"/>
  <c r="BZ26" i="4"/>
  <c r="BY26" i="4"/>
  <c r="BW26" i="4"/>
  <c r="BV26" i="4"/>
  <c r="BU26" i="4"/>
  <c r="BT26" i="4"/>
  <c r="BS26" i="4"/>
  <c r="BR26" i="4"/>
  <c r="BQ26" i="4"/>
  <c r="BP26" i="4"/>
  <c r="BO26" i="4"/>
  <c r="BM26" i="4"/>
  <c r="BL26" i="4"/>
  <c r="BK26" i="4"/>
  <c r="BJ26" i="4"/>
  <c r="BI26" i="4"/>
  <c r="BH26" i="4"/>
  <c r="BG26" i="4"/>
  <c r="BF26" i="4"/>
  <c r="BE26" i="4"/>
  <c r="BC26" i="4"/>
  <c r="BB26" i="4"/>
  <c r="BA26" i="4"/>
  <c r="AZ26" i="4"/>
  <c r="AY26" i="4"/>
  <c r="AX26" i="4"/>
  <c r="AW26" i="4"/>
  <c r="AV26" i="4"/>
  <c r="AU26" i="4"/>
  <c r="AS26" i="4"/>
  <c r="AR26" i="4"/>
  <c r="AQ26" i="4"/>
  <c r="AP26" i="4"/>
  <c r="AO26" i="4"/>
  <c r="AN26" i="4"/>
  <c r="AM26" i="4"/>
  <c r="AL26" i="4"/>
  <c r="AK26" i="4"/>
  <c r="AI26" i="4"/>
  <c r="AH26" i="4"/>
  <c r="AG26" i="4"/>
  <c r="AF26" i="4"/>
  <c r="AE26" i="4"/>
  <c r="AD26" i="4"/>
  <c r="AC26" i="4"/>
  <c r="AB26" i="4"/>
  <c r="AA26" i="4"/>
  <c r="Y26" i="4"/>
  <c r="X26" i="4"/>
  <c r="W26" i="4"/>
  <c r="V26" i="4"/>
  <c r="U26" i="4"/>
  <c r="T26" i="4"/>
  <c r="S26" i="4"/>
  <c r="R26" i="4"/>
  <c r="Q26" i="4"/>
  <c r="O26" i="4"/>
  <c r="N26" i="4"/>
  <c r="M26" i="4"/>
  <c r="L26" i="4"/>
  <c r="K26" i="4"/>
  <c r="J26" i="4"/>
  <c r="I26" i="4"/>
  <c r="H26" i="4"/>
  <c r="G26" i="4"/>
  <c r="E26" i="4"/>
  <c r="D26" i="4"/>
  <c r="C26" i="4"/>
  <c r="B26" i="4"/>
  <c r="A26" i="4"/>
  <c r="IV25" i="4"/>
  <c r="IU25" i="4"/>
  <c r="IT25" i="4"/>
  <c r="IS25" i="4"/>
  <c r="IQ25" i="4"/>
  <c r="IP25" i="4"/>
  <c r="IO25" i="4"/>
  <c r="IN25" i="4"/>
  <c r="IM25" i="4"/>
  <c r="IL25" i="4"/>
  <c r="IK25" i="4"/>
  <c r="IJ25" i="4"/>
  <c r="II25" i="4"/>
  <c r="IG25" i="4"/>
  <c r="IF25" i="4"/>
  <c r="IE25" i="4"/>
  <c r="ID25" i="4"/>
  <c r="IC25" i="4"/>
  <c r="IB25" i="4"/>
  <c r="IA25" i="4"/>
  <c r="HZ25" i="4"/>
  <c r="HY25" i="4"/>
  <c r="HW25" i="4"/>
  <c r="HV25" i="4"/>
  <c r="HU25" i="4"/>
  <c r="HT25" i="4"/>
  <c r="HS25" i="4"/>
  <c r="HR25" i="4"/>
  <c r="HQ25" i="4"/>
  <c r="HP25" i="4"/>
  <c r="HO25" i="4"/>
  <c r="HM25" i="4"/>
  <c r="HL25" i="4"/>
  <c r="HK25" i="4"/>
  <c r="HJ25" i="4"/>
  <c r="HI25" i="4"/>
  <c r="HH25" i="4"/>
  <c r="HG25" i="4"/>
  <c r="HF25" i="4"/>
  <c r="HE25" i="4"/>
  <c r="HC25" i="4"/>
  <c r="HB25" i="4"/>
  <c r="HA25" i="4"/>
  <c r="GZ25" i="4"/>
  <c r="GY25" i="4"/>
  <c r="GX25" i="4"/>
  <c r="GW25" i="4"/>
  <c r="GV25" i="4"/>
  <c r="GU25" i="4"/>
  <c r="GS25" i="4"/>
  <c r="GR25" i="4"/>
  <c r="GQ25" i="4"/>
  <c r="GP25" i="4"/>
  <c r="GO25" i="4"/>
  <c r="GN25" i="4"/>
  <c r="GM25" i="4"/>
  <c r="GL25" i="4"/>
  <c r="GK25" i="4"/>
  <c r="GI25" i="4"/>
  <c r="GH25" i="4"/>
  <c r="GG25" i="4"/>
  <c r="GF25" i="4"/>
  <c r="GE25" i="4"/>
  <c r="GD25" i="4"/>
  <c r="GC25" i="4"/>
  <c r="GB25" i="4"/>
  <c r="GA25" i="4"/>
  <c r="FY25" i="4"/>
  <c r="FX25" i="4"/>
  <c r="FW25" i="4"/>
  <c r="FV25" i="4"/>
  <c r="FU25" i="4"/>
  <c r="FT25" i="4"/>
  <c r="FS25" i="4"/>
  <c r="FR25" i="4"/>
  <c r="FQ25" i="4"/>
  <c r="FO25" i="4"/>
  <c r="FN25" i="4"/>
  <c r="FM25" i="4"/>
  <c r="FL25" i="4"/>
  <c r="FK25" i="4"/>
  <c r="FJ25" i="4"/>
  <c r="FI25" i="4"/>
  <c r="FH25" i="4"/>
  <c r="FG25" i="4"/>
  <c r="FE25" i="4"/>
  <c r="FD25" i="4"/>
  <c r="FC25" i="4"/>
  <c r="FB25" i="4"/>
  <c r="FA25" i="4"/>
  <c r="EZ25" i="4"/>
  <c r="EY25" i="4"/>
  <c r="EX25" i="4"/>
  <c r="EW25" i="4"/>
  <c r="EU25" i="4"/>
  <c r="ET25" i="4"/>
  <c r="ES25" i="4"/>
  <c r="ER25" i="4"/>
  <c r="EQ25" i="4"/>
  <c r="EP25" i="4"/>
  <c r="EO25" i="4"/>
  <c r="EN25" i="4"/>
  <c r="EM25" i="4"/>
  <c r="EK25" i="4"/>
  <c r="EJ25" i="4"/>
  <c r="EI25" i="4"/>
  <c r="EH25" i="4"/>
  <c r="EG25" i="4"/>
  <c r="EF25" i="4"/>
  <c r="EE25" i="4"/>
  <c r="ED25" i="4"/>
  <c r="EC25" i="4"/>
  <c r="EA25" i="4"/>
  <c r="DZ25" i="4"/>
  <c r="DY25" i="4"/>
  <c r="DX25" i="4"/>
  <c r="DW25" i="4"/>
  <c r="DV25" i="4"/>
  <c r="DU25" i="4"/>
  <c r="DT25" i="4"/>
  <c r="DS25" i="4"/>
  <c r="DQ25" i="4"/>
  <c r="DP25" i="4"/>
  <c r="DO25" i="4"/>
  <c r="DN25" i="4"/>
  <c r="DM25" i="4"/>
  <c r="DL25" i="4"/>
  <c r="DK25" i="4"/>
  <c r="DJ25" i="4"/>
  <c r="DI25" i="4"/>
  <c r="DG25" i="4"/>
  <c r="DF25" i="4"/>
  <c r="DE25" i="4"/>
  <c r="DD25" i="4"/>
  <c r="DC25" i="4"/>
  <c r="DB25" i="4"/>
  <c r="DA25" i="4"/>
  <c r="CZ25" i="4"/>
  <c r="CY25" i="4"/>
  <c r="CW25" i="4"/>
  <c r="CV25" i="4"/>
  <c r="CU25" i="4"/>
  <c r="CT25" i="4"/>
  <c r="CS25" i="4"/>
  <c r="CR25" i="4"/>
  <c r="CQ25" i="4"/>
  <c r="CP25" i="4"/>
  <c r="CO25" i="4"/>
  <c r="CM25" i="4"/>
  <c r="CL25" i="4"/>
  <c r="CK25" i="4"/>
  <c r="CJ25" i="4"/>
  <c r="CI25" i="4"/>
  <c r="CH25" i="4"/>
  <c r="CG25" i="4"/>
  <c r="CF25" i="4"/>
  <c r="CE25" i="4"/>
  <c r="CC25" i="4"/>
  <c r="CB25" i="4"/>
  <c r="CA25" i="4"/>
  <c r="BZ25" i="4"/>
  <c r="BY25" i="4"/>
  <c r="BX25" i="4"/>
  <c r="BW25" i="4"/>
  <c r="BV25" i="4"/>
  <c r="BU25" i="4"/>
  <c r="BS25" i="4"/>
  <c r="BR25" i="4"/>
  <c r="BQ25" i="4"/>
  <c r="BP25" i="4"/>
  <c r="BO25" i="4"/>
  <c r="BN25" i="4"/>
  <c r="BM25" i="4"/>
  <c r="BL25" i="4"/>
  <c r="BK25" i="4"/>
  <c r="BI25" i="4"/>
  <c r="BH25" i="4"/>
  <c r="BG25" i="4"/>
  <c r="BF25" i="4"/>
  <c r="BE25" i="4"/>
  <c r="BD25" i="4"/>
  <c r="BC25" i="4"/>
  <c r="BB25" i="4"/>
  <c r="BA25" i="4"/>
  <c r="AY25" i="4"/>
  <c r="AX25" i="4"/>
  <c r="AW25" i="4"/>
  <c r="AV25" i="4"/>
  <c r="AU25" i="4"/>
  <c r="AT25" i="4"/>
  <c r="AS25" i="4"/>
  <c r="AR25" i="4"/>
  <c r="AQ25" i="4"/>
  <c r="AO25" i="4"/>
  <c r="AN25" i="4"/>
  <c r="AM25" i="4"/>
  <c r="AL25" i="4"/>
  <c r="AK25" i="4"/>
  <c r="AJ25" i="4"/>
  <c r="AI25" i="4"/>
  <c r="AH25" i="4"/>
  <c r="AG25" i="4"/>
  <c r="AE25" i="4"/>
  <c r="AD25" i="4"/>
  <c r="AC25" i="4"/>
  <c r="AB25" i="4"/>
  <c r="AA25" i="4"/>
  <c r="Z25" i="4"/>
  <c r="Y25" i="4"/>
  <c r="X25" i="4"/>
  <c r="W25" i="4"/>
  <c r="U25" i="4"/>
  <c r="T25" i="4"/>
  <c r="S25" i="4"/>
  <c r="R25" i="4"/>
  <c r="Q25" i="4"/>
  <c r="P25" i="4"/>
  <c r="O25" i="4"/>
  <c r="N25" i="4"/>
  <c r="M25" i="4"/>
  <c r="K25" i="4"/>
  <c r="J25" i="4"/>
  <c r="I25" i="4"/>
  <c r="H25" i="4"/>
  <c r="G25" i="4"/>
  <c r="F25" i="4"/>
  <c r="E25" i="4"/>
  <c r="D25" i="4"/>
  <c r="C25" i="4"/>
  <c r="A25" i="4"/>
  <c r="IV24" i="4"/>
  <c r="IU24" i="4"/>
  <c r="IT24" i="4"/>
  <c r="IS24" i="4"/>
  <c r="IR24" i="4"/>
  <c r="IQ24" i="4"/>
  <c r="IP24" i="4"/>
  <c r="IO24" i="4"/>
  <c r="IM24" i="4"/>
  <c r="IL24" i="4"/>
  <c r="IK24" i="4"/>
  <c r="IJ24" i="4"/>
  <c r="II24" i="4"/>
  <c r="IH24" i="4"/>
  <c r="IG24" i="4"/>
  <c r="IF24" i="4"/>
  <c r="IE24" i="4"/>
  <c r="IC24" i="4"/>
  <c r="IB24" i="4"/>
  <c r="IA24" i="4"/>
  <c r="HZ24" i="4"/>
  <c r="HY24" i="4"/>
  <c r="HX24" i="4"/>
  <c r="HW24" i="4"/>
  <c r="HV24" i="4"/>
  <c r="HU24" i="4"/>
  <c r="HS24" i="4"/>
  <c r="HR24" i="4"/>
  <c r="HQ24" i="4"/>
  <c r="HP24" i="4"/>
  <c r="HO24" i="4"/>
  <c r="HN24" i="4"/>
  <c r="HM24" i="4"/>
  <c r="HL24" i="4"/>
  <c r="HK24" i="4"/>
  <c r="HI24" i="4"/>
  <c r="HH24" i="4"/>
  <c r="HG24" i="4"/>
  <c r="HF24" i="4"/>
  <c r="HE24" i="4"/>
  <c r="HD24" i="4"/>
  <c r="HC24" i="4"/>
  <c r="HB24" i="4"/>
  <c r="HA24" i="4"/>
  <c r="GY24" i="4"/>
  <c r="GX24" i="4"/>
  <c r="GW24" i="4"/>
  <c r="GV24" i="4"/>
  <c r="GU24" i="4"/>
  <c r="GT24" i="4"/>
  <c r="GS24" i="4"/>
  <c r="GR24" i="4"/>
  <c r="GQ24" i="4"/>
  <c r="GO24" i="4"/>
  <c r="GN24" i="4"/>
  <c r="GM24" i="4"/>
  <c r="GL24" i="4"/>
  <c r="GK24" i="4"/>
  <c r="GJ24" i="4"/>
  <c r="GI24" i="4"/>
  <c r="GH24" i="4"/>
  <c r="GG24" i="4"/>
  <c r="GE24" i="4"/>
  <c r="GD24" i="4"/>
  <c r="GC24" i="4"/>
  <c r="GB24" i="4"/>
  <c r="GA24" i="4"/>
  <c r="FZ24" i="4"/>
  <c r="FY24" i="4"/>
  <c r="FX24" i="4"/>
  <c r="FW24" i="4"/>
  <c r="FU24" i="4"/>
  <c r="FT24" i="4"/>
  <c r="FS24" i="4"/>
  <c r="FR24" i="4"/>
  <c r="FQ24" i="4"/>
  <c r="FP24" i="4"/>
  <c r="FO24" i="4"/>
  <c r="FN24" i="4"/>
  <c r="FM24" i="4"/>
  <c r="FK24" i="4"/>
  <c r="FJ24" i="4"/>
  <c r="FI24" i="4"/>
  <c r="FH24" i="4"/>
  <c r="FG24" i="4"/>
  <c r="FF24" i="4"/>
  <c r="FE24" i="4"/>
  <c r="FD24" i="4"/>
  <c r="FC24" i="4"/>
  <c r="FA24" i="4"/>
  <c r="EZ24" i="4"/>
  <c r="EY24" i="4"/>
  <c r="EX24" i="4"/>
  <c r="EW24" i="4"/>
  <c r="EV24" i="4"/>
  <c r="EU24" i="4"/>
  <c r="ET24" i="4"/>
  <c r="ES24" i="4"/>
  <c r="EQ24" i="4"/>
  <c r="EP24" i="4"/>
  <c r="EO24" i="4"/>
  <c r="EN24" i="4"/>
  <c r="EM24" i="4"/>
  <c r="EL24" i="4"/>
  <c r="EK24" i="4"/>
  <c r="EJ24" i="4"/>
  <c r="EI24" i="4"/>
  <c r="EG24" i="4"/>
  <c r="EF24" i="4"/>
  <c r="EE24" i="4"/>
  <c r="ED24" i="4"/>
  <c r="EC24" i="4"/>
  <c r="EB24" i="4"/>
  <c r="EA24" i="4"/>
  <c r="DZ24" i="4"/>
  <c r="DY24" i="4"/>
  <c r="DW24" i="4"/>
  <c r="DV24" i="4"/>
  <c r="DU24" i="4"/>
  <c r="DT24" i="4"/>
  <c r="DS24" i="4"/>
  <c r="DR24" i="4"/>
  <c r="DQ24" i="4"/>
  <c r="DP24" i="4"/>
  <c r="DO24" i="4"/>
  <c r="DM24" i="4"/>
  <c r="DL24" i="4"/>
  <c r="DK24" i="4"/>
  <c r="DJ24" i="4"/>
  <c r="DI24" i="4"/>
  <c r="DH24" i="4"/>
  <c r="DG24" i="4"/>
  <c r="DF24" i="4"/>
  <c r="DE24" i="4"/>
  <c r="DC24" i="4"/>
  <c r="DB24" i="4"/>
  <c r="DA24" i="4"/>
  <c r="CZ24" i="4"/>
  <c r="CY24" i="4"/>
  <c r="CX24" i="4"/>
  <c r="CW24" i="4"/>
  <c r="CV24" i="4"/>
  <c r="CU24" i="4"/>
  <c r="CS24" i="4"/>
  <c r="CR24" i="4"/>
  <c r="CQ24" i="4"/>
  <c r="CP24" i="4"/>
  <c r="CO24" i="4"/>
  <c r="CN24" i="4"/>
  <c r="CM24" i="4"/>
  <c r="CL24" i="4"/>
  <c r="CK24" i="4"/>
  <c r="CI24" i="4"/>
  <c r="CH24" i="4"/>
  <c r="CG24" i="4"/>
  <c r="CF24" i="4"/>
  <c r="CE24" i="4"/>
  <c r="CD24" i="4"/>
  <c r="CC24" i="4"/>
  <c r="CB24" i="4"/>
  <c r="CA24" i="4"/>
  <c r="BY24" i="4"/>
  <c r="BX24" i="4"/>
  <c r="BW24" i="4"/>
  <c r="BV24" i="4"/>
  <c r="BU24" i="4"/>
  <c r="BT24" i="4"/>
  <c r="BS24" i="4"/>
  <c r="BR24" i="4"/>
  <c r="BQ24" i="4"/>
  <c r="BO24" i="4"/>
  <c r="BN24" i="4"/>
  <c r="BM24" i="4"/>
  <c r="BL24" i="4"/>
  <c r="BK24" i="4"/>
  <c r="BJ24" i="4"/>
  <c r="BI24" i="4"/>
  <c r="BH24" i="4"/>
  <c r="BG24" i="4"/>
  <c r="BE24" i="4"/>
  <c r="BD24" i="4"/>
  <c r="BC24" i="4"/>
  <c r="BB24" i="4"/>
  <c r="BA24" i="4"/>
  <c r="AZ24" i="4"/>
  <c r="AY24" i="4"/>
  <c r="AX24" i="4"/>
  <c r="AW24" i="4"/>
  <c r="AU24" i="4"/>
  <c r="AT24" i="4"/>
  <c r="AS24" i="4"/>
  <c r="AR24" i="4"/>
  <c r="AQ24" i="4"/>
  <c r="AP24" i="4"/>
  <c r="AO24" i="4"/>
  <c r="AN24" i="4"/>
  <c r="AM24" i="4"/>
  <c r="AK24" i="4"/>
  <c r="AJ24" i="4"/>
  <c r="AI24" i="4"/>
  <c r="AH24" i="4"/>
  <c r="AG24" i="4"/>
  <c r="AF24" i="4"/>
  <c r="AE24" i="4"/>
  <c r="AD24" i="4"/>
  <c r="AC24" i="4"/>
  <c r="AA24" i="4"/>
  <c r="Z24" i="4"/>
  <c r="Y24" i="4"/>
  <c r="X24" i="4"/>
  <c r="W24" i="4"/>
  <c r="V24" i="4"/>
  <c r="U24" i="4"/>
  <c r="T24" i="4"/>
  <c r="S24" i="4"/>
  <c r="Q24" i="4"/>
  <c r="P24" i="4"/>
  <c r="O24" i="4"/>
  <c r="N24" i="4"/>
  <c r="M24" i="4"/>
  <c r="L24" i="4"/>
  <c r="K24" i="4"/>
  <c r="J24" i="4"/>
  <c r="I24" i="4"/>
  <c r="G24" i="4"/>
  <c r="F24" i="4"/>
  <c r="E24" i="4"/>
  <c r="D24" i="4"/>
  <c r="C24" i="4"/>
  <c r="B24" i="4"/>
  <c r="A24" i="4"/>
  <c r="IV23" i="4"/>
  <c r="IU23" i="4"/>
  <c r="IS23" i="4"/>
  <c r="IR23" i="4"/>
  <c r="IQ23" i="4"/>
  <c r="IP23" i="4"/>
  <c r="IO23" i="4"/>
  <c r="IN23" i="4"/>
  <c r="IM23" i="4"/>
  <c r="IL23" i="4"/>
  <c r="IK23" i="4"/>
  <c r="II23" i="4"/>
  <c r="IH23" i="4"/>
  <c r="IG23" i="4"/>
  <c r="IF23" i="4"/>
  <c r="IE23" i="4"/>
  <c r="ID23" i="4"/>
  <c r="IC23" i="4"/>
  <c r="IB23" i="4"/>
  <c r="IA23" i="4"/>
  <c r="HY23" i="4"/>
  <c r="HX23" i="4"/>
  <c r="HW23" i="4"/>
  <c r="HV23" i="4"/>
  <c r="HU23" i="4"/>
  <c r="HT23" i="4"/>
  <c r="HS23" i="4"/>
  <c r="HR23" i="4"/>
  <c r="HQ23" i="4"/>
  <c r="HO23" i="4"/>
  <c r="HN23" i="4"/>
  <c r="HM23" i="4"/>
  <c r="HL23" i="4"/>
  <c r="HK23" i="4"/>
  <c r="HJ23" i="4"/>
  <c r="HI23" i="4"/>
  <c r="HH23" i="4"/>
  <c r="HG23" i="4"/>
  <c r="HE23" i="4"/>
  <c r="HD23" i="4"/>
  <c r="HC23" i="4"/>
  <c r="HB23" i="4"/>
  <c r="HA23" i="4"/>
  <c r="GZ23" i="4"/>
  <c r="GY23" i="4"/>
  <c r="GX23" i="4"/>
  <c r="GW23" i="4"/>
  <c r="GU23" i="4"/>
  <c r="GT23" i="4"/>
  <c r="GS23" i="4"/>
  <c r="GR23" i="4"/>
  <c r="GQ23" i="4"/>
  <c r="GP23" i="4"/>
  <c r="GO23" i="4"/>
  <c r="GN23" i="4"/>
  <c r="GM23" i="4"/>
  <c r="GK23" i="4"/>
  <c r="GJ23" i="4"/>
  <c r="GI23" i="4"/>
  <c r="GH23" i="4"/>
  <c r="GG23" i="4"/>
  <c r="GF23" i="4"/>
  <c r="GE23" i="4"/>
  <c r="GD23" i="4"/>
  <c r="GC23" i="4"/>
  <c r="GA23" i="4"/>
  <c r="FZ23" i="4"/>
  <c r="FY23" i="4"/>
  <c r="FX23" i="4"/>
  <c r="FW23" i="4"/>
  <c r="FV23" i="4"/>
  <c r="FU23" i="4"/>
  <c r="FT23" i="4"/>
  <c r="FS23" i="4"/>
  <c r="FQ23" i="4"/>
  <c r="FP23" i="4"/>
  <c r="FO23" i="4"/>
  <c r="FN23" i="4"/>
  <c r="FM23" i="4"/>
  <c r="FL23" i="4"/>
  <c r="FK23" i="4"/>
  <c r="FJ23" i="4"/>
  <c r="FI23" i="4"/>
  <c r="FG23" i="4"/>
  <c r="FF23" i="4"/>
  <c r="FE23" i="4"/>
  <c r="FD23" i="4"/>
  <c r="FC23" i="4"/>
  <c r="FB23" i="4"/>
  <c r="FA23" i="4"/>
  <c r="EZ23" i="4"/>
  <c r="EY23" i="4"/>
  <c r="EW23" i="4"/>
  <c r="EV23" i="4"/>
  <c r="EU23" i="4"/>
  <c r="ET23" i="4"/>
  <c r="ES23" i="4"/>
  <c r="ER23" i="4"/>
  <c r="EQ23" i="4"/>
  <c r="EP23" i="4"/>
  <c r="EO23" i="4"/>
  <c r="EM23" i="4"/>
  <c r="EL23" i="4"/>
  <c r="EK23" i="4"/>
  <c r="EJ23" i="4"/>
  <c r="EI23" i="4"/>
  <c r="EH23" i="4"/>
  <c r="EG23" i="4"/>
  <c r="EF23" i="4"/>
  <c r="EE23" i="4"/>
  <c r="EC23" i="4"/>
  <c r="EB23" i="4"/>
  <c r="EA23" i="4"/>
  <c r="DZ23" i="4"/>
  <c r="DY23" i="4"/>
  <c r="DX23" i="4"/>
  <c r="DW23" i="4"/>
  <c r="DV23" i="4"/>
  <c r="DU23" i="4"/>
  <c r="DS23" i="4"/>
  <c r="DR23" i="4"/>
  <c r="DQ23" i="4"/>
  <c r="DP23" i="4"/>
  <c r="DO23" i="4"/>
  <c r="DN23" i="4"/>
  <c r="DM23" i="4"/>
  <c r="DL23" i="4"/>
  <c r="DK23" i="4"/>
  <c r="DI23" i="4"/>
  <c r="DH23" i="4"/>
  <c r="DG23" i="4"/>
  <c r="DF23" i="4"/>
  <c r="DE23" i="4"/>
  <c r="DD23" i="4"/>
  <c r="DC23" i="4"/>
  <c r="DB23" i="4"/>
  <c r="DA23" i="4"/>
  <c r="CY23" i="4"/>
  <c r="CX23" i="4"/>
  <c r="CW23" i="4"/>
  <c r="CV23" i="4"/>
  <c r="CU23" i="4"/>
  <c r="CT23" i="4"/>
  <c r="CS23" i="4"/>
  <c r="CR23" i="4"/>
  <c r="CQ23" i="4"/>
  <c r="CO23" i="4"/>
  <c r="CN23" i="4"/>
  <c r="CM23" i="4"/>
  <c r="CL23" i="4"/>
  <c r="CK23" i="4"/>
  <c r="CJ23" i="4"/>
  <c r="CI23" i="4"/>
  <c r="CH23" i="4"/>
  <c r="CG23" i="4"/>
  <c r="CE23" i="4"/>
  <c r="CD23" i="4"/>
  <c r="CC23" i="4"/>
  <c r="CB23" i="4"/>
  <c r="CA23" i="4"/>
  <c r="BZ23" i="4"/>
  <c r="BY23" i="4"/>
  <c r="BX23" i="4"/>
  <c r="BW23" i="4"/>
  <c r="BU23" i="4"/>
  <c r="BT23" i="4"/>
  <c r="BS23" i="4"/>
  <c r="BR23" i="4"/>
  <c r="BQ23" i="4"/>
  <c r="BP23" i="4"/>
  <c r="BO23" i="4"/>
  <c r="BN23" i="4"/>
  <c r="BM23" i="4"/>
  <c r="BK23" i="4"/>
  <c r="BJ23" i="4"/>
  <c r="BI23" i="4"/>
  <c r="BH23" i="4"/>
  <c r="BG23" i="4"/>
  <c r="BF23" i="4"/>
  <c r="BE23" i="4"/>
  <c r="BD23" i="4"/>
  <c r="BC23" i="4"/>
  <c r="BA23" i="4"/>
  <c r="AZ23" i="4"/>
  <c r="AY23" i="4"/>
  <c r="AX23" i="4"/>
  <c r="AW23" i="4"/>
  <c r="AV23" i="4"/>
  <c r="AU23" i="4"/>
  <c r="AT23" i="4"/>
  <c r="AS23" i="4"/>
  <c r="AQ23" i="4"/>
  <c r="AP23" i="4"/>
  <c r="AO23" i="4"/>
  <c r="AN23" i="4"/>
  <c r="AM23" i="4"/>
  <c r="AL23" i="4"/>
  <c r="AK23" i="4"/>
  <c r="AJ23" i="4"/>
  <c r="AI23" i="4"/>
  <c r="AG23" i="4"/>
  <c r="AF23" i="4"/>
  <c r="AE23" i="4"/>
  <c r="AD23" i="4"/>
  <c r="AC23" i="4"/>
  <c r="AB23" i="4"/>
  <c r="AA23" i="4"/>
  <c r="Z23" i="4"/>
  <c r="Y23" i="4"/>
  <c r="W23" i="4"/>
  <c r="V23" i="4"/>
  <c r="U23" i="4"/>
  <c r="T23" i="4"/>
  <c r="S23" i="4"/>
  <c r="R23" i="4"/>
  <c r="Q23" i="4"/>
  <c r="P23" i="4"/>
  <c r="O23" i="4"/>
  <c r="M23" i="4"/>
  <c r="L23" i="4"/>
  <c r="K23" i="4"/>
  <c r="J23" i="4"/>
  <c r="I23" i="4"/>
  <c r="H23" i="4"/>
  <c r="G23" i="4"/>
  <c r="F23" i="4"/>
  <c r="E23" i="4"/>
  <c r="C23" i="4"/>
  <c r="B23" i="4"/>
  <c r="A23" i="4"/>
  <c r="IV22" i="4"/>
  <c r="IU22" i="4"/>
  <c r="IT22" i="4"/>
  <c r="IS22" i="4"/>
  <c r="IR22" i="4"/>
  <c r="IQ22" i="4"/>
  <c r="IO22" i="4"/>
  <c r="IN22" i="4"/>
  <c r="IM22" i="4"/>
  <c r="IL22" i="4"/>
  <c r="IK22" i="4"/>
  <c r="IJ22" i="4"/>
  <c r="II22" i="4"/>
  <c r="IH22" i="4"/>
  <c r="IG22" i="4"/>
  <c r="IE22" i="4"/>
  <c r="ID22" i="4"/>
  <c r="IC22" i="4"/>
  <c r="IB22" i="4"/>
  <c r="IA22" i="4"/>
  <c r="HZ22" i="4"/>
  <c r="HY22" i="4"/>
  <c r="HX22" i="4"/>
  <c r="HW22" i="4"/>
  <c r="HU22" i="4"/>
  <c r="HT22" i="4"/>
  <c r="HS22" i="4"/>
  <c r="HR22" i="4"/>
  <c r="HQ22" i="4"/>
  <c r="HP22" i="4"/>
  <c r="HO22" i="4"/>
  <c r="HN22" i="4"/>
  <c r="HM22" i="4"/>
  <c r="HK22" i="4"/>
  <c r="HJ22" i="4"/>
  <c r="HI22" i="4"/>
  <c r="HH22" i="4"/>
  <c r="HG22" i="4"/>
  <c r="HF22" i="4"/>
  <c r="HE22" i="4"/>
  <c r="HD22" i="4"/>
  <c r="HC22" i="4"/>
  <c r="HA22" i="4"/>
  <c r="GZ22" i="4"/>
  <c r="GY22" i="4"/>
  <c r="GX22" i="4"/>
  <c r="GW22" i="4"/>
  <c r="GV22" i="4"/>
  <c r="GU22" i="4"/>
  <c r="GT22" i="4"/>
  <c r="GS22" i="4"/>
  <c r="GQ22" i="4"/>
  <c r="GP22" i="4"/>
  <c r="GO22" i="4"/>
  <c r="GN22" i="4"/>
  <c r="GM22" i="4"/>
  <c r="GL22" i="4"/>
  <c r="GK22" i="4"/>
  <c r="GJ22" i="4"/>
  <c r="GI22" i="4"/>
  <c r="GG22" i="4"/>
  <c r="GF22" i="4"/>
  <c r="GE22" i="4"/>
  <c r="GD22" i="4"/>
  <c r="GC22" i="4"/>
  <c r="GB22" i="4"/>
  <c r="GA22" i="4"/>
  <c r="FZ22" i="4"/>
  <c r="FY22" i="4"/>
  <c r="FW22" i="4"/>
  <c r="FV22" i="4"/>
  <c r="FU22" i="4"/>
  <c r="FT22" i="4"/>
  <c r="FS22" i="4"/>
  <c r="FR22" i="4"/>
  <c r="FQ22" i="4"/>
  <c r="FP22" i="4"/>
  <c r="FO22" i="4"/>
  <c r="FM22" i="4"/>
  <c r="FL22" i="4"/>
  <c r="FK22" i="4"/>
  <c r="FJ22" i="4"/>
  <c r="FI22" i="4"/>
  <c r="FH22" i="4"/>
  <c r="FG22" i="4"/>
  <c r="FF22" i="4"/>
  <c r="FE22" i="4"/>
  <c r="FC22" i="4"/>
  <c r="FB22" i="4"/>
  <c r="FA22" i="4"/>
  <c r="EZ22" i="4"/>
  <c r="EY22" i="4"/>
  <c r="EX22" i="4"/>
  <c r="EW22" i="4"/>
  <c r="EV22" i="4"/>
  <c r="EU22" i="4"/>
  <c r="ES22" i="4"/>
  <c r="ER22" i="4"/>
  <c r="EQ22" i="4"/>
  <c r="EP22" i="4"/>
  <c r="EO22" i="4"/>
  <c r="EN22" i="4"/>
  <c r="EM22" i="4"/>
  <c r="EL22" i="4"/>
  <c r="EK22" i="4"/>
  <c r="EI22" i="4"/>
  <c r="EH22" i="4"/>
  <c r="EG22" i="4"/>
  <c r="EF22" i="4"/>
  <c r="EE22" i="4"/>
  <c r="ED22" i="4"/>
  <c r="EC22" i="4"/>
  <c r="EB22" i="4"/>
  <c r="EA22" i="4"/>
  <c r="DY22" i="4"/>
  <c r="DX22" i="4"/>
  <c r="DW22" i="4"/>
  <c r="DV22" i="4"/>
  <c r="DU22" i="4"/>
  <c r="DT22" i="4"/>
  <c r="DS22" i="4"/>
  <c r="DR22" i="4"/>
  <c r="DQ22" i="4"/>
  <c r="DO22" i="4"/>
  <c r="DN22" i="4"/>
  <c r="DM22" i="4"/>
  <c r="DL22" i="4"/>
  <c r="DK22" i="4"/>
  <c r="DJ22" i="4"/>
  <c r="DI22" i="4"/>
  <c r="DH22" i="4"/>
  <c r="DG22" i="4"/>
  <c r="DE22" i="4"/>
  <c r="DD22" i="4"/>
  <c r="DC22" i="4"/>
  <c r="DB22" i="4"/>
  <c r="DA22" i="4"/>
  <c r="CZ22" i="4"/>
  <c r="CY22" i="4"/>
  <c r="CX22" i="4"/>
  <c r="CW22" i="4"/>
  <c r="CU22" i="4"/>
  <c r="CT22" i="4"/>
  <c r="CS22" i="4"/>
  <c r="CR22" i="4"/>
  <c r="CQ22" i="4"/>
  <c r="CP22" i="4"/>
  <c r="CO22" i="4"/>
  <c r="CN22" i="4"/>
  <c r="CM22" i="4"/>
  <c r="CK22" i="4"/>
  <c r="CJ22" i="4"/>
  <c r="CI22" i="4"/>
  <c r="CH22" i="4"/>
  <c r="CG22" i="4"/>
  <c r="CF22" i="4"/>
  <c r="CE22" i="4"/>
  <c r="CD22" i="4"/>
  <c r="CC22" i="4"/>
  <c r="CA22" i="4"/>
  <c r="BZ22" i="4"/>
  <c r="BY22" i="4"/>
  <c r="BX22" i="4"/>
  <c r="BW22" i="4"/>
  <c r="BV22" i="4"/>
  <c r="BU22" i="4"/>
  <c r="BT22" i="4"/>
  <c r="BS22" i="4"/>
  <c r="BQ22" i="4"/>
  <c r="BP22" i="4"/>
  <c r="BO22" i="4"/>
  <c r="BN22" i="4"/>
  <c r="BM22" i="4"/>
  <c r="BL22" i="4"/>
  <c r="BK22" i="4"/>
  <c r="BJ22" i="4"/>
  <c r="BI22" i="4"/>
  <c r="BG22" i="4"/>
  <c r="BF22" i="4"/>
  <c r="BE22" i="4"/>
  <c r="BD22" i="4"/>
  <c r="BC22" i="4"/>
  <c r="BB22" i="4"/>
  <c r="BA22" i="4"/>
  <c r="AZ22" i="4"/>
  <c r="AY22" i="4"/>
  <c r="AW22" i="4"/>
  <c r="AV22" i="4"/>
  <c r="AU22" i="4"/>
  <c r="AT22" i="4"/>
  <c r="AS22" i="4"/>
  <c r="AR22" i="4"/>
  <c r="AQ22" i="4"/>
  <c r="AP22" i="4"/>
  <c r="AO22" i="4"/>
  <c r="AM22" i="4"/>
  <c r="AL22" i="4"/>
  <c r="AK22" i="4"/>
  <c r="AJ22" i="4"/>
  <c r="AI22" i="4"/>
  <c r="AH22" i="4"/>
  <c r="AG22" i="4"/>
  <c r="AF22" i="4"/>
  <c r="AE22" i="4"/>
  <c r="AC22" i="4"/>
  <c r="AB22" i="4"/>
  <c r="AA22" i="4"/>
  <c r="Z22" i="4"/>
  <c r="Y22" i="4"/>
  <c r="X22" i="4"/>
  <c r="W22" i="4"/>
  <c r="V22" i="4"/>
  <c r="U22" i="4"/>
  <c r="S22" i="4"/>
  <c r="R22" i="4"/>
  <c r="Q22" i="4"/>
  <c r="P22" i="4"/>
  <c r="O22" i="4"/>
  <c r="N22" i="4"/>
  <c r="M22" i="4"/>
  <c r="L22" i="4"/>
  <c r="K22" i="4"/>
  <c r="I22" i="4"/>
  <c r="H22" i="4"/>
  <c r="G22" i="4"/>
  <c r="F22" i="4"/>
  <c r="E22" i="4"/>
  <c r="D22" i="4"/>
  <c r="C22" i="4"/>
  <c r="B22" i="4"/>
  <c r="A22" i="4"/>
  <c r="IU21" i="4"/>
  <c r="IT21" i="4"/>
  <c r="IS21" i="4"/>
  <c r="IR21" i="4"/>
  <c r="IQ21" i="4"/>
  <c r="IP21" i="4"/>
  <c r="IO21" i="4"/>
  <c r="IN21" i="4"/>
  <c r="IM21" i="4"/>
  <c r="IK21" i="4"/>
  <c r="IJ21" i="4"/>
  <c r="II21" i="4"/>
  <c r="IH21" i="4"/>
  <c r="IG21" i="4"/>
  <c r="IF21" i="4"/>
  <c r="IE21" i="4"/>
  <c r="ID21" i="4"/>
  <c r="IC21" i="4"/>
  <c r="IA21" i="4"/>
  <c r="HZ21" i="4"/>
  <c r="HY21" i="4"/>
  <c r="HX21" i="4"/>
  <c r="HW21" i="4"/>
  <c r="HV21" i="4"/>
  <c r="HU21" i="4"/>
  <c r="HT21" i="4"/>
  <c r="HS21" i="4"/>
  <c r="HQ21" i="4"/>
  <c r="HP21" i="4"/>
  <c r="HO21" i="4"/>
  <c r="HN21" i="4"/>
  <c r="HM21" i="4"/>
  <c r="HL21" i="4"/>
  <c r="HK21" i="4"/>
  <c r="HJ21" i="4"/>
  <c r="HI21" i="4"/>
  <c r="HG21" i="4"/>
  <c r="HF21" i="4"/>
  <c r="HE21" i="4"/>
  <c r="HD21" i="4"/>
  <c r="HC21" i="4"/>
  <c r="HB21" i="4"/>
  <c r="HA21" i="4"/>
  <c r="GZ21" i="4"/>
  <c r="GY21" i="4"/>
  <c r="GW21" i="4"/>
  <c r="GV21" i="4"/>
  <c r="GU21" i="4"/>
  <c r="GT21" i="4"/>
  <c r="GS21" i="4"/>
  <c r="GR21" i="4"/>
  <c r="GQ21" i="4"/>
  <c r="GP21" i="4"/>
  <c r="GO21" i="4"/>
  <c r="GM21" i="4"/>
  <c r="GL21" i="4"/>
  <c r="GK21" i="4"/>
  <c r="GJ21" i="4"/>
  <c r="GI21" i="4"/>
  <c r="GH21" i="4"/>
  <c r="GG21" i="4"/>
  <c r="GF21" i="4"/>
  <c r="GE21" i="4"/>
  <c r="GC21" i="4"/>
  <c r="GB21" i="4"/>
  <c r="GA21" i="4"/>
  <c r="FZ21" i="4"/>
  <c r="FY21" i="4"/>
  <c r="FX21" i="4"/>
  <c r="FW21" i="4"/>
  <c r="FV21" i="4"/>
  <c r="FU21" i="4"/>
  <c r="FS21" i="4"/>
  <c r="FR21" i="4"/>
  <c r="FQ21" i="4"/>
  <c r="FP21" i="4"/>
  <c r="FO21" i="4"/>
  <c r="FN21" i="4"/>
  <c r="FM21" i="4"/>
  <c r="FL21" i="4"/>
  <c r="FK21" i="4"/>
  <c r="FI21" i="4"/>
  <c r="FH21" i="4"/>
  <c r="FG21" i="4"/>
  <c r="FF21" i="4"/>
  <c r="FE21" i="4"/>
  <c r="FD21" i="4"/>
  <c r="FC21" i="4"/>
  <c r="FB21" i="4"/>
  <c r="FA21" i="4"/>
  <c r="EY21" i="4"/>
  <c r="EX21" i="4"/>
  <c r="EW21" i="4"/>
  <c r="EV21" i="4"/>
  <c r="EU21" i="4"/>
  <c r="ET21" i="4"/>
  <c r="ES21" i="4"/>
  <c r="ER21" i="4"/>
  <c r="EQ21" i="4"/>
  <c r="EO21" i="4"/>
  <c r="EN21" i="4"/>
  <c r="EM21" i="4"/>
  <c r="EL21" i="4"/>
  <c r="EK21" i="4"/>
  <c r="EJ21" i="4"/>
  <c r="EI21" i="4"/>
  <c r="EH21" i="4"/>
  <c r="EG21" i="4"/>
  <c r="EE21" i="4"/>
  <c r="ED21" i="4"/>
  <c r="EC21" i="4"/>
  <c r="EB21" i="4"/>
  <c r="EA21" i="4"/>
  <c r="DZ21" i="4"/>
  <c r="DY21" i="4"/>
  <c r="DX21" i="4"/>
  <c r="DW21" i="4"/>
  <c r="DU21" i="4"/>
  <c r="DT21" i="4"/>
  <c r="DS21" i="4"/>
  <c r="DR21" i="4"/>
  <c r="DQ21" i="4"/>
  <c r="DP21" i="4"/>
  <c r="DO21" i="4"/>
  <c r="DN21" i="4"/>
  <c r="DM21" i="4"/>
  <c r="DK21" i="4"/>
  <c r="DJ21" i="4"/>
  <c r="DI21" i="4"/>
  <c r="DH21" i="4"/>
  <c r="DG21" i="4"/>
  <c r="DF21" i="4"/>
  <c r="DE21" i="4"/>
  <c r="DD21" i="4"/>
  <c r="DC21" i="4"/>
  <c r="DA21" i="4"/>
  <c r="CZ21" i="4"/>
  <c r="CY21" i="4"/>
  <c r="CX21" i="4"/>
  <c r="CW21" i="4"/>
  <c r="CV21" i="4"/>
  <c r="CU21" i="4"/>
  <c r="CT21" i="4"/>
  <c r="CS21" i="4"/>
  <c r="CQ21" i="4"/>
  <c r="CP21" i="4"/>
  <c r="CO21" i="4"/>
  <c r="CN21" i="4"/>
  <c r="CM21" i="4"/>
  <c r="CL21" i="4"/>
  <c r="CK21" i="4"/>
  <c r="CJ21" i="4"/>
  <c r="CI21" i="4"/>
  <c r="CG21" i="4"/>
  <c r="CF21" i="4"/>
  <c r="CE21" i="4"/>
  <c r="CD21" i="4"/>
  <c r="CC21" i="4"/>
  <c r="CB21" i="4"/>
  <c r="CA21" i="4"/>
  <c r="BZ21" i="4"/>
  <c r="BY21" i="4"/>
  <c r="BX21" i="4"/>
  <c r="BV21" i="4"/>
  <c r="BU21" i="4"/>
  <c r="BT21" i="4"/>
  <c r="BS21" i="4"/>
  <c r="BR21" i="4"/>
  <c r="BQ21" i="4"/>
  <c r="BP21" i="4"/>
  <c r="BO21" i="4"/>
  <c r="BN21" i="4"/>
  <c r="BM21" i="4"/>
  <c r="BK21" i="4"/>
  <c r="BJ21" i="4"/>
  <c r="BI21" i="4"/>
  <c r="BH21" i="4"/>
  <c r="BG21" i="4"/>
  <c r="BF21" i="4"/>
  <c r="BE21" i="4"/>
  <c r="BD21" i="4"/>
  <c r="BC21" i="4"/>
  <c r="BB21" i="4"/>
  <c r="AZ21" i="4"/>
  <c r="AY21" i="4"/>
  <c r="AX21" i="4"/>
  <c r="AW21" i="4"/>
  <c r="AV21" i="4"/>
  <c r="AU21" i="4"/>
  <c r="AT21" i="4"/>
  <c r="AS21" i="4"/>
  <c r="AR21" i="4"/>
  <c r="AQ21" i="4"/>
  <c r="AO21" i="4"/>
  <c r="AN21" i="4"/>
  <c r="AM21" i="4"/>
  <c r="AL21" i="4"/>
  <c r="AK21" i="4"/>
  <c r="AJ21" i="4"/>
  <c r="AI21" i="4"/>
  <c r="AH21" i="4"/>
  <c r="AG21" i="4"/>
  <c r="AF21" i="4"/>
  <c r="AD21" i="4"/>
  <c r="AC21" i="4"/>
  <c r="AB21" i="4"/>
  <c r="AA21" i="4"/>
  <c r="Z21" i="4"/>
  <c r="Y21" i="4"/>
  <c r="X21" i="4"/>
  <c r="W21" i="4"/>
  <c r="V21" i="4"/>
  <c r="U21" i="4"/>
  <c r="S21" i="4"/>
  <c r="R21" i="4"/>
  <c r="Q21" i="4"/>
  <c r="P21" i="4"/>
  <c r="O21" i="4"/>
  <c r="N21" i="4"/>
  <c r="M21" i="4"/>
  <c r="L21" i="4"/>
  <c r="K21" i="4"/>
  <c r="J21" i="4"/>
  <c r="H21" i="4"/>
  <c r="G21" i="4"/>
  <c r="F21" i="4"/>
  <c r="E21" i="4"/>
  <c r="D21" i="4"/>
  <c r="C21" i="4"/>
  <c r="B21" i="4"/>
  <c r="A21" i="4"/>
  <c r="IV20" i="4"/>
  <c r="IU20" i="4"/>
  <c r="IS20" i="4"/>
  <c r="IR20" i="4"/>
  <c r="IQ20" i="4"/>
  <c r="IP20" i="4"/>
  <c r="IO20" i="4"/>
  <c r="IN20" i="4"/>
  <c r="IM20" i="4"/>
  <c r="IL20" i="4"/>
  <c r="IK20" i="4"/>
  <c r="IJ20" i="4"/>
  <c r="IH20" i="4"/>
  <c r="IG20" i="4"/>
  <c r="IF20" i="4"/>
  <c r="IE20" i="4"/>
  <c r="ID20" i="4"/>
  <c r="IC20" i="4"/>
  <c r="IB20" i="4"/>
  <c r="IA20" i="4"/>
  <c r="HZ20" i="4"/>
  <c r="HY20" i="4"/>
  <c r="HW20" i="4"/>
  <c r="HV20" i="4"/>
  <c r="HU20" i="4"/>
  <c r="HT20" i="4"/>
  <c r="HS20" i="4"/>
  <c r="HR20" i="4"/>
  <c r="HQ20" i="4"/>
  <c r="HP20" i="4"/>
  <c r="HO20" i="4"/>
  <c r="HN20" i="4"/>
  <c r="HL20" i="4"/>
  <c r="HK20" i="4"/>
  <c r="HJ20" i="4"/>
  <c r="HI20" i="4"/>
  <c r="HH20" i="4"/>
  <c r="HG20" i="4"/>
  <c r="HF20" i="4"/>
  <c r="HE20" i="4"/>
  <c r="HD20" i="4"/>
  <c r="HC20" i="4"/>
  <c r="HA20" i="4"/>
  <c r="GZ20" i="4"/>
  <c r="GY20" i="4"/>
  <c r="GX20" i="4"/>
  <c r="GW20" i="4"/>
  <c r="GV20" i="4"/>
  <c r="GU20" i="4"/>
  <c r="GT20" i="4"/>
  <c r="GS20" i="4"/>
  <c r="GR20" i="4"/>
  <c r="GP20" i="4"/>
  <c r="GO20" i="4"/>
  <c r="GN20" i="4"/>
  <c r="GM20" i="4"/>
  <c r="GL20" i="4"/>
  <c r="GK20" i="4"/>
  <c r="GJ20" i="4"/>
  <c r="GI20" i="4"/>
  <c r="GH20" i="4"/>
  <c r="GG20" i="4"/>
  <c r="GE20" i="4"/>
  <c r="GD20" i="4"/>
  <c r="GC20" i="4"/>
  <c r="GB20" i="4"/>
  <c r="GA20" i="4"/>
  <c r="FZ20" i="4"/>
  <c r="FY20" i="4"/>
  <c r="FX20" i="4"/>
  <c r="FW20" i="4"/>
  <c r="FV20" i="4"/>
  <c r="FT20" i="4"/>
  <c r="FS20" i="4"/>
  <c r="FR20" i="4"/>
  <c r="FQ20" i="4"/>
  <c r="FP20" i="4"/>
  <c r="FO20" i="4"/>
  <c r="FN20" i="4"/>
  <c r="FM20" i="4"/>
  <c r="FL20" i="4"/>
  <c r="FK20" i="4"/>
  <c r="FI20" i="4"/>
  <c r="FH20" i="4"/>
  <c r="FG20" i="4"/>
  <c r="FF20" i="4"/>
  <c r="FE20" i="4"/>
  <c r="FD20" i="4"/>
  <c r="FC20" i="4"/>
  <c r="FB20" i="4"/>
  <c r="FA20" i="4"/>
  <c r="EZ20" i="4"/>
  <c r="EX20" i="4"/>
  <c r="EW20" i="4"/>
  <c r="EV20" i="4"/>
  <c r="EU20" i="4"/>
  <c r="ET20" i="4"/>
  <c r="ES20" i="4"/>
  <c r="ER20" i="4"/>
  <c r="EQ20" i="4"/>
  <c r="EP20" i="4"/>
  <c r="EO20" i="4"/>
  <c r="EM20" i="4"/>
  <c r="EL20" i="4"/>
  <c r="EK20" i="4"/>
  <c r="EJ20" i="4"/>
  <c r="EI20" i="4"/>
  <c r="EH20" i="4"/>
  <c r="EG20" i="4"/>
  <c r="EF20" i="4"/>
  <c r="EE20" i="4"/>
  <c r="ED20" i="4"/>
  <c r="EB20" i="4"/>
  <c r="EA20" i="4"/>
  <c r="DZ20" i="4"/>
  <c r="DY20" i="4"/>
  <c r="DX20" i="4"/>
  <c r="DW20" i="4"/>
  <c r="DV20" i="4"/>
  <c r="DU20" i="4"/>
  <c r="DT20" i="4"/>
  <c r="DS20" i="4"/>
  <c r="DQ20" i="4"/>
  <c r="DP20" i="4"/>
  <c r="DO20" i="4"/>
  <c r="DN20" i="4"/>
  <c r="DM20" i="4"/>
  <c r="DL20" i="4"/>
  <c r="DK20" i="4"/>
  <c r="DJ20" i="4"/>
  <c r="DI20" i="4"/>
  <c r="DH20" i="4"/>
  <c r="DF20" i="4"/>
  <c r="DE20" i="4"/>
  <c r="DD20" i="4"/>
  <c r="DC20" i="4"/>
  <c r="DB20" i="4"/>
  <c r="DA20" i="4"/>
  <c r="CZ20" i="4"/>
  <c r="CY20" i="4"/>
  <c r="CX20" i="4"/>
  <c r="CW20" i="4"/>
  <c r="CU20" i="4"/>
  <c r="CT20" i="4"/>
  <c r="CS20" i="4"/>
  <c r="CR20" i="4"/>
  <c r="CQ20" i="4"/>
  <c r="CP20" i="4"/>
  <c r="CO20" i="4"/>
  <c r="CN20" i="4"/>
  <c r="CM20" i="4"/>
  <c r="CL20" i="4"/>
  <c r="CJ20" i="4"/>
  <c r="CI20" i="4"/>
  <c r="CH20" i="4"/>
  <c r="CG20" i="4"/>
  <c r="CF20" i="4"/>
  <c r="CE20" i="4"/>
  <c r="CD20" i="4"/>
  <c r="CC20" i="4"/>
  <c r="CB20" i="4"/>
  <c r="CA20" i="4"/>
  <c r="BY20" i="4"/>
  <c r="BX20" i="4"/>
  <c r="BW20" i="4"/>
  <c r="BV20" i="4"/>
  <c r="BU20" i="4"/>
  <c r="BT20" i="4"/>
  <c r="BS20" i="4"/>
  <c r="BR20" i="4"/>
  <c r="BQ20" i="4"/>
  <c r="BP20" i="4"/>
  <c r="BN20" i="4"/>
  <c r="BM20" i="4"/>
  <c r="BL20" i="4"/>
  <c r="BK20" i="4"/>
  <c r="BJ20" i="4"/>
  <c r="BI20" i="4"/>
  <c r="BH20" i="4"/>
  <c r="BG20" i="4"/>
  <c r="BF20" i="4"/>
  <c r="BE20" i="4"/>
  <c r="BC20" i="4"/>
  <c r="BB20" i="4"/>
  <c r="BA20" i="4"/>
  <c r="AZ20" i="4"/>
  <c r="AY20" i="4"/>
  <c r="AX20" i="4"/>
  <c r="AW20" i="4"/>
  <c r="AV20" i="4"/>
  <c r="AU20" i="4"/>
  <c r="AT20" i="4"/>
  <c r="AR20" i="4"/>
  <c r="AQ20" i="4"/>
  <c r="AP20" i="4"/>
  <c r="AO20" i="4"/>
  <c r="AN20" i="4"/>
  <c r="AM20" i="4"/>
  <c r="AL20" i="4"/>
  <c r="AK20" i="4"/>
  <c r="AJ20" i="4"/>
  <c r="AI20" i="4"/>
  <c r="AG20" i="4"/>
  <c r="AF20" i="4"/>
  <c r="AE20" i="4"/>
  <c r="AD20" i="4"/>
  <c r="AC20" i="4"/>
  <c r="AB20" i="4"/>
  <c r="AA20" i="4"/>
  <c r="Z20" i="4"/>
  <c r="Y20" i="4"/>
  <c r="X20" i="4"/>
  <c r="V20" i="4"/>
  <c r="U20" i="4"/>
  <c r="T20" i="4"/>
  <c r="S20" i="4"/>
  <c r="R20" i="4"/>
  <c r="Q20" i="4"/>
  <c r="P20" i="4"/>
  <c r="O20" i="4"/>
  <c r="N20" i="4"/>
  <c r="M20" i="4"/>
  <c r="K20" i="4"/>
  <c r="J20" i="4"/>
  <c r="I20" i="4"/>
  <c r="H20" i="4"/>
  <c r="G20" i="4"/>
  <c r="F20" i="4"/>
  <c r="E20" i="4"/>
  <c r="D20" i="4"/>
  <c r="C20" i="4"/>
  <c r="B20" i="4"/>
  <c r="IV19" i="4"/>
  <c r="IU19" i="4"/>
  <c r="IT19" i="4"/>
  <c r="IS19" i="4"/>
  <c r="IR19" i="4"/>
  <c r="IQ19" i="4"/>
  <c r="IP19" i="4"/>
  <c r="IO19" i="4"/>
  <c r="IN19" i="4"/>
  <c r="IM19" i="4"/>
  <c r="IK19" i="4"/>
  <c r="IJ19" i="4"/>
  <c r="II19" i="4"/>
  <c r="IH19" i="4"/>
  <c r="IG19" i="4"/>
  <c r="IF19" i="4"/>
  <c r="IE19" i="4"/>
  <c r="ID19" i="4"/>
  <c r="IC19" i="4"/>
  <c r="IB19" i="4"/>
  <c r="HZ19" i="4"/>
  <c r="HY19" i="4"/>
  <c r="HX19" i="4"/>
  <c r="HW19" i="4"/>
  <c r="HV19" i="4"/>
  <c r="HU19" i="4"/>
  <c r="HT19" i="4"/>
  <c r="HS19" i="4"/>
  <c r="HR19" i="4"/>
  <c r="HQ19" i="4"/>
  <c r="HO19" i="4"/>
  <c r="HN19" i="4"/>
  <c r="HM19" i="4"/>
  <c r="HL19" i="4"/>
  <c r="HK19" i="4"/>
  <c r="HJ19" i="4"/>
  <c r="HI19" i="4"/>
  <c r="HH19" i="4"/>
  <c r="HG19" i="4"/>
  <c r="HF19" i="4"/>
  <c r="HD19" i="4"/>
  <c r="HC19" i="4"/>
  <c r="HB19" i="4"/>
  <c r="HA19" i="4"/>
  <c r="GZ19" i="4"/>
  <c r="GY19" i="4"/>
  <c r="GX19" i="4"/>
  <c r="GW19" i="4"/>
  <c r="GV19" i="4"/>
  <c r="GU19" i="4"/>
  <c r="GS19" i="4"/>
  <c r="GR19" i="4"/>
  <c r="GQ19" i="4"/>
  <c r="GP19" i="4"/>
  <c r="GO19" i="4"/>
  <c r="GN19" i="4"/>
  <c r="GM19" i="4"/>
  <c r="GL19" i="4"/>
  <c r="GK19" i="4"/>
  <c r="GJ19" i="4"/>
  <c r="GH19" i="4"/>
  <c r="GG19" i="4"/>
  <c r="GF19" i="4"/>
  <c r="GE19" i="4"/>
  <c r="GD19" i="4"/>
  <c r="GC19" i="4"/>
  <c r="GB19" i="4"/>
  <c r="GA19" i="4"/>
  <c r="FZ19" i="4"/>
  <c r="FY19" i="4"/>
  <c r="FW19" i="4"/>
  <c r="FV19" i="4"/>
  <c r="FU19" i="4"/>
  <c r="FT19" i="4"/>
  <c r="FS19" i="4"/>
  <c r="FR19" i="4"/>
  <c r="FQ19" i="4"/>
  <c r="FP19" i="4"/>
  <c r="FO19" i="4"/>
  <c r="FN19" i="4"/>
  <c r="FL19" i="4"/>
  <c r="FK19" i="4"/>
  <c r="FJ19" i="4"/>
  <c r="FI19" i="4"/>
  <c r="FH19" i="4"/>
  <c r="FG19" i="4"/>
  <c r="FF19" i="4"/>
  <c r="FE19" i="4"/>
  <c r="FD19" i="4"/>
  <c r="FC19" i="4"/>
  <c r="FA19" i="4"/>
  <c r="EZ19" i="4"/>
  <c r="EY19" i="4"/>
  <c r="EX19" i="4"/>
  <c r="EW19" i="4"/>
  <c r="EV19" i="4"/>
  <c r="EU19" i="4"/>
  <c r="ET19" i="4"/>
  <c r="ES19" i="4"/>
  <c r="ER19" i="4"/>
  <c r="EP19" i="4"/>
  <c r="EO19" i="4"/>
  <c r="EN19" i="4"/>
  <c r="EM19" i="4"/>
  <c r="EL19" i="4"/>
  <c r="EK19" i="4"/>
  <c r="EJ19" i="4"/>
  <c r="EI19" i="4"/>
  <c r="EH19" i="4"/>
  <c r="EG19" i="4"/>
  <c r="EE19" i="4"/>
  <c r="ED19" i="4"/>
  <c r="EC19" i="4"/>
  <c r="EB19" i="4"/>
  <c r="EA19" i="4"/>
  <c r="DZ19" i="4"/>
  <c r="DY19" i="4"/>
  <c r="DX19" i="4"/>
  <c r="DW19" i="4"/>
  <c r="DV19" i="4"/>
  <c r="DT19" i="4"/>
  <c r="DS19" i="4"/>
  <c r="DR19" i="4"/>
  <c r="DQ19" i="4"/>
  <c r="DP19" i="4"/>
  <c r="DO19" i="4"/>
  <c r="DN19" i="4"/>
  <c r="DM19" i="4"/>
  <c r="DL19" i="4"/>
  <c r="DK19" i="4"/>
  <c r="DI19" i="4"/>
  <c r="DH19" i="4"/>
  <c r="DG19" i="4"/>
  <c r="DF19" i="4"/>
  <c r="DE19" i="4"/>
  <c r="DD19" i="4"/>
  <c r="DC19" i="4"/>
  <c r="DB19" i="4"/>
  <c r="DA19" i="4"/>
  <c r="CZ19" i="4"/>
  <c r="CX19" i="4"/>
  <c r="CW19" i="4"/>
  <c r="CV19" i="4"/>
  <c r="CU19" i="4"/>
  <c r="CT19" i="4"/>
  <c r="CS19" i="4"/>
  <c r="CR19" i="4"/>
  <c r="CQ19" i="4"/>
  <c r="CP19" i="4"/>
  <c r="CO19" i="4"/>
  <c r="CM19" i="4"/>
  <c r="CL19" i="4"/>
  <c r="CK19" i="4"/>
  <c r="CJ19" i="4"/>
  <c r="CI19" i="4"/>
  <c r="CH19" i="4"/>
  <c r="CG19" i="4"/>
  <c r="CF19" i="4"/>
  <c r="CE19" i="4"/>
  <c r="CD19" i="4"/>
  <c r="CB19" i="4"/>
  <c r="CA19" i="4"/>
  <c r="BZ19" i="4"/>
  <c r="BY19" i="4"/>
  <c r="BX19" i="4"/>
  <c r="BW19" i="4"/>
  <c r="BV19" i="4"/>
  <c r="BU19" i="4"/>
  <c r="BT19" i="4"/>
  <c r="BS19" i="4"/>
  <c r="BQ19" i="4"/>
  <c r="BP19" i="4"/>
  <c r="BO19" i="4"/>
  <c r="BN19" i="4"/>
  <c r="BM19" i="4"/>
  <c r="BL19" i="4"/>
  <c r="BK19" i="4"/>
  <c r="BJ19" i="4"/>
  <c r="BI19" i="4"/>
  <c r="BH19" i="4"/>
  <c r="BF19" i="4"/>
  <c r="BE19" i="4"/>
  <c r="BD19" i="4"/>
  <c r="BC19" i="4"/>
  <c r="BB19" i="4"/>
  <c r="BA19" i="4"/>
  <c r="AZ19" i="4"/>
  <c r="AY19" i="4"/>
  <c r="AX19" i="4"/>
  <c r="AW19" i="4"/>
  <c r="AU19" i="4"/>
  <c r="AT19" i="4"/>
  <c r="AS19" i="4"/>
  <c r="AR19" i="4"/>
  <c r="AQ19" i="4"/>
  <c r="AP19" i="4"/>
  <c r="AO19" i="4"/>
  <c r="AN19" i="4"/>
  <c r="AM19" i="4"/>
  <c r="AL19" i="4"/>
  <c r="AJ19" i="4"/>
  <c r="AI19" i="4"/>
  <c r="AH19" i="4"/>
  <c r="AG19" i="4"/>
  <c r="AF19" i="4"/>
  <c r="AE19" i="4"/>
  <c r="AD19" i="4"/>
  <c r="AC19" i="4"/>
  <c r="AB19" i="4"/>
  <c r="AA19" i="4"/>
  <c r="Y19" i="4"/>
  <c r="X19" i="4"/>
  <c r="W19" i="4"/>
  <c r="V19" i="4"/>
  <c r="U19" i="4"/>
  <c r="T19" i="4"/>
  <c r="S19" i="4"/>
  <c r="R19" i="4"/>
  <c r="Q19" i="4"/>
  <c r="P19" i="4"/>
  <c r="N19" i="4"/>
  <c r="M19" i="4"/>
  <c r="L19" i="4"/>
  <c r="K19" i="4"/>
  <c r="J19" i="4"/>
  <c r="I19" i="4"/>
  <c r="H19" i="4"/>
  <c r="G19" i="4"/>
  <c r="F19" i="4"/>
  <c r="E19" i="4"/>
  <c r="C19" i="4"/>
  <c r="B19" i="4"/>
  <c r="A19" i="4"/>
  <c r="IV18" i="4"/>
  <c r="IU18" i="4"/>
  <c r="IT18" i="4"/>
  <c r="IS18" i="4"/>
  <c r="IR18" i="4"/>
  <c r="IQ18" i="4"/>
  <c r="IP18" i="4"/>
  <c r="IN18" i="4"/>
  <c r="IM18" i="4"/>
  <c r="IL18" i="4"/>
  <c r="IK18" i="4"/>
  <c r="IJ18" i="4"/>
  <c r="II18" i="4"/>
  <c r="IH18" i="4"/>
  <c r="IG18" i="4"/>
  <c r="IF18" i="4"/>
  <c r="IE18" i="4"/>
  <c r="IC18" i="4"/>
  <c r="IB18" i="4"/>
  <c r="IA18" i="4"/>
  <c r="HZ18" i="4"/>
  <c r="HY18" i="4"/>
  <c r="HX18" i="4"/>
  <c r="HW18" i="4"/>
  <c r="HV18" i="4"/>
  <c r="HU18" i="4"/>
  <c r="HT18" i="4"/>
  <c r="HR18" i="4"/>
  <c r="HQ18" i="4"/>
  <c r="HP18" i="4"/>
  <c r="HO18" i="4"/>
  <c r="HN18" i="4"/>
  <c r="HM18" i="4"/>
  <c r="HL18" i="4"/>
  <c r="HK18" i="4"/>
  <c r="HJ18" i="4"/>
  <c r="HI18" i="4"/>
  <c r="HG18" i="4"/>
  <c r="HF18" i="4"/>
  <c r="HE18" i="4"/>
  <c r="HD18" i="4"/>
  <c r="HC18" i="4"/>
  <c r="HB18" i="4"/>
  <c r="HA18" i="4"/>
  <c r="GZ18" i="4"/>
  <c r="GY18" i="4"/>
  <c r="GX18" i="4"/>
  <c r="GV18" i="4"/>
  <c r="GU18" i="4"/>
  <c r="GT18" i="4"/>
  <c r="GS18" i="4"/>
  <c r="GR18" i="4"/>
  <c r="GQ18" i="4"/>
  <c r="GP18" i="4"/>
  <c r="GO18" i="4"/>
  <c r="GN18" i="4"/>
  <c r="GM18" i="4"/>
  <c r="GK18" i="4"/>
  <c r="GJ18" i="4"/>
  <c r="GI18" i="4"/>
  <c r="GH18" i="4"/>
  <c r="GG18" i="4"/>
  <c r="GF18" i="4"/>
  <c r="GE18" i="4"/>
  <c r="GD18" i="4"/>
  <c r="GC18" i="4"/>
  <c r="GB18" i="4"/>
  <c r="FZ18" i="4"/>
  <c r="FY18" i="4"/>
  <c r="FX18" i="4"/>
  <c r="FW18" i="4"/>
  <c r="FV18" i="4"/>
  <c r="FU18" i="4"/>
  <c r="FT18" i="4"/>
  <c r="FS18" i="4"/>
  <c r="FR18" i="4"/>
  <c r="FQ18" i="4"/>
  <c r="FO18" i="4"/>
  <c r="FN18" i="4"/>
  <c r="FM18" i="4"/>
  <c r="FL18" i="4"/>
  <c r="FK18" i="4"/>
  <c r="FJ18" i="4"/>
  <c r="FI18" i="4"/>
  <c r="FH18" i="4"/>
  <c r="FG18" i="4"/>
  <c r="FF18" i="4"/>
  <c r="FD18" i="4"/>
  <c r="FC18" i="4"/>
  <c r="FB18" i="4"/>
  <c r="FA18" i="4"/>
  <c r="EZ18" i="4"/>
  <c r="EY18" i="4"/>
  <c r="EX18" i="4"/>
  <c r="EW18" i="4"/>
  <c r="EV18" i="4"/>
  <c r="EU18" i="4"/>
  <c r="ES18" i="4"/>
  <c r="ER18" i="4"/>
  <c r="EQ18" i="4"/>
  <c r="EP18" i="4"/>
  <c r="EO18" i="4"/>
  <c r="EN18" i="4"/>
  <c r="EM18" i="4"/>
  <c r="EL18" i="4"/>
  <c r="EK18" i="4"/>
  <c r="EJ18" i="4"/>
  <c r="EH18" i="4"/>
  <c r="EG18" i="4"/>
  <c r="EF18" i="4"/>
  <c r="EE18" i="4"/>
  <c r="ED18" i="4"/>
  <c r="EC18" i="4"/>
  <c r="EB18" i="4"/>
  <c r="EA18" i="4"/>
  <c r="DZ18" i="4"/>
  <c r="DY18" i="4"/>
  <c r="DW18" i="4"/>
  <c r="DV18" i="4"/>
  <c r="DU18" i="4"/>
  <c r="DT18" i="4"/>
  <c r="DS18" i="4"/>
  <c r="DR18" i="4"/>
  <c r="DQ18" i="4"/>
  <c r="DP18" i="4"/>
  <c r="DO18" i="4"/>
  <c r="DN18" i="4"/>
  <c r="DL18" i="4"/>
  <c r="DK18" i="4"/>
  <c r="DJ18" i="4"/>
  <c r="DI18" i="4"/>
  <c r="DH18" i="4"/>
  <c r="DG18" i="4"/>
  <c r="DF18" i="4"/>
  <c r="DE18" i="4"/>
  <c r="DD18" i="4"/>
  <c r="DC18" i="4"/>
  <c r="DA18" i="4"/>
  <c r="CZ18" i="4"/>
  <c r="CY18" i="4"/>
  <c r="CX18" i="4"/>
  <c r="CW18" i="4"/>
  <c r="CV18" i="4"/>
  <c r="CU18" i="4"/>
  <c r="CT18" i="4"/>
  <c r="CS18" i="4"/>
  <c r="CR18" i="4"/>
  <c r="CP18" i="4"/>
  <c r="CO18" i="4"/>
  <c r="CN18" i="4"/>
  <c r="CM18" i="4"/>
  <c r="CL18" i="4"/>
  <c r="CK18" i="4"/>
  <c r="CJ18" i="4"/>
  <c r="CI18" i="4"/>
  <c r="CH18" i="4"/>
  <c r="CG18" i="4"/>
  <c r="CE18" i="4"/>
  <c r="CD18" i="4"/>
  <c r="CC18" i="4"/>
  <c r="CB18" i="4"/>
  <c r="CA18" i="4"/>
  <c r="BZ18" i="4"/>
  <c r="BY18" i="4"/>
  <c r="BX18" i="4"/>
  <c r="BW18" i="4"/>
  <c r="BV18" i="4"/>
  <c r="BT18" i="4"/>
  <c r="BS18" i="4"/>
  <c r="BR18" i="4"/>
  <c r="BQ18" i="4"/>
  <c r="BP18" i="4"/>
  <c r="BO18" i="4"/>
  <c r="BN18" i="4"/>
  <c r="BM18" i="4"/>
  <c r="BL18" i="4"/>
  <c r="BK18" i="4"/>
  <c r="BI18" i="4"/>
  <c r="BH18" i="4"/>
  <c r="BG18" i="4"/>
  <c r="BF18" i="4"/>
  <c r="BE18" i="4"/>
  <c r="BD18" i="4"/>
  <c r="BC18" i="4"/>
  <c r="BB18" i="4"/>
  <c r="BA18" i="4"/>
  <c r="AZ18" i="4"/>
  <c r="AX18" i="4"/>
  <c r="AW18" i="4"/>
  <c r="AV18" i="4"/>
  <c r="AU18" i="4"/>
  <c r="AT18" i="4"/>
  <c r="AS18" i="4"/>
  <c r="AR18" i="4"/>
  <c r="AQ18" i="4"/>
  <c r="AP18" i="4"/>
  <c r="AO18" i="4"/>
  <c r="AM18" i="4"/>
  <c r="AL18" i="4"/>
  <c r="AK18" i="4"/>
  <c r="AJ18" i="4"/>
  <c r="AI18" i="4"/>
  <c r="AH18" i="4"/>
  <c r="AG18" i="4"/>
  <c r="AF18" i="4"/>
  <c r="AE18" i="4"/>
  <c r="AD18" i="4"/>
  <c r="AB18" i="4"/>
  <c r="AA18" i="4"/>
  <c r="Z18" i="4"/>
  <c r="Y18" i="4"/>
  <c r="X18" i="4"/>
  <c r="W18" i="4"/>
  <c r="V18" i="4"/>
  <c r="U18" i="4"/>
  <c r="T18" i="4"/>
  <c r="S18" i="4"/>
  <c r="Q18" i="4"/>
  <c r="P18" i="4"/>
  <c r="O18" i="4"/>
  <c r="N18" i="4"/>
  <c r="M18" i="4"/>
  <c r="L18" i="4"/>
  <c r="K18" i="4"/>
  <c r="J18" i="4"/>
  <c r="I18" i="4"/>
  <c r="H18" i="4"/>
  <c r="F18" i="4"/>
  <c r="E18" i="4"/>
  <c r="D18" i="4"/>
  <c r="C18" i="4"/>
  <c r="B18" i="4"/>
  <c r="A18" i="4"/>
  <c r="IV17" i="4"/>
  <c r="IU17" i="4"/>
  <c r="IT17" i="4"/>
  <c r="IS17" i="4"/>
  <c r="IQ17" i="4"/>
  <c r="IP17" i="4"/>
  <c r="IO17" i="4"/>
  <c r="IN17" i="4"/>
  <c r="IM17" i="4"/>
  <c r="IL17" i="4"/>
  <c r="IK17" i="4"/>
  <c r="IJ17" i="4"/>
  <c r="II17" i="4"/>
  <c r="IH17" i="4"/>
  <c r="IF17" i="4"/>
  <c r="IE17" i="4"/>
  <c r="ID17" i="4"/>
  <c r="IC17" i="4"/>
  <c r="IB17" i="4"/>
  <c r="IA17" i="4"/>
  <c r="HZ17" i="4"/>
  <c r="HY17" i="4"/>
  <c r="HX17" i="4"/>
  <c r="HW17" i="4"/>
  <c r="HU17" i="4"/>
  <c r="HT17" i="4"/>
  <c r="HS17" i="4"/>
  <c r="HR17" i="4"/>
  <c r="HQ17" i="4"/>
  <c r="HP17" i="4"/>
  <c r="HO17" i="4"/>
  <c r="HN17" i="4"/>
  <c r="HM17" i="4"/>
  <c r="HL17" i="4"/>
  <c r="HJ17" i="4"/>
  <c r="HI17" i="4"/>
  <c r="HH17" i="4"/>
  <c r="HG17" i="4"/>
  <c r="HF17" i="4"/>
  <c r="HE17" i="4"/>
  <c r="HD17" i="4"/>
  <c r="HC17" i="4"/>
  <c r="HB17" i="4"/>
  <c r="HA17" i="4"/>
  <c r="GY17" i="4"/>
  <c r="GX17" i="4"/>
  <c r="GW17" i="4"/>
  <c r="GV17" i="4"/>
  <c r="GU17" i="4"/>
  <c r="GT17" i="4"/>
  <c r="GS17" i="4"/>
  <c r="GR17" i="4"/>
  <c r="GQ17" i="4"/>
  <c r="GP17" i="4"/>
  <c r="GN17" i="4"/>
  <c r="GM17" i="4"/>
  <c r="GL17" i="4"/>
  <c r="GK17" i="4"/>
  <c r="GJ17" i="4"/>
  <c r="GI17" i="4"/>
  <c r="GH17" i="4"/>
  <c r="GG17" i="4"/>
  <c r="GF17" i="4"/>
  <c r="GE17" i="4"/>
  <c r="GC17" i="4"/>
  <c r="GB17" i="4"/>
  <c r="GA17" i="4"/>
  <c r="FZ17" i="4"/>
  <c r="FY17" i="4"/>
  <c r="FX17" i="4"/>
  <c r="FW17" i="4"/>
  <c r="FV17" i="4"/>
  <c r="FU17" i="4"/>
  <c r="FT17" i="4"/>
  <c r="FR17" i="4"/>
  <c r="FQ17" i="4"/>
  <c r="FP17" i="4"/>
  <c r="FO17" i="4"/>
  <c r="FN17" i="4"/>
  <c r="FM17" i="4"/>
  <c r="FL17" i="4"/>
  <c r="FK17" i="4"/>
  <c r="FJ17" i="4"/>
  <c r="FI17" i="4"/>
  <c r="FG17" i="4"/>
  <c r="FF17" i="4"/>
  <c r="FE17" i="4"/>
  <c r="FD17" i="4"/>
  <c r="FC17" i="4"/>
  <c r="FB17" i="4"/>
  <c r="FA17" i="4"/>
  <c r="EZ17" i="4"/>
  <c r="EY17" i="4"/>
  <c r="EX17" i="4"/>
  <c r="EV17" i="4"/>
  <c r="EU17" i="4"/>
  <c r="ET17" i="4"/>
  <c r="ES17" i="4"/>
  <c r="ER17" i="4"/>
  <c r="EQ17" i="4"/>
  <c r="EP17" i="4"/>
  <c r="EO17" i="4"/>
  <c r="EN17" i="4"/>
  <c r="EM17" i="4"/>
  <c r="EK17" i="4"/>
  <c r="EJ17" i="4"/>
  <c r="EI17" i="4"/>
  <c r="EH17" i="4"/>
  <c r="EG17" i="4"/>
  <c r="EF17" i="4"/>
  <c r="EE17" i="4"/>
  <c r="ED17" i="4"/>
  <c r="EC17" i="4"/>
  <c r="EB17" i="4"/>
  <c r="DZ17" i="4"/>
  <c r="DY17" i="4"/>
  <c r="DX17" i="4"/>
  <c r="DW17" i="4"/>
  <c r="DV17" i="4"/>
  <c r="DU17" i="4"/>
  <c r="DT17" i="4"/>
  <c r="DS17" i="4"/>
  <c r="DR17" i="4"/>
  <c r="DQ17" i="4"/>
  <c r="DO17" i="4"/>
  <c r="DN17" i="4"/>
  <c r="DM17" i="4"/>
  <c r="DL17" i="4"/>
  <c r="DK17" i="4"/>
  <c r="DJ17" i="4"/>
  <c r="DI17" i="4"/>
  <c r="DH17" i="4"/>
  <c r="DG17" i="4"/>
  <c r="DF17" i="4"/>
  <c r="DD17" i="4"/>
  <c r="DC17" i="4"/>
  <c r="DB17" i="4"/>
  <c r="DA17" i="4"/>
  <c r="CZ17" i="4"/>
  <c r="CY17" i="4"/>
  <c r="CX17" i="4"/>
  <c r="CW17" i="4"/>
  <c r="CV17" i="4"/>
  <c r="CU17" i="4"/>
  <c r="CS17" i="4"/>
  <c r="CR17" i="4"/>
  <c r="CQ17" i="4"/>
  <c r="CP17" i="4"/>
  <c r="CO17" i="4"/>
  <c r="CN17" i="4"/>
  <c r="CM17" i="4"/>
  <c r="CL17" i="4"/>
  <c r="CK17" i="4"/>
  <c r="CJ17" i="4"/>
  <c r="CH17" i="4"/>
  <c r="CG17" i="4"/>
  <c r="CF17" i="4"/>
  <c r="CE17" i="4"/>
  <c r="CD17" i="4"/>
  <c r="CC17" i="4"/>
  <c r="CB17" i="4"/>
  <c r="CA17" i="4"/>
  <c r="BZ17" i="4"/>
  <c r="BY17" i="4"/>
  <c r="BW17" i="4"/>
  <c r="BV17" i="4"/>
  <c r="BU17" i="4"/>
  <c r="BT17" i="4"/>
  <c r="BS17" i="4"/>
  <c r="BR17" i="4"/>
  <c r="BQ17" i="4"/>
  <c r="BP17" i="4"/>
  <c r="BO17" i="4"/>
  <c r="BN17" i="4"/>
  <c r="BL17" i="4"/>
  <c r="BK17" i="4"/>
  <c r="BJ17" i="4"/>
  <c r="BI17" i="4"/>
  <c r="BH17" i="4"/>
  <c r="BG17" i="4"/>
  <c r="BF17" i="4"/>
  <c r="BE17" i="4"/>
  <c r="BD17" i="4"/>
  <c r="BC17" i="4"/>
  <c r="BA17" i="4"/>
  <c r="AZ17" i="4"/>
  <c r="AY17" i="4"/>
  <c r="AX17" i="4"/>
  <c r="AW17" i="4"/>
  <c r="AV17" i="4"/>
  <c r="AU17" i="4"/>
  <c r="AT17" i="4"/>
  <c r="AS17" i="4"/>
  <c r="AR17" i="4"/>
  <c r="AP17" i="4"/>
  <c r="AO17" i="4"/>
  <c r="AN17" i="4"/>
  <c r="AM17" i="4"/>
  <c r="AL17" i="4"/>
  <c r="AK17" i="4"/>
  <c r="AJ17" i="4"/>
  <c r="AI17" i="4"/>
  <c r="AH17" i="4"/>
  <c r="AG17" i="4"/>
  <c r="AE17" i="4"/>
  <c r="AD17" i="4"/>
  <c r="AC17" i="4"/>
  <c r="AB17" i="4"/>
  <c r="AA17" i="4"/>
  <c r="Z17" i="4"/>
  <c r="Y17" i="4"/>
  <c r="X17" i="4"/>
  <c r="W17" i="4"/>
  <c r="V17" i="4"/>
  <c r="T17" i="4"/>
  <c r="S17" i="4"/>
  <c r="R17" i="4"/>
  <c r="Q17" i="4"/>
  <c r="P17" i="4"/>
  <c r="O17" i="4"/>
  <c r="N17" i="4"/>
  <c r="M17" i="4"/>
  <c r="L17" i="4"/>
  <c r="K17" i="4"/>
  <c r="I17" i="4"/>
  <c r="H17" i="4"/>
  <c r="G17" i="4"/>
  <c r="F17" i="4"/>
  <c r="E17" i="4"/>
  <c r="D17" i="4"/>
  <c r="C17" i="4"/>
  <c r="B17" i="4"/>
  <c r="A17" i="4"/>
  <c r="IV16" i="4"/>
  <c r="IT16" i="4"/>
  <c r="IS16" i="4"/>
  <c r="IR16" i="4"/>
  <c r="IQ16" i="4"/>
  <c r="IP16" i="4"/>
  <c r="IO16" i="4"/>
  <c r="IN16" i="4"/>
  <c r="IM16" i="4"/>
  <c r="IL16" i="4"/>
  <c r="IK16" i="4"/>
  <c r="II16" i="4"/>
  <c r="IH16" i="4"/>
  <c r="IG16" i="4"/>
  <c r="IF16" i="4"/>
  <c r="IE16" i="4"/>
  <c r="ID16" i="4"/>
  <c r="IC16" i="4"/>
  <c r="IB16" i="4"/>
  <c r="IA16" i="4"/>
  <c r="HZ16" i="4"/>
  <c r="HX16" i="4"/>
  <c r="HW16" i="4"/>
  <c r="HV16" i="4"/>
  <c r="HU16" i="4"/>
  <c r="HT16" i="4"/>
  <c r="HS16" i="4"/>
  <c r="HR16" i="4"/>
  <c r="HQ16" i="4"/>
  <c r="HP16" i="4"/>
  <c r="HO16" i="4"/>
  <c r="HM16" i="4"/>
  <c r="HL16" i="4"/>
  <c r="HK16" i="4"/>
  <c r="HJ16" i="4"/>
  <c r="HI16" i="4"/>
  <c r="HH16" i="4"/>
  <c r="HG16" i="4"/>
  <c r="HF16" i="4"/>
  <c r="HE16" i="4"/>
  <c r="HD16" i="4"/>
  <c r="HB16" i="4"/>
  <c r="HA16" i="4"/>
  <c r="GZ16" i="4"/>
  <c r="GY16" i="4"/>
  <c r="GX16" i="4"/>
  <c r="GW16" i="4"/>
  <c r="GV16" i="4"/>
  <c r="GU16" i="4"/>
  <c r="GT16" i="4"/>
  <c r="GS16" i="4"/>
  <c r="GQ16" i="4"/>
  <c r="GP16" i="4"/>
  <c r="GO16" i="4"/>
  <c r="GN16" i="4"/>
  <c r="GM16" i="4"/>
  <c r="GL16" i="4"/>
  <c r="GK16" i="4"/>
  <c r="GJ16" i="4"/>
  <c r="GI16" i="4"/>
  <c r="GH16" i="4"/>
  <c r="GF16" i="4"/>
  <c r="GE16" i="4"/>
  <c r="GD16" i="4"/>
  <c r="GC16" i="4"/>
  <c r="GB16" i="4"/>
  <c r="GA16" i="4"/>
  <c r="FZ16" i="4"/>
  <c r="FY16" i="4"/>
  <c r="FX16" i="4"/>
  <c r="FW16" i="4"/>
  <c r="FU16" i="4"/>
  <c r="FT16" i="4"/>
  <c r="FS16" i="4"/>
  <c r="FR16" i="4"/>
  <c r="FQ16" i="4"/>
  <c r="FP16" i="4"/>
  <c r="FO16" i="4"/>
  <c r="FN16" i="4"/>
  <c r="FM16" i="4"/>
  <c r="FL16" i="4"/>
  <c r="FJ16" i="4"/>
  <c r="FI16" i="4"/>
  <c r="FH16" i="4"/>
  <c r="FG16" i="4"/>
  <c r="FF16" i="4"/>
  <c r="FE16" i="4"/>
  <c r="FD16" i="4"/>
  <c r="FC16" i="4"/>
  <c r="FB16" i="4"/>
  <c r="FA16" i="4"/>
  <c r="EY16" i="4"/>
  <c r="EX16" i="4"/>
  <c r="EW16" i="4"/>
  <c r="EV16" i="4"/>
  <c r="EU16" i="4"/>
  <c r="ET16" i="4"/>
  <c r="ES16" i="4"/>
  <c r="ER16" i="4"/>
  <c r="EQ16" i="4"/>
  <c r="EP16" i="4"/>
  <c r="EN16" i="4"/>
  <c r="EM16" i="4"/>
  <c r="EL16" i="4"/>
  <c r="EK16" i="4"/>
  <c r="EJ16" i="4"/>
  <c r="EI16" i="4"/>
  <c r="EH16" i="4"/>
  <c r="EG16" i="4"/>
  <c r="EF16" i="4"/>
  <c r="EE16" i="4"/>
  <c r="EC16" i="4"/>
  <c r="EB16" i="4"/>
  <c r="EA16" i="4"/>
  <c r="DZ16" i="4"/>
  <c r="DY16" i="4"/>
  <c r="DX16" i="4"/>
  <c r="DW16" i="4"/>
  <c r="DV16" i="4"/>
  <c r="DU16" i="4"/>
  <c r="DT16" i="4"/>
  <c r="DR16" i="4"/>
  <c r="DQ16" i="4"/>
  <c r="DP16" i="4"/>
  <c r="DO16" i="4"/>
  <c r="DN16" i="4"/>
  <c r="DM16" i="4"/>
  <c r="DL16" i="4"/>
  <c r="DK16" i="4"/>
  <c r="DJ16" i="4"/>
  <c r="DI16" i="4"/>
  <c r="DG16" i="4"/>
  <c r="DF16" i="4"/>
  <c r="DE16" i="4"/>
  <c r="DD16" i="4"/>
  <c r="DC16" i="4"/>
  <c r="DB16" i="4"/>
  <c r="DA16" i="4"/>
  <c r="CZ16" i="4"/>
  <c r="CY16" i="4"/>
  <c r="CX16" i="4"/>
  <c r="CV16" i="4"/>
  <c r="CU16" i="4"/>
  <c r="CT16" i="4"/>
  <c r="CS16" i="4"/>
  <c r="CR16" i="4"/>
  <c r="CQ16" i="4"/>
  <c r="CP16" i="4"/>
  <c r="CO16" i="4"/>
  <c r="CN16" i="4"/>
  <c r="CM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IV15" i="4"/>
  <c r="IU15" i="4"/>
  <c r="IT15" i="4"/>
  <c r="IS15" i="4"/>
  <c r="IR15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H14" i="4"/>
  <c r="DG14" i="4"/>
  <c r="DF14" i="4"/>
  <c r="DE14" i="4"/>
  <c r="DD14" i="4"/>
  <c r="DC14" i="4"/>
  <c r="DB14" i="4"/>
  <c r="DA14" i="4"/>
  <c r="CZ14" i="4"/>
  <c r="CX14" i="4"/>
  <c r="CW14" i="4"/>
  <c r="CV14" i="4"/>
  <c r="CU14" i="4"/>
  <c r="CT14" i="4"/>
  <c r="CS14" i="4"/>
  <c r="CR14" i="4"/>
  <c r="CQ14" i="4"/>
  <c r="CP14" i="4"/>
  <c r="CN14" i="4"/>
  <c r="CM14" i="4"/>
  <c r="CL14" i="4"/>
  <c r="CK14" i="4"/>
  <c r="CJ14" i="4"/>
  <c r="CI14" i="4"/>
  <c r="CH14" i="4"/>
  <c r="CG14" i="4"/>
  <c r="CF14" i="4"/>
  <c r="CD14" i="4"/>
  <c r="CC14" i="4"/>
  <c r="CB14" i="4"/>
  <c r="CA14" i="4"/>
  <c r="BZ14" i="4"/>
  <c r="BY14" i="4"/>
  <c r="BX14" i="4"/>
  <c r="BW14" i="4"/>
  <c r="BV14" i="4"/>
  <c r="BT14" i="4"/>
  <c r="BS14" i="4"/>
  <c r="BR14" i="4"/>
  <c r="BQ14" i="4"/>
  <c r="BP14" i="4"/>
  <c r="BO14" i="4"/>
  <c r="BN14" i="4"/>
  <c r="BM14" i="4"/>
  <c r="BL14" i="4"/>
  <c r="BJ14" i="4"/>
  <c r="BI14" i="4"/>
  <c r="BH14" i="4"/>
  <c r="BG14" i="4"/>
  <c r="BF14" i="4"/>
  <c r="BE14" i="4"/>
  <c r="BD14" i="4"/>
  <c r="BC14" i="4"/>
  <c r="BB14" i="4"/>
  <c r="AZ14" i="4"/>
  <c r="AY14" i="4"/>
  <c r="AX14" i="4"/>
  <c r="AW14" i="4"/>
  <c r="AV14" i="4"/>
  <c r="AU14" i="4"/>
  <c r="AT14" i="4"/>
  <c r="AS14" i="4"/>
  <c r="AR14" i="4"/>
  <c r="AP14" i="4"/>
  <c r="AO14" i="4"/>
  <c r="AN14" i="4"/>
  <c r="AM14" i="4"/>
  <c r="AL14" i="4"/>
  <c r="AK14" i="4"/>
  <c r="AJ14" i="4"/>
  <c r="AI14" i="4"/>
  <c r="AH14" i="4"/>
  <c r="AF14" i="4"/>
  <c r="AE14" i="4"/>
  <c r="AD14" i="4"/>
  <c r="AC14" i="4"/>
  <c r="AB14" i="4"/>
  <c r="AA14" i="4"/>
  <c r="Z14" i="4"/>
  <c r="Y14" i="4"/>
  <c r="X14" i="4"/>
  <c r="V14" i="4"/>
  <c r="U14" i="4"/>
  <c r="T14" i="4"/>
  <c r="S14" i="4"/>
  <c r="R14" i="4"/>
  <c r="Q14" i="4"/>
  <c r="P14" i="4"/>
  <c r="O14" i="4"/>
  <c r="N14" i="4"/>
  <c r="L14" i="4"/>
  <c r="K14" i="4"/>
  <c r="J14" i="4"/>
  <c r="I14" i="4"/>
  <c r="H14" i="4"/>
  <c r="G14" i="4"/>
  <c r="F14" i="4"/>
  <c r="E14" i="4"/>
  <c r="D14" i="4"/>
  <c r="B14" i="4"/>
  <c r="A14" i="4"/>
  <c r="IV13" i="4"/>
  <c r="IU13" i="4"/>
  <c r="IT13" i="4"/>
  <c r="IS13" i="4"/>
  <c r="IR13" i="4"/>
  <c r="IQ13" i="4"/>
  <c r="IP13" i="4"/>
  <c r="IN13" i="4"/>
  <c r="IM13" i="4"/>
  <c r="IL13" i="4"/>
  <c r="IK13" i="4"/>
  <c r="IJ13" i="4"/>
  <c r="II13" i="4"/>
  <c r="IH13" i="4"/>
  <c r="IG13" i="4"/>
  <c r="IF13" i="4"/>
  <c r="ID13" i="4"/>
  <c r="IC13" i="4"/>
  <c r="IB13" i="4"/>
  <c r="IA13" i="4"/>
  <c r="HZ13" i="4"/>
  <c r="HY13" i="4"/>
  <c r="HX13" i="4"/>
  <c r="HW13" i="4"/>
  <c r="HV13" i="4"/>
  <c r="HT13" i="4"/>
  <c r="HS13" i="4"/>
  <c r="HR13" i="4"/>
  <c r="HQ13" i="4"/>
  <c r="HP13" i="4"/>
  <c r="HO13" i="4"/>
  <c r="HN13" i="4"/>
  <c r="HM13" i="4"/>
  <c r="HL13" i="4"/>
  <c r="HJ13" i="4"/>
  <c r="HI13" i="4"/>
  <c r="HH13" i="4"/>
  <c r="HG13" i="4"/>
  <c r="HF13" i="4"/>
  <c r="HE13" i="4"/>
  <c r="HD13" i="4"/>
  <c r="HC13" i="4"/>
  <c r="HB13" i="4"/>
  <c r="GZ13" i="4"/>
  <c r="GY13" i="4"/>
  <c r="GX13" i="4"/>
  <c r="GW13" i="4"/>
  <c r="GV13" i="4"/>
  <c r="GU13" i="4"/>
  <c r="GT13" i="4"/>
  <c r="GS13" i="4"/>
  <c r="GR13" i="4"/>
  <c r="GP13" i="4"/>
  <c r="GO13" i="4"/>
  <c r="GN13" i="4"/>
  <c r="GM13" i="4"/>
  <c r="GL13" i="4"/>
  <c r="GK13" i="4"/>
  <c r="GJ13" i="4"/>
  <c r="GI13" i="4"/>
  <c r="GH13" i="4"/>
  <c r="GF13" i="4"/>
  <c r="GE13" i="4"/>
  <c r="GD13" i="4"/>
  <c r="GC13" i="4"/>
  <c r="GB13" i="4"/>
  <c r="GA13" i="4"/>
  <c r="FZ13" i="4"/>
  <c r="FY13" i="4"/>
  <c r="FX13" i="4"/>
  <c r="FV13" i="4"/>
  <c r="FU13" i="4"/>
  <c r="FT13" i="4"/>
  <c r="FS13" i="4"/>
  <c r="FR13" i="4"/>
  <c r="FQ13" i="4"/>
  <c r="FP13" i="4"/>
  <c r="FO13" i="4"/>
  <c r="FN13" i="4"/>
  <c r="FL13" i="4"/>
  <c r="FK13" i="4"/>
  <c r="FJ13" i="4"/>
  <c r="FI13" i="4"/>
  <c r="FH13" i="4"/>
  <c r="FG13" i="4"/>
  <c r="FF13" i="4"/>
  <c r="FE13" i="4"/>
  <c r="FD13" i="4"/>
  <c r="FB13" i="4"/>
  <c r="FA13" i="4"/>
  <c r="EZ13" i="4"/>
  <c r="EY13" i="4"/>
  <c r="EX13" i="4"/>
  <c r="EW13" i="4"/>
  <c r="EV13" i="4"/>
  <c r="EU13" i="4"/>
  <c r="ET13" i="4"/>
  <c r="ER13" i="4"/>
  <c r="EQ13" i="4"/>
  <c r="EP13" i="4"/>
  <c r="EO13" i="4"/>
  <c r="EN13" i="4"/>
  <c r="EM13" i="4"/>
  <c r="EL13" i="4"/>
  <c r="EK13" i="4"/>
  <c r="EJ13" i="4"/>
  <c r="EH13" i="4"/>
  <c r="EG13" i="4"/>
  <c r="EF13" i="4"/>
  <c r="EE13" i="4"/>
  <c r="ED13" i="4"/>
  <c r="EC13" i="4"/>
  <c r="EB13" i="4"/>
  <c r="EA13" i="4"/>
  <c r="DZ13" i="4"/>
  <c r="DX13" i="4"/>
  <c r="DW13" i="4"/>
  <c r="DV13" i="4"/>
  <c r="DU13" i="4"/>
  <c r="DT13" i="4"/>
  <c r="DS13" i="4"/>
  <c r="DR13" i="4"/>
  <c r="DQ13" i="4"/>
  <c r="DP13" i="4"/>
  <c r="DN13" i="4"/>
  <c r="DM13" i="4"/>
  <c r="DL13" i="4"/>
  <c r="DK13" i="4"/>
  <c r="DJ13" i="4"/>
  <c r="DI13" i="4"/>
  <c r="DH13" i="4"/>
  <c r="DG13" i="4"/>
  <c r="DF13" i="4"/>
  <c r="DD13" i="4"/>
  <c r="DC13" i="4"/>
  <c r="DB13" i="4"/>
  <c r="DA13" i="4"/>
  <c r="CZ13" i="4"/>
  <c r="CY13" i="4"/>
  <c r="CX13" i="4"/>
  <c r="CW13" i="4"/>
  <c r="CV13" i="4"/>
  <c r="CT13" i="4"/>
  <c r="CS13" i="4"/>
  <c r="CR13" i="4"/>
  <c r="CQ13" i="4"/>
  <c r="CP13" i="4"/>
  <c r="CO13" i="4"/>
  <c r="CN13" i="4"/>
  <c r="CM13" i="4"/>
  <c r="CL13" i="4"/>
  <c r="CJ13" i="4"/>
  <c r="CI13" i="4"/>
  <c r="CH13" i="4"/>
  <c r="CG13" i="4"/>
  <c r="CF13" i="4"/>
  <c r="CE13" i="4"/>
  <c r="CD13" i="4"/>
  <c r="CC13" i="4"/>
  <c r="CB13" i="4"/>
  <c r="BZ13" i="4"/>
  <c r="BY13" i="4"/>
  <c r="BX13" i="4"/>
  <c r="BW13" i="4"/>
  <c r="BV13" i="4"/>
  <c r="BU13" i="4"/>
  <c r="BT13" i="4"/>
  <c r="BS13" i="4"/>
  <c r="BR13" i="4"/>
  <c r="BP13" i="4"/>
  <c r="BO13" i="4"/>
  <c r="BN13" i="4"/>
  <c r="BM13" i="4"/>
  <c r="BL13" i="4"/>
  <c r="BK13" i="4"/>
  <c r="BJ13" i="4"/>
  <c r="BI13" i="4"/>
  <c r="BH13" i="4"/>
  <c r="BF13" i="4"/>
  <c r="BE13" i="4"/>
  <c r="BD13" i="4"/>
  <c r="BC13" i="4"/>
  <c r="BB13" i="4"/>
  <c r="BA13" i="4"/>
  <c r="AZ13" i="4"/>
  <c r="AY13" i="4"/>
  <c r="AX13" i="4"/>
  <c r="AV13" i="4"/>
  <c r="AU13" i="4"/>
  <c r="AT13" i="4"/>
  <c r="AS13" i="4"/>
  <c r="AR13" i="4"/>
  <c r="AQ13" i="4"/>
  <c r="AP13" i="4"/>
  <c r="AO13" i="4"/>
  <c r="AN13" i="4"/>
  <c r="AL13" i="4"/>
  <c r="AK13" i="4"/>
  <c r="AJ13" i="4"/>
  <c r="AI13" i="4"/>
  <c r="AH13" i="4"/>
  <c r="AG13" i="4"/>
  <c r="AF13" i="4"/>
  <c r="AE13" i="4"/>
  <c r="AD13" i="4"/>
  <c r="AB13" i="4"/>
  <c r="AA13" i="4"/>
  <c r="Z13" i="4"/>
  <c r="Y13" i="4"/>
  <c r="X13" i="4"/>
  <c r="W13" i="4"/>
  <c r="V13" i="4"/>
  <c r="U13" i="4"/>
  <c r="T13" i="4"/>
  <c r="R13" i="4"/>
  <c r="Q13" i="4"/>
  <c r="P13" i="4"/>
  <c r="O13" i="4"/>
  <c r="N13" i="4"/>
  <c r="M13" i="4"/>
  <c r="L13" i="4"/>
  <c r="K13" i="4"/>
  <c r="J13" i="4"/>
  <c r="H13" i="4"/>
  <c r="G13" i="4"/>
  <c r="F13" i="4"/>
  <c r="E13" i="4"/>
  <c r="D13" i="4"/>
  <c r="C13" i="4"/>
  <c r="B13" i="4"/>
  <c r="A13" i="4"/>
  <c r="IV12" i="4"/>
  <c r="IT12" i="4"/>
  <c r="IS12" i="4"/>
  <c r="IR12" i="4"/>
  <c r="IQ12" i="4"/>
  <c r="IP12" i="4"/>
  <c r="IO12" i="4"/>
  <c r="IN12" i="4"/>
  <c r="IM12" i="4"/>
  <c r="IL12" i="4"/>
  <c r="IJ12" i="4"/>
  <c r="II12" i="4"/>
  <c r="IH12" i="4"/>
  <c r="IG12" i="4"/>
  <c r="IF12" i="4"/>
  <c r="IE12" i="4"/>
  <c r="ID12" i="4"/>
  <c r="IC12" i="4"/>
  <c r="IB12" i="4"/>
  <c r="HZ12" i="4"/>
  <c r="HY12" i="4"/>
  <c r="HX12" i="4"/>
  <c r="HW12" i="4"/>
  <c r="HV12" i="4"/>
  <c r="HU12" i="4"/>
  <c r="HT12" i="4"/>
  <c r="HS12" i="4"/>
  <c r="HR12" i="4"/>
  <c r="HP12" i="4"/>
  <c r="HO12" i="4"/>
  <c r="HN12" i="4"/>
  <c r="HM12" i="4"/>
  <c r="HL12" i="4"/>
  <c r="HK12" i="4"/>
  <c r="HJ12" i="4"/>
  <c r="HI12" i="4"/>
  <c r="HH12" i="4"/>
  <c r="HF12" i="4"/>
  <c r="HE12" i="4"/>
  <c r="HD12" i="4"/>
  <c r="HC12" i="4"/>
  <c r="HB12" i="4"/>
  <c r="HA12" i="4"/>
  <c r="GZ12" i="4"/>
  <c r="GY12" i="4"/>
  <c r="GX12" i="4"/>
  <c r="GV12" i="4"/>
  <c r="GU12" i="4"/>
  <c r="GT12" i="4"/>
  <c r="GS12" i="4"/>
  <c r="GR12" i="4"/>
  <c r="GQ12" i="4"/>
  <c r="GP12" i="4"/>
  <c r="GO12" i="4"/>
  <c r="GN12" i="4"/>
  <c r="GL12" i="4"/>
  <c r="GK12" i="4"/>
  <c r="GJ12" i="4"/>
  <c r="GI12" i="4"/>
  <c r="GH12" i="4"/>
  <c r="GG12" i="4"/>
  <c r="GF12" i="4"/>
  <c r="GE12" i="4"/>
  <c r="GD12" i="4"/>
  <c r="GB12" i="4"/>
  <c r="GA12" i="4"/>
  <c r="FZ12" i="4"/>
  <c r="FY12" i="4"/>
  <c r="FX12" i="4"/>
  <c r="FW12" i="4"/>
  <c r="FV12" i="4"/>
  <c r="FU12" i="4"/>
  <c r="FT12" i="4"/>
  <c r="FR12" i="4"/>
  <c r="FQ12" i="4"/>
  <c r="FP12" i="4"/>
  <c r="FO12" i="4"/>
  <c r="FN12" i="4"/>
  <c r="FM12" i="4"/>
  <c r="FL12" i="4"/>
  <c r="FK12" i="4"/>
  <c r="FJ12" i="4"/>
  <c r="FH12" i="4"/>
  <c r="FG12" i="4"/>
  <c r="FF12" i="4"/>
  <c r="FE12" i="4"/>
  <c r="FD12" i="4"/>
  <c r="FC12" i="4"/>
  <c r="FB12" i="4"/>
  <c r="FA12" i="4"/>
  <c r="EZ12" i="4"/>
  <c r="EX12" i="4"/>
  <c r="EW12" i="4"/>
  <c r="EV12" i="4"/>
  <c r="EU12" i="4"/>
  <c r="ET12" i="4"/>
  <c r="ES12" i="4"/>
  <c r="ER12" i="4"/>
  <c r="EQ12" i="4"/>
  <c r="EP12" i="4"/>
  <c r="EN12" i="4"/>
  <c r="EM12" i="4"/>
  <c r="EL12" i="4"/>
  <c r="EK12" i="4"/>
  <c r="EJ12" i="4"/>
  <c r="EI12" i="4"/>
  <c r="EH12" i="4"/>
  <c r="EG12" i="4"/>
  <c r="EF12" i="4"/>
  <c r="ED12" i="4"/>
  <c r="EC12" i="4"/>
  <c r="EB12" i="4"/>
  <c r="EA12" i="4"/>
  <c r="DZ12" i="4"/>
  <c r="DY12" i="4"/>
  <c r="DX12" i="4"/>
  <c r="DW12" i="4"/>
  <c r="DV12" i="4"/>
  <c r="DT12" i="4"/>
  <c r="DS12" i="4"/>
  <c r="DR12" i="4"/>
  <c r="DQ12" i="4"/>
  <c r="DP12" i="4"/>
  <c r="DO12" i="4"/>
  <c r="DN12" i="4"/>
  <c r="DM12" i="4"/>
  <c r="DL12" i="4"/>
  <c r="DJ12" i="4"/>
  <c r="DI12" i="4"/>
  <c r="DH12" i="4"/>
  <c r="DG12" i="4"/>
  <c r="DF12" i="4"/>
  <c r="DE12" i="4"/>
  <c r="DD12" i="4"/>
  <c r="DC12" i="4"/>
  <c r="DB12" i="4"/>
  <c r="CZ12" i="4"/>
  <c r="CY12" i="4"/>
  <c r="CX12" i="4"/>
  <c r="CW12" i="4"/>
  <c r="CV12" i="4"/>
  <c r="CU12" i="4"/>
  <c r="CT12" i="4"/>
  <c r="CS12" i="4"/>
  <c r="CR12" i="4"/>
  <c r="CP12" i="4"/>
  <c r="CO12" i="4"/>
  <c r="CN12" i="4"/>
  <c r="CM12" i="4"/>
  <c r="CL12" i="4"/>
  <c r="CK12" i="4"/>
  <c r="CJ12" i="4"/>
  <c r="CI12" i="4"/>
  <c r="CH12" i="4"/>
  <c r="CF12" i="4"/>
  <c r="CE12" i="4"/>
  <c r="CD12" i="4"/>
  <c r="CC12" i="4"/>
  <c r="CB12" i="4"/>
  <c r="CA12" i="4"/>
  <c r="BZ12" i="4"/>
  <c r="BY12" i="4"/>
  <c r="BX12" i="4"/>
  <c r="BV12" i="4"/>
  <c r="BU12" i="4"/>
  <c r="BT12" i="4"/>
  <c r="BS12" i="4"/>
  <c r="BR12" i="4"/>
  <c r="BQ12" i="4"/>
  <c r="BP12" i="4"/>
  <c r="BO12" i="4"/>
  <c r="BN12" i="4"/>
  <c r="BL12" i="4"/>
  <c r="BK12" i="4"/>
  <c r="BJ12" i="4"/>
  <c r="BI12" i="4"/>
  <c r="BH12" i="4"/>
  <c r="BG12" i="4"/>
  <c r="BF12" i="4"/>
  <c r="BE12" i="4"/>
  <c r="BD12" i="4"/>
  <c r="BB12" i="4"/>
  <c r="BA12" i="4"/>
  <c r="AZ12" i="4"/>
  <c r="AY12" i="4"/>
  <c r="AX12" i="4"/>
  <c r="AW12" i="4"/>
  <c r="AV12" i="4"/>
  <c r="AU12" i="4"/>
  <c r="AT12" i="4"/>
  <c r="AR12" i="4"/>
  <c r="AQ12" i="4"/>
  <c r="AP12" i="4"/>
  <c r="AO12" i="4"/>
  <c r="AN12" i="4"/>
  <c r="AM12" i="4"/>
  <c r="AL12" i="4"/>
  <c r="AK12" i="4"/>
  <c r="AJ12" i="4"/>
  <c r="AH12" i="4"/>
  <c r="AG12" i="4"/>
  <c r="AF12" i="4"/>
  <c r="AE12" i="4"/>
  <c r="AD12" i="4"/>
  <c r="AC12" i="4"/>
  <c r="AB12" i="4"/>
  <c r="AA12" i="4"/>
  <c r="Z12" i="4"/>
  <c r="X12" i="4"/>
  <c r="W12" i="4"/>
  <c r="V12" i="4"/>
  <c r="U12" i="4"/>
  <c r="T12" i="4"/>
  <c r="S12" i="4"/>
  <c r="R12" i="4"/>
  <c r="Q12" i="4"/>
  <c r="P12" i="4"/>
  <c r="N12" i="4"/>
  <c r="M12" i="4"/>
  <c r="L12" i="4"/>
  <c r="K12" i="4"/>
  <c r="J12" i="4"/>
  <c r="I12" i="4"/>
  <c r="H12" i="4"/>
  <c r="G12" i="4"/>
  <c r="F12" i="4"/>
  <c r="D12" i="4"/>
  <c r="C12" i="4"/>
  <c r="B12" i="4"/>
  <c r="A12" i="4"/>
  <c r="IV11" i="4"/>
  <c r="IU11" i="4"/>
  <c r="IT11" i="4"/>
  <c r="IS11" i="4"/>
  <c r="IR11" i="4"/>
  <c r="IP11" i="4"/>
  <c r="IO11" i="4"/>
  <c r="IN11" i="4"/>
  <c r="IM11" i="4"/>
  <c r="IL11" i="4"/>
  <c r="IK11" i="4"/>
  <c r="IJ11" i="4"/>
  <c r="II11" i="4"/>
  <c r="IH11" i="4"/>
  <c r="IF11" i="4"/>
  <c r="IE11" i="4"/>
  <c r="ID11" i="4"/>
  <c r="IC11" i="4"/>
  <c r="IB11" i="4"/>
  <c r="IA11" i="4"/>
  <c r="HZ11" i="4"/>
  <c r="HY11" i="4"/>
  <c r="HX11" i="4"/>
  <c r="HV11" i="4"/>
  <c r="HU11" i="4"/>
  <c r="HT11" i="4"/>
  <c r="HS11" i="4"/>
  <c r="HR11" i="4"/>
  <c r="HQ11" i="4"/>
  <c r="HP11" i="4"/>
  <c r="HO11" i="4"/>
  <c r="HN11" i="4"/>
  <c r="HL11" i="4"/>
  <c r="HK11" i="4"/>
  <c r="HJ11" i="4"/>
  <c r="HI11" i="4"/>
  <c r="HH11" i="4"/>
  <c r="HG11" i="4"/>
  <c r="HF11" i="4"/>
  <c r="HE11" i="4"/>
  <c r="HD11" i="4"/>
  <c r="HB11" i="4"/>
  <c r="HA11" i="4"/>
  <c r="GZ11" i="4"/>
  <c r="GY11" i="4"/>
  <c r="GX11" i="4"/>
  <c r="GW11" i="4"/>
  <c r="GV11" i="4"/>
  <c r="GU11" i="4"/>
  <c r="GT11" i="4"/>
  <c r="GR11" i="4"/>
  <c r="GQ11" i="4"/>
  <c r="GP11" i="4"/>
  <c r="GO11" i="4"/>
  <c r="GN11" i="4"/>
  <c r="GM11" i="4"/>
  <c r="GL11" i="4"/>
  <c r="GK11" i="4"/>
  <c r="GJ11" i="4"/>
  <c r="GH11" i="4"/>
  <c r="GG11" i="4"/>
  <c r="GF11" i="4"/>
  <c r="GE11" i="4"/>
  <c r="GD11" i="4"/>
  <c r="GC11" i="4"/>
  <c r="GB11" i="4"/>
  <c r="GA11" i="4"/>
  <c r="FZ11" i="4"/>
  <c r="FX11" i="4"/>
  <c r="FW11" i="4"/>
  <c r="FV11" i="4"/>
  <c r="FU11" i="4"/>
  <c r="FT11" i="4"/>
  <c r="FS11" i="4"/>
  <c r="FR11" i="4"/>
  <c r="FQ11" i="4"/>
  <c r="FP11" i="4"/>
  <c r="FN11" i="4"/>
  <c r="FM11" i="4"/>
  <c r="FL11" i="4"/>
  <c r="FK11" i="4"/>
  <c r="FJ11" i="4"/>
  <c r="FI11" i="4"/>
  <c r="FH11" i="4"/>
  <c r="FG11" i="4"/>
  <c r="FF11" i="4"/>
  <c r="FD11" i="4"/>
  <c r="FC11" i="4"/>
  <c r="FB11" i="4"/>
  <c r="FA11" i="4"/>
  <c r="EZ11" i="4"/>
  <c r="EY11" i="4"/>
  <c r="EX11" i="4"/>
  <c r="EW11" i="4"/>
  <c r="EV11" i="4"/>
  <c r="ET11" i="4"/>
  <c r="ES11" i="4"/>
  <c r="ER11" i="4"/>
  <c r="EQ11" i="4"/>
  <c r="EP11" i="4"/>
  <c r="EO11" i="4"/>
  <c r="EN11" i="4"/>
  <c r="EM11" i="4"/>
  <c r="EL11" i="4"/>
  <c r="EJ11" i="4"/>
  <c r="EI11" i="4"/>
  <c r="EH11" i="4"/>
  <c r="EG11" i="4"/>
  <c r="EF11" i="4"/>
  <c r="EE11" i="4"/>
  <c r="ED11" i="4"/>
  <c r="EC11" i="4"/>
  <c r="EB11" i="4"/>
  <c r="DZ11" i="4"/>
  <c r="DY11" i="4"/>
  <c r="DX11" i="4"/>
  <c r="DW11" i="4"/>
  <c r="DV11" i="4"/>
  <c r="DU11" i="4"/>
  <c r="DT11" i="4"/>
  <c r="DS11" i="4"/>
  <c r="DR11" i="4"/>
  <c r="DP11" i="4"/>
  <c r="DO11" i="4"/>
  <c r="DN11" i="4"/>
  <c r="DM11" i="4"/>
  <c r="DL11" i="4"/>
  <c r="DK11" i="4"/>
  <c r="DJ11" i="4"/>
  <c r="DI11" i="4"/>
  <c r="DH11" i="4"/>
  <c r="DF11" i="4"/>
  <c r="DE11" i="4"/>
  <c r="DD11" i="4"/>
  <c r="DC11" i="4"/>
  <c r="DB11" i="4"/>
  <c r="DA11" i="4"/>
  <c r="CZ11" i="4"/>
  <c r="CY11" i="4"/>
  <c r="CX11" i="4"/>
  <c r="CV11" i="4"/>
  <c r="CU11" i="4"/>
  <c r="CT11" i="4"/>
  <c r="CS11" i="4"/>
  <c r="CR11" i="4"/>
  <c r="CQ11" i="4"/>
  <c r="CP11" i="4"/>
  <c r="CO11" i="4"/>
  <c r="CN11" i="4"/>
  <c r="CL11" i="4"/>
  <c r="CK11" i="4"/>
  <c r="CJ11" i="4"/>
  <c r="CI11" i="4"/>
  <c r="CH11" i="4"/>
  <c r="CG11" i="4"/>
  <c r="CF11" i="4"/>
  <c r="CE11" i="4"/>
  <c r="CD11" i="4"/>
  <c r="CB11" i="4"/>
  <c r="CA11" i="4"/>
  <c r="BZ11" i="4"/>
  <c r="BY11" i="4"/>
  <c r="BX11" i="4"/>
  <c r="BW11" i="4"/>
  <c r="BV11" i="4"/>
  <c r="BU11" i="4"/>
  <c r="BT11" i="4"/>
  <c r="BR11" i="4"/>
  <c r="BQ11" i="4"/>
  <c r="BP11" i="4"/>
  <c r="BO11" i="4"/>
  <c r="BN11" i="4"/>
  <c r="BM11" i="4"/>
  <c r="BL11" i="4"/>
  <c r="BK11" i="4"/>
  <c r="BJ11" i="4"/>
  <c r="BH11" i="4"/>
  <c r="BG11" i="4"/>
  <c r="BF11" i="4"/>
  <c r="BE11" i="4"/>
  <c r="BD11" i="4"/>
  <c r="BC11" i="4"/>
  <c r="BB11" i="4"/>
  <c r="BA11" i="4"/>
  <c r="AZ11" i="4"/>
  <c r="AX11" i="4"/>
  <c r="AW11" i="4"/>
  <c r="AV11" i="4"/>
  <c r="AU11" i="4"/>
  <c r="AT11" i="4"/>
  <c r="AS11" i="4"/>
  <c r="AR11" i="4"/>
  <c r="AQ11" i="4"/>
  <c r="AP11" i="4"/>
  <c r="AN11" i="4"/>
  <c r="AM11" i="4"/>
  <c r="AL11" i="4"/>
  <c r="AK11" i="4"/>
  <c r="AJ11" i="4"/>
  <c r="AI11" i="4"/>
  <c r="AH11" i="4"/>
  <c r="AG11" i="4"/>
  <c r="AF11" i="4"/>
  <c r="AD11" i="4"/>
  <c r="AC11" i="4"/>
  <c r="AB11" i="4"/>
  <c r="AA11" i="4"/>
  <c r="Z11" i="4"/>
  <c r="Y11" i="4"/>
  <c r="X11" i="4"/>
  <c r="W11" i="4"/>
  <c r="V11" i="4"/>
  <c r="T11" i="4"/>
  <c r="S11" i="4"/>
  <c r="R11" i="4"/>
  <c r="Q11" i="4"/>
  <c r="P11" i="4"/>
  <c r="O11" i="4"/>
  <c r="N11" i="4"/>
  <c r="M11" i="4"/>
  <c r="L11" i="4"/>
  <c r="J11" i="4"/>
  <c r="I11" i="4"/>
  <c r="H11" i="4"/>
  <c r="G11" i="4"/>
  <c r="F11" i="4"/>
  <c r="E11" i="4"/>
  <c r="D11" i="4"/>
  <c r="C11" i="4"/>
  <c r="B11" i="4"/>
  <c r="IV10" i="4"/>
  <c r="IU10" i="4"/>
  <c r="IT10" i="4"/>
  <c r="IS10" i="4"/>
  <c r="IR10" i="4"/>
  <c r="IQ10" i="4"/>
  <c r="IP10" i="4"/>
  <c r="IO10" i="4"/>
  <c r="IN10" i="4"/>
  <c r="IL10" i="4"/>
  <c r="IK10" i="4"/>
  <c r="IJ10" i="4"/>
  <c r="II10" i="4"/>
  <c r="IH10" i="4"/>
  <c r="IG10" i="4"/>
  <c r="IF10" i="4"/>
  <c r="IE10" i="4"/>
  <c r="ID10" i="4"/>
  <c r="IB10" i="4"/>
  <c r="IA10" i="4"/>
  <c r="HZ10" i="4"/>
  <c r="HY10" i="4"/>
  <c r="HX10" i="4"/>
  <c r="HW10" i="4"/>
  <c r="HV10" i="4"/>
  <c r="HU10" i="4"/>
  <c r="HT10" i="4"/>
  <c r="HR10" i="4"/>
  <c r="HQ10" i="4"/>
  <c r="HP10" i="4"/>
  <c r="HO10" i="4"/>
  <c r="HN10" i="4"/>
  <c r="HM10" i="4"/>
  <c r="HL10" i="4"/>
  <c r="HK10" i="4"/>
  <c r="HJ10" i="4"/>
  <c r="HH10" i="4"/>
  <c r="HG10" i="4"/>
  <c r="HF10" i="4"/>
  <c r="HE10" i="4"/>
  <c r="HD10" i="4"/>
  <c r="HC10" i="4"/>
  <c r="HB10" i="4"/>
  <c r="HA10" i="4"/>
  <c r="GZ10" i="4"/>
  <c r="GX10" i="4"/>
  <c r="GW10" i="4"/>
  <c r="GV10" i="4"/>
  <c r="GU10" i="4"/>
  <c r="GT10" i="4"/>
  <c r="GS10" i="4"/>
  <c r="GR10" i="4"/>
  <c r="GQ10" i="4"/>
  <c r="GP10" i="4"/>
  <c r="GN10" i="4"/>
  <c r="GM10" i="4"/>
  <c r="GL10" i="4"/>
  <c r="GK10" i="4"/>
  <c r="GJ10" i="4"/>
  <c r="GI10" i="4"/>
  <c r="GH10" i="4"/>
  <c r="GG10" i="4"/>
  <c r="GF10" i="4"/>
  <c r="GD10" i="4"/>
  <c r="GC10" i="4"/>
  <c r="GB10" i="4"/>
  <c r="GA10" i="4"/>
  <c r="FZ10" i="4"/>
  <c r="FY10" i="4"/>
  <c r="FX10" i="4"/>
  <c r="FW10" i="4"/>
  <c r="FV10" i="4"/>
  <c r="FT10" i="4"/>
  <c r="FS10" i="4"/>
  <c r="FR10" i="4"/>
  <c r="FQ10" i="4"/>
  <c r="FP10" i="4"/>
  <c r="FO10" i="4"/>
  <c r="FN10" i="4"/>
  <c r="FM10" i="4"/>
  <c r="FL10" i="4"/>
  <c r="FJ10" i="4"/>
  <c r="FI10" i="4"/>
  <c r="FH10" i="4"/>
  <c r="FG10" i="4"/>
  <c r="FF10" i="4"/>
  <c r="FE10" i="4"/>
  <c r="FD10" i="4"/>
  <c r="FC10" i="4"/>
  <c r="FB10" i="4"/>
  <c r="EZ10" i="4"/>
  <c r="EY10" i="4"/>
  <c r="EX10" i="4"/>
  <c r="EW10" i="4"/>
  <c r="EV10" i="4"/>
  <c r="EU10" i="4"/>
  <c r="ET10" i="4"/>
  <c r="ES10" i="4"/>
  <c r="ER10" i="4"/>
  <c r="EP10" i="4"/>
  <c r="EO10" i="4"/>
  <c r="EN10" i="4"/>
  <c r="EM10" i="4"/>
  <c r="EL10" i="4"/>
  <c r="EK10" i="4"/>
  <c r="EJ10" i="4"/>
  <c r="EI10" i="4"/>
  <c r="EH10" i="4"/>
  <c r="EF10" i="4"/>
  <c r="EE10" i="4"/>
  <c r="ED10" i="4"/>
  <c r="EC10" i="4"/>
  <c r="EB10" i="4"/>
  <c r="EA10" i="4"/>
  <c r="DZ10" i="4"/>
  <c r="DY10" i="4"/>
  <c r="DX10" i="4"/>
  <c r="DV10" i="4"/>
  <c r="DU10" i="4"/>
  <c r="DT10" i="4"/>
  <c r="DS10" i="4"/>
  <c r="DR10" i="4"/>
  <c r="DQ10" i="4"/>
  <c r="DP10" i="4"/>
  <c r="DO10" i="4"/>
  <c r="DN10" i="4"/>
  <c r="DL10" i="4"/>
  <c r="DK10" i="4"/>
  <c r="DJ10" i="4"/>
  <c r="DI10" i="4"/>
  <c r="DH10" i="4"/>
  <c r="DG10" i="4"/>
  <c r="DF10" i="4"/>
  <c r="DE10" i="4"/>
  <c r="DD10" i="4"/>
  <c r="DB10" i="4"/>
  <c r="DA10" i="4"/>
  <c r="CZ10" i="4"/>
  <c r="CY10" i="4"/>
  <c r="CX10" i="4"/>
  <c r="CW10" i="4"/>
  <c r="CV10" i="4"/>
  <c r="CU10" i="4"/>
  <c r="CT10" i="4"/>
  <c r="CR10" i="4"/>
  <c r="CQ10" i="4"/>
  <c r="CP10" i="4"/>
  <c r="CO10" i="4"/>
  <c r="CN10" i="4"/>
  <c r="CM10" i="4"/>
  <c r="CL10" i="4"/>
  <c r="CK10" i="4"/>
  <c r="CJ10" i="4"/>
  <c r="CH10" i="4"/>
  <c r="CG10" i="4"/>
  <c r="CF10" i="4"/>
  <c r="CE10" i="4"/>
  <c r="CD10" i="4"/>
  <c r="CC10" i="4"/>
  <c r="CB10" i="4"/>
  <c r="CA10" i="4"/>
  <c r="BZ10" i="4"/>
  <c r="BX10" i="4"/>
  <c r="BW10" i="4"/>
  <c r="BV10" i="4"/>
  <c r="BU10" i="4"/>
  <c r="BT10" i="4"/>
  <c r="BS10" i="4"/>
  <c r="BR10" i="4"/>
  <c r="BQ10" i="4"/>
  <c r="BP10" i="4"/>
  <c r="BN10" i="4"/>
  <c r="BM10" i="4"/>
  <c r="BL10" i="4"/>
  <c r="BK10" i="4"/>
  <c r="BJ10" i="4"/>
  <c r="BI10" i="4"/>
  <c r="BH10" i="4"/>
  <c r="BG10" i="4"/>
  <c r="BF10" i="4"/>
  <c r="BD10" i="4"/>
  <c r="BC10" i="4"/>
  <c r="BB10" i="4"/>
  <c r="BA10" i="4"/>
  <c r="AZ10" i="4"/>
  <c r="AY10" i="4"/>
  <c r="AX10" i="4"/>
  <c r="AW10" i="4"/>
  <c r="AV10" i="4"/>
  <c r="AT10" i="4"/>
  <c r="AS10" i="4"/>
  <c r="AR10" i="4"/>
  <c r="AQ10" i="4"/>
  <c r="AP10" i="4"/>
  <c r="AO10" i="4"/>
  <c r="AN10" i="4"/>
  <c r="AM10" i="4"/>
  <c r="AL10" i="4"/>
  <c r="AJ10" i="4"/>
  <c r="AI10" i="4"/>
  <c r="AH10" i="4"/>
  <c r="AG10" i="4"/>
  <c r="AF10" i="4"/>
  <c r="AE10" i="4"/>
  <c r="AD10" i="4"/>
  <c r="AC10" i="4"/>
  <c r="AB10" i="4"/>
  <c r="Z10" i="4"/>
  <c r="Y10" i="4"/>
  <c r="X10" i="4"/>
  <c r="W10" i="4"/>
  <c r="V10" i="4"/>
  <c r="U10" i="4"/>
  <c r="T10" i="4"/>
  <c r="S10" i="4"/>
  <c r="R10" i="4"/>
  <c r="P10" i="4"/>
  <c r="O10" i="4"/>
  <c r="N10" i="4"/>
  <c r="M10" i="4"/>
  <c r="L10" i="4"/>
  <c r="K10" i="4"/>
  <c r="J10" i="4"/>
  <c r="I10" i="4"/>
  <c r="H10" i="4"/>
  <c r="F10" i="4"/>
  <c r="E10" i="4"/>
  <c r="D10" i="4"/>
  <c r="C10" i="4"/>
  <c r="B10" i="4"/>
  <c r="A10" i="4"/>
  <c r="IV9" i="4"/>
  <c r="IU9" i="4"/>
  <c r="IT9" i="4"/>
  <c r="IR9" i="4"/>
  <c r="IQ9" i="4"/>
  <c r="IP9" i="4"/>
  <c r="IO9" i="4"/>
  <c r="IN9" i="4"/>
  <c r="IM9" i="4"/>
  <c r="IL9" i="4"/>
  <c r="IK9" i="4"/>
  <c r="IJ9" i="4"/>
  <c r="IH9" i="4"/>
  <c r="IG9" i="4"/>
  <c r="IF9" i="4"/>
  <c r="IE9" i="4"/>
  <c r="ID9" i="4"/>
  <c r="IC9" i="4"/>
  <c r="IB9" i="4"/>
  <c r="IA9" i="4"/>
  <c r="HZ9" i="4"/>
  <c r="HX9" i="4"/>
  <c r="HW9" i="4"/>
  <c r="HV9" i="4"/>
  <c r="HU9" i="4"/>
  <c r="HT9" i="4"/>
  <c r="HS9" i="4"/>
  <c r="HR9" i="4"/>
  <c r="HQ9" i="4"/>
  <c r="HP9" i="4"/>
  <c r="HN9" i="4"/>
  <c r="HM9" i="4"/>
  <c r="HL9" i="4"/>
  <c r="HK9" i="4"/>
  <c r="HJ9" i="4"/>
  <c r="HI9" i="4"/>
  <c r="HH9" i="4"/>
  <c r="HG9" i="4"/>
  <c r="HF9" i="4"/>
  <c r="HD9" i="4"/>
  <c r="HC9" i="4"/>
  <c r="HB9" i="4"/>
  <c r="HA9" i="4"/>
  <c r="GZ9" i="4"/>
  <c r="GY9" i="4"/>
  <c r="GX9" i="4"/>
  <c r="GW9" i="4"/>
  <c r="GV9" i="4"/>
  <c r="GT9" i="4"/>
  <c r="GS9" i="4"/>
  <c r="GR9" i="4"/>
  <c r="GQ9" i="4"/>
  <c r="GP9" i="4"/>
  <c r="GO9" i="4"/>
  <c r="GN9" i="4"/>
  <c r="GM9" i="4"/>
  <c r="GL9" i="4"/>
  <c r="GJ9" i="4"/>
  <c r="GI9" i="4"/>
  <c r="GH9" i="4"/>
  <c r="GG9" i="4"/>
  <c r="GF9" i="4"/>
  <c r="GE9" i="4"/>
  <c r="GD9" i="4"/>
  <c r="GC9" i="4"/>
  <c r="GB9" i="4"/>
  <c r="FZ9" i="4"/>
  <c r="FY9" i="4"/>
  <c r="FX9" i="4"/>
  <c r="FW9" i="4"/>
  <c r="FV9" i="4"/>
  <c r="FU9" i="4"/>
  <c r="FT9" i="4"/>
  <c r="FS9" i="4"/>
  <c r="FR9" i="4"/>
  <c r="FP9" i="4"/>
  <c r="FO9" i="4"/>
  <c r="FN9" i="4"/>
  <c r="FM9" i="4"/>
  <c r="FL9" i="4"/>
  <c r="FK9" i="4"/>
  <c r="FJ9" i="4"/>
  <c r="FI9" i="4"/>
  <c r="FH9" i="4"/>
  <c r="FF9" i="4"/>
  <c r="FE9" i="4"/>
  <c r="FD9" i="4"/>
  <c r="FC9" i="4"/>
  <c r="FB9" i="4"/>
  <c r="FA9" i="4"/>
  <c r="EZ9" i="4"/>
  <c r="EY9" i="4"/>
  <c r="EX9" i="4"/>
  <c r="EV9" i="4"/>
  <c r="EU9" i="4"/>
  <c r="ET9" i="4"/>
  <c r="ES9" i="4"/>
  <c r="ER9" i="4"/>
  <c r="EQ9" i="4"/>
  <c r="EP9" i="4"/>
  <c r="EO9" i="4"/>
  <c r="EN9" i="4"/>
  <c r="EL9" i="4"/>
  <c r="EK9" i="4"/>
  <c r="EJ9" i="4"/>
  <c r="EI9" i="4"/>
  <c r="EH9" i="4"/>
  <c r="EG9" i="4"/>
  <c r="EF9" i="4"/>
  <c r="EE9" i="4"/>
  <c r="ED9" i="4"/>
  <c r="EB9" i="4"/>
  <c r="EA9" i="4"/>
  <c r="DZ9" i="4"/>
  <c r="DY9" i="4"/>
  <c r="DX9" i="4"/>
  <c r="DW9" i="4"/>
  <c r="DV9" i="4"/>
  <c r="DU9" i="4"/>
  <c r="DT9" i="4"/>
  <c r="DR9" i="4"/>
  <c r="DQ9" i="4"/>
  <c r="DP9" i="4"/>
  <c r="DO9" i="4"/>
  <c r="DN9" i="4"/>
  <c r="DM9" i="4"/>
  <c r="DL9" i="4"/>
  <c r="DK9" i="4"/>
  <c r="DJ9" i="4"/>
  <c r="DH9" i="4"/>
  <c r="DG9" i="4"/>
  <c r="DF9" i="4"/>
  <c r="DE9" i="4"/>
  <c r="DD9" i="4"/>
  <c r="DC9" i="4"/>
  <c r="DB9" i="4"/>
  <c r="DA9" i="4"/>
  <c r="CZ9" i="4"/>
  <c r="CX9" i="4"/>
  <c r="CW9" i="4"/>
  <c r="CV9" i="4"/>
  <c r="CU9" i="4"/>
  <c r="CT9" i="4"/>
  <c r="CS9" i="4"/>
  <c r="CR9" i="4"/>
  <c r="CQ9" i="4"/>
  <c r="CP9" i="4"/>
  <c r="CN9" i="4"/>
  <c r="CM9" i="4"/>
  <c r="CL9" i="4"/>
  <c r="CK9" i="4"/>
  <c r="CJ9" i="4"/>
  <c r="CI9" i="4"/>
  <c r="CH9" i="4"/>
  <c r="CG9" i="4"/>
  <c r="CF9" i="4"/>
  <c r="CD9" i="4"/>
  <c r="CC9" i="4"/>
  <c r="CB9" i="4"/>
  <c r="CA9" i="4"/>
  <c r="BZ9" i="4"/>
  <c r="BY9" i="4"/>
  <c r="BX9" i="4"/>
  <c r="BW9" i="4"/>
  <c r="BV9" i="4"/>
  <c r="BT9" i="4"/>
  <c r="BS9" i="4"/>
  <c r="BR9" i="4"/>
  <c r="BQ9" i="4"/>
  <c r="BP9" i="4"/>
  <c r="BO9" i="4"/>
  <c r="BN9" i="4"/>
  <c r="BM9" i="4"/>
  <c r="BL9" i="4"/>
  <c r="BJ9" i="4"/>
  <c r="BI9" i="4"/>
  <c r="BH9" i="4"/>
  <c r="BG9" i="4"/>
  <c r="BF9" i="4"/>
  <c r="BE9" i="4"/>
  <c r="BD9" i="4"/>
  <c r="BC9" i="4"/>
  <c r="BB9" i="4"/>
  <c r="AZ9" i="4"/>
  <c r="AY9" i="4"/>
  <c r="AX9" i="4"/>
  <c r="AW9" i="4"/>
  <c r="AV9" i="4"/>
  <c r="AU9" i="4"/>
  <c r="AT9" i="4"/>
  <c r="AS9" i="4"/>
  <c r="AR9" i="4"/>
  <c r="AP9" i="4"/>
  <c r="AO9" i="4"/>
  <c r="AN9" i="4"/>
  <c r="AM9" i="4"/>
  <c r="AL9" i="4"/>
  <c r="AK9" i="4"/>
  <c r="AJ9" i="4"/>
  <c r="AI9" i="4"/>
  <c r="AH9" i="4"/>
  <c r="AF9" i="4"/>
  <c r="AE9" i="4"/>
  <c r="AD9" i="4"/>
  <c r="AC9" i="4"/>
  <c r="AB9" i="4"/>
  <c r="AA9" i="4"/>
  <c r="Z9" i="4"/>
  <c r="Y9" i="4"/>
  <c r="X9" i="4"/>
  <c r="V9" i="4"/>
  <c r="U9" i="4"/>
  <c r="T9" i="4"/>
  <c r="S9" i="4"/>
  <c r="R9" i="4"/>
  <c r="Q9" i="4"/>
  <c r="P9" i="4"/>
  <c r="O9" i="4"/>
  <c r="N9" i="4"/>
  <c r="L9" i="4"/>
  <c r="K9" i="4"/>
  <c r="J9" i="4"/>
  <c r="I9" i="4"/>
  <c r="H9" i="4"/>
  <c r="G9" i="4"/>
  <c r="F9" i="4"/>
  <c r="E9" i="4"/>
  <c r="D9" i="4"/>
  <c r="B9" i="4"/>
  <c r="A9" i="4"/>
  <c r="IV8" i="4"/>
  <c r="IU8" i="4"/>
  <c r="IT8" i="4"/>
  <c r="IS8" i="4"/>
  <c r="IR8" i="4"/>
  <c r="IQ8" i="4"/>
  <c r="IP8" i="4"/>
  <c r="IN8" i="4"/>
  <c r="IM8" i="4"/>
  <c r="IL8" i="4"/>
  <c r="IK8" i="4"/>
  <c r="IJ8" i="4"/>
  <c r="II8" i="4"/>
  <c r="IH8" i="4"/>
  <c r="IG8" i="4"/>
  <c r="IF8" i="4"/>
  <c r="ID8" i="4"/>
  <c r="IC8" i="4"/>
  <c r="IB8" i="4"/>
  <c r="IA8" i="4"/>
  <c r="HZ8" i="4"/>
  <c r="HY8" i="4"/>
  <c r="HX8" i="4"/>
  <c r="HW8" i="4"/>
  <c r="HV8" i="4"/>
  <c r="HT8" i="4"/>
  <c r="HS8" i="4"/>
  <c r="HR8" i="4"/>
  <c r="HQ8" i="4"/>
  <c r="HP8" i="4"/>
  <c r="HO8" i="4"/>
  <c r="HN8" i="4"/>
  <c r="HM8" i="4"/>
  <c r="HL8" i="4"/>
  <c r="HJ8" i="4"/>
  <c r="HI8" i="4"/>
  <c r="HH8" i="4"/>
  <c r="HG8" i="4"/>
  <c r="HF8" i="4"/>
  <c r="HE8" i="4"/>
  <c r="HD8" i="4"/>
  <c r="HC8" i="4"/>
  <c r="HB8" i="4"/>
  <c r="GZ8" i="4"/>
  <c r="GY8" i="4"/>
  <c r="GX8" i="4"/>
  <c r="GW8" i="4"/>
  <c r="GV8" i="4"/>
  <c r="GU8" i="4"/>
  <c r="GT8" i="4"/>
  <c r="GS8" i="4"/>
  <c r="GR8" i="4"/>
  <c r="GP8" i="4"/>
  <c r="GO8" i="4"/>
  <c r="GN8" i="4"/>
  <c r="GM8" i="4"/>
  <c r="GL8" i="4"/>
  <c r="GK8" i="4"/>
  <c r="GJ8" i="4"/>
  <c r="GI8" i="4"/>
  <c r="GH8" i="4"/>
  <c r="GF8" i="4"/>
  <c r="GE8" i="4"/>
  <c r="GD8" i="4"/>
  <c r="GC8" i="4"/>
  <c r="GB8" i="4"/>
  <c r="GA8" i="4"/>
  <c r="FZ8" i="4"/>
  <c r="FY8" i="4"/>
  <c r="FX8" i="4"/>
  <c r="FV8" i="4"/>
  <c r="FU8" i="4"/>
  <c r="FT8" i="4"/>
  <c r="FS8" i="4"/>
  <c r="FR8" i="4"/>
  <c r="FQ8" i="4"/>
  <c r="FP8" i="4"/>
  <c r="FO8" i="4"/>
  <c r="FN8" i="4"/>
  <c r="FL8" i="4"/>
  <c r="FK8" i="4"/>
  <c r="FJ8" i="4"/>
  <c r="FI8" i="4"/>
  <c r="FH8" i="4"/>
  <c r="FG8" i="4"/>
  <c r="FF8" i="4"/>
  <c r="FE8" i="4"/>
  <c r="FD8" i="4"/>
  <c r="FB8" i="4"/>
  <c r="FA8" i="4"/>
  <c r="EZ8" i="4"/>
  <c r="EY8" i="4"/>
  <c r="EX8" i="4"/>
  <c r="EW8" i="4"/>
  <c r="EV8" i="4"/>
  <c r="EU8" i="4"/>
  <c r="ET8" i="4"/>
  <c r="ER8" i="4"/>
  <c r="EQ8" i="4"/>
  <c r="EP8" i="4"/>
  <c r="EO8" i="4"/>
  <c r="EN8" i="4"/>
  <c r="EM8" i="4"/>
  <c r="EL8" i="4"/>
  <c r="EK8" i="4"/>
  <c r="EJ8" i="4"/>
  <c r="EH8" i="4"/>
  <c r="EG8" i="4"/>
  <c r="EF8" i="4"/>
  <c r="EE8" i="4"/>
  <c r="ED8" i="4"/>
  <c r="EC8" i="4"/>
  <c r="EB8" i="4"/>
  <c r="EA8" i="4"/>
  <c r="DZ8" i="4"/>
  <c r="DX8" i="4"/>
  <c r="DW8" i="4"/>
  <c r="DV8" i="4"/>
  <c r="DU8" i="4"/>
  <c r="DT8" i="4"/>
  <c r="DS8" i="4"/>
  <c r="DR8" i="4"/>
  <c r="DQ8" i="4"/>
  <c r="DP8" i="4"/>
  <c r="DN8" i="4"/>
  <c r="DM8" i="4"/>
  <c r="DL8" i="4"/>
  <c r="DK8" i="4"/>
  <c r="DJ8" i="4"/>
  <c r="DI8" i="4"/>
  <c r="DH8" i="4"/>
  <c r="DG8" i="4"/>
  <c r="DF8" i="4"/>
  <c r="DD8" i="4"/>
  <c r="DC8" i="4"/>
  <c r="DB8" i="4"/>
  <c r="DA8" i="4"/>
  <c r="CZ8" i="4"/>
  <c r="CY8" i="4"/>
  <c r="CX8" i="4"/>
  <c r="CW8" i="4"/>
  <c r="CV8" i="4"/>
  <c r="CT8" i="4"/>
  <c r="CS8" i="4"/>
  <c r="CR8" i="4"/>
  <c r="CQ8" i="4"/>
  <c r="CP8" i="4"/>
  <c r="CO8" i="4"/>
  <c r="CN8" i="4"/>
  <c r="CM8" i="4"/>
  <c r="CL8" i="4"/>
  <c r="CJ8" i="4"/>
  <c r="CI8" i="4"/>
  <c r="CH8" i="4"/>
  <c r="CG8" i="4"/>
  <c r="CF8" i="4"/>
  <c r="CE8" i="4"/>
  <c r="CD8" i="4"/>
  <c r="CC8" i="4"/>
  <c r="CB8" i="4"/>
  <c r="BZ8" i="4"/>
  <c r="BY8" i="4"/>
  <c r="BX8" i="4"/>
  <c r="BW8" i="4"/>
  <c r="BV8" i="4"/>
  <c r="BU8" i="4"/>
  <c r="BT8" i="4"/>
  <c r="BS8" i="4"/>
  <c r="BR8" i="4"/>
  <c r="BP8" i="4"/>
  <c r="BO8" i="4"/>
  <c r="BN8" i="4"/>
  <c r="BM8" i="4"/>
  <c r="BL8" i="4"/>
  <c r="BK8" i="4"/>
  <c r="BJ8" i="4"/>
  <c r="BI8" i="4"/>
  <c r="BH8" i="4"/>
  <c r="BF8" i="4"/>
  <c r="BE8" i="4"/>
  <c r="BD8" i="4"/>
  <c r="BC8" i="4"/>
  <c r="BB8" i="4"/>
  <c r="BA8" i="4"/>
  <c r="AZ8" i="4"/>
  <c r="AY8" i="4"/>
  <c r="AX8" i="4"/>
  <c r="AV8" i="4"/>
  <c r="AU8" i="4"/>
  <c r="AT8" i="4"/>
  <c r="AS8" i="4"/>
  <c r="AR8" i="4"/>
  <c r="AQ8" i="4"/>
  <c r="AP8" i="4"/>
  <c r="AO8" i="4"/>
  <c r="AN8" i="4"/>
  <c r="AL8" i="4"/>
  <c r="AK8" i="4"/>
  <c r="AJ8" i="4"/>
  <c r="AI8" i="4"/>
  <c r="AH8" i="4"/>
  <c r="AG8" i="4"/>
  <c r="AF8" i="4"/>
  <c r="AE8" i="4"/>
  <c r="AD8" i="4"/>
  <c r="AB8" i="4"/>
  <c r="AA8" i="4"/>
  <c r="Z8" i="4"/>
  <c r="Y8" i="4"/>
  <c r="X8" i="4"/>
  <c r="W8" i="4"/>
  <c r="V8" i="4"/>
  <c r="U8" i="4"/>
  <c r="T8" i="4"/>
  <c r="R8" i="4"/>
  <c r="Q8" i="4"/>
  <c r="P8" i="4"/>
  <c r="O8" i="4"/>
  <c r="N8" i="4"/>
  <c r="M8" i="4"/>
  <c r="L8" i="4"/>
  <c r="K8" i="4"/>
  <c r="J8" i="4"/>
  <c r="H8" i="4"/>
  <c r="G8" i="4"/>
  <c r="F8" i="4"/>
  <c r="E8" i="4"/>
  <c r="D8" i="4"/>
  <c r="C8" i="4"/>
  <c r="B8" i="4"/>
  <c r="A8" i="4"/>
  <c r="IV7" i="4"/>
  <c r="IT7" i="4"/>
  <c r="IS7" i="4"/>
  <c r="IR7" i="4"/>
  <c r="IQ7" i="4"/>
  <c r="IP7" i="4"/>
  <c r="IO7" i="4"/>
  <c r="IN7" i="4"/>
  <c r="IM7" i="4"/>
  <c r="IL7" i="4"/>
  <c r="IJ7" i="4"/>
  <c r="II7" i="4"/>
  <c r="IH7" i="4"/>
  <c r="IG7" i="4"/>
  <c r="IF7" i="4"/>
  <c r="IE7" i="4"/>
  <c r="ID7" i="4"/>
  <c r="IC7" i="4"/>
  <c r="IB7" i="4"/>
  <c r="HZ7" i="4"/>
  <c r="HY7" i="4"/>
  <c r="HX7" i="4"/>
  <c r="HW7" i="4"/>
  <c r="HV7" i="4"/>
  <c r="HU7" i="4"/>
  <c r="HT7" i="4"/>
  <c r="HS7" i="4"/>
  <c r="HR7" i="4"/>
  <c r="HP7" i="4"/>
  <c r="HO7" i="4"/>
  <c r="HN7" i="4"/>
  <c r="HM7" i="4"/>
  <c r="HL7" i="4"/>
  <c r="HK7" i="4"/>
  <c r="HJ7" i="4"/>
  <c r="HI7" i="4"/>
  <c r="HH7" i="4"/>
  <c r="HF7" i="4"/>
  <c r="HE7" i="4"/>
  <c r="HD7" i="4"/>
  <c r="HC7" i="4"/>
  <c r="HB7" i="4"/>
  <c r="HA7" i="4"/>
  <c r="GZ7" i="4"/>
  <c r="GY7" i="4"/>
  <c r="GX7" i="4"/>
  <c r="GV7" i="4"/>
  <c r="GU7" i="4"/>
  <c r="GT7" i="4"/>
  <c r="GS7" i="4"/>
  <c r="GR7" i="4"/>
  <c r="GQ7" i="4"/>
  <c r="GP7" i="4"/>
  <c r="GO7" i="4"/>
  <c r="GN7" i="4"/>
  <c r="GL7" i="4"/>
  <c r="GK7" i="4"/>
  <c r="GJ7" i="4"/>
  <c r="GI7" i="4"/>
  <c r="GH7" i="4"/>
  <c r="GG7" i="4"/>
  <c r="GF7" i="4"/>
  <c r="GE7" i="4"/>
  <c r="GD7" i="4"/>
  <c r="GB7" i="4"/>
  <c r="GA7" i="4"/>
  <c r="FZ7" i="4"/>
  <c r="FY7" i="4"/>
  <c r="FX7" i="4"/>
  <c r="FW7" i="4"/>
  <c r="FV7" i="4"/>
  <c r="FU7" i="4"/>
  <c r="FT7" i="4"/>
  <c r="FR7" i="4"/>
  <c r="FQ7" i="4"/>
  <c r="FP7" i="4"/>
  <c r="FO7" i="4"/>
  <c r="FN7" i="4"/>
  <c r="FM7" i="4"/>
  <c r="FL7" i="4"/>
  <c r="FK7" i="4"/>
  <c r="FJ7" i="4"/>
  <c r="FH7" i="4"/>
  <c r="FG7" i="4"/>
  <c r="FF7" i="4"/>
  <c r="FE7" i="4"/>
  <c r="FD7" i="4"/>
  <c r="FC7" i="4"/>
  <c r="FB7" i="4"/>
  <c r="FA7" i="4"/>
  <c r="EZ7" i="4"/>
  <c r="EX7" i="4"/>
  <c r="EW7" i="4"/>
  <c r="EV7" i="4"/>
  <c r="EU7" i="4"/>
  <c r="ET7" i="4"/>
  <c r="ES7" i="4"/>
  <c r="ER7" i="4"/>
  <c r="EQ7" i="4"/>
  <c r="EP7" i="4"/>
  <c r="EN7" i="4"/>
  <c r="EM7" i="4"/>
  <c r="EL7" i="4"/>
  <c r="EK7" i="4"/>
  <c r="EJ7" i="4"/>
  <c r="EI7" i="4"/>
  <c r="EH7" i="4"/>
  <c r="EG7" i="4"/>
  <c r="EF7" i="4"/>
  <c r="ED7" i="4"/>
  <c r="EC7" i="4"/>
  <c r="EB7" i="4"/>
  <c r="EA7" i="4"/>
  <c r="DZ7" i="4"/>
  <c r="DY7" i="4"/>
  <c r="DX7" i="4"/>
  <c r="DW7" i="4"/>
  <c r="DV7" i="4"/>
  <c r="DT7" i="4"/>
  <c r="DS7" i="4"/>
  <c r="DR7" i="4"/>
  <c r="DQ7" i="4"/>
  <c r="DP7" i="4"/>
  <c r="DO7" i="4"/>
  <c r="DN7" i="4"/>
  <c r="DM7" i="4"/>
  <c r="DL7" i="4"/>
  <c r="DJ7" i="4"/>
  <c r="DI7" i="4"/>
  <c r="DH7" i="4"/>
  <c r="DG7" i="4"/>
  <c r="DF7" i="4"/>
  <c r="DE7" i="4"/>
  <c r="DD7" i="4"/>
  <c r="DC7" i="4"/>
  <c r="DB7" i="4"/>
  <c r="CZ7" i="4"/>
  <c r="CY7" i="4"/>
  <c r="CX7" i="4"/>
  <c r="CW7" i="4"/>
  <c r="CV7" i="4"/>
  <c r="CU7" i="4"/>
  <c r="CT7" i="4"/>
  <c r="CS7" i="4"/>
  <c r="CR7" i="4"/>
  <c r="CP7" i="4"/>
  <c r="CO7" i="4"/>
  <c r="CN7" i="4"/>
  <c r="CM7" i="4"/>
  <c r="CL7" i="4"/>
  <c r="CK7" i="4"/>
  <c r="CJ7" i="4"/>
  <c r="CI7" i="4"/>
  <c r="CH7" i="4"/>
  <c r="CF7" i="4"/>
  <c r="CE7" i="4"/>
  <c r="CD7" i="4"/>
  <c r="CC7" i="4"/>
  <c r="CB7" i="4"/>
  <c r="CA7" i="4"/>
  <c r="BZ7" i="4"/>
  <c r="BY7" i="4"/>
  <c r="BX7" i="4"/>
  <c r="BV7" i="4"/>
  <c r="BU7" i="4"/>
  <c r="BT7" i="4"/>
  <c r="BS7" i="4"/>
  <c r="BR7" i="4"/>
  <c r="BQ7" i="4"/>
  <c r="BP7" i="4"/>
  <c r="BO7" i="4"/>
  <c r="BN7" i="4"/>
  <c r="BL7" i="4"/>
  <c r="BK7" i="4"/>
  <c r="BJ7" i="4"/>
  <c r="BI7" i="4"/>
  <c r="BH7" i="4"/>
  <c r="BG7" i="4"/>
  <c r="BF7" i="4"/>
  <c r="BE7" i="4"/>
  <c r="BD7" i="4"/>
  <c r="BB7" i="4"/>
  <c r="BA7" i="4"/>
  <c r="AZ7" i="4"/>
  <c r="AY7" i="4"/>
  <c r="AX7" i="4"/>
  <c r="AW7" i="4"/>
  <c r="AV7" i="4"/>
  <c r="AU7" i="4"/>
  <c r="AT7" i="4"/>
  <c r="AR7" i="4"/>
  <c r="AQ7" i="4"/>
  <c r="AP7" i="4"/>
  <c r="AO7" i="4"/>
  <c r="AN7" i="4"/>
  <c r="AM7" i="4"/>
  <c r="AL7" i="4"/>
  <c r="AK7" i="4"/>
  <c r="AJ7" i="4"/>
  <c r="AH7" i="4"/>
  <c r="AG7" i="4"/>
  <c r="AF7" i="4"/>
  <c r="AE7" i="4"/>
  <c r="AD7" i="4"/>
  <c r="AC7" i="4"/>
  <c r="AB7" i="4"/>
  <c r="AA7" i="4"/>
  <c r="Z7" i="4"/>
  <c r="X7" i="4"/>
  <c r="W7" i="4"/>
  <c r="V7" i="4"/>
  <c r="U7" i="4"/>
  <c r="T7" i="4"/>
  <c r="S7" i="4"/>
  <c r="R7" i="4"/>
  <c r="Q7" i="4"/>
  <c r="P7" i="4"/>
  <c r="N7" i="4"/>
  <c r="M7" i="4"/>
  <c r="L7" i="4"/>
  <c r="K7" i="4"/>
  <c r="J7" i="4"/>
  <c r="I7" i="4"/>
  <c r="H7" i="4"/>
  <c r="G7" i="4"/>
  <c r="F7" i="4"/>
  <c r="D7" i="4"/>
  <c r="C7" i="4"/>
  <c r="B7" i="4"/>
  <c r="A7" i="4"/>
  <c r="IV6" i="4"/>
  <c r="IU6" i="4"/>
  <c r="IT6" i="4"/>
  <c r="IS6" i="4"/>
  <c r="IR6" i="4"/>
  <c r="IP6" i="4"/>
  <c r="IO6" i="4"/>
  <c r="IN6" i="4"/>
  <c r="IM6" i="4"/>
  <c r="IL6" i="4"/>
  <c r="IK6" i="4"/>
  <c r="IJ6" i="4"/>
  <c r="II6" i="4"/>
  <c r="IH6" i="4"/>
  <c r="IF6" i="4"/>
  <c r="IE6" i="4"/>
  <c r="ID6" i="4"/>
  <c r="IC6" i="4"/>
  <c r="IB6" i="4"/>
  <c r="IA6" i="4"/>
  <c r="HZ6" i="4"/>
  <c r="HY6" i="4"/>
  <c r="HX6" i="4"/>
  <c r="HV6" i="4"/>
  <c r="HU6" i="4"/>
  <c r="HT6" i="4"/>
  <c r="HS6" i="4"/>
  <c r="HR6" i="4"/>
  <c r="HQ6" i="4"/>
  <c r="HP6" i="4"/>
  <c r="HO6" i="4"/>
  <c r="HN6" i="4"/>
  <c r="HL6" i="4"/>
  <c r="HK6" i="4"/>
  <c r="HJ6" i="4"/>
  <c r="HI6" i="4"/>
  <c r="HH6" i="4"/>
  <c r="HG6" i="4"/>
  <c r="HF6" i="4"/>
  <c r="HE6" i="4"/>
  <c r="HD6" i="4"/>
  <c r="HB6" i="4"/>
  <c r="HA6" i="4"/>
  <c r="GZ6" i="4"/>
  <c r="GY6" i="4"/>
  <c r="GX6" i="4"/>
  <c r="GW6" i="4"/>
  <c r="GV6" i="4"/>
  <c r="GU6" i="4"/>
  <c r="GT6" i="4"/>
  <c r="GR6" i="4"/>
  <c r="GQ6" i="4"/>
  <c r="GP6" i="4"/>
  <c r="GO6" i="4"/>
  <c r="GN6" i="4"/>
  <c r="GM6" i="4"/>
  <c r="GL6" i="4"/>
  <c r="GK6" i="4"/>
  <c r="GJ6" i="4"/>
  <c r="GH6" i="4"/>
  <c r="GG6" i="4"/>
  <c r="GF6" i="4"/>
  <c r="GE6" i="4"/>
  <c r="GD6" i="4"/>
  <c r="GC6" i="4"/>
  <c r="GB6" i="4"/>
  <c r="GA6" i="4"/>
  <c r="FZ6" i="4"/>
  <c r="FX6" i="4"/>
  <c r="FW6" i="4"/>
  <c r="FV6" i="4"/>
  <c r="FU6" i="4"/>
  <c r="FT6" i="4"/>
  <c r="FS6" i="4"/>
  <c r="FR6" i="4"/>
  <c r="FQ6" i="4"/>
  <c r="FP6" i="4"/>
  <c r="FN6" i="4"/>
  <c r="FM6" i="4"/>
  <c r="FL6" i="4"/>
  <c r="FK6" i="4"/>
  <c r="FJ6" i="4"/>
  <c r="FI6" i="4"/>
  <c r="FH6" i="4"/>
  <c r="FG6" i="4"/>
  <c r="FF6" i="4"/>
  <c r="FD6" i="4"/>
  <c r="FC6" i="4"/>
  <c r="FB6" i="4"/>
  <c r="FA6" i="4"/>
  <c r="EZ6" i="4"/>
  <c r="EY6" i="4"/>
  <c r="EX6" i="4"/>
  <c r="EW6" i="4"/>
  <c r="EV6" i="4"/>
  <c r="ET6" i="4"/>
  <c r="ES6" i="4"/>
  <c r="ER6" i="4"/>
  <c r="EQ6" i="4"/>
  <c r="EP6" i="4"/>
  <c r="EO6" i="4"/>
  <c r="EN6" i="4"/>
  <c r="EM6" i="4"/>
  <c r="EL6" i="4"/>
  <c r="EJ6" i="4"/>
  <c r="EI6" i="4"/>
  <c r="EH6" i="4"/>
  <c r="EG6" i="4"/>
  <c r="EF6" i="4"/>
  <c r="EE6" i="4"/>
  <c r="ED6" i="4"/>
  <c r="EC6" i="4"/>
  <c r="EB6" i="4"/>
  <c r="DZ6" i="4"/>
  <c r="DY6" i="4"/>
  <c r="DX6" i="4"/>
  <c r="DW6" i="4"/>
  <c r="DV6" i="4"/>
  <c r="DU6" i="4"/>
  <c r="DT6" i="4"/>
  <c r="DS6" i="4"/>
  <c r="DR6" i="4"/>
  <c r="DP6" i="4"/>
  <c r="DO6" i="4"/>
  <c r="DN6" i="4"/>
  <c r="DM6" i="4"/>
  <c r="DL6" i="4"/>
  <c r="DK6" i="4"/>
  <c r="DJ6" i="4"/>
  <c r="DI6" i="4"/>
  <c r="DH6" i="4"/>
  <c r="DF6" i="4"/>
  <c r="DE6" i="4"/>
  <c r="DD6" i="4"/>
  <c r="DC6" i="4"/>
  <c r="DB6" i="4"/>
  <c r="DA6" i="4"/>
  <c r="CZ6" i="4"/>
  <c r="CY6" i="4"/>
  <c r="CX6" i="4"/>
  <c r="CV6" i="4"/>
  <c r="CU6" i="4"/>
  <c r="CT6" i="4"/>
  <c r="CS6" i="4"/>
  <c r="CR6" i="4"/>
  <c r="CQ6" i="4"/>
  <c r="CP6" i="4"/>
  <c r="CO6" i="4"/>
  <c r="CN6" i="4"/>
  <c r="CL6" i="4"/>
  <c r="CK6" i="4"/>
  <c r="CJ6" i="4"/>
  <c r="CI6" i="4"/>
  <c r="CH6" i="4"/>
  <c r="CG6" i="4"/>
  <c r="CF6" i="4"/>
  <c r="CE6" i="4"/>
  <c r="CD6" i="4"/>
  <c r="CB6" i="4"/>
  <c r="CA6" i="4"/>
  <c r="BZ6" i="4"/>
  <c r="BY6" i="4"/>
  <c r="BX6" i="4"/>
  <c r="BW6" i="4"/>
  <c r="BV6" i="4"/>
  <c r="BU6" i="4"/>
  <c r="BT6" i="4"/>
  <c r="BR6" i="4"/>
  <c r="BQ6" i="4"/>
  <c r="BP6" i="4"/>
  <c r="BO6" i="4"/>
  <c r="BN6" i="4"/>
  <c r="BM6" i="4"/>
  <c r="BL6" i="4"/>
  <c r="BK6" i="4"/>
  <c r="BJ6" i="4"/>
  <c r="BH6" i="4"/>
  <c r="BG6" i="4"/>
  <c r="BF6" i="4"/>
  <c r="BE6" i="4"/>
  <c r="BD6" i="4"/>
  <c r="BC6" i="4"/>
  <c r="BB6" i="4"/>
  <c r="BA6" i="4"/>
  <c r="AZ6" i="4"/>
  <c r="AX6" i="4"/>
  <c r="AW6" i="4"/>
  <c r="AV6" i="4"/>
  <c r="AU6" i="4"/>
  <c r="AT6" i="4"/>
  <c r="AS6" i="4"/>
  <c r="AR6" i="4"/>
  <c r="AQ6" i="4"/>
  <c r="AP6" i="4"/>
  <c r="AN6" i="4"/>
  <c r="AM6" i="4"/>
  <c r="AL6" i="4"/>
  <c r="AK6" i="4"/>
  <c r="AJ6" i="4"/>
  <c r="AI6" i="4"/>
  <c r="AH6" i="4"/>
  <c r="AG6" i="4"/>
  <c r="AF6" i="4"/>
  <c r="AD6" i="4"/>
  <c r="AC6" i="4"/>
  <c r="AB6" i="4"/>
  <c r="AA6" i="4"/>
  <c r="Z6" i="4"/>
  <c r="Y6" i="4"/>
  <c r="X6" i="4"/>
  <c r="W6" i="4"/>
  <c r="V6" i="4"/>
  <c r="T6" i="4"/>
  <c r="S6" i="4"/>
  <c r="R6" i="4"/>
  <c r="Q6" i="4"/>
  <c r="P6" i="4"/>
  <c r="O6" i="4"/>
  <c r="N6" i="4"/>
  <c r="M6" i="4"/>
  <c r="L6" i="4"/>
  <c r="J6" i="4"/>
  <c r="I6" i="4"/>
  <c r="H6" i="4"/>
  <c r="G6" i="4"/>
  <c r="F6" i="4"/>
  <c r="E6" i="4"/>
  <c r="D6" i="4"/>
  <c r="C6" i="4"/>
  <c r="B6" i="4"/>
  <c r="IV5" i="4"/>
  <c r="IU5" i="4"/>
  <c r="IT5" i="4"/>
  <c r="IS5" i="4"/>
  <c r="IR5" i="4"/>
  <c r="IQ5" i="4"/>
  <c r="IP5" i="4"/>
  <c r="IO5" i="4"/>
  <c r="IN5" i="4"/>
  <c r="IL5" i="4"/>
  <c r="IK5" i="4"/>
  <c r="IJ5" i="4"/>
  <c r="II5" i="4"/>
  <c r="IH5" i="4"/>
  <c r="IG5" i="4"/>
  <c r="IF5" i="4"/>
  <c r="IE5" i="4"/>
  <c r="ID5" i="4"/>
  <c r="IB5" i="4"/>
  <c r="IA5" i="4"/>
  <c r="HZ5" i="4"/>
  <c r="HY5" i="4"/>
  <c r="HX5" i="4"/>
  <c r="HW5" i="4"/>
  <c r="HV5" i="4"/>
  <c r="HU5" i="4"/>
  <c r="HT5" i="4"/>
  <c r="HR5" i="4"/>
  <c r="HQ5" i="4"/>
  <c r="HP5" i="4"/>
  <c r="HO5" i="4"/>
  <c r="HN5" i="4"/>
  <c r="HM5" i="4"/>
  <c r="HL5" i="4"/>
  <c r="HK5" i="4"/>
  <c r="HJ5" i="4"/>
  <c r="HH5" i="4"/>
  <c r="HG5" i="4"/>
  <c r="HF5" i="4"/>
  <c r="HE5" i="4"/>
  <c r="HD5" i="4"/>
  <c r="HC5" i="4"/>
  <c r="HB5" i="4"/>
  <c r="HA5" i="4"/>
  <c r="GZ5" i="4"/>
  <c r="GX5" i="4"/>
  <c r="GW5" i="4"/>
  <c r="GV5" i="4"/>
  <c r="GU5" i="4"/>
  <c r="GT5" i="4"/>
  <c r="GS5" i="4"/>
  <c r="GR5" i="4"/>
  <c r="GQ5" i="4"/>
  <c r="GP5" i="4"/>
  <c r="GN5" i="4"/>
  <c r="GM5" i="4"/>
  <c r="GL5" i="4"/>
  <c r="GK5" i="4"/>
  <c r="GJ5" i="4"/>
  <c r="GI5" i="4"/>
  <c r="GH5" i="4"/>
  <c r="GG5" i="4"/>
  <c r="GF5" i="4"/>
  <c r="GD5" i="4"/>
  <c r="GC5" i="4"/>
  <c r="GB5" i="4"/>
  <c r="GA5" i="4"/>
  <c r="FZ5" i="4"/>
  <c r="FY5" i="4"/>
  <c r="FX5" i="4"/>
  <c r="FW5" i="4"/>
  <c r="FV5" i="4"/>
  <c r="FT5" i="4"/>
  <c r="FS5" i="4"/>
  <c r="FR5" i="4"/>
  <c r="FQ5" i="4"/>
  <c r="FP5" i="4"/>
  <c r="FO5" i="4"/>
  <c r="FN5" i="4"/>
  <c r="FM5" i="4"/>
  <c r="FL5" i="4"/>
  <c r="FJ5" i="4"/>
  <c r="FI5" i="4"/>
  <c r="FH5" i="4"/>
  <c r="FG5" i="4"/>
  <c r="FF5" i="4"/>
  <c r="FE5" i="4"/>
  <c r="FD5" i="4"/>
  <c r="FC5" i="4"/>
  <c r="FB5" i="4"/>
  <c r="EZ5" i="4"/>
  <c r="EY5" i="4"/>
  <c r="EX5" i="4"/>
  <c r="EW5" i="4"/>
  <c r="EV5" i="4"/>
  <c r="EU5" i="4"/>
  <c r="ET5" i="4"/>
  <c r="ES5" i="4"/>
  <c r="ER5" i="4"/>
  <c r="EP5" i="4"/>
  <c r="EO5" i="4"/>
  <c r="EN5" i="4"/>
  <c r="EM5" i="4"/>
  <c r="EL5" i="4"/>
  <c r="EK5" i="4"/>
  <c r="EJ5" i="4"/>
  <c r="EI5" i="4"/>
  <c r="EH5" i="4"/>
  <c r="EF5" i="4"/>
  <c r="EE5" i="4"/>
  <c r="ED5" i="4"/>
  <c r="EC5" i="4"/>
  <c r="EB5" i="4"/>
  <c r="EA5" i="4"/>
  <c r="DZ5" i="4"/>
  <c r="DY5" i="4"/>
  <c r="DX5" i="4"/>
  <c r="DV5" i="4"/>
  <c r="DU5" i="4"/>
  <c r="DT5" i="4"/>
  <c r="DS5" i="4"/>
  <c r="DR5" i="4"/>
  <c r="DQ5" i="4"/>
  <c r="DP5" i="4"/>
  <c r="DO5" i="4"/>
  <c r="DN5" i="4"/>
  <c r="DL5" i="4"/>
  <c r="DK5" i="4"/>
  <c r="DJ5" i="4"/>
  <c r="DI5" i="4"/>
  <c r="DH5" i="4"/>
  <c r="DG5" i="4"/>
  <c r="DF5" i="4"/>
  <c r="DE5" i="4"/>
  <c r="DD5" i="4"/>
  <c r="DB5" i="4"/>
  <c r="DA5" i="4"/>
  <c r="CZ5" i="4"/>
  <c r="CY5" i="4"/>
  <c r="CX5" i="4"/>
  <c r="CW5" i="4"/>
  <c r="CV5" i="4"/>
  <c r="CU5" i="4"/>
  <c r="CT5" i="4"/>
  <c r="CR5" i="4"/>
  <c r="CQ5" i="4"/>
  <c r="CP5" i="4"/>
  <c r="CO5" i="4"/>
  <c r="CN5" i="4"/>
  <c r="CM5" i="4"/>
  <c r="CL5" i="4"/>
  <c r="CK5" i="4"/>
  <c r="CJ5" i="4"/>
  <c r="CH5" i="4"/>
  <c r="CG5" i="4"/>
  <c r="CF5" i="4"/>
  <c r="CE5" i="4"/>
  <c r="CD5" i="4"/>
  <c r="CC5" i="4"/>
  <c r="CB5" i="4"/>
  <c r="CA5" i="4"/>
  <c r="BZ5" i="4"/>
  <c r="BX5" i="4"/>
  <c r="BW5" i="4"/>
  <c r="BV5" i="4"/>
  <c r="BU5" i="4"/>
  <c r="BT5" i="4"/>
  <c r="BS5" i="4"/>
  <c r="BR5" i="4"/>
  <c r="BQ5" i="4"/>
  <c r="BP5" i="4"/>
  <c r="BN5" i="4"/>
  <c r="BM5" i="4"/>
  <c r="BL5" i="4"/>
  <c r="BK5" i="4"/>
  <c r="BJ5" i="4"/>
  <c r="BI5" i="4"/>
  <c r="BH5" i="4"/>
  <c r="BG5" i="4"/>
  <c r="BF5" i="4"/>
  <c r="BD5" i="4"/>
  <c r="BC5" i="4"/>
  <c r="BB5" i="4"/>
  <c r="BA5" i="4"/>
  <c r="AZ5" i="4"/>
  <c r="AY5" i="4"/>
  <c r="AX5" i="4"/>
  <c r="AW5" i="4"/>
  <c r="AV5" i="4"/>
  <c r="AT5" i="4"/>
  <c r="AS5" i="4"/>
  <c r="AR5" i="4"/>
  <c r="AQ5" i="4"/>
  <c r="AP5" i="4"/>
  <c r="AO5" i="4"/>
  <c r="AN5" i="4"/>
  <c r="AM5" i="4"/>
  <c r="AL5" i="4"/>
  <c r="AJ5" i="4"/>
  <c r="AI5" i="4"/>
  <c r="AH5" i="4"/>
  <c r="AG5" i="4"/>
  <c r="AF5" i="4"/>
  <c r="AE5" i="4"/>
  <c r="AD5" i="4"/>
  <c r="AC5" i="4"/>
  <c r="AB5" i="4"/>
  <c r="Z5" i="4"/>
  <c r="Y5" i="4"/>
  <c r="X5" i="4"/>
  <c r="W5" i="4"/>
  <c r="V5" i="4"/>
  <c r="U5" i="4"/>
  <c r="T5" i="4"/>
  <c r="S5" i="4"/>
  <c r="R5" i="4"/>
  <c r="P5" i="4"/>
  <c r="O5" i="4"/>
  <c r="N5" i="4"/>
  <c r="M5" i="4"/>
  <c r="L5" i="4"/>
  <c r="K5" i="4"/>
  <c r="J5" i="4"/>
  <c r="I5" i="4"/>
  <c r="H5" i="4"/>
  <c r="F5" i="4"/>
  <c r="E5" i="4"/>
  <c r="D5" i="4"/>
  <c r="C5" i="4"/>
  <c r="B5" i="4"/>
  <c r="A5" i="4"/>
  <c r="IV4" i="4"/>
  <c r="IU4" i="4"/>
  <c r="IT4" i="4"/>
  <c r="IR4" i="4"/>
  <c r="IQ4" i="4"/>
  <c r="IP4" i="4"/>
  <c r="IO4" i="4"/>
  <c r="IN4" i="4"/>
  <c r="IM4" i="4"/>
  <c r="IL4" i="4"/>
  <c r="IK4" i="4"/>
  <c r="IJ4" i="4"/>
  <c r="IH4" i="4"/>
  <c r="IG4" i="4"/>
  <c r="IF4" i="4"/>
  <c r="IE4" i="4"/>
  <c r="ID4" i="4"/>
  <c r="IC4" i="4"/>
  <c r="IB4" i="4"/>
  <c r="IA4" i="4"/>
  <c r="HZ4" i="4"/>
  <c r="HX4" i="4"/>
  <c r="HW4" i="4"/>
  <c r="HV4" i="4"/>
  <c r="HU4" i="4"/>
  <c r="HT4" i="4"/>
  <c r="HS4" i="4"/>
  <c r="HR4" i="4"/>
  <c r="HQ4" i="4"/>
  <c r="HP4" i="4"/>
  <c r="HN4" i="4"/>
  <c r="HM4" i="4"/>
  <c r="HL4" i="4"/>
  <c r="HK4" i="4"/>
  <c r="HJ4" i="4"/>
  <c r="HI4" i="4"/>
  <c r="HH4" i="4"/>
  <c r="HG4" i="4"/>
  <c r="HF4" i="4"/>
  <c r="HD4" i="4"/>
  <c r="HC4" i="4"/>
  <c r="HB4" i="4"/>
  <c r="HA4" i="4"/>
  <c r="GZ4" i="4"/>
  <c r="GY4" i="4"/>
  <c r="GX4" i="4"/>
  <c r="GW4" i="4"/>
  <c r="GV4" i="4"/>
  <c r="GT4" i="4"/>
  <c r="GS4" i="4"/>
  <c r="GR4" i="4"/>
  <c r="GQ4" i="4"/>
  <c r="GP4" i="4"/>
  <c r="GO4" i="4"/>
  <c r="GN4" i="4"/>
  <c r="GM4" i="4"/>
  <c r="GL4" i="4"/>
  <c r="GJ4" i="4"/>
  <c r="GI4" i="4"/>
  <c r="GH4" i="4"/>
  <c r="GG4" i="4"/>
  <c r="GF4" i="4"/>
  <c r="GE4" i="4"/>
  <c r="GD4" i="4"/>
  <c r="GC4" i="4"/>
  <c r="GB4" i="4"/>
  <c r="FZ4" i="4"/>
  <c r="FY4" i="4"/>
  <c r="FX4" i="4"/>
  <c r="FW4" i="4"/>
  <c r="FV4" i="4"/>
  <c r="FU4" i="4"/>
  <c r="FT4" i="4"/>
  <c r="FS4" i="4"/>
  <c r="FR4" i="4"/>
  <c r="FP4" i="4"/>
  <c r="FO4" i="4"/>
  <c r="FN4" i="4"/>
  <c r="FM4" i="4"/>
  <c r="FL4" i="4"/>
  <c r="FK4" i="4"/>
  <c r="FJ4" i="4"/>
  <c r="FI4" i="4"/>
  <c r="FH4" i="4"/>
  <c r="FF4" i="4"/>
  <c r="FE4" i="4"/>
  <c r="FD4" i="4"/>
  <c r="FC4" i="4"/>
  <c r="FB4" i="4"/>
  <c r="FA4" i="4"/>
  <c r="EZ4" i="4"/>
  <c r="EY4" i="4"/>
  <c r="EX4" i="4"/>
  <c r="EV4" i="4"/>
  <c r="EU4" i="4"/>
  <c r="ET4" i="4"/>
  <c r="ES4" i="4"/>
  <c r="ER4" i="4"/>
  <c r="EQ4" i="4"/>
  <c r="EP4" i="4"/>
  <c r="EO4" i="4"/>
  <c r="EN4" i="4"/>
  <c r="EL4" i="4"/>
  <c r="EK4" i="4"/>
  <c r="EJ4" i="4"/>
  <c r="EI4" i="4"/>
  <c r="EH4" i="4"/>
  <c r="EG4" i="4"/>
  <c r="EF4" i="4"/>
  <c r="EE4" i="4"/>
  <c r="ED4" i="4"/>
  <c r="EB4" i="4"/>
  <c r="EA4" i="4"/>
  <c r="DZ4" i="4"/>
  <c r="DY4" i="4"/>
  <c r="DX4" i="4"/>
  <c r="DW4" i="4"/>
  <c r="DV4" i="4"/>
  <c r="DU4" i="4"/>
  <c r="DT4" i="4"/>
  <c r="DR4" i="4"/>
  <c r="DQ4" i="4"/>
  <c r="DP4" i="4"/>
  <c r="DO4" i="4"/>
  <c r="DN4" i="4"/>
  <c r="DM4" i="4"/>
  <c r="DL4" i="4"/>
  <c r="DK4" i="4"/>
  <c r="DJ4" i="4"/>
  <c r="DH4" i="4"/>
  <c r="DG4" i="4"/>
  <c r="DF4" i="4"/>
  <c r="DE4" i="4"/>
  <c r="DD4" i="4"/>
  <c r="DC4" i="4"/>
  <c r="DB4" i="4"/>
  <c r="DA4" i="4"/>
  <c r="CZ4" i="4"/>
  <c r="CX4" i="4"/>
  <c r="CW4" i="4"/>
  <c r="CV4" i="4"/>
  <c r="CU4" i="4"/>
  <c r="CT4" i="4"/>
  <c r="CS4" i="4"/>
  <c r="CR4" i="4"/>
  <c r="CQ4" i="4"/>
  <c r="CP4" i="4"/>
  <c r="CN4" i="4"/>
  <c r="CM4" i="4"/>
  <c r="CL4" i="4"/>
  <c r="CK4" i="4"/>
  <c r="CJ4" i="4"/>
  <c r="CI4" i="4"/>
  <c r="CH4" i="4"/>
  <c r="CG4" i="4"/>
  <c r="CF4" i="4"/>
  <c r="CD4" i="4"/>
  <c r="CC4" i="4"/>
  <c r="CB4" i="4"/>
  <c r="CA4" i="4"/>
  <c r="BZ4" i="4"/>
  <c r="BY4" i="4"/>
  <c r="BX4" i="4"/>
  <c r="BW4" i="4"/>
  <c r="BV4" i="4"/>
  <c r="BT4" i="4"/>
  <c r="BS4" i="4"/>
  <c r="BR4" i="4"/>
  <c r="BQ4" i="4"/>
  <c r="BP4" i="4"/>
  <c r="BO4" i="4"/>
  <c r="BN4" i="4"/>
  <c r="BM4" i="4"/>
  <c r="BL4" i="4"/>
  <c r="BJ4" i="4"/>
  <c r="BI4" i="4"/>
  <c r="BH4" i="4"/>
  <c r="BG4" i="4"/>
  <c r="BF4" i="4"/>
  <c r="BE4" i="4"/>
  <c r="BD4" i="4"/>
  <c r="BC4" i="4"/>
  <c r="BB4" i="4"/>
  <c r="AZ4" i="4"/>
  <c r="AY4" i="4"/>
  <c r="AX4" i="4"/>
  <c r="AW4" i="4"/>
  <c r="AV4" i="4"/>
  <c r="AU4" i="4"/>
  <c r="AT4" i="4"/>
  <c r="AS4" i="4"/>
  <c r="AR4" i="4"/>
  <c r="AP4" i="4"/>
  <c r="AO4" i="4"/>
  <c r="AN4" i="4"/>
  <c r="AM4" i="4"/>
  <c r="AL4" i="4"/>
  <c r="AK4" i="4"/>
  <c r="AJ4" i="4"/>
  <c r="AI4" i="4"/>
  <c r="AH4" i="4"/>
  <c r="AF4" i="4"/>
  <c r="AE4" i="4"/>
  <c r="AD4" i="4"/>
  <c r="AC4" i="4"/>
  <c r="AB4" i="4"/>
  <c r="AA4" i="4"/>
  <c r="Z4" i="4"/>
  <c r="Y4" i="4"/>
  <c r="X4" i="4"/>
  <c r="V4" i="4"/>
  <c r="U4" i="4"/>
  <c r="T4" i="4"/>
  <c r="S4" i="4"/>
  <c r="R4" i="4"/>
  <c r="Q4" i="4"/>
  <c r="P4" i="4"/>
  <c r="O4" i="4"/>
  <c r="N4" i="4"/>
  <c r="L4" i="4"/>
  <c r="K4" i="4"/>
  <c r="J4" i="4"/>
  <c r="I4" i="4"/>
  <c r="H4" i="4"/>
  <c r="G4" i="4"/>
  <c r="F4" i="4"/>
  <c r="E4" i="4"/>
  <c r="D4" i="4"/>
  <c r="B4" i="4"/>
  <c r="A4" i="4"/>
  <c r="IV3" i="4"/>
  <c r="IU3" i="4"/>
  <c r="IT3" i="4"/>
  <c r="IS3" i="4"/>
  <c r="IR3" i="4"/>
  <c r="IQ3" i="4"/>
  <c r="IP3" i="4"/>
  <c r="IN3" i="4"/>
  <c r="IM3" i="4"/>
  <c r="IL3" i="4"/>
  <c r="IK3" i="4"/>
  <c r="IJ3" i="4"/>
  <c r="II3" i="4"/>
  <c r="IH3" i="4"/>
  <c r="IG3" i="4"/>
  <c r="IF3" i="4"/>
  <c r="ID3" i="4"/>
  <c r="IC3" i="4"/>
  <c r="IB3" i="4"/>
  <c r="IA3" i="4"/>
  <c r="HZ3" i="4"/>
  <c r="HY3" i="4"/>
  <c r="HX3" i="4"/>
  <c r="HW3" i="4"/>
  <c r="HV3" i="4"/>
  <c r="HT3" i="4"/>
  <c r="HS3" i="4"/>
  <c r="HR3" i="4"/>
  <c r="HQ3" i="4"/>
  <c r="HP3" i="4"/>
  <c r="HO3" i="4"/>
  <c r="HN3" i="4"/>
  <c r="HM3" i="4"/>
  <c r="HL3" i="4"/>
  <c r="HJ3" i="4"/>
  <c r="HI3" i="4"/>
  <c r="HH3" i="4"/>
  <c r="HG3" i="4"/>
  <c r="HF3" i="4"/>
  <c r="HE3" i="4"/>
  <c r="HD3" i="4"/>
  <c r="HC3" i="4"/>
  <c r="HB3" i="4"/>
  <c r="GZ3" i="4"/>
  <c r="GY3" i="4"/>
  <c r="GX3" i="4"/>
  <c r="GW3" i="4"/>
  <c r="GV3" i="4"/>
  <c r="GU3" i="4"/>
  <c r="GT3" i="4"/>
  <c r="GS3" i="4"/>
  <c r="GR3" i="4"/>
  <c r="GP3" i="4"/>
  <c r="GO3" i="4"/>
  <c r="GN3" i="4"/>
  <c r="GM3" i="4"/>
  <c r="GL3" i="4"/>
  <c r="GK3" i="4"/>
  <c r="GJ3" i="4"/>
  <c r="GI3" i="4"/>
  <c r="GH3" i="4"/>
  <c r="GF3" i="4"/>
  <c r="GE3" i="4"/>
  <c r="GD3" i="4"/>
  <c r="GC3" i="4"/>
  <c r="GB3" i="4"/>
  <c r="GA3" i="4"/>
  <c r="FZ3" i="4"/>
  <c r="FY3" i="4"/>
  <c r="FX3" i="4"/>
  <c r="FV3" i="4"/>
  <c r="FU3" i="4"/>
  <c r="FT3" i="4"/>
  <c r="FS3" i="4"/>
  <c r="FR3" i="4"/>
  <c r="FQ3" i="4"/>
  <c r="FP3" i="4"/>
  <c r="FO3" i="4"/>
  <c r="FN3" i="4"/>
  <c r="FL3" i="4"/>
  <c r="FK3" i="4"/>
  <c r="FJ3" i="4"/>
  <c r="FI3" i="4"/>
  <c r="FH3" i="4"/>
  <c r="FG3" i="4"/>
  <c r="FF3" i="4"/>
  <c r="FE3" i="4"/>
  <c r="FD3" i="4"/>
  <c r="FB3" i="4"/>
  <c r="FA3" i="4"/>
  <c r="EZ3" i="4"/>
  <c r="EY3" i="4"/>
  <c r="EX3" i="4"/>
  <c r="EW3" i="4"/>
  <c r="EV3" i="4"/>
  <c r="EU3" i="4"/>
  <c r="ET3" i="4"/>
  <c r="ER3" i="4"/>
  <c r="EQ3" i="4"/>
  <c r="EP3" i="4"/>
  <c r="EO3" i="4"/>
  <c r="EN3" i="4"/>
  <c r="EM3" i="4"/>
  <c r="EL3" i="4"/>
  <c r="EK3" i="4"/>
  <c r="EJ3" i="4"/>
  <c r="EH3" i="4"/>
  <c r="EG3" i="4"/>
  <c r="EF3" i="4"/>
  <c r="EE3" i="4"/>
  <c r="ED3" i="4"/>
  <c r="EC3" i="4"/>
  <c r="EB3" i="4"/>
  <c r="EA3" i="4"/>
  <c r="DZ3" i="4"/>
  <c r="DX3" i="4"/>
  <c r="DW3" i="4"/>
  <c r="DV3" i="4"/>
  <c r="DU3" i="4"/>
  <c r="DT3" i="4"/>
  <c r="DS3" i="4"/>
  <c r="DR3" i="4"/>
  <c r="DQ3" i="4"/>
  <c r="DP3" i="4"/>
  <c r="DN3" i="4"/>
  <c r="DM3" i="4"/>
  <c r="DL3" i="4"/>
  <c r="DK3" i="4"/>
  <c r="DJ3" i="4"/>
  <c r="DI3" i="4"/>
  <c r="DH3" i="4"/>
  <c r="DG3" i="4"/>
  <c r="DF3" i="4"/>
  <c r="DD3" i="4"/>
  <c r="DC3" i="4"/>
  <c r="DB3" i="4"/>
  <c r="DA3" i="4"/>
  <c r="CZ3" i="4"/>
  <c r="CY3" i="4"/>
  <c r="CX3" i="4"/>
  <c r="CW3" i="4"/>
  <c r="CV3" i="4"/>
  <c r="CT3" i="4"/>
  <c r="CS3" i="4"/>
  <c r="CR3" i="4"/>
  <c r="CQ3" i="4"/>
  <c r="CP3" i="4"/>
  <c r="CO3" i="4"/>
  <c r="CN3" i="4"/>
  <c r="CM3" i="4"/>
  <c r="CL3" i="4"/>
  <c r="CJ3" i="4"/>
  <c r="CI3" i="4"/>
  <c r="CH3" i="4"/>
  <c r="CG3" i="4"/>
  <c r="CF3" i="4"/>
  <c r="CE3" i="4"/>
  <c r="CD3" i="4"/>
  <c r="CC3" i="4"/>
  <c r="CB3" i="4"/>
  <c r="BZ3" i="4"/>
  <c r="BY3" i="4"/>
  <c r="BX3" i="4"/>
  <c r="BW3" i="4"/>
  <c r="BV3" i="4"/>
  <c r="BU3" i="4"/>
  <c r="BT3" i="4"/>
  <c r="BS3" i="4"/>
  <c r="BR3" i="4"/>
  <c r="BP3" i="4"/>
  <c r="BO3" i="4"/>
  <c r="BN3" i="4"/>
  <c r="BM3" i="4"/>
  <c r="BL3" i="4"/>
  <c r="BK3" i="4"/>
  <c r="BJ3" i="4"/>
  <c r="BI3" i="4"/>
  <c r="BH3" i="4"/>
  <c r="BF3" i="4"/>
  <c r="BE3" i="4"/>
  <c r="BD3" i="4"/>
  <c r="BC3" i="4"/>
  <c r="BB3" i="4"/>
  <c r="BA3" i="4"/>
  <c r="AZ3" i="4"/>
  <c r="AY3" i="4"/>
  <c r="AX3" i="4"/>
  <c r="AV3" i="4"/>
  <c r="AU3" i="4"/>
  <c r="AT3" i="4"/>
  <c r="AS3" i="4"/>
  <c r="AR3" i="4"/>
  <c r="AQ3" i="4"/>
  <c r="AP3" i="4"/>
  <c r="AO3" i="4"/>
  <c r="AN3" i="4"/>
  <c r="AL3" i="4"/>
  <c r="AK3" i="4"/>
  <c r="AJ3" i="4"/>
  <c r="AI3" i="4"/>
  <c r="AH3" i="4"/>
  <c r="AG3" i="4"/>
  <c r="AF3" i="4"/>
  <c r="AE3" i="4"/>
  <c r="AD3" i="4"/>
  <c r="AB3" i="4"/>
  <c r="AA3" i="4"/>
  <c r="Z3" i="4"/>
  <c r="Y3" i="4"/>
  <c r="X3" i="4"/>
  <c r="W3" i="4"/>
  <c r="V3" i="4"/>
  <c r="U3" i="4"/>
  <c r="T3" i="4"/>
  <c r="R3" i="4"/>
  <c r="Q3" i="4"/>
  <c r="P3" i="4"/>
  <c r="O3" i="4"/>
  <c r="N3" i="4"/>
  <c r="M3" i="4"/>
  <c r="L3" i="4"/>
  <c r="K3" i="4"/>
  <c r="J3" i="4"/>
  <c r="H3" i="4"/>
  <c r="G3" i="4"/>
  <c r="F3" i="4"/>
  <c r="E3" i="4"/>
  <c r="D3" i="4"/>
  <c r="C3" i="4"/>
  <c r="B3" i="4"/>
  <c r="A3" i="4"/>
  <c r="IV2" i="4"/>
  <c r="IT2" i="4"/>
  <c r="IS2" i="4"/>
  <c r="IR2" i="4"/>
  <c r="IQ2" i="4"/>
  <c r="IP2" i="4"/>
  <c r="IO2" i="4"/>
  <c r="IN2" i="4"/>
  <c r="IM2" i="4"/>
  <c r="IL2" i="4"/>
  <c r="IJ2" i="4"/>
  <c r="II2" i="4"/>
  <c r="IH2" i="4"/>
  <c r="IG2" i="4"/>
  <c r="IF2" i="4"/>
  <c r="IE2" i="4"/>
  <c r="ID2" i="4"/>
  <c r="IC2" i="4"/>
  <c r="IB2" i="4"/>
  <c r="HZ2" i="4"/>
  <c r="HY2" i="4"/>
  <c r="HX2" i="4"/>
  <c r="HW2" i="4"/>
  <c r="HV2" i="4"/>
  <c r="HU2" i="4"/>
  <c r="HT2" i="4"/>
  <c r="HS2" i="4"/>
  <c r="HR2" i="4"/>
  <c r="HP2" i="4"/>
  <c r="HO2" i="4"/>
  <c r="HN2" i="4"/>
  <c r="HM2" i="4"/>
  <c r="HL2" i="4"/>
  <c r="HK2" i="4"/>
  <c r="HJ2" i="4"/>
  <c r="HI2" i="4"/>
  <c r="HH2" i="4"/>
  <c r="HF2" i="4"/>
  <c r="HE2" i="4"/>
  <c r="HD2" i="4"/>
  <c r="HC2" i="4"/>
  <c r="HB2" i="4"/>
  <c r="HA2" i="4"/>
  <c r="GZ2" i="4"/>
  <c r="GY2" i="4"/>
  <c r="GX2" i="4"/>
  <c r="GV2" i="4"/>
  <c r="GU2" i="4"/>
  <c r="GT2" i="4"/>
  <c r="GS2" i="4"/>
  <c r="GR2" i="4"/>
  <c r="GQ2" i="4"/>
  <c r="GP2" i="4"/>
  <c r="GO2" i="4"/>
  <c r="GN2" i="4"/>
  <c r="GL2" i="4"/>
  <c r="GK2" i="4"/>
  <c r="GJ2" i="4"/>
  <c r="GI2" i="4"/>
  <c r="GH2" i="4"/>
  <c r="GG2" i="4"/>
  <c r="GF2" i="4"/>
  <c r="GE2" i="4"/>
  <c r="GD2" i="4"/>
  <c r="GB2" i="4"/>
  <c r="GA2" i="4"/>
  <c r="FZ2" i="4"/>
  <c r="FY2" i="4"/>
  <c r="FX2" i="4"/>
  <c r="FW2" i="4"/>
  <c r="FV2" i="4"/>
  <c r="FU2" i="4"/>
  <c r="FT2" i="4"/>
  <c r="FR2" i="4"/>
  <c r="FQ2" i="4"/>
  <c r="FP2" i="4"/>
  <c r="FO2" i="4"/>
  <c r="FN2" i="4"/>
  <c r="FM2" i="4"/>
  <c r="FL2" i="4"/>
  <c r="FK2" i="4"/>
  <c r="FJ2" i="4"/>
  <c r="FH2" i="4"/>
  <c r="FG2" i="4"/>
  <c r="FF2" i="4"/>
  <c r="FE2" i="4"/>
  <c r="FD2" i="4"/>
  <c r="FC2" i="4"/>
  <c r="FB2" i="4"/>
  <c r="FA2" i="4"/>
  <c r="EZ2" i="4"/>
  <c r="EX2" i="4"/>
  <c r="EW2" i="4"/>
  <c r="EV2" i="4"/>
  <c r="EU2" i="4"/>
  <c r="ET2" i="4"/>
  <c r="ES2" i="4"/>
  <c r="ER2" i="4"/>
  <c r="EQ2" i="4"/>
  <c r="EP2" i="4"/>
  <c r="EN2" i="4"/>
  <c r="EM2" i="4"/>
  <c r="EL2" i="4"/>
  <c r="EK2" i="4"/>
  <c r="EJ2" i="4"/>
  <c r="EI2" i="4"/>
  <c r="EH2" i="4"/>
  <c r="EG2" i="4"/>
  <c r="EF2" i="4"/>
  <c r="ED2" i="4"/>
  <c r="EC2" i="4"/>
  <c r="EB2" i="4"/>
  <c r="EA2" i="4"/>
  <c r="DZ2" i="4"/>
  <c r="DY2" i="4"/>
  <c r="DX2" i="4"/>
  <c r="DW2" i="4"/>
  <c r="DV2" i="4"/>
  <c r="DT2" i="4"/>
  <c r="DS2" i="4"/>
  <c r="DR2" i="4"/>
  <c r="DQ2" i="4"/>
  <c r="DP2" i="4"/>
  <c r="DO2" i="4"/>
  <c r="DN2" i="4"/>
  <c r="DM2" i="4"/>
  <c r="DL2" i="4"/>
  <c r="DJ2" i="4"/>
  <c r="DI2" i="4"/>
  <c r="DH2" i="4"/>
  <c r="DG2" i="4"/>
  <c r="DF2" i="4"/>
  <c r="DE2" i="4"/>
  <c r="DD2" i="4"/>
  <c r="DC2" i="4"/>
  <c r="DB2" i="4"/>
  <c r="CZ2" i="4"/>
  <c r="CY2" i="4"/>
  <c r="CX2" i="4"/>
  <c r="CW2" i="4"/>
  <c r="CV2" i="4"/>
  <c r="CU2" i="4"/>
  <c r="CT2" i="4"/>
  <c r="CS2" i="4"/>
  <c r="CR2" i="4"/>
  <c r="CP2" i="4"/>
  <c r="CO2" i="4"/>
  <c r="CN2" i="4"/>
  <c r="CM2" i="4"/>
  <c r="CL2" i="4"/>
  <c r="CK2" i="4"/>
  <c r="CJ2" i="4"/>
  <c r="CI2" i="4"/>
  <c r="CH2" i="4"/>
  <c r="CF2" i="4"/>
  <c r="CE2" i="4"/>
  <c r="CD2" i="4"/>
  <c r="CC2" i="4"/>
  <c r="CB2" i="4"/>
  <c r="CA2" i="4"/>
  <c r="BZ2" i="4"/>
  <c r="BY2" i="4"/>
  <c r="BX2" i="4"/>
  <c r="BV2" i="4"/>
  <c r="BU2" i="4"/>
  <c r="BT2" i="4"/>
  <c r="BS2" i="4"/>
  <c r="BR2" i="4"/>
  <c r="BQ2" i="4"/>
  <c r="BP2" i="4"/>
  <c r="BO2" i="4"/>
  <c r="BN2" i="4"/>
  <c r="BL2" i="4"/>
  <c r="BK2" i="4"/>
  <c r="BJ2" i="4"/>
  <c r="BI2" i="4"/>
  <c r="BH2" i="4"/>
  <c r="BG2" i="4"/>
  <c r="BF2" i="4"/>
  <c r="BE2" i="4"/>
  <c r="BD2" i="4"/>
  <c r="BB2" i="4"/>
  <c r="BA2" i="4"/>
  <c r="AZ2" i="4"/>
  <c r="AY2" i="4"/>
  <c r="AX2" i="4"/>
  <c r="AW2" i="4"/>
  <c r="AV2" i="4"/>
  <c r="AU2" i="4"/>
  <c r="AT2" i="4"/>
  <c r="AR2" i="4"/>
  <c r="AQ2" i="4"/>
  <c r="AP2" i="4"/>
  <c r="AO2" i="4"/>
  <c r="AN2" i="4"/>
  <c r="AM2" i="4"/>
  <c r="AL2" i="4"/>
  <c r="AK2" i="4"/>
  <c r="AJ2" i="4"/>
  <c r="AH2" i="4"/>
  <c r="AG2" i="4"/>
  <c r="AF2" i="4"/>
  <c r="AE2" i="4"/>
  <c r="AD2" i="4"/>
  <c r="AC2" i="4"/>
  <c r="AB2" i="4"/>
  <c r="AA2" i="4"/>
  <c r="Z2" i="4"/>
  <c r="X2" i="4"/>
  <c r="W2" i="4"/>
  <c r="V2" i="4"/>
  <c r="U2" i="4"/>
  <c r="T2" i="4"/>
  <c r="S2" i="4"/>
  <c r="R2" i="4"/>
  <c r="Q2" i="4"/>
  <c r="P2" i="4"/>
  <c r="N2" i="4"/>
  <c r="M2" i="4"/>
  <c r="L2" i="4"/>
  <c r="K2" i="4"/>
  <c r="J2" i="4"/>
  <c r="I2" i="4"/>
  <c r="H2" i="4"/>
  <c r="G2" i="4"/>
  <c r="F2" i="4"/>
  <c r="D2" i="4"/>
  <c r="C2" i="4"/>
  <c r="B2" i="4"/>
  <c r="A2" i="4"/>
  <c r="IV1" i="4"/>
  <c r="IU1" i="4"/>
  <c r="IT1" i="4"/>
  <c r="IS1" i="4"/>
  <c r="IR1" i="4"/>
  <c r="IP1" i="4"/>
  <c r="IO1" i="4"/>
  <c r="IN1" i="4"/>
  <c r="IM1" i="4"/>
  <c r="IL1" i="4"/>
  <c r="IK1" i="4"/>
  <c r="IJ1" i="4"/>
  <c r="II1" i="4"/>
  <c r="IH1" i="4"/>
  <c r="IF1" i="4"/>
  <c r="IE1" i="4"/>
  <c r="ID1" i="4"/>
  <c r="IC1" i="4"/>
  <c r="IB1" i="4"/>
  <c r="IA1" i="4"/>
  <c r="HZ1" i="4"/>
  <c r="HY1" i="4"/>
  <c r="HX1" i="4"/>
  <c r="HV1" i="4"/>
  <c r="HU1" i="4"/>
  <c r="HT1" i="4"/>
  <c r="HS1" i="4"/>
  <c r="HR1" i="4"/>
  <c r="HQ1" i="4"/>
  <c r="HP1" i="4"/>
  <c r="HO1" i="4"/>
  <c r="HN1" i="4"/>
  <c r="HL1" i="4"/>
  <c r="HK1" i="4"/>
  <c r="HJ1" i="4"/>
  <c r="HI1" i="4"/>
  <c r="HH1" i="4"/>
  <c r="HG1" i="4"/>
  <c r="HF1" i="4"/>
  <c r="HE1" i="4"/>
  <c r="HD1" i="4"/>
  <c r="HB1" i="4"/>
  <c r="HA1" i="4"/>
  <c r="GZ1" i="4"/>
  <c r="GY1" i="4"/>
  <c r="GX1" i="4"/>
  <c r="GW1" i="4"/>
  <c r="GV1" i="4"/>
  <c r="GU1" i="4"/>
  <c r="GT1" i="4"/>
  <c r="GR1" i="4"/>
  <c r="GQ1" i="4"/>
  <c r="GP1" i="4"/>
  <c r="GO1" i="4"/>
  <c r="GN1" i="4"/>
  <c r="GM1" i="4"/>
  <c r="GL1" i="4"/>
  <c r="GK1" i="4"/>
  <c r="GJ1" i="4"/>
  <c r="GH1" i="4"/>
  <c r="GG1" i="4"/>
  <c r="GF1" i="4"/>
  <c r="GE1" i="4"/>
  <c r="GD1" i="4"/>
  <c r="GC1" i="4"/>
  <c r="GB1" i="4"/>
  <c r="GA1" i="4"/>
  <c r="FZ1" i="4"/>
  <c r="FX1" i="4"/>
  <c r="FW1" i="4"/>
  <c r="FV1" i="4"/>
  <c r="FU1" i="4"/>
  <c r="FT1" i="4"/>
  <c r="FS1" i="4"/>
  <c r="FR1" i="4"/>
  <c r="FQ1" i="4"/>
  <c r="FP1" i="4"/>
  <c r="FN1" i="4"/>
  <c r="FM1" i="4"/>
  <c r="FL1" i="4"/>
  <c r="FK1" i="4"/>
  <c r="FJ1" i="4"/>
  <c r="FI1" i="4"/>
  <c r="FH1" i="4"/>
  <c r="FG1" i="4"/>
  <c r="FF1" i="4"/>
  <c r="FD1" i="4"/>
  <c r="FC1" i="4"/>
  <c r="FB1" i="4"/>
  <c r="FA1" i="4"/>
  <c r="EZ1" i="4"/>
  <c r="EY1" i="4"/>
  <c r="EX1" i="4"/>
  <c r="EW1" i="4"/>
  <c r="EV1" i="4"/>
  <c r="ET1" i="4"/>
  <c r="ES1" i="4"/>
  <c r="ER1" i="4"/>
  <c r="EQ1" i="4"/>
  <c r="EP1" i="4"/>
  <c r="EO1" i="4"/>
  <c r="EN1" i="4"/>
  <c r="EM1" i="4"/>
  <c r="EL1" i="4"/>
  <c r="EJ1" i="4"/>
  <c r="EI1" i="4"/>
  <c r="EH1" i="4"/>
  <c r="EG1" i="4"/>
  <c r="EF1" i="4"/>
  <c r="EE1" i="4"/>
  <c r="ED1" i="4"/>
  <c r="EC1" i="4"/>
  <c r="EB1" i="4"/>
  <c r="DZ1" i="4"/>
  <c r="DY1" i="4"/>
  <c r="DX1" i="4"/>
  <c r="DW1" i="4"/>
  <c r="DV1" i="4"/>
  <c r="DU1" i="4"/>
  <c r="DT1" i="4"/>
  <c r="DS1" i="4"/>
  <c r="DR1" i="4"/>
  <c r="DP1" i="4"/>
  <c r="DO1" i="4"/>
  <c r="DN1" i="4"/>
  <c r="DM1" i="4"/>
  <c r="DL1" i="4"/>
  <c r="DK1" i="4"/>
  <c r="DJ1" i="4"/>
  <c r="DI1" i="4"/>
  <c r="DH1" i="4"/>
  <c r="DF1" i="4"/>
  <c r="DE1" i="4"/>
  <c r="DD1" i="4"/>
  <c r="DC1" i="4"/>
  <c r="DB1" i="4"/>
  <c r="DA1" i="4"/>
  <c r="CZ1" i="4"/>
  <c r="CY1" i="4"/>
  <c r="CX1" i="4"/>
  <c r="CV1" i="4"/>
  <c r="CU1" i="4"/>
  <c r="CT1" i="4"/>
  <c r="CS1" i="4"/>
  <c r="CR1" i="4"/>
  <c r="CQ1" i="4"/>
  <c r="CP1" i="4"/>
  <c r="CO1" i="4"/>
  <c r="CN1" i="4"/>
  <c r="CL1" i="4"/>
  <c r="CK1" i="4"/>
  <c r="CJ1" i="4"/>
  <c r="CI1" i="4"/>
  <c r="CH1" i="4"/>
  <c r="CG1" i="4"/>
  <c r="CF1" i="4"/>
  <c r="CE1" i="4"/>
  <c r="CD1" i="4"/>
  <c r="CB1" i="4"/>
  <c r="CA1" i="4"/>
  <c r="BZ1" i="4"/>
  <c r="BY1" i="4"/>
  <c r="BX1" i="4"/>
  <c r="BW1" i="4"/>
  <c r="BV1" i="4"/>
  <c r="BU1" i="4"/>
  <c r="BT1" i="4"/>
  <c r="BR1" i="4"/>
  <c r="BQ1" i="4"/>
  <c r="BP1" i="4"/>
  <c r="BO1" i="4"/>
  <c r="BN1" i="4"/>
  <c r="BM1" i="4"/>
  <c r="BL1" i="4"/>
  <c r="BK1" i="4"/>
  <c r="BJ1" i="4"/>
  <c r="BH1" i="4"/>
  <c r="BG1" i="4"/>
  <c r="BF1" i="4"/>
  <c r="BE1" i="4"/>
  <c r="BD1" i="4"/>
  <c r="BC1" i="4"/>
  <c r="BB1" i="4"/>
  <c r="BA1" i="4"/>
  <c r="AZ1" i="4"/>
  <c r="AX1" i="4"/>
  <c r="AW1" i="4"/>
  <c r="AV1" i="4"/>
  <c r="AU1" i="4"/>
  <c r="AT1" i="4"/>
  <c r="AS1" i="4"/>
  <c r="AR1" i="4"/>
  <c r="AQ1" i="4"/>
  <c r="AP1" i="4"/>
  <c r="AN1" i="4"/>
  <c r="AM1" i="4"/>
  <c r="AL1" i="4"/>
  <c r="AK1" i="4"/>
  <c r="AJ1" i="4"/>
  <c r="AI1" i="4"/>
  <c r="AH1" i="4"/>
  <c r="AG1" i="4"/>
  <c r="AF1" i="4"/>
  <c r="AD1" i="4"/>
  <c r="AC1" i="4"/>
  <c r="AB1" i="4"/>
  <c r="AA1" i="4"/>
  <c r="Z1" i="4"/>
  <c r="Y1" i="4"/>
  <c r="X1" i="4"/>
  <c r="W1" i="4"/>
  <c r="V1" i="4"/>
  <c r="T1" i="4"/>
  <c r="S1" i="4"/>
  <c r="R1" i="4"/>
  <c r="Q1" i="4"/>
  <c r="P1" i="4"/>
  <c r="O1" i="4"/>
  <c r="N1" i="4"/>
  <c r="M1" i="4"/>
  <c r="L1" i="4"/>
  <c r="J1" i="4"/>
  <c r="I1" i="4"/>
  <c r="H1" i="4"/>
  <c r="G1" i="4"/>
  <c r="F1" i="4"/>
  <c r="E1" i="4"/>
  <c r="D1" i="4"/>
  <c r="C1" i="4"/>
  <c r="B1" i="4"/>
  <c r="Q291" i="3"/>
  <c r="P291" i="3"/>
  <c r="O291" i="3"/>
  <c r="M291" i="3"/>
  <c r="L291" i="3"/>
  <c r="K291" i="3"/>
  <c r="M290" i="3"/>
  <c r="Q290" i="3" s="1"/>
  <c r="L290" i="3"/>
  <c r="P290" i="3" s="1"/>
  <c r="K290" i="3"/>
  <c r="O290" i="3" s="1"/>
  <c r="Q289" i="3"/>
  <c r="P289" i="3"/>
  <c r="O289" i="3"/>
  <c r="M289" i="3"/>
  <c r="L289" i="3"/>
  <c r="K289" i="3"/>
  <c r="M288" i="3"/>
  <c r="Q288" i="3" s="1"/>
  <c r="L288" i="3"/>
  <c r="P288" i="3" s="1"/>
  <c r="K288" i="3"/>
  <c r="O288" i="3" s="1"/>
  <c r="Q287" i="3"/>
  <c r="P287" i="3"/>
  <c r="O287" i="3"/>
  <c r="M287" i="3"/>
  <c r="L287" i="3"/>
  <c r="K287" i="3"/>
  <c r="P286" i="3"/>
  <c r="M286" i="3"/>
  <c r="Q286" i="3" s="1"/>
  <c r="L286" i="3"/>
  <c r="K286" i="3"/>
  <c r="O286" i="3" s="1"/>
  <c r="Q285" i="3"/>
  <c r="O285" i="3"/>
  <c r="M285" i="3"/>
  <c r="L285" i="3"/>
  <c r="P285" i="3" s="1"/>
  <c r="K285" i="3"/>
  <c r="O284" i="3"/>
  <c r="M284" i="3"/>
  <c r="Q284" i="3" s="1"/>
  <c r="L284" i="3"/>
  <c r="L293" i="3" s="1"/>
  <c r="K284" i="3"/>
  <c r="Q283" i="3"/>
  <c r="M283" i="3"/>
  <c r="L283" i="3"/>
  <c r="P283" i="3" s="1"/>
  <c r="K283" i="3"/>
  <c r="O283" i="3" s="1"/>
  <c r="P282" i="3"/>
  <c r="M282" i="3"/>
  <c r="Q282" i="3" s="1"/>
  <c r="L282" i="3"/>
  <c r="K282" i="3"/>
  <c r="O282" i="3" s="1"/>
  <c r="Q281" i="3"/>
  <c r="M281" i="3"/>
  <c r="L281" i="3"/>
  <c r="P281" i="3" s="1"/>
  <c r="K281" i="3"/>
  <c r="O281" i="3" s="1"/>
  <c r="P280" i="3"/>
  <c r="O280" i="3"/>
  <c r="M280" i="3"/>
  <c r="Q280" i="3" s="1"/>
  <c r="L280" i="3"/>
  <c r="K280" i="3"/>
  <c r="Q279" i="3"/>
  <c r="O279" i="3"/>
  <c r="M279" i="3"/>
  <c r="L279" i="3"/>
  <c r="P279" i="3" s="1"/>
  <c r="K279" i="3"/>
  <c r="P278" i="3"/>
  <c r="O278" i="3"/>
  <c r="M278" i="3"/>
  <c r="Q278" i="3" s="1"/>
  <c r="L278" i="3"/>
  <c r="K278" i="3"/>
  <c r="Q277" i="3"/>
  <c r="M277" i="3"/>
  <c r="L277" i="3"/>
  <c r="P277" i="3" s="1"/>
  <c r="K277" i="3"/>
  <c r="O277" i="3" s="1"/>
  <c r="M276" i="3"/>
  <c r="Q276" i="3" s="1"/>
  <c r="L276" i="3"/>
  <c r="P276" i="3" s="1"/>
  <c r="K276" i="3"/>
  <c r="O276" i="3" s="1"/>
  <c r="Q275" i="3"/>
  <c r="P275" i="3"/>
  <c r="M275" i="3"/>
  <c r="M191" i="4" s="1"/>
  <c r="L275" i="3"/>
  <c r="K275" i="3"/>
  <c r="O275" i="3" s="1"/>
  <c r="P274" i="3"/>
  <c r="M274" i="3"/>
  <c r="Q274" i="3" s="1"/>
  <c r="L274" i="3"/>
  <c r="K274" i="3"/>
  <c r="O274" i="3" s="1"/>
  <c r="Q273" i="3"/>
  <c r="P273" i="3"/>
  <c r="M273" i="3"/>
  <c r="L273" i="3"/>
  <c r="K273" i="3"/>
  <c r="O273" i="3" s="1"/>
  <c r="O272" i="3"/>
  <c r="M272" i="3"/>
  <c r="Q272" i="3" s="1"/>
  <c r="L272" i="3"/>
  <c r="P272" i="3" s="1"/>
  <c r="K272" i="3"/>
  <c r="Q271" i="3"/>
  <c r="O271" i="3"/>
  <c r="M271" i="3"/>
  <c r="L271" i="3"/>
  <c r="P271" i="3" s="1"/>
  <c r="K271" i="3"/>
  <c r="P270" i="3"/>
  <c r="O270" i="3"/>
  <c r="M270" i="3"/>
  <c r="Q270" i="3" s="1"/>
  <c r="L270" i="3"/>
  <c r="K270" i="3"/>
  <c r="Q269" i="3"/>
  <c r="P269" i="3"/>
  <c r="M269" i="3"/>
  <c r="L269" i="3"/>
  <c r="K269" i="3"/>
  <c r="O269" i="3" s="1"/>
  <c r="M268" i="3"/>
  <c r="Q268" i="3" s="1"/>
  <c r="L268" i="3"/>
  <c r="P268" i="3" s="1"/>
  <c r="K268" i="3"/>
  <c r="O268" i="3" s="1"/>
  <c r="Q267" i="3"/>
  <c r="O267" i="3"/>
  <c r="M267" i="3"/>
  <c r="L267" i="3"/>
  <c r="P267" i="3" s="1"/>
  <c r="K267" i="3"/>
  <c r="P266" i="3"/>
  <c r="M266" i="3"/>
  <c r="Q266" i="3" s="1"/>
  <c r="L266" i="3"/>
  <c r="K266" i="3"/>
  <c r="O266" i="3" s="1"/>
  <c r="Q265" i="3"/>
  <c r="P265" i="3"/>
  <c r="M265" i="3"/>
  <c r="L265" i="3"/>
  <c r="K265" i="3"/>
  <c r="O265" i="3" s="1"/>
  <c r="O264" i="3"/>
  <c r="M264" i="3"/>
  <c r="Q264" i="3" s="1"/>
  <c r="L264" i="3"/>
  <c r="P264" i="3" s="1"/>
  <c r="K264" i="3"/>
  <c r="Q263" i="3"/>
  <c r="P263" i="3"/>
  <c r="M263" i="3"/>
  <c r="L263" i="3"/>
  <c r="K263" i="3"/>
  <c r="O263" i="3" s="1"/>
  <c r="P262" i="3"/>
  <c r="M262" i="3"/>
  <c r="Q262" i="3" s="1"/>
  <c r="L262" i="3"/>
  <c r="K262" i="3"/>
  <c r="O262" i="3" s="1"/>
  <c r="Q261" i="3"/>
  <c r="Q190" i="4" s="1"/>
  <c r="M261" i="3"/>
  <c r="L261" i="3"/>
  <c r="P261" i="3" s="1"/>
  <c r="K261" i="3"/>
  <c r="O261" i="3" s="1"/>
  <c r="P260" i="3"/>
  <c r="O260" i="3"/>
  <c r="M260" i="3"/>
  <c r="Q260" i="3" s="1"/>
  <c r="L260" i="3"/>
  <c r="K260" i="3"/>
  <c r="Q259" i="3"/>
  <c r="O259" i="3"/>
  <c r="M259" i="3"/>
  <c r="L259" i="3"/>
  <c r="P259" i="3" s="1"/>
  <c r="K259" i="3"/>
  <c r="O258" i="3"/>
  <c r="M258" i="3"/>
  <c r="Q258" i="3" s="1"/>
  <c r="L258" i="3"/>
  <c r="P258" i="3" s="1"/>
  <c r="K258" i="3"/>
  <c r="Q257" i="3"/>
  <c r="M257" i="3"/>
  <c r="L257" i="3"/>
  <c r="P257" i="3" s="1"/>
  <c r="K257" i="3"/>
  <c r="O257" i="3" s="1"/>
  <c r="O256" i="3"/>
  <c r="M256" i="3"/>
  <c r="Q256" i="3" s="1"/>
  <c r="L256" i="3"/>
  <c r="P256" i="3" s="1"/>
  <c r="K256" i="3"/>
  <c r="Q255" i="3"/>
  <c r="O255" i="3"/>
  <c r="M255" i="3"/>
  <c r="L255" i="3"/>
  <c r="P255" i="3" s="1"/>
  <c r="K255" i="3"/>
  <c r="P254" i="3"/>
  <c r="M254" i="3"/>
  <c r="Q254" i="3" s="1"/>
  <c r="L254" i="3"/>
  <c r="K254" i="3"/>
  <c r="O254" i="3" s="1"/>
  <c r="Q253" i="3"/>
  <c r="M253" i="3"/>
  <c r="L253" i="3"/>
  <c r="P253" i="3" s="1"/>
  <c r="K253" i="3"/>
  <c r="O253" i="3" s="1"/>
  <c r="O252" i="3"/>
  <c r="M252" i="3"/>
  <c r="Q252" i="3" s="1"/>
  <c r="L252" i="3"/>
  <c r="P252" i="3" s="1"/>
  <c r="K252" i="3"/>
  <c r="Q251" i="3"/>
  <c r="P251" i="3"/>
  <c r="O251" i="3"/>
  <c r="M251" i="3"/>
  <c r="L251" i="3"/>
  <c r="K251" i="3"/>
  <c r="P250" i="3"/>
  <c r="M250" i="3"/>
  <c r="Q250" i="3" s="1"/>
  <c r="L250" i="3"/>
  <c r="K250" i="3"/>
  <c r="O250" i="3" s="1"/>
  <c r="Q249" i="3"/>
  <c r="P249" i="3"/>
  <c r="O249" i="3"/>
  <c r="M249" i="3"/>
  <c r="L249" i="3"/>
  <c r="K249" i="3"/>
  <c r="M248" i="3"/>
  <c r="Q248" i="3" s="1"/>
  <c r="L248" i="3"/>
  <c r="P248" i="3" s="1"/>
  <c r="K248" i="3"/>
  <c r="O248" i="3" s="1"/>
  <c r="Q247" i="3"/>
  <c r="P247" i="3"/>
  <c r="O247" i="3"/>
  <c r="M247" i="3"/>
  <c r="L247" i="3"/>
  <c r="K247" i="3"/>
  <c r="P246" i="3"/>
  <c r="M246" i="3"/>
  <c r="Q246" i="3" s="1"/>
  <c r="L246" i="3"/>
  <c r="K246" i="3"/>
  <c r="O246" i="3" s="1"/>
  <c r="Q245" i="3"/>
  <c r="O245" i="3"/>
  <c r="M245" i="3"/>
  <c r="L245" i="3"/>
  <c r="P245" i="3" s="1"/>
  <c r="K245" i="3"/>
  <c r="O244" i="3"/>
  <c r="M244" i="3"/>
  <c r="Q244" i="3" s="1"/>
  <c r="L244" i="3"/>
  <c r="P244" i="3" s="1"/>
  <c r="K244" i="3"/>
  <c r="Q243" i="3"/>
  <c r="O243" i="3"/>
  <c r="M243" i="3"/>
  <c r="L243" i="3"/>
  <c r="P243" i="3" s="1"/>
  <c r="K243" i="3"/>
  <c r="P242" i="3"/>
  <c r="M242" i="3"/>
  <c r="Q242" i="3" s="1"/>
  <c r="L242" i="3"/>
  <c r="K242" i="3"/>
  <c r="O242" i="3" s="1"/>
  <c r="Q241" i="3"/>
  <c r="M241" i="3"/>
  <c r="L241" i="3"/>
  <c r="P241" i="3" s="1"/>
  <c r="K241" i="3"/>
  <c r="O241" i="3" s="1"/>
  <c r="P240" i="3"/>
  <c r="O240" i="3"/>
  <c r="M240" i="3"/>
  <c r="Q240" i="3" s="1"/>
  <c r="L240" i="3"/>
  <c r="K240" i="3"/>
  <c r="Q239" i="3"/>
  <c r="O239" i="3"/>
  <c r="M239" i="3"/>
  <c r="L239" i="3"/>
  <c r="P239" i="3" s="1"/>
  <c r="K239" i="3"/>
  <c r="P238" i="3"/>
  <c r="O238" i="3"/>
  <c r="M238" i="3"/>
  <c r="Q238" i="3" s="1"/>
  <c r="L238" i="3"/>
  <c r="K238" i="3"/>
  <c r="Q237" i="3"/>
  <c r="P237" i="3"/>
  <c r="M237" i="3"/>
  <c r="L237" i="3"/>
  <c r="K237" i="3"/>
  <c r="O237" i="3" s="1"/>
  <c r="O236" i="3"/>
  <c r="M236" i="3"/>
  <c r="Q236" i="3" s="1"/>
  <c r="L236" i="3"/>
  <c r="P236" i="3" s="1"/>
  <c r="K236" i="3"/>
  <c r="Q235" i="3"/>
  <c r="O235" i="3"/>
  <c r="M235" i="3"/>
  <c r="L235" i="3"/>
  <c r="P235" i="3" s="1"/>
  <c r="K235" i="3"/>
  <c r="P234" i="3"/>
  <c r="O234" i="3"/>
  <c r="M234" i="3"/>
  <c r="Q234" i="3" s="1"/>
  <c r="L234" i="3"/>
  <c r="K234" i="3"/>
  <c r="Q233" i="3"/>
  <c r="M233" i="3"/>
  <c r="L233" i="3"/>
  <c r="P233" i="3" s="1"/>
  <c r="K233" i="3"/>
  <c r="O233" i="3" s="1"/>
  <c r="M232" i="3"/>
  <c r="Q232" i="3" s="1"/>
  <c r="L232" i="3"/>
  <c r="P232" i="3" s="1"/>
  <c r="K232" i="3"/>
  <c r="O232" i="3" s="1"/>
  <c r="Q231" i="3"/>
  <c r="O231" i="3"/>
  <c r="M231" i="3"/>
  <c r="L231" i="3"/>
  <c r="P231" i="3" s="1"/>
  <c r="K231" i="3"/>
  <c r="P230" i="3"/>
  <c r="M230" i="3"/>
  <c r="Q230" i="3" s="1"/>
  <c r="L230" i="3"/>
  <c r="K230" i="3"/>
  <c r="O230" i="3" s="1"/>
  <c r="Q229" i="3"/>
  <c r="M229" i="3"/>
  <c r="L229" i="3"/>
  <c r="P229" i="3" s="1"/>
  <c r="K229" i="3"/>
  <c r="O229" i="3" s="1"/>
  <c r="P228" i="3"/>
  <c r="O228" i="3"/>
  <c r="M228" i="3"/>
  <c r="Q228" i="3" s="1"/>
  <c r="L228" i="3"/>
  <c r="K228" i="3"/>
  <c r="Q227" i="3"/>
  <c r="M227" i="3"/>
  <c r="L227" i="3"/>
  <c r="P227" i="3" s="1"/>
  <c r="K227" i="3"/>
  <c r="O227" i="3" s="1"/>
  <c r="O226" i="3"/>
  <c r="M226" i="3"/>
  <c r="Q226" i="3" s="1"/>
  <c r="L226" i="3"/>
  <c r="P226" i="3" s="1"/>
  <c r="K226" i="3"/>
  <c r="Q225" i="3"/>
  <c r="P225" i="3"/>
  <c r="M225" i="3"/>
  <c r="L225" i="3"/>
  <c r="K225" i="3"/>
  <c r="O225" i="3" s="1"/>
  <c r="P224" i="3"/>
  <c r="M224" i="3"/>
  <c r="Q224" i="3" s="1"/>
  <c r="L224" i="3"/>
  <c r="K224" i="3"/>
  <c r="O224" i="3" s="1"/>
  <c r="Q223" i="3"/>
  <c r="O223" i="3"/>
  <c r="M223" i="3"/>
  <c r="L223" i="3"/>
  <c r="P223" i="3" s="1"/>
  <c r="K223" i="3"/>
  <c r="P222" i="3"/>
  <c r="O222" i="3"/>
  <c r="M222" i="3"/>
  <c r="Q222" i="3" s="1"/>
  <c r="L222" i="3"/>
  <c r="K222" i="3"/>
  <c r="Q221" i="3"/>
  <c r="P221" i="3"/>
  <c r="M221" i="3"/>
  <c r="L221" i="3"/>
  <c r="K221" i="3"/>
  <c r="O221" i="3" s="1"/>
  <c r="M220" i="3"/>
  <c r="Q220" i="3" s="1"/>
  <c r="L220" i="3"/>
  <c r="P220" i="3" s="1"/>
  <c r="K220" i="3"/>
  <c r="O220" i="3" s="1"/>
  <c r="Q219" i="3"/>
  <c r="P219" i="3"/>
  <c r="O219" i="3"/>
  <c r="M219" i="3"/>
  <c r="L219" i="3"/>
  <c r="K219" i="3"/>
  <c r="P218" i="3"/>
  <c r="M218" i="3"/>
  <c r="Q218" i="3" s="1"/>
  <c r="L218" i="3"/>
  <c r="K218" i="3"/>
  <c r="Q217" i="3"/>
  <c r="M217" i="3"/>
  <c r="L217" i="3"/>
  <c r="P217" i="3" s="1"/>
  <c r="K217" i="3"/>
  <c r="O217" i="3" s="1"/>
  <c r="O216" i="3"/>
  <c r="M216" i="3"/>
  <c r="Q216" i="3" s="1"/>
  <c r="L216" i="3"/>
  <c r="P216" i="3" s="1"/>
  <c r="K216" i="3"/>
  <c r="Q215" i="3"/>
  <c r="P215" i="3"/>
  <c r="O215" i="3"/>
  <c r="M215" i="3"/>
  <c r="L215" i="3"/>
  <c r="K215" i="3"/>
  <c r="P214" i="3"/>
  <c r="M214" i="3"/>
  <c r="Q214" i="3" s="1"/>
  <c r="L214" i="3"/>
  <c r="K214" i="3"/>
  <c r="O214" i="3" s="1"/>
  <c r="Q213" i="3"/>
  <c r="O213" i="3"/>
  <c r="M213" i="3"/>
  <c r="L213" i="3"/>
  <c r="P213" i="3" s="1"/>
  <c r="K213" i="3"/>
  <c r="O212" i="3"/>
  <c r="M212" i="3"/>
  <c r="Q212" i="3" s="1"/>
  <c r="L212" i="3"/>
  <c r="P212" i="3" s="1"/>
  <c r="K212" i="3"/>
  <c r="Q211" i="3"/>
  <c r="P211" i="3"/>
  <c r="M211" i="3"/>
  <c r="L211" i="3"/>
  <c r="K211" i="3"/>
  <c r="O211" i="3" s="1"/>
  <c r="P210" i="3"/>
  <c r="O210" i="3"/>
  <c r="M210" i="3"/>
  <c r="Q210" i="3" s="1"/>
  <c r="L210" i="3"/>
  <c r="K210" i="3"/>
  <c r="Q209" i="3"/>
  <c r="O209" i="3"/>
  <c r="M209" i="3"/>
  <c r="L209" i="3"/>
  <c r="P209" i="3" s="1"/>
  <c r="K209" i="3"/>
  <c r="P208" i="3"/>
  <c r="O208" i="3"/>
  <c r="M208" i="3"/>
  <c r="Q208" i="3" s="1"/>
  <c r="L208" i="3"/>
  <c r="K208" i="3"/>
  <c r="Q207" i="3"/>
  <c r="M207" i="3"/>
  <c r="L207" i="3"/>
  <c r="P207" i="3" s="1"/>
  <c r="K207" i="3"/>
  <c r="O207" i="3" s="1"/>
  <c r="P206" i="3"/>
  <c r="M206" i="3"/>
  <c r="Q206" i="3" s="1"/>
  <c r="L206" i="3"/>
  <c r="K206" i="3"/>
  <c r="O206" i="3" s="1"/>
  <c r="Q205" i="3"/>
  <c r="M205" i="3"/>
  <c r="L205" i="3"/>
  <c r="P205" i="3" s="1"/>
  <c r="K205" i="3"/>
  <c r="O205" i="3" s="1"/>
  <c r="O204" i="3"/>
  <c r="O186" i="4" s="1"/>
  <c r="M204" i="3"/>
  <c r="Q204" i="3" s="1"/>
  <c r="L204" i="3"/>
  <c r="P204" i="3" s="1"/>
  <c r="K204" i="3"/>
  <c r="Q203" i="3"/>
  <c r="O203" i="3"/>
  <c r="M203" i="3"/>
  <c r="L203" i="3"/>
  <c r="P203" i="3" s="1"/>
  <c r="K203" i="3"/>
  <c r="M202" i="3"/>
  <c r="Q202" i="3" s="1"/>
  <c r="L202" i="3"/>
  <c r="P202" i="3" s="1"/>
  <c r="K202" i="3"/>
  <c r="O202" i="3" s="1"/>
  <c r="Q201" i="3"/>
  <c r="P201" i="3"/>
  <c r="O201" i="3"/>
  <c r="M201" i="3"/>
  <c r="L201" i="3"/>
  <c r="K201" i="3"/>
  <c r="M200" i="3"/>
  <c r="Q200" i="3" s="1"/>
  <c r="L200" i="3"/>
  <c r="P200" i="3" s="1"/>
  <c r="K200" i="3"/>
  <c r="O200" i="3" s="1"/>
  <c r="Q199" i="3"/>
  <c r="O199" i="3"/>
  <c r="M199" i="3"/>
  <c r="L199" i="3"/>
  <c r="P199" i="3" s="1"/>
  <c r="K199" i="3"/>
  <c r="P198" i="3"/>
  <c r="O198" i="3"/>
  <c r="M198" i="3"/>
  <c r="Q198" i="3" s="1"/>
  <c r="L198" i="3"/>
  <c r="K198" i="3"/>
  <c r="Q197" i="3"/>
  <c r="M197" i="3"/>
  <c r="L197" i="3"/>
  <c r="P197" i="3" s="1"/>
  <c r="K197" i="3"/>
  <c r="O197" i="3" s="1"/>
  <c r="M196" i="3"/>
  <c r="Q196" i="3" s="1"/>
  <c r="L196" i="3"/>
  <c r="P196" i="3" s="1"/>
  <c r="K196" i="3"/>
  <c r="O196" i="3" s="1"/>
  <c r="Q195" i="3"/>
  <c r="O195" i="3"/>
  <c r="M195" i="3"/>
  <c r="L195" i="3"/>
  <c r="P195" i="3" s="1"/>
  <c r="K195" i="3"/>
  <c r="P194" i="3"/>
  <c r="M194" i="3"/>
  <c r="Q194" i="3" s="1"/>
  <c r="L194" i="3"/>
  <c r="K194" i="3"/>
  <c r="O194" i="3" s="1"/>
  <c r="Q193" i="3"/>
  <c r="O193" i="3"/>
  <c r="M193" i="3"/>
  <c r="L193" i="3"/>
  <c r="P193" i="3" s="1"/>
  <c r="K193" i="3"/>
  <c r="O192" i="3"/>
  <c r="DH192" i="4" s="1"/>
  <c r="M192" i="3"/>
  <c r="Q192" i="3" s="1"/>
  <c r="L192" i="3"/>
  <c r="DE192" i="4" s="1"/>
  <c r="K192" i="3"/>
  <c r="Q191" i="3"/>
  <c r="P191" i="3"/>
  <c r="M191" i="3"/>
  <c r="L191" i="3"/>
  <c r="K191" i="3"/>
  <c r="O191" i="3" s="1"/>
  <c r="P190" i="3"/>
  <c r="M190" i="3"/>
  <c r="Q190" i="3" s="1"/>
  <c r="L190" i="3"/>
  <c r="K190" i="3"/>
  <c r="O190" i="3" s="1"/>
  <c r="Q189" i="3"/>
  <c r="M189" i="3"/>
  <c r="L189" i="3"/>
  <c r="P189" i="3" s="1"/>
  <c r="K189" i="3"/>
  <c r="O189" i="3" s="1"/>
  <c r="P188" i="3"/>
  <c r="O188" i="3"/>
  <c r="M188" i="3"/>
  <c r="Q188" i="3" s="1"/>
  <c r="L188" i="3"/>
  <c r="K188" i="3"/>
  <c r="Q187" i="3"/>
  <c r="M187" i="3"/>
  <c r="L187" i="3"/>
  <c r="P187" i="3" s="1"/>
  <c r="K187" i="3"/>
  <c r="O187" i="3" s="1"/>
  <c r="O186" i="3"/>
  <c r="M186" i="3"/>
  <c r="Q186" i="3" s="1"/>
  <c r="L186" i="3"/>
  <c r="P186" i="3" s="1"/>
  <c r="K186" i="3"/>
  <c r="Q185" i="3"/>
  <c r="M185" i="3"/>
  <c r="L185" i="3"/>
  <c r="P185" i="3" s="1"/>
  <c r="K185" i="3"/>
  <c r="O185" i="3" s="1"/>
  <c r="P184" i="3"/>
  <c r="O184" i="3"/>
  <c r="M184" i="3"/>
  <c r="Q184" i="3" s="1"/>
  <c r="L184" i="3"/>
  <c r="K184" i="3"/>
  <c r="Q183" i="3"/>
  <c r="M183" i="3"/>
  <c r="L183" i="3"/>
  <c r="P183" i="3" s="1"/>
  <c r="K183" i="3"/>
  <c r="O183" i="3" s="1"/>
  <c r="M182" i="3"/>
  <c r="Q182" i="3" s="1"/>
  <c r="L182" i="3"/>
  <c r="P182" i="3" s="1"/>
  <c r="K182" i="3"/>
  <c r="O182" i="3" s="1"/>
  <c r="Q181" i="3"/>
  <c r="M181" i="3"/>
  <c r="L181" i="3"/>
  <c r="P181" i="3" s="1"/>
  <c r="K181" i="3"/>
  <c r="O181" i="3" s="1"/>
  <c r="O180" i="3"/>
  <c r="M180" i="3"/>
  <c r="Q180" i="3" s="1"/>
  <c r="L180" i="3"/>
  <c r="P180" i="3" s="1"/>
  <c r="K180" i="3"/>
  <c r="Q179" i="3"/>
  <c r="P179" i="3"/>
  <c r="O179" i="3"/>
  <c r="M179" i="3"/>
  <c r="L179" i="3"/>
  <c r="K179" i="3"/>
  <c r="P178" i="3"/>
  <c r="M178" i="3"/>
  <c r="Q178" i="3" s="1"/>
  <c r="L178" i="3"/>
  <c r="K178" i="3"/>
  <c r="O178" i="3" s="1"/>
  <c r="Q177" i="3"/>
  <c r="P177" i="3"/>
  <c r="O177" i="3"/>
  <c r="M177" i="3"/>
  <c r="L177" i="3"/>
  <c r="K177" i="3"/>
  <c r="M176" i="3"/>
  <c r="Q176" i="3" s="1"/>
  <c r="L176" i="3"/>
  <c r="P176" i="3" s="1"/>
  <c r="K176" i="3"/>
  <c r="O176" i="3" s="1"/>
  <c r="Q175" i="3"/>
  <c r="P175" i="3"/>
  <c r="O175" i="3"/>
  <c r="M175" i="3"/>
  <c r="L175" i="3"/>
  <c r="K175" i="3"/>
  <c r="P174" i="3"/>
  <c r="M174" i="3"/>
  <c r="Q174" i="3" s="1"/>
  <c r="L174" i="3"/>
  <c r="K174" i="3"/>
  <c r="O174" i="3" s="1"/>
  <c r="Q173" i="3"/>
  <c r="O173" i="3"/>
  <c r="M173" i="3"/>
  <c r="L173" i="3"/>
  <c r="P173" i="3" s="1"/>
  <c r="K173" i="3"/>
  <c r="O172" i="3"/>
  <c r="M172" i="3"/>
  <c r="Q172" i="3" s="1"/>
  <c r="L172" i="3"/>
  <c r="P172" i="3" s="1"/>
  <c r="K172" i="3"/>
  <c r="Q171" i="3"/>
  <c r="O171" i="3"/>
  <c r="M171" i="3"/>
  <c r="L171" i="3"/>
  <c r="P171" i="3" s="1"/>
  <c r="K171" i="3"/>
  <c r="P170" i="3"/>
  <c r="M170" i="3"/>
  <c r="Q170" i="3" s="1"/>
  <c r="L170" i="3"/>
  <c r="K170" i="3"/>
  <c r="O170" i="3" s="1"/>
  <c r="Q169" i="3"/>
  <c r="M169" i="3"/>
  <c r="L169" i="3"/>
  <c r="P169" i="3" s="1"/>
  <c r="K169" i="3"/>
  <c r="O169" i="3" s="1"/>
  <c r="M168" i="3"/>
  <c r="Q168" i="3" s="1"/>
  <c r="L168" i="3"/>
  <c r="P168" i="3" s="1"/>
  <c r="K168" i="3"/>
  <c r="O168" i="3" s="1"/>
  <c r="Q167" i="3"/>
  <c r="O167" i="3"/>
  <c r="M167" i="3"/>
  <c r="L167" i="3"/>
  <c r="P167" i="3" s="1"/>
  <c r="K167" i="3"/>
  <c r="P166" i="3"/>
  <c r="M166" i="3"/>
  <c r="Q166" i="3" s="1"/>
  <c r="L166" i="3"/>
  <c r="K166" i="3"/>
  <c r="O166" i="3" s="1"/>
  <c r="Q165" i="3"/>
  <c r="P165" i="3"/>
  <c r="O165" i="3"/>
  <c r="M165" i="3"/>
  <c r="L165" i="3"/>
  <c r="K165" i="3"/>
  <c r="P164" i="3"/>
  <c r="O164" i="3"/>
  <c r="M164" i="3"/>
  <c r="Q164" i="3" s="1"/>
  <c r="L164" i="3"/>
  <c r="K164" i="3"/>
  <c r="Q163" i="3"/>
  <c r="P163" i="3"/>
  <c r="O163" i="3"/>
  <c r="M163" i="3"/>
  <c r="L163" i="3"/>
  <c r="K163" i="3"/>
  <c r="P162" i="3"/>
  <c r="O162" i="3"/>
  <c r="M162" i="3"/>
  <c r="Q162" i="3" s="1"/>
  <c r="L162" i="3"/>
  <c r="K162" i="3"/>
  <c r="Q161" i="3"/>
  <c r="M161" i="3"/>
  <c r="L161" i="3"/>
  <c r="P161" i="3" s="1"/>
  <c r="K161" i="3"/>
  <c r="O161" i="3" s="1"/>
  <c r="M160" i="3"/>
  <c r="Q160" i="3" s="1"/>
  <c r="L160" i="3"/>
  <c r="P160" i="3" s="1"/>
  <c r="K160" i="3"/>
  <c r="O160" i="3" s="1"/>
  <c r="Q159" i="3"/>
  <c r="O159" i="3"/>
  <c r="M159" i="3"/>
  <c r="L159" i="3"/>
  <c r="P159" i="3" s="1"/>
  <c r="K159" i="3"/>
  <c r="P158" i="3"/>
  <c r="O158" i="3"/>
  <c r="M158" i="3"/>
  <c r="Q158" i="3" s="1"/>
  <c r="L158" i="3"/>
  <c r="K158" i="3"/>
  <c r="Q157" i="3"/>
  <c r="P157" i="3"/>
  <c r="M157" i="3"/>
  <c r="L157" i="3"/>
  <c r="K157" i="3"/>
  <c r="O157" i="3" s="1"/>
  <c r="P156" i="3"/>
  <c r="O156" i="3"/>
  <c r="M156" i="3"/>
  <c r="Q156" i="3" s="1"/>
  <c r="L156" i="3"/>
  <c r="K156" i="3"/>
  <c r="Q155" i="3"/>
  <c r="P155" i="3"/>
  <c r="O155" i="3"/>
  <c r="M155" i="3"/>
  <c r="L155" i="3"/>
  <c r="K155" i="3"/>
  <c r="O154" i="3"/>
  <c r="M154" i="3"/>
  <c r="Q154" i="3" s="1"/>
  <c r="L154" i="3"/>
  <c r="P154" i="3" s="1"/>
  <c r="K154" i="3"/>
  <c r="Q153" i="3"/>
  <c r="P153" i="3"/>
  <c r="M153" i="3"/>
  <c r="L153" i="3"/>
  <c r="K153" i="3"/>
  <c r="O153" i="3" s="1"/>
  <c r="P152" i="3"/>
  <c r="M152" i="3"/>
  <c r="Q152" i="3" s="1"/>
  <c r="L152" i="3"/>
  <c r="K152" i="3"/>
  <c r="O152" i="3" s="1"/>
  <c r="Q151" i="3"/>
  <c r="O151" i="3"/>
  <c r="M151" i="3"/>
  <c r="L151" i="3"/>
  <c r="P151" i="3" s="1"/>
  <c r="K151" i="3"/>
  <c r="P150" i="3"/>
  <c r="O150" i="3"/>
  <c r="M150" i="3"/>
  <c r="Q150" i="3" s="1"/>
  <c r="L150" i="3"/>
  <c r="K150" i="3"/>
  <c r="Q149" i="3"/>
  <c r="P149" i="3"/>
  <c r="M149" i="3"/>
  <c r="L149" i="3"/>
  <c r="K149" i="3"/>
  <c r="O149" i="3" s="1"/>
  <c r="O148" i="3"/>
  <c r="M148" i="3"/>
  <c r="Q148" i="3" s="1"/>
  <c r="L148" i="3"/>
  <c r="P148" i="3" s="1"/>
  <c r="K148" i="3"/>
  <c r="I33" i="2"/>
  <c r="L31" i="2"/>
  <c r="M31" i="2" s="1"/>
  <c r="K31" i="2"/>
  <c r="L29" i="2"/>
  <c r="M29" i="2" s="1"/>
  <c r="K29" i="2"/>
  <c r="L27" i="2"/>
  <c r="M27" i="2" s="1"/>
  <c r="K27" i="2"/>
  <c r="M25" i="2"/>
  <c r="L25" i="2"/>
  <c r="K25" i="2"/>
  <c r="M23" i="2"/>
  <c r="L23" i="2"/>
  <c r="K23" i="2"/>
  <c r="M21" i="2"/>
  <c r="L21" i="2"/>
  <c r="K21" i="2"/>
  <c r="K19" i="2"/>
  <c r="L19" i="2" s="1"/>
  <c r="M19" i="2" s="1"/>
  <c r="K17" i="2"/>
  <c r="L17" i="2" s="1"/>
  <c r="M17" i="2" s="1"/>
  <c r="L15" i="2"/>
  <c r="M15" i="2" s="1"/>
  <c r="K15" i="2"/>
  <c r="M13" i="2"/>
  <c r="L13" i="2"/>
  <c r="K13" i="2"/>
  <c r="L11" i="2"/>
  <c r="M11" i="2" s="1"/>
  <c r="K11" i="2"/>
  <c r="L9" i="2"/>
  <c r="M9" i="2" s="1"/>
  <c r="K9" i="2"/>
  <c r="M7" i="2"/>
  <c r="L7" i="2"/>
  <c r="K7" i="2"/>
  <c r="L5" i="2"/>
  <c r="M5" i="2" s="1"/>
  <c r="K5" i="2"/>
  <c r="Z2236" i="1"/>
  <c r="W2236" i="1"/>
  <c r="T2236" i="1"/>
  <c r="M2236" i="1"/>
  <c r="N2236" i="1" s="1"/>
  <c r="L2236" i="1"/>
  <c r="K2236" i="1"/>
  <c r="Z2235" i="1"/>
  <c r="W2235" i="1"/>
  <c r="T2235" i="1"/>
  <c r="N2235" i="1"/>
  <c r="M2235" i="1"/>
  <c r="L2235" i="1"/>
  <c r="K2235" i="1"/>
  <c r="Z2234" i="1"/>
  <c r="W2234" i="1"/>
  <c r="T2234" i="1"/>
  <c r="N2234" i="1"/>
  <c r="M2234" i="1"/>
  <c r="L2234" i="1"/>
  <c r="K2234" i="1"/>
  <c r="Z2233" i="1"/>
  <c r="W2233" i="1"/>
  <c r="T2233" i="1"/>
  <c r="M2233" i="1"/>
  <c r="N2233" i="1" s="1"/>
  <c r="K2233" i="1"/>
  <c r="L2233" i="1" s="1"/>
  <c r="Z2232" i="1"/>
  <c r="W2232" i="1"/>
  <c r="T2232" i="1"/>
  <c r="N2232" i="1"/>
  <c r="M2232" i="1"/>
  <c r="L2232" i="1"/>
  <c r="K2232" i="1"/>
  <c r="Z2231" i="1"/>
  <c r="W2231" i="1"/>
  <c r="T2231" i="1"/>
  <c r="M2231" i="1"/>
  <c r="N2231" i="1" s="1"/>
  <c r="K2231" i="1"/>
  <c r="L2231" i="1" s="1"/>
  <c r="Z2230" i="1"/>
  <c r="W2230" i="1"/>
  <c r="T2230" i="1"/>
  <c r="N2230" i="1"/>
  <c r="M2230" i="1"/>
  <c r="K2230" i="1"/>
  <c r="L2230" i="1" s="1"/>
  <c r="Z2229" i="1"/>
  <c r="W2229" i="1"/>
  <c r="T2229" i="1"/>
  <c r="N2229" i="1"/>
  <c r="M2229" i="1"/>
  <c r="K2229" i="1"/>
  <c r="L2229" i="1" s="1"/>
  <c r="Z2228" i="1"/>
  <c r="W2228" i="1"/>
  <c r="T2228" i="1"/>
  <c r="N2228" i="1"/>
  <c r="M2228" i="1"/>
  <c r="L2228" i="1"/>
  <c r="K2228" i="1"/>
  <c r="Z2227" i="1"/>
  <c r="W2227" i="1"/>
  <c r="T2227" i="1"/>
  <c r="N2227" i="1"/>
  <c r="M2227" i="1"/>
  <c r="L2227" i="1"/>
  <c r="K2227" i="1"/>
  <c r="Z2226" i="1"/>
  <c r="W2226" i="1"/>
  <c r="T2226" i="1"/>
  <c r="M2226" i="1"/>
  <c r="N2226" i="1" s="1"/>
  <c r="K2226" i="1"/>
  <c r="L2226" i="1" s="1"/>
  <c r="Z2225" i="1"/>
  <c r="W2225" i="1"/>
  <c r="T2225" i="1"/>
  <c r="M2225" i="1"/>
  <c r="N2225" i="1" s="1"/>
  <c r="L2225" i="1"/>
  <c r="K2225" i="1"/>
  <c r="Z2224" i="1"/>
  <c r="W2224" i="1"/>
  <c r="T2224" i="1"/>
  <c r="N2224" i="1"/>
  <c r="M2224" i="1"/>
  <c r="K2224" i="1"/>
  <c r="L2224" i="1" s="1"/>
  <c r="Z2223" i="1"/>
  <c r="W2223" i="1"/>
  <c r="T2223" i="1"/>
  <c r="N2223" i="1"/>
  <c r="M2223" i="1"/>
  <c r="L2223" i="1"/>
  <c r="K2223" i="1"/>
  <c r="Z2222" i="1"/>
  <c r="W2222" i="1"/>
  <c r="T2222" i="1"/>
  <c r="M2222" i="1"/>
  <c r="N2222" i="1" s="1"/>
  <c r="L2222" i="1"/>
  <c r="K2222" i="1"/>
  <c r="Z2221" i="1"/>
  <c r="W2221" i="1"/>
  <c r="T2221" i="1"/>
  <c r="N2221" i="1"/>
  <c r="M2221" i="1"/>
  <c r="K2221" i="1"/>
  <c r="L2221" i="1" s="1"/>
  <c r="Z2220" i="1"/>
  <c r="W2220" i="1"/>
  <c r="T2220" i="1"/>
  <c r="N2220" i="1"/>
  <c r="M2220" i="1"/>
  <c r="L2220" i="1"/>
  <c r="K2220" i="1"/>
  <c r="Z2219" i="1"/>
  <c r="W2219" i="1"/>
  <c r="T2219" i="1"/>
  <c r="M2219" i="1"/>
  <c r="N2219" i="1" s="1"/>
  <c r="L2219" i="1"/>
  <c r="K2219" i="1"/>
  <c r="Z2218" i="1"/>
  <c r="W2218" i="1"/>
  <c r="T2218" i="1"/>
  <c r="M2218" i="1"/>
  <c r="N2218" i="1" s="1"/>
  <c r="K2218" i="1"/>
  <c r="L2218" i="1" s="1"/>
  <c r="Z2217" i="1"/>
  <c r="W2217" i="1"/>
  <c r="T2217" i="1"/>
  <c r="M2217" i="1"/>
  <c r="N2217" i="1" s="1"/>
  <c r="L2217" i="1"/>
  <c r="K2217" i="1"/>
  <c r="Z2216" i="1"/>
  <c r="W2216" i="1"/>
  <c r="T2216" i="1"/>
  <c r="M2216" i="1"/>
  <c r="N2216" i="1" s="1"/>
  <c r="L2216" i="1"/>
  <c r="K2216" i="1"/>
  <c r="Z2215" i="1"/>
  <c r="W2215" i="1"/>
  <c r="T2215" i="1"/>
  <c r="N2215" i="1"/>
  <c r="M2215" i="1"/>
  <c r="K2215" i="1"/>
  <c r="L2215" i="1" s="1"/>
  <c r="Z2214" i="1"/>
  <c r="W2214" i="1"/>
  <c r="T2214" i="1"/>
  <c r="M2214" i="1"/>
  <c r="N2214" i="1" s="1"/>
  <c r="L2214" i="1"/>
  <c r="K2214" i="1"/>
  <c r="Z2213" i="1"/>
  <c r="W2213" i="1"/>
  <c r="T2213" i="1"/>
  <c r="M2213" i="1"/>
  <c r="N2213" i="1" s="1"/>
  <c r="L2213" i="1"/>
  <c r="K2213" i="1"/>
  <c r="Z2212" i="1"/>
  <c r="W2212" i="1"/>
  <c r="T2212" i="1"/>
  <c r="N2212" i="1"/>
  <c r="M2212" i="1"/>
  <c r="L2212" i="1"/>
  <c r="K2212" i="1"/>
  <c r="Z2211" i="1"/>
  <c r="W2211" i="1"/>
  <c r="T2211" i="1"/>
  <c r="N2211" i="1"/>
  <c r="M2211" i="1"/>
  <c r="K2211" i="1"/>
  <c r="L2211" i="1" s="1"/>
  <c r="Z2210" i="1"/>
  <c r="W2210" i="1"/>
  <c r="T2210" i="1"/>
  <c r="N2210" i="1"/>
  <c r="M2210" i="1"/>
  <c r="L2210" i="1"/>
  <c r="K2210" i="1"/>
  <c r="Z2209" i="1"/>
  <c r="W2209" i="1"/>
  <c r="T2209" i="1"/>
  <c r="M2209" i="1"/>
  <c r="N2209" i="1" s="1"/>
  <c r="K2209" i="1"/>
  <c r="L2209" i="1" s="1"/>
  <c r="Z2208" i="1"/>
  <c r="W2208" i="1"/>
  <c r="T2208" i="1"/>
  <c r="N2208" i="1"/>
  <c r="M2208" i="1"/>
  <c r="L2208" i="1"/>
  <c r="K2208" i="1"/>
  <c r="Z2207" i="1"/>
  <c r="W2207" i="1"/>
  <c r="T2207" i="1"/>
  <c r="M2207" i="1"/>
  <c r="N2207" i="1" s="1"/>
  <c r="K2207" i="1"/>
  <c r="L2207" i="1" s="1"/>
  <c r="Z2206" i="1"/>
  <c r="W2206" i="1"/>
  <c r="T2206" i="1"/>
  <c r="N2206" i="1"/>
  <c r="M2206" i="1"/>
  <c r="K2206" i="1"/>
  <c r="L2206" i="1" s="1"/>
  <c r="Z2205" i="1"/>
  <c r="W2205" i="1"/>
  <c r="T2205" i="1"/>
  <c r="N2205" i="1"/>
  <c r="M2205" i="1"/>
  <c r="L2205" i="1"/>
  <c r="K2205" i="1"/>
  <c r="Z2204" i="1"/>
  <c r="W2204" i="1"/>
  <c r="T2204" i="1"/>
  <c r="M2204" i="1"/>
  <c r="N2204" i="1" s="1"/>
  <c r="L2204" i="1"/>
  <c r="K2204" i="1"/>
  <c r="Z2203" i="1"/>
  <c r="W2203" i="1"/>
  <c r="T2203" i="1"/>
  <c r="M2203" i="1"/>
  <c r="N2203" i="1" s="1"/>
  <c r="K2203" i="1"/>
  <c r="L2203" i="1" s="1"/>
  <c r="Z2202" i="1"/>
  <c r="W2202" i="1"/>
  <c r="T2202" i="1"/>
  <c r="M2202" i="1"/>
  <c r="N2202" i="1" s="1"/>
  <c r="L2202" i="1"/>
  <c r="K2202" i="1"/>
  <c r="Z2201" i="1"/>
  <c r="W2201" i="1"/>
  <c r="T2201" i="1"/>
  <c r="N2201" i="1"/>
  <c r="M2201" i="1"/>
  <c r="L2201" i="1"/>
  <c r="K2201" i="1"/>
  <c r="Z2200" i="1"/>
  <c r="W2200" i="1"/>
  <c r="T2200" i="1"/>
  <c r="N2200" i="1"/>
  <c r="M2200" i="1"/>
  <c r="L2200" i="1"/>
  <c r="K2200" i="1"/>
  <c r="Z2199" i="1"/>
  <c r="W2199" i="1"/>
  <c r="T2199" i="1"/>
  <c r="N2199" i="1"/>
  <c r="M2199" i="1"/>
  <c r="L2199" i="1"/>
  <c r="K2199" i="1"/>
  <c r="Z2198" i="1"/>
  <c r="W2198" i="1"/>
  <c r="T2198" i="1"/>
  <c r="N2198" i="1"/>
  <c r="M2198" i="1"/>
  <c r="L2198" i="1"/>
  <c r="K2198" i="1"/>
  <c r="Z2197" i="1"/>
  <c r="W2197" i="1"/>
  <c r="T2197" i="1"/>
  <c r="N2197" i="1"/>
  <c r="M2197" i="1"/>
  <c r="L2197" i="1"/>
  <c r="K2197" i="1"/>
  <c r="Z2196" i="1"/>
  <c r="W2196" i="1"/>
  <c r="T2196" i="1"/>
  <c r="N2196" i="1"/>
  <c r="M2196" i="1"/>
  <c r="K2196" i="1"/>
  <c r="L2196" i="1" s="1"/>
  <c r="Z2195" i="1"/>
  <c r="W2195" i="1"/>
  <c r="T2195" i="1"/>
  <c r="M2195" i="1"/>
  <c r="N2195" i="1" s="1"/>
  <c r="L2195" i="1"/>
  <c r="K2195" i="1"/>
  <c r="Z2194" i="1"/>
  <c r="W2194" i="1"/>
  <c r="T2194" i="1"/>
  <c r="M2194" i="1"/>
  <c r="N2194" i="1" s="1"/>
  <c r="K2194" i="1"/>
  <c r="L2194" i="1" s="1"/>
  <c r="Z2193" i="1"/>
  <c r="W2193" i="1"/>
  <c r="T2193" i="1"/>
  <c r="M2193" i="1"/>
  <c r="N2193" i="1" s="1"/>
  <c r="L2193" i="1"/>
  <c r="K2193" i="1"/>
  <c r="Z2192" i="1"/>
  <c r="W2192" i="1"/>
  <c r="T2192" i="1"/>
  <c r="M2192" i="1"/>
  <c r="N2192" i="1" s="1"/>
  <c r="L2192" i="1"/>
  <c r="K2192" i="1"/>
  <c r="Z2191" i="1"/>
  <c r="W2191" i="1"/>
  <c r="T2191" i="1"/>
  <c r="N2191" i="1"/>
  <c r="M2191" i="1"/>
  <c r="K2191" i="1"/>
  <c r="L2191" i="1" s="1"/>
  <c r="Z2190" i="1"/>
  <c r="W2190" i="1"/>
  <c r="T2190" i="1"/>
  <c r="M2190" i="1"/>
  <c r="N2190" i="1" s="1"/>
  <c r="K2190" i="1"/>
  <c r="L2190" i="1" s="1"/>
  <c r="Z2189" i="1"/>
  <c r="W2189" i="1"/>
  <c r="T2189" i="1"/>
  <c r="M2189" i="1"/>
  <c r="N2189" i="1" s="1"/>
  <c r="L2189" i="1"/>
  <c r="K2189" i="1"/>
  <c r="Z2188" i="1"/>
  <c r="W2188" i="1"/>
  <c r="T2188" i="1"/>
  <c r="N2188" i="1"/>
  <c r="M2188" i="1"/>
  <c r="K2188" i="1"/>
  <c r="L2188" i="1" s="1"/>
  <c r="Z2187" i="1"/>
  <c r="W2187" i="1"/>
  <c r="T2187" i="1"/>
  <c r="N2187" i="1"/>
  <c r="M2187" i="1"/>
  <c r="L2187" i="1"/>
  <c r="K2187" i="1"/>
  <c r="Z2186" i="1"/>
  <c r="W2186" i="1"/>
  <c r="T2186" i="1"/>
  <c r="M2186" i="1"/>
  <c r="N2186" i="1" s="1"/>
  <c r="L2186" i="1"/>
  <c r="K2186" i="1"/>
  <c r="Z2185" i="1"/>
  <c r="W2185" i="1"/>
  <c r="T2185" i="1"/>
  <c r="N2185" i="1"/>
  <c r="M2185" i="1"/>
  <c r="K2185" i="1"/>
  <c r="L2185" i="1" s="1"/>
  <c r="Z2184" i="1"/>
  <c r="W2184" i="1"/>
  <c r="T2184" i="1"/>
  <c r="N2184" i="1"/>
  <c r="M2184" i="1"/>
  <c r="K2184" i="1"/>
  <c r="L2184" i="1" s="1"/>
  <c r="Z2183" i="1"/>
  <c r="W2183" i="1"/>
  <c r="T2183" i="1"/>
  <c r="M2183" i="1"/>
  <c r="N2183" i="1" s="1"/>
  <c r="K2183" i="1"/>
  <c r="L2183" i="1" s="1"/>
  <c r="Z2182" i="1"/>
  <c r="W2182" i="1"/>
  <c r="T2182" i="1"/>
  <c r="M2182" i="1"/>
  <c r="N2182" i="1" s="1"/>
  <c r="K2182" i="1"/>
  <c r="L2182" i="1" s="1"/>
  <c r="Z2181" i="1"/>
  <c r="W2181" i="1"/>
  <c r="T2181" i="1"/>
  <c r="N2181" i="1"/>
  <c r="M2181" i="1"/>
  <c r="L2181" i="1"/>
  <c r="K2181" i="1"/>
  <c r="Z2180" i="1"/>
  <c r="W2180" i="1"/>
  <c r="T2180" i="1"/>
  <c r="M2180" i="1"/>
  <c r="N2180" i="1" s="1"/>
  <c r="L2180" i="1"/>
  <c r="K2180" i="1"/>
  <c r="Z2179" i="1"/>
  <c r="W2179" i="1"/>
  <c r="T2179" i="1"/>
  <c r="M2179" i="1"/>
  <c r="N2179" i="1" s="1"/>
  <c r="K2179" i="1"/>
  <c r="L2179" i="1" s="1"/>
  <c r="Z2178" i="1"/>
  <c r="W2178" i="1"/>
  <c r="T2178" i="1"/>
  <c r="M2178" i="1"/>
  <c r="N2178" i="1" s="1"/>
  <c r="L2178" i="1"/>
  <c r="K2178" i="1"/>
  <c r="Z2177" i="1"/>
  <c r="W2177" i="1"/>
  <c r="T2177" i="1"/>
  <c r="M2177" i="1"/>
  <c r="N2177" i="1" s="1"/>
  <c r="L2177" i="1"/>
  <c r="K2177" i="1"/>
  <c r="Z2176" i="1"/>
  <c r="W2176" i="1"/>
  <c r="T2176" i="1"/>
  <c r="N2176" i="1"/>
  <c r="M2176" i="1"/>
  <c r="K2176" i="1"/>
  <c r="L2176" i="1" s="1"/>
  <c r="Z2175" i="1"/>
  <c r="W2175" i="1"/>
  <c r="T2175" i="1"/>
  <c r="N2175" i="1"/>
  <c r="M2175" i="1"/>
  <c r="K2175" i="1"/>
  <c r="L2175" i="1" s="1"/>
  <c r="Z2174" i="1"/>
  <c r="W2174" i="1"/>
  <c r="T2174" i="1"/>
  <c r="M2174" i="1"/>
  <c r="N2174" i="1" s="1"/>
  <c r="L2174" i="1"/>
  <c r="K2174" i="1"/>
  <c r="Z2173" i="1"/>
  <c r="W2173" i="1"/>
  <c r="T2173" i="1"/>
  <c r="N2173" i="1"/>
  <c r="M2173" i="1"/>
  <c r="K2173" i="1"/>
  <c r="L2173" i="1" s="1"/>
  <c r="Z2172" i="1"/>
  <c r="W2172" i="1"/>
  <c r="T2172" i="1"/>
  <c r="N2172" i="1"/>
  <c r="M2172" i="1"/>
  <c r="L2172" i="1"/>
  <c r="K2172" i="1"/>
  <c r="Z2171" i="1"/>
  <c r="W2171" i="1"/>
  <c r="T2171" i="1"/>
  <c r="M2171" i="1"/>
  <c r="N2171" i="1" s="1"/>
  <c r="L2171" i="1"/>
  <c r="K2171" i="1"/>
  <c r="Z2170" i="1"/>
  <c r="W2170" i="1"/>
  <c r="T2170" i="1"/>
  <c r="N2170" i="1"/>
  <c r="M2170" i="1"/>
  <c r="K2170" i="1"/>
  <c r="L2170" i="1" s="1"/>
  <c r="Z2169" i="1"/>
  <c r="W2169" i="1"/>
  <c r="T2169" i="1"/>
  <c r="N2169" i="1"/>
  <c r="M2169" i="1"/>
  <c r="K2169" i="1"/>
  <c r="L2169" i="1" s="1"/>
  <c r="Z2168" i="1"/>
  <c r="W2168" i="1"/>
  <c r="T2168" i="1"/>
  <c r="M2168" i="1"/>
  <c r="N2168" i="1" s="1"/>
  <c r="K2168" i="1"/>
  <c r="L2168" i="1" s="1"/>
  <c r="Z2167" i="1"/>
  <c r="W2167" i="1"/>
  <c r="T2167" i="1"/>
  <c r="N2167" i="1"/>
  <c r="M2167" i="1"/>
  <c r="K2167" i="1"/>
  <c r="L2167" i="1" s="1"/>
  <c r="Z2166" i="1"/>
  <c r="W2166" i="1"/>
  <c r="T2166" i="1"/>
  <c r="N2166" i="1"/>
  <c r="M2166" i="1"/>
  <c r="K2166" i="1"/>
  <c r="L2166" i="1" s="1"/>
  <c r="Z2165" i="1"/>
  <c r="W2165" i="1"/>
  <c r="T2165" i="1"/>
  <c r="M2165" i="1"/>
  <c r="N2165" i="1" s="1"/>
  <c r="L2165" i="1"/>
  <c r="K2165" i="1"/>
  <c r="Z2164" i="1"/>
  <c r="W2164" i="1"/>
  <c r="T2164" i="1"/>
  <c r="M2164" i="1"/>
  <c r="N2164" i="1" s="1"/>
  <c r="L2164" i="1"/>
  <c r="K2164" i="1"/>
  <c r="Z2163" i="1"/>
  <c r="W2163" i="1"/>
  <c r="T2163" i="1"/>
  <c r="N2163" i="1"/>
  <c r="M2163" i="1"/>
  <c r="K2163" i="1"/>
  <c r="L2163" i="1" s="1"/>
  <c r="Z2162" i="1"/>
  <c r="W2162" i="1"/>
  <c r="T2162" i="1"/>
  <c r="N2162" i="1"/>
  <c r="M2162" i="1"/>
  <c r="L2162" i="1"/>
  <c r="K2162" i="1"/>
  <c r="Z2161" i="1"/>
  <c r="W2161" i="1"/>
  <c r="T2161" i="1"/>
  <c r="M2161" i="1"/>
  <c r="N2161" i="1" s="1"/>
  <c r="L2161" i="1"/>
  <c r="K2161" i="1"/>
  <c r="Z2160" i="1"/>
  <c r="W2160" i="1"/>
  <c r="T2160" i="1"/>
  <c r="N2160" i="1"/>
  <c r="M2160" i="1"/>
  <c r="K2160" i="1"/>
  <c r="L2160" i="1" s="1"/>
  <c r="Z2159" i="1"/>
  <c r="W2159" i="1"/>
  <c r="T2159" i="1"/>
  <c r="M2159" i="1"/>
  <c r="N2159" i="1" s="1"/>
  <c r="K2159" i="1"/>
  <c r="L2159" i="1" s="1"/>
  <c r="Z2158" i="1"/>
  <c r="W2158" i="1"/>
  <c r="T2158" i="1"/>
  <c r="M2158" i="1"/>
  <c r="N2158" i="1" s="1"/>
  <c r="K2158" i="1"/>
  <c r="L2158" i="1" s="1"/>
  <c r="Z2157" i="1"/>
  <c r="W2157" i="1"/>
  <c r="T2157" i="1"/>
  <c r="M2157" i="1"/>
  <c r="N2157" i="1" s="1"/>
  <c r="K2157" i="1"/>
  <c r="L2157" i="1" s="1"/>
  <c r="Z2156" i="1"/>
  <c r="W2156" i="1"/>
  <c r="T2156" i="1"/>
  <c r="M2156" i="1"/>
  <c r="N2156" i="1" s="1"/>
  <c r="K2156" i="1"/>
  <c r="L2156" i="1" s="1"/>
  <c r="Z2155" i="1"/>
  <c r="W2155" i="1"/>
  <c r="T2155" i="1"/>
  <c r="M2155" i="1"/>
  <c r="N2155" i="1" s="1"/>
  <c r="L2155" i="1"/>
  <c r="K2155" i="1"/>
  <c r="Z2154" i="1"/>
  <c r="W2154" i="1"/>
  <c r="T2154" i="1"/>
  <c r="M2154" i="1"/>
  <c r="N2154" i="1" s="1"/>
  <c r="L2154" i="1"/>
  <c r="K2154" i="1"/>
  <c r="Z2153" i="1"/>
  <c r="W2153" i="1"/>
  <c r="T2153" i="1"/>
  <c r="N2153" i="1"/>
  <c r="M2153" i="1"/>
  <c r="K2153" i="1"/>
  <c r="L2153" i="1" s="1"/>
  <c r="Z2152" i="1"/>
  <c r="W2152" i="1"/>
  <c r="T2152" i="1"/>
  <c r="M2152" i="1"/>
  <c r="N2152" i="1" s="1"/>
  <c r="K2152" i="1"/>
  <c r="L2152" i="1" s="1"/>
  <c r="Z2151" i="1"/>
  <c r="W2151" i="1"/>
  <c r="T2151" i="1"/>
  <c r="M2151" i="1"/>
  <c r="N2151" i="1" s="1"/>
  <c r="L2151" i="1"/>
  <c r="K2151" i="1"/>
  <c r="Z2150" i="1"/>
  <c r="W2150" i="1"/>
  <c r="T2150" i="1"/>
  <c r="N2150" i="1"/>
  <c r="M2150" i="1"/>
  <c r="L2150" i="1"/>
  <c r="K2150" i="1"/>
  <c r="Z2149" i="1"/>
  <c r="W2149" i="1"/>
  <c r="T2149" i="1"/>
  <c r="N2149" i="1"/>
  <c r="M2149" i="1"/>
  <c r="K2149" i="1"/>
  <c r="L2149" i="1" s="1"/>
  <c r="Z2148" i="1"/>
  <c r="W2148" i="1"/>
  <c r="T2148" i="1"/>
  <c r="N2148" i="1"/>
  <c r="M2148" i="1"/>
  <c r="L2148" i="1"/>
  <c r="K2148" i="1"/>
  <c r="Z2147" i="1"/>
  <c r="W2147" i="1"/>
  <c r="T2147" i="1"/>
  <c r="M2147" i="1"/>
  <c r="N2147" i="1" s="1"/>
  <c r="K2147" i="1"/>
  <c r="L2147" i="1" s="1"/>
  <c r="Z2146" i="1"/>
  <c r="W2146" i="1"/>
  <c r="T2146" i="1"/>
  <c r="N2146" i="1"/>
  <c r="M2146" i="1"/>
  <c r="K2146" i="1"/>
  <c r="L2146" i="1" s="1"/>
  <c r="Z2145" i="1"/>
  <c r="W2145" i="1"/>
  <c r="T2145" i="1"/>
  <c r="N2145" i="1"/>
  <c r="M2145" i="1"/>
  <c r="L2145" i="1"/>
  <c r="K2145" i="1"/>
  <c r="Z2144" i="1"/>
  <c r="W2144" i="1"/>
  <c r="T2144" i="1"/>
  <c r="M2144" i="1"/>
  <c r="N2144" i="1" s="1"/>
  <c r="L2144" i="1"/>
  <c r="K2144" i="1"/>
  <c r="Z2143" i="1"/>
  <c r="W2143" i="1"/>
  <c r="T2143" i="1"/>
  <c r="M2143" i="1"/>
  <c r="N2143" i="1" s="1"/>
  <c r="K2143" i="1"/>
  <c r="L2143" i="1" s="1"/>
  <c r="Z2142" i="1"/>
  <c r="W2142" i="1"/>
  <c r="T2142" i="1"/>
  <c r="M2142" i="1"/>
  <c r="N2142" i="1" s="1"/>
  <c r="L2142" i="1"/>
  <c r="K2142" i="1"/>
  <c r="Z2141" i="1"/>
  <c r="W2141" i="1"/>
  <c r="T2141" i="1"/>
  <c r="M2141" i="1"/>
  <c r="N2141" i="1" s="1"/>
  <c r="K2141" i="1"/>
  <c r="L2141" i="1" s="1"/>
  <c r="Z2140" i="1"/>
  <c r="W2140" i="1"/>
  <c r="T2140" i="1"/>
  <c r="M2140" i="1"/>
  <c r="N2140" i="1" s="1"/>
  <c r="L2140" i="1"/>
  <c r="K2140" i="1"/>
  <c r="Z2139" i="1"/>
  <c r="W2139" i="1"/>
  <c r="T2139" i="1"/>
  <c r="M2139" i="1"/>
  <c r="N2139" i="1" s="1"/>
  <c r="L2139" i="1"/>
  <c r="K2139" i="1"/>
  <c r="Z2138" i="1"/>
  <c r="W2138" i="1"/>
  <c r="T2138" i="1"/>
  <c r="N2138" i="1"/>
  <c r="M2138" i="1"/>
  <c r="K2138" i="1"/>
  <c r="L2138" i="1" s="1"/>
  <c r="Z2137" i="1"/>
  <c r="W2137" i="1"/>
  <c r="T2137" i="1"/>
  <c r="N2137" i="1"/>
  <c r="M2137" i="1"/>
  <c r="K2137" i="1"/>
  <c r="L2137" i="1" s="1"/>
  <c r="Z2136" i="1"/>
  <c r="W2136" i="1"/>
  <c r="T2136" i="1"/>
  <c r="M2136" i="1"/>
  <c r="N2136" i="1" s="1"/>
  <c r="L2136" i="1"/>
  <c r="K2136" i="1"/>
  <c r="Z2135" i="1"/>
  <c r="W2135" i="1"/>
  <c r="T2135" i="1"/>
  <c r="M2135" i="1"/>
  <c r="N2135" i="1" s="1"/>
  <c r="K2135" i="1"/>
  <c r="L2135" i="1" s="1"/>
  <c r="Z2134" i="1"/>
  <c r="W2134" i="1"/>
  <c r="T2134" i="1"/>
  <c r="N2134" i="1"/>
  <c r="M2134" i="1"/>
  <c r="K2134" i="1"/>
  <c r="L2134" i="1" s="1"/>
  <c r="Z2133" i="1"/>
  <c r="W2133" i="1"/>
  <c r="T2133" i="1"/>
  <c r="N2133" i="1"/>
  <c r="M2133" i="1"/>
  <c r="L2133" i="1"/>
  <c r="K2133" i="1"/>
  <c r="Z2132" i="1"/>
  <c r="W2132" i="1"/>
  <c r="T2132" i="1"/>
  <c r="M2132" i="1"/>
  <c r="N2132" i="1" s="1"/>
  <c r="K2132" i="1"/>
  <c r="L2132" i="1" s="1"/>
  <c r="Z2131" i="1"/>
  <c r="W2131" i="1"/>
  <c r="T2131" i="1"/>
  <c r="N2131" i="1"/>
  <c r="M2131" i="1"/>
  <c r="K2131" i="1"/>
  <c r="L2131" i="1" s="1"/>
  <c r="Z2130" i="1"/>
  <c r="W2130" i="1"/>
  <c r="T2130" i="1"/>
  <c r="M2130" i="1"/>
  <c r="N2130" i="1" s="1"/>
  <c r="L2130" i="1"/>
  <c r="K2130" i="1"/>
  <c r="Z2129" i="1"/>
  <c r="W2129" i="1"/>
  <c r="T2129" i="1"/>
  <c r="N2129" i="1"/>
  <c r="M2129" i="1"/>
  <c r="K2129" i="1"/>
  <c r="L2129" i="1" s="1"/>
  <c r="Z2128" i="1"/>
  <c r="W2128" i="1"/>
  <c r="T2128" i="1"/>
  <c r="M2128" i="1"/>
  <c r="N2128" i="1" s="1"/>
  <c r="L2128" i="1"/>
  <c r="K2128" i="1"/>
  <c r="Z2127" i="1"/>
  <c r="W2127" i="1"/>
  <c r="T2127" i="1"/>
  <c r="M2127" i="1"/>
  <c r="N2127" i="1" s="1"/>
  <c r="K2127" i="1"/>
  <c r="L2127" i="1" s="1"/>
  <c r="Z2126" i="1"/>
  <c r="W2126" i="1"/>
  <c r="T2126" i="1"/>
  <c r="M2126" i="1"/>
  <c r="N2126" i="1" s="1"/>
  <c r="L2126" i="1"/>
  <c r="K2126" i="1"/>
  <c r="Z2125" i="1"/>
  <c r="W2125" i="1"/>
  <c r="T2125" i="1"/>
  <c r="M2125" i="1"/>
  <c r="N2125" i="1" s="1"/>
  <c r="L2125" i="1"/>
  <c r="K2125" i="1"/>
  <c r="Z2124" i="1"/>
  <c r="W2124" i="1"/>
  <c r="T2124" i="1"/>
  <c r="N2124" i="1"/>
  <c r="M2124" i="1"/>
  <c r="L2124" i="1"/>
  <c r="K2124" i="1"/>
  <c r="Z2123" i="1"/>
  <c r="W2123" i="1"/>
  <c r="T2123" i="1"/>
  <c r="N2123" i="1"/>
  <c r="M2123" i="1"/>
  <c r="L2123" i="1"/>
  <c r="K2123" i="1"/>
  <c r="Z2122" i="1"/>
  <c r="W2122" i="1"/>
  <c r="T2122" i="1"/>
  <c r="N2122" i="1"/>
  <c r="M2122" i="1"/>
  <c r="L2122" i="1"/>
  <c r="K2122" i="1"/>
  <c r="Z2121" i="1"/>
  <c r="W2121" i="1"/>
  <c r="T2121" i="1"/>
  <c r="N2121" i="1"/>
  <c r="M2121" i="1"/>
  <c r="K2121" i="1"/>
  <c r="L2121" i="1" s="1"/>
  <c r="Z2120" i="1"/>
  <c r="W2120" i="1"/>
  <c r="T2120" i="1"/>
  <c r="N2120" i="1"/>
  <c r="M2120" i="1"/>
  <c r="K2120" i="1"/>
  <c r="L2120" i="1" s="1"/>
  <c r="Z2119" i="1"/>
  <c r="W2119" i="1"/>
  <c r="T2119" i="1"/>
  <c r="M2119" i="1"/>
  <c r="N2119" i="1" s="1"/>
  <c r="K2119" i="1"/>
  <c r="L2119" i="1" s="1"/>
  <c r="Z2118" i="1"/>
  <c r="W2118" i="1"/>
  <c r="T2118" i="1"/>
  <c r="N2118" i="1"/>
  <c r="M2118" i="1"/>
  <c r="L2118" i="1"/>
  <c r="K2118" i="1"/>
  <c r="Z2117" i="1"/>
  <c r="W2117" i="1"/>
  <c r="T2117" i="1"/>
  <c r="N2117" i="1"/>
  <c r="M2117" i="1"/>
  <c r="L2117" i="1"/>
  <c r="K2117" i="1"/>
  <c r="Z2116" i="1"/>
  <c r="W2116" i="1"/>
  <c r="T2116" i="1"/>
  <c r="M2116" i="1"/>
  <c r="N2116" i="1" s="1"/>
  <c r="K2116" i="1"/>
  <c r="L2116" i="1" s="1"/>
  <c r="Z2115" i="1"/>
  <c r="W2115" i="1"/>
  <c r="T2115" i="1"/>
  <c r="M2115" i="1"/>
  <c r="N2115" i="1" s="1"/>
  <c r="L2115" i="1"/>
  <c r="K2115" i="1"/>
  <c r="Z2114" i="1"/>
  <c r="W2114" i="1"/>
  <c r="T2114" i="1"/>
  <c r="M2114" i="1"/>
  <c r="N2114" i="1" s="1"/>
  <c r="L2114" i="1"/>
  <c r="K2114" i="1"/>
  <c r="Z2113" i="1"/>
  <c r="W2113" i="1"/>
  <c r="T2113" i="1"/>
  <c r="N2113" i="1"/>
  <c r="M2113" i="1"/>
  <c r="L2113" i="1"/>
  <c r="K2113" i="1"/>
  <c r="Z2112" i="1"/>
  <c r="W2112" i="1"/>
  <c r="T2112" i="1"/>
  <c r="N2112" i="1"/>
  <c r="M2112" i="1"/>
  <c r="L2112" i="1"/>
  <c r="K2112" i="1"/>
  <c r="Z2111" i="1"/>
  <c r="W2111" i="1"/>
  <c r="T2111" i="1"/>
  <c r="N2111" i="1"/>
  <c r="M2111" i="1"/>
  <c r="K2111" i="1"/>
  <c r="L2111" i="1" s="1"/>
  <c r="Z2110" i="1"/>
  <c r="W2110" i="1"/>
  <c r="T2110" i="1"/>
  <c r="N2110" i="1"/>
  <c r="M2110" i="1"/>
  <c r="L2110" i="1"/>
  <c r="K2110" i="1"/>
  <c r="Z2109" i="1"/>
  <c r="W2109" i="1"/>
  <c r="T2109" i="1"/>
  <c r="M2109" i="1"/>
  <c r="N2109" i="1" s="1"/>
  <c r="L2109" i="1"/>
  <c r="K2109" i="1"/>
  <c r="Z2108" i="1"/>
  <c r="W2108" i="1"/>
  <c r="T2108" i="1"/>
  <c r="N2108" i="1"/>
  <c r="M2108" i="1"/>
  <c r="K2108" i="1"/>
  <c r="L2108" i="1" s="1"/>
  <c r="Z2107" i="1"/>
  <c r="W2107" i="1"/>
  <c r="T2107" i="1"/>
  <c r="M2107" i="1"/>
  <c r="N2107" i="1" s="1"/>
  <c r="L2107" i="1"/>
  <c r="K2107" i="1"/>
  <c r="Z2106" i="1"/>
  <c r="W2106" i="1"/>
  <c r="T2106" i="1"/>
  <c r="M2106" i="1"/>
  <c r="N2106" i="1" s="1"/>
  <c r="L2106" i="1"/>
  <c r="K2106" i="1"/>
  <c r="Z2105" i="1"/>
  <c r="W2105" i="1"/>
  <c r="T2105" i="1"/>
  <c r="M2105" i="1"/>
  <c r="N2105" i="1" s="1"/>
  <c r="K2105" i="1"/>
  <c r="L2105" i="1" s="1"/>
  <c r="Z2104" i="1"/>
  <c r="W2104" i="1"/>
  <c r="T2104" i="1"/>
  <c r="N2104" i="1"/>
  <c r="M2104" i="1"/>
  <c r="K2104" i="1"/>
  <c r="L2104" i="1" s="1"/>
  <c r="Z2103" i="1"/>
  <c r="W2103" i="1"/>
  <c r="T2103" i="1"/>
  <c r="M2103" i="1"/>
  <c r="N2103" i="1" s="1"/>
  <c r="L2103" i="1"/>
  <c r="K2103" i="1"/>
  <c r="Z2102" i="1"/>
  <c r="W2102" i="1"/>
  <c r="T2102" i="1"/>
  <c r="N2102" i="1"/>
  <c r="M2102" i="1"/>
  <c r="L2102" i="1"/>
  <c r="K2102" i="1"/>
  <c r="Z2101" i="1"/>
  <c r="W2101" i="1"/>
  <c r="T2101" i="1"/>
  <c r="N2101" i="1"/>
  <c r="M2101" i="1"/>
  <c r="L2101" i="1"/>
  <c r="K2101" i="1"/>
  <c r="Z2100" i="1"/>
  <c r="W2100" i="1"/>
  <c r="T2100" i="1"/>
  <c r="N2100" i="1"/>
  <c r="M2100" i="1"/>
  <c r="L2100" i="1"/>
  <c r="K2100" i="1"/>
  <c r="Z2099" i="1"/>
  <c r="W2099" i="1"/>
  <c r="T2099" i="1"/>
  <c r="N2099" i="1"/>
  <c r="M2099" i="1"/>
  <c r="K2099" i="1"/>
  <c r="L2099" i="1" s="1"/>
  <c r="Z2098" i="1"/>
  <c r="W2098" i="1"/>
  <c r="T2098" i="1"/>
  <c r="N2098" i="1"/>
  <c r="M2098" i="1"/>
  <c r="L2098" i="1"/>
  <c r="K2098" i="1"/>
  <c r="Z2097" i="1"/>
  <c r="W2097" i="1"/>
  <c r="T2097" i="1"/>
  <c r="M2097" i="1"/>
  <c r="N2097" i="1" s="1"/>
  <c r="K2097" i="1"/>
  <c r="L2097" i="1" s="1"/>
  <c r="Z2096" i="1"/>
  <c r="W2096" i="1"/>
  <c r="T2096" i="1"/>
  <c r="M2096" i="1"/>
  <c r="N2096" i="1" s="1"/>
  <c r="K2096" i="1"/>
  <c r="L2096" i="1" s="1"/>
  <c r="Z2095" i="1"/>
  <c r="W2095" i="1"/>
  <c r="T2095" i="1"/>
  <c r="M2095" i="1"/>
  <c r="N2095" i="1" s="1"/>
  <c r="L2095" i="1"/>
  <c r="K2095" i="1"/>
  <c r="Z2094" i="1"/>
  <c r="W2094" i="1"/>
  <c r="T2094" i="1"/>
  <c r="N2094" i="1"/>
  <c r="M2094" i="1"/>
  <c r="K2094" i="1"/>
  <c r="L2094" i="1" s="1"/>
  <c r="Z2093" i="1"/>
  <c r="W2093" i="1"/>
  <c r="T2093" i="1"/>
  <c r="M2093" i="1"/>
  <c r="N2093" i="1" s="1"/>
  <c r="K2093" i="1"/>
  <c r="L2093" i="1" s="1"/>
  <c r="Z2092" i="1"/>
  <c r="W2092" i="1"/>
  <c r="T2092" i="1"/>
  <c r="N2092" i="1"/>
  <c r="M2092" i="1"/>
  <c r="K2092" i="1"/>
  <c r="L2092" i="1" s="1"/>
  <c r="Z2091" i="1"/>
  <c r="W2091" i="1"/>
  <c r="T2091" i="1"/>
  <c r="M2091" i="1"/>
  <c r="N2091" i="1" s="1"/>
  <c r="L2091" i="1"/>
  <c r="K2091" i="1"/>
  <c r="Z2090" i="1"/>
  <c r="W2090" i="1"/>
  <c r="T2090" i="1"/>
  <c r="M2090" i="1"/>
  <c r="N2090" i="1" s="1"/>
  <c r="L2090" i="1"/>
  <c r="K2090" i="1"/>
  <c r="Z2089" i="1"/>
  <c r="W2089" i="1"/>
  <c r="T2089" i="1"/>
  <c r="M2089" i="1"/>
  <c r="N2089" i="1" s="1"/>
  <c r="L2089" i="1"/>
  <c r="K2089" i="1"/>
  <c r="Z2088" i="1"/>
  <c r="W2088" i="1"/>
  <c r="T2088" i="1"/>
  <c r="N2088" i="1"/>
  <c r="M2088" i="1"/>
  <c r="L2088" i="1"/>
  <c r="K2088" i="1"/>
  <c r="Z2087" i="1"/>
  <c r="W2087" i="1"/>
  <c r="T2087" i="1"/>
  <c r="N2087" i="1"/>
  <c r="M2087" i="1"/>
  <c r="L2087" i="1"/>
  <c r="K2087" i="1"/>
  <c r="Z2086" i="1"/>
  <c r="W2086" i="1"/>
  <c r="T2086" i="1"/>
  <c r="N2086" i="1"/>
  <c r="M2086" i="1"/>
  <c r="K2086" i="1"/>
  <c r="L2086" i="1" s="1"/>
  <c r="Z2085" i="1"/>
  <c r="W2085" i="1"/>
  <c r="T2085" i="1"/>
  <c r="N2085" i="1"/>
  <c r="M2085" i="1"/>
  <c r="K2085" i="1"/>
  <c r="L2085" i="1" s="1"/>
  <c r="Z2084" i="1"/>
  <c r="W2084" i="1"/>
  <c r="T2084" i="1"/>
  <c r="M2084" i="1"/>
  <c r="N2084" i="1" s="1"/>
  <c r="K2084" i="1"/>
  <c r="L2084" i="1" s="1"/>
  <c r="Z2083" i="1"/>
  <c r="W2083" i="1"/>
  <c r="T2083" i="1"/>
  <c r="N2083" i="1"/>
  <c r="M2083" i="1"/>
  <c r="K2083" i="1"/>
  <c r="L2083" i="1" s="1"/>
  <c r="Z2082" i="1"/>
  <c r="W2082" i="1"/>
  <c r="T2082" i="1"/>
  <c r="N2082" i="1"/>
  <c r="M2082" i="1"/>
  <c r="L2082" i="1"/>
  <c r="K2082" i="1"/>
  <c r="Z2081" i="1"/>
  <c r="W2081" i="1"/>
  <c r="T2081" i="1"/>
  <c r="M2081" i="1"/>
  <c r="N2081" i="1" s="1"/>
  <c r="K2081" i="1"/>
  <c r="L2081" i="1" s="1"/>
  <c r="Z2080" i="1"/>
  <c r="W2080" i="1"/>
  <c r="T2080" i="1"/>
  <c r="N2080" i="1"/>
  <c r="M2080" i="1"/>
  <c r="L2080" i="1"/>
  <c r="K2080" i="1"/>
  <c r="Z2079" i="1"/>
  <c r="W2079" i="1"/>
  <c r="T2079" i="1"/>
  <c r="M2079" i="1"/>
  <c r="N2079" i="1" s="1"/>
  <c r="K2079" i="1"/>
  <c r="L2079" i="1" s="1"/>
  <c r="Z2078" i="1"/>
  <c r="W2078" i="1"/>
  <c r="T2078" i="1"/>
  <c r="M2078" i="1"/>
  <c r="N2078" i="1" s="1"/>
  <c r="K2078" i="1"/>
  <c r="L2078" i="1" s="1"/>
  <c r="Z2077" i="1"/>
  <c r="W2077" i="1"/>
  <c r="T2077" i="1"/>
  <c r="M2077" i="1"/>
  <c r="N2077" i="1" s="1"/>
  <c r="K2077" i="1"/>
  <c r="L2077" i="1" s="1"/>
  <c r="Z2076" i="1"/>
  <c r="W2076" i="1"/>
  <c r="T2076" i="1"/>
  <c r="M2076" i="1"/>
  <c r="N2076" i="1" s="1"/>
  <c r="L2076" i="1"/>
  <c r="K2076" i="1"/>
  <c r="Z2075" i="1"/>
  <c r="W2075" i="1"/>
  <c r="T2075" i="1"/>
  <c r="N2075" i="1"/>
  <c r="M2075" i="1"/>
  <c r="L2075" i="1"/>
  <c r="K2075" i="1"/>
  <c r="Z2074" i="1"/>
  <c r="W2074" i="1"/>
  <c r="T2074" i="1"/>
  <c r="N2074" i="1"/>
  <c r="M2074" i="1"/>
  <c r="K2074" i="1"/>
  <c r="L2074" i="1" s="1"/>
  <c r="Z2073" i="1"/>
  <c r="W2073" i="1"/>
  <c r="T2073" i="1"/>
  <c r="N2073" i="1"/>
  <c r="M2073" i="1"/>
  <c r="L2073" i="1"/>
  <c r="K2073" i="1"/>
  <c r="Z2072" i="1"/>
  <c r="W2072" i="1"/>
  <c r="T2072" i="1"/>
  <c r="M2072" i="1"/>
  <c r="N2072" i="1" s="1"/>
  <c r="K2072" i="1"/>
  <c r="L2072" i="1" s="1"/>
  <c r="Z2071" i="1"/>
  <c r="W2071" i="1"/>
  <c r="T2071" i="1"/>
  <c r="N2071" i="1"/>
  <c r="M2071" i="1"/>
  <c r="L2071" i="1"/>
  <c r="K2071" i="1"/>
  <c r="Z2070" i="1"/>
  <c r="W2070" i="1"/>
  <c r="T2070" i="1"/>
  <c r="M2070" i="1"/>
  <c r="N2070" i="1" s="1"/>
  <c r="K2070" i="1"/>
  <c r="L2070" i="1" s="1"/>
  <c r="Z2069" i="1"/>
  <c r="W2069" i="1"/>
  <c r="T2069" i="1"/>
  <c r="N2069" i="1"/>
  <c r="M2069" i="1"/>
  <c r="K2069" i="1"/>
  <c r="L2069" i="1" s="1"/>
  <c r="Z2068" i="1"/>
  <c r="W2068" i="1"/>
  <c r="T2068" i="1"/>
  <c r="N2068" i="1"/>
  <c r="M2068" i="1"/>
  <c r="L2068" i="1"/>
  <c r="K2068" i="1"/>
  <c r="Z2067" i="1"/>
  <c r="W2067" i="1"/>
  <c r="T2067" i="1"/>
  <c r="M2067" i="1"/>
  <c r="N2067" i="1" s="1"/>
  <c r="K2067" i="1"/>
  <c r="L2067" i="1" s="1"/>
  <c r="Z2066" i="1"/>
  <c r="W2066" i="1"/>
  <c r="T2066" i="1"/>
  <c r="N2066" i="1"/>
  <c r="M2066" i="1"/>
  <c r="L2066" i="1"/>
  <c r="K2066" i="1"/>
  <c r="Z2065" i="1"/>
  <c r="W2065" i="1"/>
  <c r="T2065" i="1"/>
  <c r="M2065" i="1"/>
  <c r="N2065" i="1" s="1"/>
  <c r="K2065" i="1"/>
  <c r="L2065" i="1" s="1"/>
  <c r="Z2064" i="1"/>
  <c r="W2064" i="1"/>
  <c r="T2064" i="1"/>
  <c r="N2064" i="1"/>
  <c r="M2064" i="1"/>
  <c r="L2064" i="1"/>
  <c r="K2064" i="1"/>
  <c r="Z2063" i="1"/>
  <c r="W2063" i="1"/>
  <c r="T2063" i="1"/>
  <c r="M2063" i="1"/>
  <c r="N2063" i="1" s="1"/>
  <c r="K2063" i="1"/>
  <c r="L2063" i="1" s="1"/>
  <c r="Z2062" i="1"/>
  <c r="W2062" i="1"/>
  <c r="T2062" i="1"/>
  <c r="N2062" i="1"/>
  <c r="M2062" i="1"/>
  <c r="L2062" i="1"/>
  <c r="K2062" i="1"/>
  <c r="Z2061" i="1"/>
  <c r="W2061" i="1"/>
  <c r="T2061" i="1"/>
  <c r="M2061" i="1"/>
  <c r="N2061" i="1" s="1"/>
  <c r="L2061" i="1"/>
  <c r="K2061" i="1"/>
  <c r="Z2060" i="1"/>
  <c r="W2060" i="1"/>
  <c r="T2060" i="1"/>
  <c r="N2060" i="1"/>
  <c r="M2060" i="1"/>
  <c r="L2060" i="1"/>
  <c r="K2060" i="1"/>
  <c r="Z2059" i="1"/>
  <c r="W2059" i="1"/>
  <c r="T2059" i="1"/>
  <c r="N2059" i="1"/>
  <c r="M2059" i="1"/>
  <c r="L2059" i="1"/>
  <c r="K2059" i="1"/>
  <c r="Z2058" i="1"/>
  <c r="W2058" i="1"/>
  <c r="T2058" i="1"/>
  <c r="N2058" i="1"/>
  <c r="M2058" i="1"/>
  <c r="K2058" i="1"/>
  <c r="L2058" i="1" s="1"/>
  <c r="Z2057" i="1"/>
  <c r="W2057" i="1"/>
  <c r="T2057" i="1"/>
  <c r="N2057" i="1"/>
  <c r="M2057" i="1"/>
  <c r="K2057" i="1"/>
  <c r="L2057" i="1" s="1"/>
  <c r="Z2056" i="1"/>
  <c r="W2056" i="1"/>
  <c r="T2056" i="1"/>
  <c r="M2056" i="1"/>
  <c r="N2056" i="1" s="1"/>
  <c r="K2056" i="1"/>
  <c r="L2056" i="1" s="1"/>
  <c r="Z2055" i="1"/>
  <c r="W2055" i="1"/>
  <c r="T2055" i="1"/>
  <c r="M2055" i="1"/>
  <c r="N2055" i="1" s="1"/>
  <c r="K2055" i="1"/>
  <c r="L2055" i="1" s="1"/>
  <c r="Z2054" i="1"/>
  <c r="W2054" i="1"/>
  <c r="T2054" i="1"/>
  <c r="N2054" i="1"/>
  <c r="M2054" i="1"/>
  <c r="L2054" i="1"/>
  <c r="K2054" i="1"/>
  <c r="Z2053" i="1"/>
  <c r="W2053" i="1"/>
  <c r="T2053" i="1"/>
  <c r="M2053" i="1"/>
  <c r="N2053" i="1" s="1"/>
  <c r="K2053" i="1"/>
  <c r="L2053" i="1" s="1"/>
  <c r="Z2052" i="1"/>
  <c r="W2052" i="1"/>
  <c r="T2052" i="1"/>
  <c r="M2052" i="1"/>
  <c r="N2052" i="1" s="1"/>
  <c r="L2052" i="1"/>
  <c r="K2052" i="1"/>
  <c r="Z2051" i="1"/>
  <c r="W2051" i="1"/>
  <c r="T2051" i="1"/>
  <c r="M2051" i="1"/>
  <c r="N2051" i="1" s="1"/>
  <c r="K2051" i="1"/>
  <c r="L2051" i="1" s="1"/>
  <c r="Z2050" i="1"/>
  <c r="W2050" i="1"/>
  <c r="T2050" i="1"/>
  <c r="N2050" i="1"/>
  <c r="M2050" i="1"/>
  <c r="K2050" i="1"/>
  <c r="L2050" i="1" s="1"/>
  <c r="Z2049" i="1"/>
  <c r="W2049" i="1"/>
  <c r="T2049" i="1"/>
  <c r="N2049" i="1"/>
  <c r="M2049" i="1"/>
  <c r="L2049" i="1"/>
  <c r="K2049" i="1"/>
  <c r="Z2048" i="1"/>
  <c r="W2048" i="1"/>
  <c r="T2048" i="1"/>
  <c r="M2048" i="1"/>
  <c r="N2048" i="1" s="1"/>
  <c r="L2048" i="1"/>
  <c r="K2048" i="1"/>
  <c r="Z2047" i="1"/>
  <c r="W2047" i="1"/>
  <c r="T2047" i="1"/>
  <c r="M2047" i="1"/>
  <c r="N2047" i="1" s="1"/>
  <c r="K2047" i="1"/>
  <c r="L2047" i="1" s="1"/>
  <c r="Z2046" i="1"/>
  <c r="W2046" i="1"/>
  <c r="T2046" i="1"/>
  <c r="N2046" i="1"/>
  <c r="M2046" i="1"/>
  <c r="L2046" i="1"/>
  <c r="K2046" i="1"/>
  <c r="Z2045" i="1"/>
  <c r="W2045" i="1"/>
  <c r="T2045" i="1"/>
  <c r="M2045" i="1"/>
  <c r="N2045" i="1" s="1"/>
  <c r="K2045" i="1"/>
  <c r="L2045" i="1" s="1"/>
  <c r="Z2044" i="1"/>
  <c r="W2044" i="1"/>
  <c r="T2044" i="1"/>
  <c r="M2044" i="1"/>
  <c r="N2044" i="1" s="1"/>
  <c r="K2044" i="1"/>
  <c r="L2044" i="1" s="1"/>
  <c r="Z2043" i="1"/>
  <c r="W2043" i="1"/>
  <c r="T2043" i="1"/>
  <c r="M2043" i="1"/>
  <c r="N2043" i="1" s="1"/>
  <c r="L2043" i="1"/>
  <c r="K2043" i="1"/>
  <c r="Z2042" i="1"/>
  <c r="W2042" i="1"/>
  <c r="T2042" i="1"/>
  <c r="N2042" i="1"/>
  <c r="M2042" i="1"/>
  <c r="K2042" i="1"/>
  <c r="L2042" i="1" s="1"/>
  <c r="Z2041" i="1"/>
  <c r="W2041" i="1"/>
  <c r="T2041" i="1"/>
  <c r="N2041" i="1"/>
  <c r="M2041" i="1"/>
  <c r="L2041" i="1"/>
  <c r="K2041" i="1"/>
  <c r="Z2040" i="1"/>
  <c r="W2040" i="1"/>
  <c r="T2040" i="1"/>
  <c r="M2040" i="1"/>
  <c r="N2040" i="1" s="1"/>
  <c r="L2040" i="1"/>
  <c r="K2040" i="1"/>
  <c r="Z2039" i="1"/>
  <c r="W2039" i="1"/>
  <c r="T2039" i="1"/>
  <c r="N2039" i="1"/>
  <c r="M2039" i="1"/>
  <c r="K2039" i="1"/>
  <c r="L2039" i="1" s="1"/>
  <c r="Z2038" i="1"/>
  <c r="W2038" i="1"/>
  <c r="T2038" i="1"/>
  <c r="N2038" i="1"/>
  <c r="M2038" i="1"/>
  <c r="L2038" i="1"/>
  <c r="K2038" i="1"/>
  <c r="Z2037" i="1"/>
  <c r="W2037" i="1"/>
  <c r="T2037" i="1"/>
  <c r="M2037" i="1"/>
  <c r="N2037" i="1" s="1"/>
  <c r="L2037" i="1"/>
  <c r="K2037" i="1"/>
  <c r="Z2036" i="1"/>
  <c r="W2036" i="1"/>
  <c r="T2036" i="1"/>
  <c r="M2036" i="1"/>
  <c r="N2036" i="1" s="1"/>
  <c r="K2036" i="1"/>
  <c r="L2036" i="1" s="1"/>
  <c r="Z2035" i="1"/>
  <c r="W2035" i="1"/>
  <c r="T2035" i="1"/>
  <c r="M2035" i="1"/>
  <c r="N2035" i="1" s="1"/>
  <c r="K2035" i="1"/>
  <c r="L2035" i="1" s="1"/>
  <c r="Z2034" i="1"/>
  <c r="W2034" i="1"/>
  <c r="T2034" i="1"/>
  <c r="M2034" i="1"/>
  <c r="N2034" i="1" s="1"/>
  <c r="L2034" i="1"/>
  <c r="K2034" i="1"/>
  <c r="Z2033" i="1"/>
  <c r="W2033" i="1"/>
  <c r="T2033" i="1"/>
  <c r="N2033" i="1"/>
  <c r="M2033" i="1"/>
  <c r="K2033" i="1"/>
  <c r="L2033" i="1" s="1"/>
  <c r="Z2032" i="1"/>
  <c r="W2032" i="1"/>
  <c r="T2032" i="1"/>
  <c r="N2032" i="1"/>
  <c r="M2032" i="1"/>
  <c r="K2032" i="1"/>
  <c r="L2032" i="1" s="1"/>
  <c r="Z2031" i="1"/>
  <c r="W2031" i="1"/>
  <c r="T2031" i="1"/>
  <c r="M2031" i="1"/>
  <c r="N2031" i="1" s="1"/>
  <c r="K2031" i="1"/>
  <c r="L2031" i="1" s="1"/>
  <c r="Z2030" i="1"/>
  <c r="W2030" i="1"/>
  <c r="T2030" i="1"/>
  <c r="N2030" i="1"/>
  <c r="M2030" i="1"/>
  <c r="L2030" i="1"/>
  <c r="K2030" i="1"/>
  <c r="Z2029" i="1"/>
  <c r="W2029" i="1"/>
  <c r="T2029" i="1"/>
  <c r="M2029" i="1"/>
  <c r="N2029" i="1" s="1"/>
  <c r="L2029" i="1"/>
  <c r="K2029" i="1"/>
  <c r="Z2028" i="1"/>
  <c r="W2028" i="1"/>
  <c r="T2028" i="1"/>
  <c r="M2028" i="1"/>
  <c r="N2028" i="1" s="1"/>
  <c r="L2028" i="1"/>
  <c r="K2028" i="1"/>
  <c r="Z2027" i="1"/>
  <c r="W2027" i="1"/>
  <c r="T2027" i="1"/>
  <c r="N2027" i="1"/>
  <c r="M2027" i="1"/>
  <c r="L2027" i="1"/>
  <c r="K2027" i="1"/>
  <c r="Z2026" i="1"/>
  <c r="W2026" i="1"/>
  <c r="T2026" i="1"/>
  <c r="N2026" i="1"/>
  <c r="M2026" i="1"/>
  <c r="L2026" i="1"/>
  <c r="K2026" i="1"/>
  <c r="Z2025" i="1"/>
  <c r="W2025" i="1"/>
  <c r="T2025" i="1"/>
  <c r="N2025" i="1"/>
  <c r="M2025" i="1"/>
  <c r="K2025" i="1"/>
  <c r="L2025" i="1" s="1"/>
  <c r="Z2024" i="1"/>
  <c r="W2024" i="1"/>
  <c r="T2024" i="1"/>
  <c r="M2024" i="1"/>
  <c r="N2024" i="1" s="1"/>
  <c r="L2024" i="1"/>
  <c r="K2024" i="1"/>
  <c r="Z2023" i="1"/>
  <c r="W2023" i="1"/>
  <c r="T2023" i="1"/>
  <c r="M2023" i="1"/>
  <c r="N2023" i="1" s="1"/>
  <c r="K2023" i="1"/>
  <c r="L2023" i="1" s="1"/>
  <c r="Z2022" i="1"/>
  <c r="W2022" i="1"/>
  <c r="T2022" i="1"/>
  <c r="M2022" i="1"/>
  <c r="N2022" i="1" s="1"/>
  <c r="K2022" i="1"/>
  <c r="L2022" i="1" s="1"/>
  <c r="Z2021" i="1"/>
  <c r="W2021" i="1"/>
  <c r="T2021" i="1"/>
  <c r="N2021" i="1"/>
  <c r="M2021" i="1"/>
  <c r="K2021" i="1"/>
  <c r="L2021" i="1" s="1"/>
  <c r="Z2020" i="1"/>
  <c r="W2020" i="1"/>
  <c r="T2020" i="1"/>
  <c r="N2020" i="1"/>
  <c r="M2020" i="1"/>
  <c r="K2020" i="1"/>
  <c r="L2020" i="1" s="1"/>
  <c r="Z2019" i="1"/>
  <c r="W2019" i="1"/>
  <c r="T2019" i="1"/>
  <c r="M2019" i="1"/>
  <c r="N2019" i="1" s="1"/>
  <c r="K2019" i="1"/>
  <c r="L2019" i="1" s="1"/>
  <c r="Z2018" i="1"/>
  <c r="W2018" i="1"/>
  <c r="T2018" i="1"/>
  <c r="M2018" i="1"/>
  <c r="N2018" i="1" s="1"/>
  <c r="L2018" i="1"/>
  <c r="K2018" i="1"/>
  <c r="Z2017" i="1"/>
  <c r="W2017" i="1"/>
  <c r="T2017" i="1"/>
  <c r="M2017" i="1"/>
  <c r="N2017" i="1" s="1"/>
  <c r="K2017" i="1"/>
  <c r="L2017" i="1" s="1"/>
  <c r="Z2016" i="1"/>
  <c r="W2016" i="1"/>
  <c r="T2016" i="1"/>
  <c r="N2016" i="1"/>
  <c r="M2016" i="1"/>
  <c r="L2016" i="1"/>
  <c r="K2016" i="1"/>
  <c r="Z2015" i="1"/>
  <c r="W2015" i="1"/>
  <c r="T2015" i="1"/>
  <c r="M2015" i="1"/>
  <c r="N2015" i="1" s="1"/>
  <c r="L2015" i="1"/>
  <c r="K2015" i="1"/>
  <c r="Z2014" i="1"/>
  <c r="W2014" i="1"/>
  <c r="T2014" i="1"/>
  <c r="N2014" i="1"/>
  <c r="M2014" i="1"/>
  <c r="L2014" i="1"/>
  <c r="K2014" i="1"/>
  <c r="Z2013" i="1"/>
  <c r="W2013" i="1"/>
  <c r="T2013" i="1"/>
  <c r="N2013" i="1"/>
  <c r="M2013" i="1"/>
  <c r="K2013" i="1"/>
  <c r="L2013" i="1" s="1"/>
  <c r="Z2012" i="1"/>
  <c r="W2012" i="1"/>
  <c r="T2012" i="1"/>
  <c r="N2012" i="1"/>
  <c r="M2012" i="1"/>
  <c r="L2012" i="1"/>
  <c r="K2012" i="1"/>
  <c r="Z2011" i="1"/>
  <c r="W2011" i="1"/>
  <c r="T2011" i="1"/>
  <c r="M2011" i="1"/>
  <c r="N2011" i="1" s="1"/>
  <c r="K2011" i="1"/>
  <c r="L2011" i="1" s="1"/>
  <c r="Z2010" i="1"/>
  <c r="W2010" i="1"/>
  <c r="T2010" i="1"/>
  <c r="M2010" i="1"/>
  <c r="N2010" i="1" s="1"/>
  <c r="L2010" i="1"/>
  <c r="K2010" i="1"/>
  <c r="Z2009" i="1"/>
  <c r="W2009" i="1"/>
  <c r="T2009" i="1"/>
  <c r="M2009" i="1"/>
  <c r="N2009" i="1" s="1"/>
  <c r="K2009" i="1"/>
  <c r="L2009" i="1" s="1"/>
  <c r="Z2008" i="1"/>
  <c r="W2008" i="1"/>
  <c r="T2008" i="1"/>
  <c r="M2008" i="1"/>
  <c r="N2008" i="1" s="1"/>
  <c r="L2008" i="1"/>
  <c r="K2008" i="1"/>
  <c r="Z2007" i="1"/>
  <c r="W2007" i="1"/>
  <c r="T2007" i="1"/>
  <c r="M2007" i="1"/>
  <c r="N2007" i="1" s="1"/>
  <c r="K2007" i="1"/>
  <c r="L2007" i="1" s="1"/>
  <c r="Z2006" i="1"/>
  <c r="W2006" i="1"/>
  <c r="T2006" i="1"/>
  <c r="N2006" i="1"/>
  <c r="M2006" i="1"/>
  <c r="K2006" i="1"/>
  <c r="L2006" i="1" s="1"/>
  <c r="Z2005" i="1"/>
  <c r="W2005" i="1"/>
  <c r="T2005" i="1"/>
  <c r="N2005" i="1"/>
  <c r="M2005" i="1"/>
  <c r="L2005" i="1"/>
  <c r="K2005" i="1"/>
  <c r="Z2004" i="1"/>
  <c r="W2004" i="1"/>
  <c r="T2004" i="1"/>
  <c r="M2004" i="1"/>
  <c r="N2004" i="1" s="1"/>
  <c r="L2004" i="1"/>
  <c r="K2004" i="1"/>
  <c r="Z2003" i="1"/>
  <c r="W2003" i="1"/>
  <c r="T2003" i="1"/>
  <c r="M2003" i="1"/>
  <c r="N2003" i="1" s="1"/>
  <c r="L2003" i="1"/>
  <c r="K2003" i="1"/>
  <c r="Z2002" i="1"/>
  <c r="W2002" i="1"/>
  <c r="T2002" i="1"/>
  <c r="N2002" i="1"/>
  <c r="M2002" i="1"/>
  <c r="K2002" i="1"/>
  <c r="L2002" i="1" s="1"/>
  <c r="Z2001" i="1"/>
  <c r="W2001" i="1"/>
  <c r="T2001" i="1"/>
  <c r="N2001" i="1"/>
  <c r="M2001" i="1"/>
  <c r="L2001" i="1"/>
  <c r="K2001" i="1"/>
  <c r="Z2000" i="1"/>
  <c r="W2000" i="1"/>
  <c r="T2000" i="1"/>
  <c r="M2000" i="1"/>
  <c r="N2000" i="1" s="1"/>
  <c r="L2000" i="1"/>
  <c r="K2000" i="1"/>
  <c r="Z1999" i="1"/>
  <c r="W1999" i="1"/>
  <c r="T1999" i="1"/>
  <c r="N1999" i="1"/>
  <c r="M1999" i="1"/>
  <c r="K1999" i="1"/>
  <c r="L1999" i="1" s="1"/>
  <c r="Z1998" i="1"/>
  <c r="W1998" i="1"/>
  <c r="T1998" i="1"/>
  <c r="N1998" i="1"/>
  <c r="M1998" i="1"/>
  <c r="K1998" i="1"/>
  <c r="L1998" i="1" s="1"/>
  <c r="Z1997" i="1"/>
  <c r="W1997" i="1"/>
  <c r="T1997" i="1"/>
  <c r="M1997" i="1"/>
  <c r="N1997" i="1" s="1"/>
  <c r="K1997" i="1"/>
  <c r="L1997" i="1" s="1"/>
  <c r="Z1996" i="1"/>
  <c r="W1996" i="1"/>
  <c r="T1996" i="1"/>
  <c r="M1996" i="1"/>
  <c r="N1996" i="1" s="1"/>
  <c r="K1996" i="1"/>
  <c r="L1996" i="1" s="1"/>
  <c r="Z1995" i="1"/>
  <c r="W1995" i="1"/>
  <c r="T1995" i="1"/>
  <c r="M1995" i="1"/>
  <c r="N1995" i="1" s="1"/>
  <c r="K1995" i="1"/>
  <c r="L1995" i="1" s="1"/>
  <c r="Z1994" i="1"/>
  <c r="W1994" i="1"/>
  <c r="T1994" i="1"/>
  <c r="M1994" i="1"/>
  <c r="N1994" i="1" s="1"/>
  <c r="L1994" i="1"/>
  <c r="K1994" i="1"/>
  <c r="Z1993" i="1"/>
  <c r="W1993" i="1"/>
  <c r="T1993" i="1"/>
  <c r="M1993" i="1"/>
  <c r="N1993" i="1" s="1"/>
  <c r="K1993" i="1"/>
  <c r="L1993" i="1" s="1"/>
  <c r="Z1992" i="1"/>
  <c r="W1992" i="1"/>
  <c r="T1992" i="1"/>
  <c r="M1992" i="1"/>
  <c r="N1992" i="1" s="1"/>
  <c r="L1992" i="1"/>
  <c r="K1992" i="1"/>
  <c r="Z1991" i="1"/>
  <c r="W1991" i="1"/>
  <c r="T1991" i="1"/>
  <c r="M1991" i="1"/>
  <c r="N1991" i="1" s="1"/>
  <c r="L1991" i="1"/>
  <c r="K1991" i="1"/>
  <c r="Z1990" i="1"/>
  <c r="W1990" i="1"/>
  <c r="T1990" i="1"/>
  <c r="N1990" i="1"/>
  <c r="M1990" i="1"/>
  <c r="L1990" i="1"/>
  <c r="K1990" i="1"/>
  <c r="Z1989" i="1"/>
  <c r="W1989" i="1"/>
  <c r="T1989" i="1"/>
  <c r="N1989" i="1"/>
  <c r="M1989" i="1"/>
  <c r="K1989" i="1"/>
  <c r="L1989" i="1" s="1"/>
  <c r="Z1988" i="1"/>
  <c r="W1988" i="1"/>
  <c r="T1988" i="1"/>
  <c r="N1988" i="1"/>
  <c r="M1988" i="1"/>
  <c r="L1988" i="1"/>
  <c r="K1988" i="1"/>
  <c r="Z1987" i="1"/>
  <c r="W1987" i="1"/>
  <c r="T1987" i="1"/>
  <c r="M1987" i="1"/>
  <c r="N1987" i="1" s="1"/>
  <c r="L1987" i="1"/>
  <c r="K1987" i="1"/>
  <c r="Z1986" i="1"/>
  <c r="W1986" i="1"/>
  <c r="T1986" i="1"/>
  <c r="N1986" i="1"/>
  <c r="M1986" i="1"/>
  <c r="L1986" i="1"/>
  <c r="K1986" i="1"/>
  <c r="Z1985" i="1"/>
  <c r="W1985" i="1"/>
  <c r="T1985" i="1"/>
  <c r="N1985" i="1"/>
  <c r="M1985" i="1"/>
  <c r="K1985" i="1"/>
  <c r="L1985" i="1" s="1"/>
  <c r="Z1984" i="1"/>
  <c r="W1984" i="1"/>
  <c r="T1984" i="1"/>
  <c r="M1984" i="1"/>
  <c r="N1984" i="1" s="1"/>
  <c r="L1984" i="1"/>
  <c r="K1984" i="1"/>
  <c r="Z1983" i="1"/>
  <c r="W1983" i="1"/>
  <c r="T1983" i="1"/>
  <c r="M1983" i="1"/>
  <c r="N1983" i="1" s="1"/>
  <c r="K1983" i="1"/>
  <c r="L1983" i="1" s="1"/>
  <c r="Z1982" i="1"/>
  <c r="W1982" i="1"/>
  <c r="T1982" i="1"/>
  <c r="M1982" i="1"/>
  <c r="N1982" i="1" s="1"/>
  <c r="L1982" i="1"/>
  <c r="K1982" i="1"/>
  <c r="Z1981" i="1"/>
  <c r="W1981" i="1"/>
  <c r="T1981" i="1"/>
  <c r="M1981" i="1"/>
  <c r="N1981" i="1" s="1"/>
  <c r="K1981" i="1"/>
  <c r="L1981" i="1" s="1"/>
  <c r="Z1980" i="1"/>
  <c r="W1980" i="1"/>
  <c r="T1980" i="1"/>
  <c r="M1980" i="1"/>
  <c r="N1980" i="1" s="1"/>
  <c r="L1980" i="1"/>
  <c r="K1980" i="1"/>
  <c r="Z1979" i="1"/>
  <c r="W1979" i="1"/>
  <c r="T1979" i="1"/>
  <c r="M1979" i="1"/>
  <c r="N1979" i="1" s="1"/>
  <c r="K1979" i="1"/>
  <c r="L1979" i="1" s="1"/>
  <c r="Z1978" i="1"/>
  <c r="W1978" i="1"/>
  <c r="T1978" i="1"/>
  <c r="N1978" i="1"/>
  <c r="M1978" i="1"/>
  <c r="K1978" i="1"/>
  <c r="L1978" i="1" s="1"/>
  <c r="Z1977" i="1"/>
  <c r="W1977" i="1"/>
  <c r="T1977" i="1"/>
  <c r="N1977" i="1"/>
  <c r="M1977" i="1"/>
  <c r="L1977" i="1"/>
  <c r="K1977" i="1"/>
  <c r="Z1976" i="1"/>
  <c r="W1976" i="1"/>
  <c r="T1976" i="1"/>
  <c r="M1976" i="1"/>
  <c r="N1976" i="1" s="1"/>
  <c r="L1976" i="1"/>
  <c r="K1976" i="1"/>
  <c r="Z1975" i="1"/>
  <c r="W1975" i="1"/>
  <c r="T1975" i="1"/>
  <c r="M1975" i="1"/>
  <c r="N1975" i="1" s="1"/>
  <c r="L1975" i="1"/>
  <c r="K1975" i="1"/>
  <c r="Z1974" i="1"/>
  <c r="W1974" i="1"/>
  <c r="T1974" i="1"/>
  <c r="N1974" i="1"/>
  <c r="M1974" i="1"/>
  <c r="L1974" i="1"/>
  <c r="K1974" i="1"/>
  <c r="Z1973" i="1"/>
  <c r="W1973" i="1"/>
  <c r="T1973" i="1"/>
  <c r="N1973" i="1"/>
  <c r="M1973" i="1"/>
  <c r="K1973" i="1"/>
  <c r="L1973" i="1" s="1"/>
  <c r="Z1972" i="1"/>
  <c r="W1972" i="1"/>
  <c r="T1972" i="1"/>
  <c r="M1972" i="1"/>
  <c r="N1972" i="1" s="1"/>
  <c r="L1972" i="1"/>
  <c r="K1972" i="1"/>
  <c r="Z1971" i="1"/>
  <c r="W1971" i="1"/>
  <c r="T1971" i="1"/>
  <c r="M1971" i="1"/>
  <c r="N1971" i="1" s="1"/>
  <c r="L1971" i="1"/>
  <c r="K1971" i="1"/>
  <c r="Z1970" i="1"/>
  <c r="W1970" i="1"/>
  <c r="T1970" i="1"/>
  <c r="M1970" i="1"/>
  <c r="N1970" i="1" s="1"/>
  <c r="K1970" i="1"/>
  <c r="L1970" i="1" s="1"/>
  <c r="Z1969" i="1"/>
  <c r="W1969" i="1"/>
  <c r="T1969" i="1"/>
  <c r="N1969" i="1"/>
  <c r="M1969" i="1"/>
  <c r="K1969" i="1"/>
  <c r="L1969" i="1" s="1"/>
  <c r="Z1968" i="1"/>
  <c r="W1968" i="1"/>
  <c r="T1968" i="1"/>
  <c r="M1968" i="1"/>
  <c r="N1968" i="1" s="1"/>
  <c r="L1968" i="1"/>
  <c r="K1968" i="1"/>
  <c r="Z1967" i="1"/>
  <c r="W1967" i="1"/>
  <c r="T1967" i="1"/>
  <c r="N1967" i="1"/>
  <c r="M1967" i="1"/>
  <c r="K1967" i="1"/>
  <c r="L1967" i="1" s="1"/>
  <c r="Z1966" i="1"/>
  <c r="W1966" i="1"/>
  <c r="T1966" i="1"/>
  <c r="N1966" i="1"/>
  <c r="M1966" i="1"/>
  <c r="K1966" i="1"/>
  <c r="L1966" i="1" s="1"/>
  <c r="Z1965" i="1"/>
  <c r="W1965" i="1"/>
  <c r="T1965" i="1"/>
  <c r="M1965" i="1"/>
  <c r="N1965" i="1" s="1"/>
  <c r="L1965" i="1"/>
  <c r="K1965" i="1"/>
  <c r="Z1964" i="1"/>
  <c r="W1964" i="1"/>
  <c r="T1964" i="1"/>
  <c r="N1964" i="1"/>
  <c r="M1964" i="1"/>
  <c r="K1964" i="1"/>
  <c r="L1964" i="1" s="1"/>
  <c r="Z1963" i="1"/>
  <c r="W1963" i="1"/>
  <c r="T1963" i="1"/>
  <c r="M1963" i="1"/>
  <c r="N1963" i="1" s="1"/>
  <c r="L1963" i="1"/>
  <c r="K1963" i="1"/>
  <c r="Z1962" i="1"/>
  <c r="W1962" i="1"/>
  <c r="T1962" i="1"/>
  <c r="M1962" i="1"/>
  <c r="N1962" i="1" s="1"/>
  <c r="L1962" i="1"/>
  <c r="K1962" i="1"/>
  <c r="Z1961" i="1"/>
  <c r="W1961" i="1"/>
  <c r="T1961" i="1"/>
  <c r="M1961" i="1"/>
  <c r="N1961" i="1" s="1"/>
  <c r="K1961" i="1"/>
  <c r="L1961" i="1" s="1"/>
  <c r="Z1960" i="1"/>
  <c r="W1960" i="1"/>
  <c r="T1960" i="1"/>
  <c r="N1960" i="1"/>
  <c r="M1960" i="1"/>
  <c r="K1960" i="1"/>
  <c r="L1960" i="1" s="1"/>
  <c r="Z1959" i="1"/>
  <c r="W1959" i="1"/>
  <c r="T1959" i="1"/>
  <c r="M1959" i="1"/>
  <c r="N1959" i="1" s="1"/>
  <c r="L1959" i="1"/>
  <c r="K1959" i="1"/>
  <c r="Z1958" i="1"/>
  <c r="W1958" i="1"/>
  <c r="T1958" i="1"/>
  <c r="N1958" i="1"/>
  <c r="M1958" i="1"/>
  <c r="L1958" i="1"/>
  <c r="K1958" i="1"/>
  <c r="Z1957" i="1"/>
  <c r="W1957" i="1"/>
  <c r="T1957" i="1"/>
  <c r="N1957" i="1"/>
  <c r="M1957" i="1"/>
  <c r="L1957" i="1"/>
  <c r="K1957" i="1"/>
  <c r="Z1956" i="1"/>
  <c r="W1956" i="1"/>
  <c r="T1956" i="1"/>
  <c r="N1956" i="1"/>
  <c r="M1956" i="1"/>
  <c r="L1956" i="1"/>
  <c r="K1956" i="1"/>
  <c r="Z1955" i="1"/>
  <c r="W1955" i="1"/>
  <c r="T1955" i="1"/>
  <c r="N1955" i="1"/>
  <c r="M1955" i="1"/>
  <c r="L1955" i="1"/>
  <c r="K1955" i="1"/>
  <c r="Z1954" i="1"/>
  <c r="W1954" i="1"/>
  <c r="T1954" i="1"/>
  <c r="N1954" i="1"/>
  <c r="M1954" i="1"/>
  <c r="K1954" i="1"/>
  <c r="L1954" i="1" s="1"/>
  <c r="Z1953" i="1"/>
  <c r="W1953" i="1"/>
  <c r="T1953" i="1"/>
  <c r="N1953" i="1"/>
  <c r="M1953" i="1"/>
  <c r="K1953" i="1"/>
  <c r="L1953" i="1" s="1"/>
  <c r="Z1952" i="1"/>
  <c r="W1952" i="1"/>
  <c r="T1952" i="1"/>
  <c r="M1952" i="1"/>
  <c r="N1952" i="1" s="1"/>
  <c r="K1952" i="1"/>
  <c r="L1952" i="1" s="1"/>
  <c r="Z1951" i="1"/>
  <c r="W1951" i="1"/>
  <c r="T1951" i="1"/>
  <c r="M1951" i="1"/>
  <c r="N1951" i="1" s="1"/>
  <c r="L1951" i="1"/>
  <c r="K1951" i="1"/>
  <c r="Z1950" i="1"/>
  <c r="W1950" i="1"/>
  <c r="T1950" i="1"/>
  <c r="M1950" i="1"/>
  <c r="N1950" i="1" s="1"/>
  <c r="K1950" i="1"/>
  <c r="L1950" i="1" s="1"/>
  <c r="Z1949" i="1"/>
  <c r="W1949" i="1"/>
  <c r="T1949" i="1"/>
  <c r="M1949" i="1"/>
  <c r="N1949" i="1" s="1"/>
  <c r="K1949" i="1"/>
  <c r="L1949" i="1" s="1"/>
  <c r="Z1948" i="1"/>
  <c r="W1948" i="1"/>
  <c r="T1948" i="1"/>
  <c r="N1948" i="1"/>
  <c r="M1948" i="1"/>
  <c r="L1948" i="1"/>
  <c r="K1948" i="1"/>
  <c r="Z1947" i="1"/>
  <c r="W1947" i="1"/>
  <c r="T1947" i="1"/>
  <c r="M1947" i="1"/>
  <c r="N1947" i="1" s="1"/>
  <c r="K1947" i="1"/>
  <c r="L1947" i="1" s="1"/>
  <c r="Z1946" i="1"/>
  <c r="W1946" i="1"/>
  <c r="T1946" i="1"/>
  <c r="M1946" i="1"/>
  <c r="N1946" i="1" s="1"/>
  <c r="L1946" i="1"/>
  <c r="K1946" i="1"/>
  <c r="Z1945" i="1"/>
  <c r="W1945" i="1"/>
  <c r="T1945" i="1"/>
  <c r="N1945" i="1"/>
  <c r="M1945" i="1"/>
  <c r="K1945" i="1"/>
  <c r="L1945" i="1" s="1"/>
  <c r="Z1944" i="1"/>
  <c r="W1944" i="1"/>
  <c r="T1944" i="1"/>
  <c r="N1944" i="1"/>
  <c r="M1944" i="1"/>
  <c r="L1944" i="1"/>
  <c r="K1944" i="1"/>
  <c r="Z1943" i="1"/>
  <c r="W1943" i="1"/>
  <c r="T1943" i="1"/>
  <c r="M1943" i="1"/>
  <c r="N1943" i="1" s="1"/>
  <c r="L1943" i="1"/>
  <c r="K1943" i="1"/>
  <c r="Z1942" i="1"/>
  <c r="W1942" i="1"/>
  <c r="T1942" i="1"/>
  <c r="N1942" i="1"/>
  <c r="M1942" i="1"/>
  <c r="L1942" i="1"/>
  <c r="K1942" i="1"/>
  <c r="Z1941" i="1"/>
  <c r="W1941" i="1"/>
  <c r="T1941" i="1"/>
  <c r="N1941" i="1"/>
  <c r="M1941" i="1"/>
  <c r="K1941" i="1"/>
  <c r="L1941" i="1" s="1"/>
  <c r="Z1940" i="1"/>
  <c r="W1940" i="1"/>
  <c r="T1940" i="1"/>
  <c r="M1940" i="1"/>
  <c r="N1940" i="1" s="1"/>
  <c r="K1940" i="1"/>
  <c r="L1940" i="1" s="1"/>
  <c r="Z1939" i="1"/>
  <c r="W1939" i="1"/>
  <c r="T1939" i="1"/>
  <c r="N1939" i="1"/>
  <c r="M1939" i="1"/>
  <c r="K1939" i="1"/>
  <c r="L1939" i="1" s="1"/>
  <c r="Z1938" i="1"/>
  <c r="W1938" i="1"/>
  <c r="T1938" i="1"/>
  <c r="N1938" i="1"/>
  <c r="M1938" i="1"/>
  <c r="L1938" i="1"/>
  <c r="K1938" i="1"/>
  <c r="Z1937" i="1"/>
  <c r="W1937" i="1"/>
  <c r="T1937" i="1"/>
  <c r="M1937" i="1"/>
  <c r="N1937" i="1" s="1"/>
  <c r="K1937" i="1"/>
  <c r="L1937" i="1" s="1"/>
  <c r="Z1936" i="1"/>
  <c r="W1936" i="1"/>
  <c r="T1936" i="1"/>
  <c r="N1936" i="1"/>
  <c r="M1936" i="1"/>
  <c r="L1936" i="1"/>
  <c r="K1936" i="1"/>
  <c r="Z1935" i="1"/>
  <c r="W1935" i="1"/>
  <c r="T1935" i="1"/>
  <c r="M1935" i="1"/>
  <c r="N1935" i="1" s="1"/>
  <c r="K1935" i="1"/>
  <c r="L1935" i="1" s="1"/>
  <c r="Z1934" i="1"/>
  <c r="W1934" i="1"/>
  <c r="T1934" i="1"/>
  <c r="N1934" i="1"/>
  <c r="M1934" i="1"/>
  <c r="K1934" i="1"/>
  <c r="L1934" i="1" s="1"/>
  <c r="Z1933" i="1"/>
  <c r="W1933" i="1"/>
  <c r="T1933" i="1"/>
  <c r="N1933" i="1"/>
  <c r="M1933" i="1"/>
  <c r="K1933" i="1"/>
  <c r="L1933" i="1" s="1"/>
  <c r="Z1932" i="1"/>
  <c r="W1932" i="1"/>
  <c r="T1932" i="1"/>
  <c r="M1932" i="1"/>
  <c r="N1932" i="1" s="1"/>
  <c r="L1932" i="1"/>
  <c r="K1932" i="1"/>
  <c r="Z1931" i="1"/>
  <c r="W1931" i="1"/>
  <c r="T1931" i="1"/>
  <c r="M1931" i="1"/>
  <c r="N1931" i="1" s="1"/>
  <c r="K1931" i="1"/>
  <c r="L1931" i="1" s="1"/>
  <c r="Z1930" i="1"/>
  <c r="W1930" i="1"/>
  <c r="T1930" i="1"/>
  <c r="N1930" i="1"/>
  <c r="M1930" i="1"/>
  <c r="L1930" i="1"/>
  <c r="K1930" i="1"/>
  <c r="Z1929" i="1"/>
  <c r="W1929" i="1"/>
  <c r="T1929" i="1"/>
  <c r="M1929" i="1"/>
  <c r="N1929" i="1" s="1"/>
  <c r="L1929" i="1"/>
  <c r="K1929" i="1"/>
  <c r="Z1928" i="1"/>
  <c r="W1928" i="1"/>
  <c r="T1928" i="1"/>
  <c r="N1928" i="1"/>
  <c r="M1928" i="1"/>
  <c r="L1928" i="1"/>
  <c r="K1928" i="1"/>
  <c r="Z1927" i="1"/>
  <c r="W1927" i="1"/>
  <c r="T1927" i="1"/>
  <c r="N1927" i="1"/>
  <c r="M1927" i="1"/>
  <c r="L1927" i="1"/>
  <c r="K1927" i="1"/>
  <c r="Z1926" i="1"/>
  <c r="W1926" i="1"/>
  <c r="T1926" i="1"/>
  <c r="N1926" i="1"/>
  <c r="M1926" i="1"/>
  <c r="L1926" i="1"/>
  <c r="K1926" i="1"/>
  <c r="Z1925" i="1"/>
  <c r="W1925" i="1"/>
  <c r="T1925" i="1"/>
  <c r="N1925" i="1"/>
  <c r="M1925" i="1"/>
  <c r="K1925" i="1"/>
  <c r="L1925" i="1" s="1"/>
  <c r="Z1924" i="1"/>
  <c r="W1924" i="1"/>
  <c r="T1924" i="1"/>
  <c r="M1924" i="1"/>
  <c r="N1924" i="1" s="1"/>
  <c r="L1924" i="1"/>
  <c r="K1924" i="1"/>
  <c r="Z1923" i="1"/>
  <c r="W1923" i="1"/>
  <c r="T1923" i="1"/>
  <c r="M1923" i="1"/>
  <c r="N1923" i="1" s="1"/>
  <c r="K1923" i="1"/>
  <c r="L1923" i="1" s="1"/>
  <c r="Z1922" i="1"/>
  <c r="W1922" i="1"/>
  <c r="T1922" i="1"/>
  <c r="M1922" i="1"/>
  <c r="N1922" i="1" s="1"/>
  <c r="K1922" i="1"/>
  <c r="L1922" i="1" s="1"/>
  <c r="Z1921" i="1"/>
  <c r="W1921" i="1"/>
  <c r="T1921" i="1"/>
  <c r="N1921" i="1"/>
  <c r="M1921" i="1"/>
  <c r="L1921" i="1"/>
  <c r="K1921" i="1"/>
  <c r="Z1920" i="1"/>
  <c r="W1920" i="1"/>
  <c r="T1920" i="1"/>
  <c r="N1920" i="1"/>
  <c r="M1920" i="1"/>
  <c r="L1920" i="1"/>
  <c r="K1920" i="1"/>
  <c r="Z1919" i="1"/>
  <c r="W1919" i="1"/>
  <c r="T1919" i="1"/>
  <c r="M1919" i="1"/>
  <c r="N1919" i="1" s="1"/>
  <c r="L1919" i="1"/>
  <c r="K1919" i="1"/>
  <c r="Z1918" i="1"/>
  <c r="W1918" i="1"/>
  <c r="T1918" i="1"/>
  <c r="N1918" i="1"/>
  <c r="M1918" i="1"/>
  <c r="L1918" i="1"/>
  <c r="K1918" i="1"/>
  <c r="Z1917" i="1"/>
  <c r="W1917" i="1"/>
  <c r="T1917" i="1"/>
  <c r="N1917" i="1"/>
  <c r="M1917" i="1"/>
  <c r="K1917" i="1"/>
  <c r="L1917" i="1" s="1"/>
  <c r="Z1916" i="1"/>
  <c r="W1916" i="1"/>
  <c r="T1916" i="1"/>
  <c r="N1916" i="1"/>
  <c r="M1916" i="1"/>
  <c r="L1916" i="1"/>
  <c r="K1916" i="1"/>
  <c r="Z1915" i="1"/>
  <c r="W1915" i="1"/>
  <c r="T1915" i="1"/>
  <c r="M1915" i="1"/>
  <c r="N1915" i="1" s="1"/>
  <c r="L1915" i="1"/>
  <c r="K1915" i="1"/>
  <c r="Z1914" i="1"/>
  <c r="W1914" i="1"/>
  <c r="T1914" i="1"/>
  <c r="N1914" i="1"/>
  <c r="M1914" i="1"/>
  <c r="K1914" i="1"/>
  <c r="L1914" i="1" s="1"/>
  <c r="Z1913" i="1"/>
  <c r="W1913" i="1"/>
  <c r="T1913" i="1"/>
  <c r="N1913" i="1"/>
  <c r="M1913" i="1"/>
  <c r="K1913" i="1"/>
  <c r="L1913" i="1" s="1"/>
  <c r="Z1912" i="1"/>
  <c r="W1912" i="1"/>
  <c r="T1912" i="1"/>
  <c r="M1912" i="1"/>
  <c r="N1912" i="1" s="1"/>
  <c r="L1912" i="1"/>
  <c r="K1912" i="1"/>
  <c r="Z1911" i="1"/>
  <c r="W1911" i="1"/>
  <c r="T1911" i="1"/>
  <c r="M1911" i="1"/>
  <c r="N1911" i="1" s="1"/>
  <c r="L1911" i="1"/>
  <c r="K1911" i="1"/>
  <c r="Z1910" i="1"/>
  <c r="W1910" i="1"/>
  <c r="T1910" i="1"/>
  <c r="M1910" i="1"/>
  <c r="N1910" i="1" s="1"/>
  <c r="K1910" i="1"/>
  <c r="L1910" i="1" s="1"/>
  <c r="Z1909" i="1"/>
  <c r="W1909" i="1"/>
  <c r="T1909" i="1"/>
  <c r="M1909" i="1"/>
  <c r="N1909" i="1" s="1"/>
  <c r="K1909" i="1"/>
  <c r="L1909" i="1" s="1"/>
  <c r="Z1908" i="1"/>
  <c r="W1908" i="1"/>
  <c r="T1908" i="1"/>
  <c r="N1908" i="1"/>
  <c r="M1908" i="1"/>
  <c r="L1908" i="1"/>
  <c r="K1908" i="1"/>
  <c r="Z1907" i="1"/>
  <c r="W1907" i="1"/>
  <c r="T1907" i="1"/>
  <c r="M1907" i="1"/>
  <c r="N1907" i="1" s="1"/>
  <c r="L1907" i="1"/>
  <c r="K1907" i="1"/>
  <c r="Z1906" i="1"/>
  <c r="W1906" i="1"/>
  <c r="T1906" i="1"/>
  <c r="N1906" i="1"/>
  <c r="M1906" i="1"/>
  <c r="K1906" i="1"/>
  <c r="L1906" i="1" s="1"/>
  <c r="Z1905" i="1"/>
  <c r="W1905" i="1"/>
  <c r="T1905" i="1"/>
  <c r="M1905" i="1"/>
  <c r="N1905" i="1" s="1"/>
  <c r="K1905" i="1"/>
  <c r="L1905" i="1" s="1"/>
  <c r="Z1904" i="1"/>
  <c r="W1904" i="1"/>
  <c r="T1904" i="1"/>
  <c r="M1904" i="1"/>
  <c r="N1904" i="1" s="1"/>
  <c r="L1904" i="1"/>
  <c r="K1904" i="1"/>
  <c r="Z1903" i="1"/>
  <c r="W1903" i="1"/>
  <c r="T1903" i="1"/>
  <c r="N1903" i="1"/>
  <c r="M1903" i="1"/>
  <c r="L1903" i="1"/>
  <c r="K1903" i="1"/>
  <c r="Z1902" i="1"/>
  <c r="W1902" i="1"/>
  <c r="T1902" i="1"/>
  <c r="N1902" i="1"/>
  <c r="M1902" i="1"/>
  <c r="L1902" i="1"/>
  <c r="K1902" i="1"/>
  <c r="Z1901" i="1"/>
  <c r="W1901" i="1"/>
  <c r="T1901" i="1"/>
  <c r="N1901" i="1"/>
  <c r="M1901" i="1"/>
  <c r="K1901" i="1"/>
  <c r="L1901" i="1" s="1"/>
  <c r="Z1900" i="1"/>
  <c r="W1900" i="1"/>
  <c r="T1900" i="1"/>
  <c r="M1900" i="1"/>
  <c r="N1900" i="1" s="1"/>
  <c r="L1900" i="1"/>
  <c r="K1900" i="1"/>
  <c r="Z1899" i="1"/>
  <c r="W1899" i="1"/>
  <c r="T1899" i="1"/>
  <c r="M1899" i="1"/>
  <c r="N1899" i="1" s="1"/>
  <c r="L1899" i="1"/>
  <c r="K1899" i="1"/>
  <c r="Z1898" i="1"/>
  <c r="W1898" i="1"/>
  <c r="T1898" i="1"/>
  <c r="M1898" i="1"/>
  <c r="N1898" i="1" s="1"/>
  <c r="K1898" i="1"/>
  <c r="L1898" i="1" s="1"/>
  <c r="Z1897" i="1"/>
  <c r="W1897" i="1"/>
  <c r="T1897" i="1"/>
  <c r="N1897" i="1"/>
  <c r="M1897" i="1"/>
  <c r="K1897" i="1"/>
  <c r="L1897" i="1" s="1"/>
  <c r="Z1896" i="1"/>
  <c r="W1896" i="1"/>
  <c r="T1896" i="1"/>
  <c r="N1896" i="1"/>
  <c r="M1896" i="1"/>
  <c r="L1896" i="1"/>
  <c r="K1896" i="1"/>
  <c r="Z1895" i="1"/>
  <c r="W1895" i="1"/>
  <c r="T1895" i="1"/>
  <c r="M1895" i="1"/>
  <c r="N1895" i="1" s="1"/>
  <c r="K1895" i="1"/>
  <c r="L1895" i="1" s="1"/>
  <c r="Z1894" i="1"/>
  <c r="W1894" i="1"/>
  <c r="T1894" i="1"/>
  <c r="N1894" i="1"/>
  <c r="M1894" i="1"/>
  <c r="L1894" i="1"/>
  <c r="K1894" i="1"/>
  <c r="Z1893" i="1"/>
  <c r="W1893" i="1"/>
  <c r="T1893" i="1"/>
  <c r="M1893" i="1"/>
  <c r="N1893" i="1" s="1"/>
  <c r="L1893" i="1"/>
  <c r="K1893" i="1"/>
  <c r="Z1892" i="1"/>
  <c r="W1892" i="1"/>
  <c r="T1892" i="1"/>
  <c r="M1892" i="1"/>
  <c r="N1892" i="1" s="1"/>
  <c r="L1892" i="1"/>
  <c r="K1892" i="1"/>
  <c r="Z1891" i="1"/>
  <c r="W1891" i="1"/>
  <c r="T1891" i="1"/>
  <c r="N1891" i="1"/>
  <c r="M1891" i="1"/>
  <c r="K1891" i="1"/>
  <c r="L1891" i="1" s="1"/>
  <c r="Z1890" i="1"/>
  <c r="W1890" i="1"/>
  <c r="T1890" i="1"/>
  <c r="N1890" i="1"/>
  <c r="M1890" i="1"/>
  <c r="L1890" i="1"/>
  <c r="K1890" i="1"/>
  <c r="Z1889" i="1"/>
  <c r="W1889" i="1"/>
  <c r="T1889" i="1"/>
  <c r="M1889" i="1"/>
  <c r="N1889" i="1" s="1"/>
  <c r="K1889" i="1"/>
  <c r="L1889" i="1" s="1"/>
  <c r="Z1888" i="1"/>
  <c r="W1888" i="1"/>
  <c r="T1888" i="1"/>
  <c r="M1888" i="1"/>
  <c r="N1888" i="1" s="1"/>
  <c r="K1888" i="1"/>
  <c r="L1888" i="1" s="1"/>
  <c r="Z1887" i="1"/>
  <c r="W1887" i="1"/>
  <c r="T1887" i="1"/>
  <c r="M1887" i="1"/>
  <c r="N1887" i="1" s="1"/>
  <c r="L1887" i="1"/>
  <c r="K1887" i="1"/>
  <c r="Z1886" i="1"/>
  <c r="W1886" i="1"/>
  <c r="T1886" i="1"/>
  <c r="N1886" i="1"/>
  <c r="M1886" i="1"/>
  <c r="K1886" i="1"/>
  <c r="L1886" i="1" s="1"/>
  <c r="Z1885" i="1"/>
  <c r="W1885" i="1"/>
  <c r="T1885" i="1"/>
  <c r="N1885" i="1"/>
  <c r="M1885" i="1"/>
  <c r="L1885" i="1"/>
  <c r="K1885" i="1"/>
  <c r="Z1884" i="1"/>
  <c r="W1884" i="1"/>
  <c r="T1884" i="1"/>
  <c r="M1884" i="1"/>
  <c r="N1884" i="1" s="1"/>
  <c r="L1884" i="1"/>
  <c r="K1884" i="1"/>
  <c r="Z1883" i="1"/>
  <c r="W1883" i="1"/>
  <c r="T1883" i="1"/>
  <c r="N1883" i="1"/>
  <c r="M1883" i="1"/>
  <c r="K1883" i="1"/>
  <c r="L1883" i="1" s="1"/>
  <c r="Z1882" i="1"/>
  <c r="W1882" i="1"/>
  <c r="T1882" i="1"/>
  <c r="N1882" i="1"/>
  <c r="M1882" i="1"/>
  <c r="L1882" i="1"/>
  <c r="K1882" i="1"/>
  <c r="Z1881" i="1"/>
  <c r="W1881" i="1"/>
  <c r="T1881" i="1"/>
  <c r="M1881" i="1"/>
  <c r="N1881" i="1" s="1"/>
  <c r="K1881" i="1"/>
  <c r="L1881" i="1" s="1"/>
  <c r="Z1880" i="1"/>
  <c r="W1880" i="1"/>
  <c r="T1880" i="1"/>
  <c r="N1880" i="1"/>
  <c r="M1880" i="1"/>
  <c r="K1880" i="1"/>
  <c r="L1880" i="1" s="1"/>
  <c r="Z1879" i="1"/>
  <c r="W1879" i="1"/>
  <c r="T1879" i="1"/>
  <c r="M1879" i="1"/>
  <c r="N1879" i="1" s="1"/>
  <c r="L1879" i="1"/>
  <c r="K1879" i="1"/>
  <c r="Z1878" i="1"/>
  <c r="W1878" i="1"/>
  <c r="T1878" i="1"/>
  <c r="N1878" i="1"/>
  <c r="M1878" i="1"/>
  <c r="L1878" i="1"/>
  <c r="K1878" i="1"/>
  <c r="Z1877" i="1"/>
  <c r="W1877" i="1"/>
  <c r="T1877" i="1"/>
  <c r="N1877" i="1"/>
  <c r="M1877" i="1"/>
  <c r="K1877" i="1"/>
  <c r="L1877" i="1" s="1"/>
  <c r="Z1876" i="1"/>
  <c r="W1876" i="1"/>
  <c r="T1876" i="1"/>
  <c r="M1876" i="1"/>
  <c r="N1876" i="1" s="1"/>
  <c r="L1876" i="1"/>
  <c r="K1876" i="1"/>
  <c r="Z1875" i="1"/>
  <c r="W1875" i="1"/>
  <c r="T1875" i="1"/>
  <c r="M1875" i="1"/>
  <c r="N1875" i="1" s="1"/>
  <c r="K1875" i="1"/>
  <c r="L1875" i="1" s="1"/>
  <c r="Z1874" i="1"/>
  <c r="W1874" i="1"/>
  <c r="T1874" i="1"/>
  <c r="M1874" i="1"/>
  <c r="N1874" i="1" s="1"/>
  <c r="K1874" i="1"/>
  <c r="L1874" i="1" s="1"/>
  <c r="Z1873" i="1"/>
  <c r="W1873" i="1"/>
  <c r="T1873" i="1"/>
  <c r="M1873" i="1"/>
  <c r="N1873" i="1" s="1"/>
  <c r="L1873" i="1"/>
  <c r="K1873" i="1"/>
  <c r="Z1872" i="1"/>
  <c r="W1872" i="1"/>
  <c r="T1872" i="1"/>
  <c r="M1872" i="1"/>
  <c r="N1872" i="1" s="1"/>
  <c r="L1872" i="1"/>
  <c r="K1872" i="1"/>
  <c r="Z1871" i="1"/>
  <c r="W1871" i="1"/>
  <c r="T1871" i="1"/>
  <c r="M1871" i="1"/>
  <c r="N1871" i="1" s="1"/>
  <c r="K1871" i="1"/>
  <c r="L1871" i="1" s="1"/>
  <c r="Z1870" i="1"/>
  <c r="W1870" i="1"/>
  <c r="T1870" i="1"/>
  <c r="N1870" i="1"/>
  <c r="M1870" i="1"/>
  <c r="L1870" i="1"/>
  <c r="K1870" i="1"/>
  <c r="Z1869" i="1"/>
  <c r="W1869" i="1"/>
  <c r="T1869" i="1"/>
  <c r="M1869" i="1"/>
  <c r="N1869" i="1" s="1"/>
  <c r="L1869" i="1"/>
  <c r="K1869" i="1"/>
  <c r="Z1868" i="1"/>
  <c r="W1868" i="1"/>
  <c r="T1868" i="1"/>
  <c r="N1868" i="1"/>
  <c r="M1868" i="1"/>
  <c r="K1868" i="1"/>
  <c r="L1868" i="1" s="1"/>
  <c r="Z1867" i="1"/>
  <c r="W1867" i="1"/>
  <c r="T1867" i="1"/>
  <c r="N1867" i="1"/>
  <c r="M1867" i="1"/>
  <c r="L1867" i="1"/>
  <c r="K1867" i="1"/>
  <c r="Z1866" i="1"/>
  <c r="W1866" i="1"/>
  <c r="T1866" i="1"/>
  <c r="M1866" i="1"/>
  <c r="N1866" i="1" s="1"/>
  <c r="L1866" i="1"/>
  <c r="K1866" i="1"/>
  <c r="Z1865" i="1"/>
  <c r="W1865" i="1"/>
  <c r="T1865" i="1"/>
  <c r="M1865" i="1"/>
  <c r="N1865" i="1" s="1"/>
  <c r="K1865" i="1"/>
  <c r="L1865" i="1" s="1"/>
  <c r="Z1864" i="1"/>
  <c r="W1864" i="1"/>
  <c r="T1864" i="1"/>
  <c r="M1864" i="1"/>
  <c r="N1864" i="1" s="1"/>
  <c r="L1864" i="1"/>
  <c r="K1864" i="1"/>
  <c r="Z1863" i="1"/>
  <c r="W1863" i="1"/>
  <c r="T1863" i="1"/>
  <c r="M1863" i="1"/>
  <c r="N1863" i="1" s="1"/>
  <c r="K1863" i="1"/>
  <c r="L1863" i="1" s="1"/>
  <c r="Z1862" i="1"/>
  <c r="W1862" i="1"/>
  <c r="T1862" i="1"/>
  <c r="M1862" i="1"/>
  <c r="N1862" i="1" s="1"/>
  <c r="K1862" i="1"/>
  <c r="L1862" i="1" s="1"/>
  <c r="Z1861" i="1"/>
  <c r="W1861" i="1"/>
  <c r="T1861" i="1"/>
  <c r="N1861" i="1"/>
  <c r="M1861" i="1"/>
  <c r="K1861" i="1"/>
  <c r="L1861" i="1" s="1"/>
  <c r="Z1860" i="1"/>
  <c r="W1860" i="1"/>
  <c r="T1860" i="1"/>
  <c r="M1860" i="1"/>
  <c r="N1860" i="1" s="1"/>
  <c r="K1860" i="1"/>
  <c r="L1860" i="1" s="1"/>
  <c r="Z1859" i="1"/>
  <c r="W1859" i="1"/>
  <c r="T1859" i="1"/>
  <c r="M1859" i="1"/>
  <c r="N1859" i="1" s="1"/>
  <c r="L1859" i="1"/>
  <c r="K1859" i="1"/>
  <c r="Z1858" i="1"/>
  <c r="W1858" i="1"/>
  <c r="T1858" i="1"/>
  <c r="N1858" i="1"/>
  <c r="M1858" i="1"/>
  <c r="L1858" i="1"/>
  <c r="K1858" i="1"/>
  <c r="Z1857" i="1"/>
  <c r="W1857" i="1"/>
  <c r="T1857" i="1"/>
  <c r="N1857" i="1"/>
  <c r="M1857" i="1"/>
  <c r="L1857" i="1"/>
  <c r="K1857" i="1"/>
  <c r="Z1856" i="1"/>
  <c r="W1856" i="1"/>
  <c r="T1856" i="1"/>
  <c r="N1856" i="1"/>
  <c r="M1856" i="1"/>
  <c r="L1856" i="1"/>
  <c r="K1856" i="1"/>
  <c r="Z1855" i="1"/>
  <c r="W1855" i="1"/>
  <c r="T1855" i="1"/>
  <c r="N1855" i="1"/>
  <c r="M1855" i="1"/>
  <c r="K1855" i="1"/>
  <c r="L1855" i="1" s="1"/>
  <c r="Z1854" i="1"/>
  <c r="W1854" i="1"/>
  <c r="T1854" i="1"/>
  <c r="N1854" i="1"/>
  <c r="M1854" i="1"/>
  <c r="L1854" i="1"/>
  <c r="K1854" i="1"/>
  <c r="Z1853" i="1"/>
  <c r="W1853" i="1"/>
  <c r="T1853" i="1"/>
  <c r="M1853" i="1"/>
  <c r="N1853" i="1" s="1"/>
  <c r="K1853" i="1"/>
  <c r="L1853" i="1" s="1"/>
  <c r="Z1852" i="1"/>
  <c r="W1852" i="1"/>
  <c r="T1852" i="1"/>
  <c r="N1852" i="1"/>
  <c r="M1852" i="1"/>
  <c r="L1852" i="1"/>
  <c r="K1852" i="1"/>
  <c r="Z1851" i="1"/>
  <c r="W1851" i="1"/>
  <c r="T1851" i="1"/>
  <c r="M1851" i="1"/>
  <c r="N1851" i="1" s="1"/>
  <c r="K1851" i="1"/>
  <c r="L1851" i="1" s="1"/>
  <c r="Z1850" i="1"/>
  <c r="W1850" i="1"/>
  <c r="T1850" i="1"/>
  <c r="N1850" i="1"/>
  <c r="M1850" i="1"/>
  <c r="K1850" i="1"/>
  <c r="L1850" i="1" s="1"/>
  <c r="Z1849" i="1"/>
  <c r="W1849" i="1"/>
  <c r="T1849" i="1"/>
  <c r="N1849" i="1"/>
  <c r="M1849" i="1"/>
  <c r="L1849" i="1"/>
  <c r="K1849" i="1"/>
  <c r="Z1848" i="1"/>
  <c r="W1848" i="1"/>
  <c r="T1848" i="1"/>
  <c r="M1848" i="1"/>
  <c r="N1848" i="1" s="1"/>
  <c r="K1848" i="1"/>
  <c r="L1848" i="1" s="1"/>
  <c r="Z1847" i="1"/>
  <c r="W1847" i="1"/>
  <c r="T1847" i="1"/>
  <c r="N1847" i="1"/>
  <c r="M1847" i="1"/>
  <c r="K1847" i="1"/>
  <c r="L1847" i="1" s="1"/>
  <c r="Z1846" i="1"/>
  <c r="W1846" i="1"/>
  <c r="T1846" i="1"/>
  <c r="N1846" i="1"/>
  <c r="M1846" i="1"/>
  <c r="L1846" i="1"/>
  <c r="K1846" i="1"/>
  <c r="Z1845" i="1"/>
  <c r="W1845" i="1"/>
  <c r="T1845" i="1"/>
  <c r="M1845" i="1"/>
  <c r="N1845" i="1" s="1"/>
  <c r="L1845" i="1"/>
  <c r="K1845" i="1"/>
  <c r="Z1844" i="1"/>
  <c r="W1844" i="1"/>
  <c r="T1844" i="1"/>
  <c r="M1844" i="1"/>
  <c r="N1844" i="1" s="1"/>
  <c r="L1844" i="1"/>
  <c r="K1844" i="1"/>
  <c r="Z1843" i="1"/>
  <c r="W1843" i="1"/>
  <c r="T1843" i="1"/>
  <c r="N1843" i="1"/>
  <c r="M1843" i="1"/>
  <c r="L1843" i="1"/>
  <c r="K1843" i="1"/>
  <c r="Z1842" i="1"/>
  <c r="W1842" i="1"/>
  <c r="T1842" i="1"/>
  <c r="N1842" i="1"/>
  <c r="M1842" i="1"/>
  <c r="L1842" i="1"/>
  <c r="K1842" i="1"/>
  <c r="Z1841" i="1"/>
  <c r="W1841" i="1"/>
  <c r="T1841" i="1"/>
  <c r="N1841" i="1"/>
  <c r="M1841" i="1"/>
  <c r="L1841" i="1"/>
  <c r="K1841" i="1"/>
  <c r="Z1840" i="1"/>
  <c r="W1840" i="1"/>
  <c r="T1840" i="1"/>
  <c r="N1840" i="1"/>
  <c r="M1840" i="1"/>
  <c r="L1840" i="1"/>
  <c r="K1840" i="1"/>
  <c r="Z1839" i="1"/>
  <c r="W1839" i="1"/>
  <c r="T1839" i="1"/>
  <c r="N1839" i="1"/>
  <c r="M1839" i="1"/>
  <c r="K1839" i="1"/>
  <c r="L1839" i="1" s="1"/>
  <c r="Z1838" i="1"/>
  <c r="W1838" i="1"/>
  <c r="T1838" i="1"/>
  <c r="N1838" i="1"/>
  <c r="M1838" i="1"/>
  <c r="K1838" i="1"/>
  <c r="L1838" i="1" s="1"/>
  <c r="Z1837" i="1"/>
  <c r="W1837" i="1"/>
  <c r="T1837" i="1"/>
  <c r="M1837" i="1"/>
  <c r="N1837" i="1" s="1"/>
  <c r="L1837" i="1"/>
  <c r="K1837" i="1"/>
  <c r="Z1836" i="1"/>
  <c r="W1836" i="1"/>
  <c r="T1836" i="1"/>
  <c r="M1836" i="1"/>
  <c r="N1836" i="1" s="1"/>
  <c r="K1836" i="1"/>
  <c r="L1836" i="1" s="1"/>
  <c r="Z1835" i="1"/>
  <c r="W1835" i="1"/>
  <c r="T1835" i="1"/>
  <c r="M1835" i="1"/>
  <c r="N1835" i="1" s="1"/>
  <c r="K1835" i="1"/>
  <c r="L1835" i="1" s="1"/>
  <c r="Z1834" i="1"/>
  <c r="W1834" i="1"/>
  <c r="T1834" i="1"/>
  <c r="N1834" i="1"/>
  <c r="M1834" i="1"/>
  <c r="L1834" i="1"/>
  <c r="K1834" i="1"/>
  <c r="Z1833" i="1"/>
  <c r="W1833" i="1"/>
  <c r="T1833" i="1"/>
  <c r="M1833" i="1"/>
  <c r="N1833" i="1" s="1"/>
  <c r="K1833" i="1"/>
  <c r="L1833" i="1" s="1"/>
  <c r="Z1832" i="1"/>
  <c r="W1832" i="1"/>
  <c r="T1832" i="1"/>
  <c r="N1832" i="1"/>
  <c r="M1832" i="1"/>
  <c r="L1832" i="1"/>
  <c r="K1832" i="1"/>
  <c r="Z1831" i="1"/>
  <c r="W1831" i="1"/>
  <c r="T1831" i="1"/>
  <c r="M1831" i="1"/>
  <c r="N1831" i="1" s="1"/>
  <c r="K1831" i="1"/>
  <c r="L1831" i="1" s="1"/>
  <c r="Z1830" i="1"/>
  <c r="W1830" i="1"/>
  <c r="T1830" i="1"/>
  <c r="N1830" i="1"/>
  <c r="M1830" i="1"/>
  <c r="L1830" i="1"/>
  <c r="K1830" i="1"/>
  <c r="Z1829" i="1"/>
  <c r="W1829" i="1"/>
  <c r="T1829" i="1"/>
  <c r="M1829" i="1"/>
  <c r="N1829" i="1" s="1"/>
  <c r="K1829" i="1"/>
  <c r="L1829" i="1" s="1"/>
  <c r="Z1828" i="1"/>
  <c r="W1828" i="1"/>
  <c r="T1828" i="1"/>
  <c r="N1828" i="1"/>
  <c r="M1828" i="1"/>
  <c r="L1828" i="1"/>
  <c r="K1828" i="1"/>
  <c r="Z1827" i="1"/>
  <c r="W1827" i="1"/>
  <c r="T1827" i="1"/>
  <c r="M1827" i="1"/>
  <c r="N1827" i="1" s="1"/>
  <c r="L1827" i="1"/>
  <c r="K1827" i="1"/>
  <c r="Z1826" i="1"/>
  <c r="W1826" i="1"/>
  <c r="T1826" i="1"/>
  <c r="N1826" i="1"/>
  <c r="M1826" i="1"/>
  <c r="K1826" i="1"/>
  <c r="L1826" i="1" s="1"/>
  <c r="Z1825" i="1"/>
  <c r="W1825" i="1"/>
  <c r="T1825" i="1"/>
  <c r="N1825" i="1"/>
  <c r="M1825" i="1"/>
  <c r="K1825" i="1"/>
  <c r="L1825" i="1" s="1"/>
  <c r="Z1824" i="1"/>
  <c r="W1824" i="1"/>
  <c r="T1824" i="1"/>
  <c r="M1824" i="1"/>
  <c r="N1824" i="1" s="1"/>
  <c r="L1824" i="1"/>
  <c r="K1824" i="1"/>
  <c r="Z1823" i="1"/>
  <c r="W1823" i="1"/>
  <c r="T1823" i="1"/>
  <c r="N1823" i="1"/>
  <c r="M1823" i="1"/>
  <c r="L1823" i="1"/>
  <c r="K1823" i="1"/>
  <c r="Z1822" i="1"/>
  <c r="W1822" i="1"/>
  <c r="T1822" i="1"/>
  <c r="N1822" i="1"/>
  <c r="M1822" i="1"/>
  <c r="K1822" i="1"/>
  <c r="L1822" i="1" s="1"/>
  <c r="Z1821" i="1"/>
  <c r="W1821" i="1"/>
  <c r="T1821" i="1"/>
  <c r="N1821" i="1"/>
  <c r="M1821" i="1"/>
  <c r="K1821" i="1"/>
  <c r="L1821" i="1" s="1"/>
  <c r="Z1820" i="1"/>
  <c r="W1820" i="1"/>
  <c r="T1820" i="1"/>
  <c r="M1820" i="1"/>
  <c r="N1820" i="1" s="1"/>
  <c r="K1820" i="1"/>
  <c r="L1820" i="1" s="1"/>
  <c r="Z1819" i="1"/>
  <c r="W1819" i="1"/>
  <c r="T1819" i="1"/>
  <c r="M1819" i="1"/>
  <c r="N1819" i="1" s="1"/>
  <c r="K1819" i="1"/>
  <c r="L1819" i="1" s="1"/>
  <c r="Z1818" i="1"/>
  <c r="W1818" i="1"/>
  <c r="T1818" i="1"/>
  <c r="N1818" i="1"/>
  <c r="M1818" i="1"/>
  <c r="K1818" i="1"/>
  <c r="L1818" i="1" s="1"/>
  <c r="Z1817" i="1"/>
  <c r="W1817" i="1"/>
  <c r="T1817" i="1"/>
  <c r="M1817" i="1"/>
  <c r="N1817" i="1" s="1"/>
  <c r="K1817" i="1"/>
  <c r="L1817" i="1" s="1"/>
  <c r="Z1816" i="1"/>
  <c r="W1816" i="1"/>
  <c r="T1816" i="1"/>
  <c r="M1816" i="1"/>
  <c r="N1816" i="1" s="1"/>
  <c r="L1816" i="1"/>
  <c r="K1816" i="1"/>
  <c r="Z1815" i="1"/>
  <c r="W1815" i="1"/>
  <c r="T1815" i="1"/>
  <c r="N1815" i="1"/>
  <c r="M1815" i="1"/>
  <c r="K1815" i="1"/>
  <c r="L1815" i="1" s="1"/>
  <c r="Z1814" i="1"/>
  <c r="W1814" i="1"/>
  <c r="T1814" i="1"/>
  <c r="N1814" i="1"/>
  <c r="M1814" i="1"/>
  <c r="L1814" i="1"/>
  <c r="K1814" i="1"/>
  <c r="Z1813" i="1"/>
  <c r="W1813" i="1"/>
  <c r="T1813" i="1"/>
  <c r="M1813" i="1"/>
  <c r="N1813" i="1" s="1"/>
  <c r="K1813" i="1"/>
  <c r="L1813" i="1" s="1"/>
  <c r="Z1812" i="1"/>
  <c r="W1812" i="1"/>
  <c r="T1812" i="1"/>
  <c r="N1812" i="1"/>
  <c r="M1812" i="1"/>
  <c r="K1812" i="1"/>
  <c r="L1812" i="1" s="1"/>
  <c r="Z1811" i="1"/>
  <c r="W1811" i="1"/>
  <c r="T1811" i="1"/>
  <c r="M1811" i="1"/>
  <c r="N1811" i="1" s="1"/>
  <c r="L1811" i="1"/>
  <c r="K1811" i="1"/>
  <c r="Z1810" i="1"/>
  <c r="W1810" i="1"/>
  <c r="T1810" i="1"/>
  <c r="M1810" i="1"/>
  <c r="N1810" i="1" s="1"/>
  <c r="L1810" i="1"/>
  <c r="K1810" i="1"/>
  <c r="Z1809" i="1"/>
  <c r="W1809" i="1"/>
  <c r="T1809" i="1"/>
  <c r="N1809" i="1"/>
  <c r="M1809" i="1"/>
  <c r="K1809" i="1"/>
  <c r="L1809" i="1" s="1"/>
  <c r="Z1808" i="1"/>
  <c r="W1808" i="1"/>
  <c r="T1808" i="1"/>
  <c r="M1808" i="1"/>
  <c r="N1808" i="1" s="1"/>
  <c r="K1808" i="1"/>
  <c r="L1808" i="1" s="1"/>
  <c r="Z1807" i="1"/>
  <c r="W1807" i="1"/>
  <c r="T1807" i="1"/>
  <c r="M1807" i="1"/>
  <c r="N1807" i="1" s="1"/>
  <c r="K1807" i="1"/>
  <c r="L1807" i="1" s="1"/>
  <c r="Z1806" i="1"/>
  <c r="W1806" i="1"/>
  <c r="T1806" i="1"/>
  <c r="N1806" i="1"/>
  <c r="M1806" i="1"/>
  <c r="L1806" i="1"/>
  <c r="K1806" i="1"/>
  <c r="Z1805" i="1"/>
  <c r="W1805" i="1"/>
  <c r="T1805" i="1"/>
  <c r="M1805" i="1"/>
  <c r="N1805" i="1" s="1"/>
  <c r="K1805" i="1"/>
  <c r="L1805" i="1" s="1"/>
  <c r="Z1804" i="1"/>
  <c r="W1804" i="1"/>
  <c r="T1804" i="1"/>
  <c r="M1804" i="1"/>
  <c r="N1804" i="1" s="1"/>
  <c r="L1804" i="1"/>
  <c r="K1804" i="1"/>
  <c r="Z1803" i="1"/>
  <c r="W1803" i="1"/>
  <c r="T1803" i="1"/>
  <c r="M1803" i="1"/>
  <c r="N1803" i="1" s="1"/>
  <c r="K1803" i="1"/>
  <c r="L1803" i="1" s="1"/>
  <c r="Z1802" i="1"/>
  <c r="W1802" i="1"/>
  <c r="T1802" i="1"/>
  <c r="N1802" i="1"/>
  <c r="M1802" i="1"/>
  <c r="K1802" i="1"/>
  <c r="L1802" i="1" s="1"/>
  <c r="Z1801" i="1"/>
  <c r="W1801" i="1"/>
  <c r="T1801" i="1"/>
  <c r="N1801" i="1"/>
  <c r="M1801" i="1"/>
  <c r="K1801" i="1"/>
  <c r="L1801" i="1" s="1"/>
  <c r="Z1800" i="1"/>
  <c r="W1800" i="1"/>
  <c r="T1800" i="1"/>
  <c r="N1800" i="1"/>
  <c r="M1800" i="1"/>
  <c r="L1800" i="1"/>
  <c r="K1800" i="1"/>
  <c r="Z1799" i="1"/>
  <c r="W1799" i="1"/>
  <c r="T1799" i="1"/>
  <c r="M1799" i="1"/>
  <c r="N1799" i="1" s="1"/>
  <c r="K1799" i="1"/>
  <c r="L1799" i="1" s="1"/>
  <c r="Z1798" i="1"/>
  <c r="W1798" i="1"/>
  <c r="T1798" i="1"/>
  <c r="N1798" i="1"/>
  <c r="M1798" i="1"/>
  <c r="L1798" i="1"/>
  <c r="K1798" i="1"/>
  <c r="Z1797" i="1"/>
  <c r="W1797" i="1"/>
  <c r="T1797" i="1"/>
  <c r="M1797" i="1"/>
  <c r="N1797" i="1" s="1"/>
  <c r="K1797" i="1"/>
  <c r="L1797" i="1" s="1"/>
  <c r="Z1796" i="1"/>
  <c r="W1796" i="1"/>
  <c r="T1796" i="1"/>
  <c r="M1796" i="1"/>
  <c r="N1796" i="1" s="1"/>
  <c r="L1796" i="1"/>
  <c r="K1796" i="1"/>
  <c r="Z1795" i="1"/>
  <c r="W1795" i="1"/>
  <c r="T1795" i="1"/>
  <c r="M1795" i="1"/>
  <c r="N1795" i="1" s="1"/>
  <c r="L1795" i="1"/>
  <c r="K1795" i="1"/>
  <c r="Z1794" i="1"/>
  <c r="W1794" i="1"/>
  <c r="T1794" i="1"/>
  <c r="N1794" i="1"/>
  <c r="M1794" i="1"/>
  <c r="L1794" i="1"/>
  <c r="K1794" i="1"/>
  <c r="Z1793" i="1"/>
  <c r="W1793" i="1"/>
  <c r="T1793" i="1"/>
  <c r="N1793" i="1"/>
  <c r="M1793" i="1"/>
  <c r="K1793" i="1"/>
  <c r="L1793" i="1" s="1"/>
  <c r="Z1792" i="1"/>
  <c r="W1792" i="1"/>
  <c r="T1792" i="1"/>
  <c r="N1792" i="1"/>
  <c r="M1792" i="1"/>
  <c r="L1792" i="1"/>
  <c r="K1792" i="1"/>
  <c r="Z1791" i="1"/>
  <c r="W1791" i="1"/>
  <c r="T1791" i="1"/>
  <c r="M1791" i="1"/>
  <c r="N1791" i="1" s="1"/>
  <c r="K1791" i="1"/>
  <c r="L1791" i="1" s="1"/>
  <c r="Z1790" i="1"/>
  <c r="W1790" i="1"/>
  <c r="T1790" i="1"/>
  <c r="N1790" i="1"/>
  <c r="M1790" i="1"/>
  <c r="K1790" i="1"/>
  <c r="L1790" i="1" s="1"/>
  <c r="Z1789" i="1"/>
  <c r="W1789" i="1"/>
  <c r="T1789" i="1"/>
  <c r="M1789" i="1"/>
  <c r="N1789" i="1" s="1"/>
  <c r="K1789" i="1"/>
  <c r="L1789" i="1" s="1"/>
  <c r="Z1788" i="1"/>
  <c r="W1788" i="1"/>
  <c r="T1788" i="1"/>
  <c r="M1788" i="1"/>
  <c r="N1788" i="1" s="1"/>
  <c r="K1788" i="1"/>
  <c r="L1788" i="1" s="1"/>
  <c r="Z1787" i="1"/>
  <c r="W1787" i="1"/>
  <c r="T1787" i="1"/>
  <c r="M1787" i="1"/>
  <c r="N1787" i="1" s="1"/>
  <c r="K1787" i="1"/>
  <c r="L1787" i="1" s="1"/>
  <c r="Z1786" i="1"/>
  <c r="W1786" i="1"/>
  <c r="T1786" i="1"/>
  <c r="M1786" i="1"/>
  <c r="N1786" i="1" s="1"/>
  <c r="L1786" i="1"/>
  <c r="K1786" i="1"/>
  <c r="Z1785" i="1"/>
  <c r="W1785" i="1"/>
  <c r="T1785" i="1"/>
  <c r="M1785" i="1"/>
  <c r="N1785" i="1" s="1"/>
  <c r="K1785" i="1"/>
  <c r="L1785" i="1" s="1"/>
  <c r="Z1784" i="1"/>
  <c r="W1784" i="1"/>
  <c r="T1784" i="1"/>
  <c r="M1784" i="1"/>
  <c r="N1784" i="1" s="1"/>
  <c r="K1784" i="1"/>
  <c r="L1784" i="1" s="1"/>
  <c r="Z1783" i="1"/>
  <c r="W1783" i="1"/>
  <c r="T1783" i="1"/>
  <c r="M1783" i="1"/>
  <c r="N1783" i="1" s="1"/>
  <c r="K1783" i="1"/>
  <c r="L1783" i="1" s="1"/>
  <c r="Z1782" i="1"/>
  <c r="W1782" i="1"/>
  <c r="T1782" i="1"/>
  <c r="N1782" i="1"/>
  <c r="M1782" i="1"/>
  <c r="K1782" i="1"/>
  <c r="L1782" i="1" s="1"/>
  <c r="Z1781" i="1"/>
  <c r="W1781" i="1"/>
  <c r="T1781" i="1"/>
  <c r="N1781" i="1"/>
  <c r="M1781" i="1"/>
  <c r="K1781" i="1"/>
  <c r="L1781" i="1" s="1"/>
  <c r="Z1780" i="1"/>
  <c r="W1780" i="1"/>
  <c r="T1780" i="1"/>
  <c r="N1780" i="1"/>
  <c r="M1780" i="1"/>
  <c r="L1780" i="1"/>
  <c r="K1780" i="1"/>
  <c r="Z1779" i="1"/>
  <c r="W1779" i="1"/>
  <c r="T1779" i="1"/>
  <c r="M1779" i="1"/>
  <c r="N1779" i="1" s="1"/>
  <c r="L1779" i="1"/>
  <c r="K1779" i="1"/>
  <c r="Z1778" i="1"/>
  <c r="W1778" i="1"/>
  <c r="T1778" i="1"/>
  <c r="N1778" i="1"/>
  <c r="M1778" i="1"/>
  <c r="K1778" i="1"/>
  <c r="L1778" i="1" s="1"/>
  <c r="Z1777" i="1"/>
  <c r="W1777" i="1"/>
  <c r="T1777" i="1"/>
  <c r="M1777" i="1"/>
  <c r="N1777" i="1" s="1"/>
  <c r="K1777" i="1"/>
  <c r="L1777" i="1" s="1"/>
  <c r="Z1776" i="1"/>
  <c r="W1776" i="1"/>
  <c r="T1776" i="1"/>
  <c r="N1776" i="1"/>
  <c r="M1776" i="1"/>
  <c r="L1776" i="1"/>
  <c r="K1776" i="1"/>
  <c r="Z1775" i="1"/>
  <c r="W1775" i="1"/>
  <c r="T1775" i="1"/>
  <c r="M1775" i="1"/>
  <c r="N1775" i="1" s="1"/>
  <c r="K1775" i="1"/>
  <c r="L1775" i="1" s="1"/>
  <c r="Z1774" i="1"/>
  <c r="W1774" i="1"/>
  <c r="T1774" i="1"/>
  <c r="M1774" i="1"/>
  <c r="N1774" i="1" s="1"/>
  <c r="L1774" i="1"/>
  <c r="K1774" i="1"/>
  <c r="Z1773" i="1"/>
  <c r="W1773" i="1"/>
  <c r="T1773" i="1"/>
  <c r="N1773" i="1"/>
  <c r="M1773" i="1"/>
  <c r="K1773" i="1"/>
  <c r="L1773" i="1" s="1"/>
  <c r="Z1772" i="1"/>
  <c r="W1772" i="1"/>
  <c r="T1772" i="1"/>
  <c r="M1772" i="1"/>
  <c r="N1772" i="1" s="1"/>
  <c r="K1772" i="1"/>
  <c r="L1772" i="1" s="1"/>
  <c r="Z1771" i="1"/>
  <c r="W1771" i="1"/>
  <c r="T1771" i="1"/>
  <c r="M1771" i="1"/>
  <c r="N1771" i="1" s="1"/>
  <c r="K1771" i="1"/>
  <c r="L1771" i="1" s="1"/>
  <c r="Z1770" i="1"/>
  <c r="W1770" i="1"/>
  <c r="T1770" i="1"/>
  <c r="M1770" i="1"/>
  <c r="N1770" i="1" s="1"/>
  <c r="L1770" i="1"/>
  <c r="K1770" i="1"/>
  <c r="Z1769" i="1"/>
  <c r="W1769" i="1"/>
  <c r="T1769" i="1"/>
  <c r="M1769" i="1"/>
  <c r="N1769" i="1" s="1"/>
  <c r="K1769" i="1"/>
  <c r="L1769" i="1" s="1"/>
  <c r="Z1768" i="1"/>
  <c r="W1768" i="1"/>
  <c r="T1768" i="1"/>
  <c r="N1768" i="1"/>
  <c r="M1768" i="1"/>
  <c r="L1768" i="1"/>
  <c r="K1768" i="1"/>
  <c r="Z1767" i="1"/>
  <c r="W1767" i="1"/>
  <c r="T1767" i="1"/>
  <c r="M1767" i="1"/>
  <c r="N1767" i="1" s="1"/>
  <c r="L1767" i="1"/>
  <c r="K1767" i="1"/>
  <c r="Z1766" i="1"/>
  <c r="W1766" i="1"/>
  <c r="T1766" i="1"/>
  <c r="N1766" i="1"/>
  <c r="M1766" i="1"/>
  <c r="L1766" i="1"/>
  <c r="K1766" i="1"/>
  <c r="Z1765" i="1"/>
  <c r="W1765" i="1"/>
  <c r="T1765" i="1"/>
  <c r="N1765" i="1"/>
  <c r="M1765" i="1"/>
  <c r="K1765" i="1"/>
  <c r="L1765" i="1" s="1"/>
  <c r="Z1764" i="1"/>
  <c r="W1764" i="1"/>
  <c r="T1764" i="1"/>
  <c r="N1764" i="1"/>
  <c r="M1764" i="1"/>
  <c r="L1764" i="1"/>
  <c r="K1764" i="1"/>
  <c r="Z1763" i="1"/>
  <c r="W1763" i="1"/>
  <c r="T1763" i="1"/>
  <c r="M1763" i="1"/>
  <c r="N1763" i="1" s="1"/>
  <c r="K1763" i="1"/>
  <c r="L1763" i="1" s="1"/>
  <c r="Z1762" i="1"/>
  <c r="W1762" i="1"/>
  <c r="T1762" i="1"/>
  <c r="M1762" i="1"/>
  <c r="N1762" i="1" s="1"/>
  <c r="K1762" i="1"/>
  <c r="L1762" i="1" s="1"/>
  <c r="Z1761" i="1"/>
  <c r="W1761" i="1"/>
  <c r="T1761" i="1"/>
  <c r="M1761" i="1"/>
  <c r="N1761" i="1" s="1"/>
  <c r="K1761" i="1"/>
  <c r="L1761" i="1" s="1"/>
  <c r="Z1760" i="1"/>
  <c r="W1760" i="1"/>
  <c r="T1760" i="1"/>
  <c r="N1760" i="1"/>
  <c r="M1760" i="1"/>
  <c r="K1760" i="1"/>
  <c r="L1760" i="1" s="1"/>
  <c r="Z1759" i="1"/>
  <c r="W1759" i="1"/>
  <c r="T1759" i="1"/>
  <c r="M1759" i="1"/>
  <c r="N1759" i="1" s="1"/>
  <c r="K1759" i="1"/>
  <c r="L1759" i="1" s="1"/>
  <c r="Z1758" i="1"/>
  <c r="W1758" i="1"/>
  <c r="T1758" i="1"/>
  <c r="M1758" i="1"/>
  <c r="N1758" i="1" s="1"/>
  <c r="K1758" i="1"/>
  <c r="L1758" i="1" s="1"/>
  <c r="Z1757" i="1"/>
  <c r="W1757" i="1"/>
  <c r="T1757" i="1"/>
  <c r="M1757" i="1"/>
  <c r="N1757" i="1" s="1"/>
  <c r="K1757" i="1"/>
  <c r="L1757" i="1" s="1"/>
  <c r="Z1756" i="1"/>
  <c r="W1756" i="1"/>
  <c r="T1756" i="1"/>
  <c r="M1756" i="1"/>
  <c r="N1756" i="1" s="1"/>
  <c r="L1756" i="1"/>
  <c r="K1756" i="1"/>
  <c r="Z1755" i="1"/>
  <c r="W1755" i="1"/>
  <c r="T1755" i="1"/>
  <c r="M1755" i="1"/>
  <c r="N1755" i="1" s="1"/>
  <c r="L1755" i="1"/>
  <c r="K1755" i="1"/>
  <c r="Z1754" i="1"/>
  <c r="W1754" i="1"/>
  <c r="T1754" i="1"/>
  <c r="N1754" i="1"/>
  <c r="M1754" i="1"/>
  <c r="K1754" i="1"/>
  <c r="L1754" i="1" s="1"/>
  <c r="Z1753" i="1"/>
  <c r="W1753" i="1"/>
  <c r="T1753" i="1"/>
  <c r="M1753" i="1"/>
  <c r="N1753" i="1" s="1"/>
  <c r="L1753" i="1"/>
  <c r="K1753" i="1"/>
  <c r="Z1752" i="1"/>
  <c r="W1752" i="1"/>
  <c r="T1752" i="1"/>
  <c r="M1752" i="1"/>
  <c r="N1752" i="1" s="1"/>
  <c r="L1752" i="1"/>
  <c r="K1752" i="1"/>
  <c r="Z1751" i="1"/>
  <c r="W1751" i="1"/>
  <c r="T1751" i="1"/>
  <c r="N1751" i="1"/>
  <c r="M1751" i="1"/>
  <c r="K1751" i="1"/>
  <c r="L1751" i="1" s="1"/>
  <c r="Z1750" i="1"/>
  <c r="W1750" i="1"/>
  <c r="T1750" i="1"/>
  <c r="N1750" i="1"/>
  <c r="M1750" i="1"/>
  <c r="L1750" i="1"/>
  <c r="K1750" i="1"/>
  <c r="Z1749" i="1"/>
  <c r="W1749" i="1"/>
  <c r="T1749" i="1"/>
  <c r="M1749" i="1"/>
  <c r="N1749" i="1" s="1"/>
  <c r="K1749" i="1"/>
  <c r="L1749" i="1" s="1"/>
  <c r="Z1748" i="1"/>
  <c r="W1748" i="1"/>
  <c r="T1748" i="1"/>
  <c r="M1748" i="1"/>
  <c r="N1748" i="1" s="1"/>
  <c r="L1748" i="1"/>
  <c r="K1748" i="1"/>
  <c r="Z1747" i="1"/>
  <c r="W1747" i="1"/>
  <c r="T1747" i="1"/>
  <c r="M1747" i="1"/>
  <c r="N1747" i="1" s="1"/>
  <c r="K1747" i="1"/>
  <c r="L1747" i="1" s="1"/>
  <c r="Z1746" i="1"/>
  <c r="W1746" i="1"/>
  <c r="T1746" i="1"/>
  <c r="N1746" i="1"/>
  <c r="M1746" i="1"/>
  <c r="L1746" i="1"/>
  <c r="K1746" i="1"/>
  <c r="Z1745" i="1"/>
  <c r="W1745" i="1"/>
  <c r="T1745" i="1"/>
  <c r="M1745" i="1"/>
  <c r="N1745" i="1" s="1"/>
  <c r="L1745" i="1"/>
  <c r="K1745" i="1"/>
  <c r="Z1744" i="1"/>
  <c r="W1744" i="1"/>
  <c r="T1744" i="1"/>
  <c r="M1744" i="1"/>
  <c r="N1744" i="1" s="1"/>
  <c r="L1744" i="1"/>
  <c r="K1744" i="1"/>
  <c r="Z1743" i="1"/>
  <c r="W1743" i="1"/>
  <c r="T1743" i="1"/>
  <c r="M1743" i="1"/>
  <c r="N1743" i="1" s="1"/>
  <c r="K1743" i="1"/>
  <c r="L1743" i="1" s="1"/>
  <c r="Z1742" i="1"/>
  <c r="W1742" i="1"/>
  <c r="T1742" i="1"/>
  <c r="N1742" i="1"/>
  <c r="M1742" i="1"/>
  <c r="L1742" i="1"/>
  <c r="K1742" i="1"/>
  <c r="Z1741" i="1"/>
  <c r="W1741" i="1"/>
  <c r="T1741" i="1"/>
  <c r="M1741" i="1"/>
  <c r="N1741" i="1" s="1"/>
  <c r="K1741" i="1"/>
  <c r="L1741" i="1" s="1"/>
  <c r="Z1740" i="1"/>
  <c r="W1740" i="1"/>
  <c r="T1740" i="1"/>
  <c r="N1740" i="1"/>
  <c r="M1740" i="1"/>
  <c r="K1740" i="1"/>
  <c r="L1740" i="1" s="1"/>
  <c r="Z1739" i="1"/>
  <c r="W1739" i="1"/>
  <c r="T1739" i="1"/>
  <c r="M1739" i="1"/>
  <c r="N1739" i="1" s="1"/>
  <c r="L1739" i="1"/>
  <c r="K1739" i="1"/>
  <c r="Z1738" i="1"/>
  <c r="W1738" i="1"/>
  <c r="T1738" i="1"/>
  <c r="N1738" i="1"/>
  <c r="M1738" i="1"/>
  <c r="L1738" i="1"/>
  <c r="K1738" i="1"/>
  <c r="Z1737" i="1"/>
  <c r="W1737" i="1"/>
  <c r="T1737" i="1"/>
  <c r="N1737" i="1"/>
  <c r="M1737" i="1"/>
  <c r="K1737" i="1"/>
  <c r="L1737" i="1" s="1"/>
  <c r="Z1736" i="1"/>
  <c r="W1736" i="1"/>
  <c r="T1736" i="1"/>
  <c r="M1736" i="1"/>
  <c r="N1736" i="1" s="1"/>
  <c r="K1736" i="1"/>
  <c r="L1736" i="1" s="1"/>
  <c r="Z1735" i="1"/>
  <c r="W1735" i="1"/>
  <c r="T1735" i="1"/>
  <c r="M1735" i="1"/>
  <c r="N1735" i="1" s="1"/>
  <c r="K1735" i="1"/>
  <c r="L1735" i="1" s="1"/>
  <c r="Z1734" i="1"/>
  <c r="W1734" i="1"/>
  <c r="T1734" i="1"/>
  <c r="N1734" i="1"/>
  <c r="M1734" i="1"/>
  <c r="L1734" i="1"/>
  <c r="K1734" i="1"/>
  <c r="Z1733" i="1"/>
  <c r="W1733" i="1"/>
  <c r="T1733" i="1"/>
  <c r="M1733" i="1"/>
  <c r="N1733" i="1" s="1"/>
  <c r="K1733" i="1"/>
  <c r="L1733" i="1" s="1"/>
  <c r="Z1732" i="1"/>
  <c r="W1732" i="1"/>
  <c r="T1732" i="1"/>
  <c r="N1732" i="1"/>
  <c r="M1732" i="1"/>
  <c r="L1732" i="1"/>
  <c r="K1732" i="1"/>
  <c r="Z1731" i="1"/>
  <c r="W1731" i="1"/>
  <c r="T1731" i="1"/>
  <c r="M1731" i="1"/>
  <c r="N1731" i="1" s="1"/>
  <c r="L1731" i="1"/>
  <c r="K1731" i="1"/>
  <c r="Z1730" i="1"/>
  <c r="W1730" i="1"/>
  <c r="T1730" i="1"/>
  <c r="N1730" i="1"/>
  <c r="M1730" i="1"/>
  <c r="K1730" i="1"/>
  <c r="L1730" i="1" s="1"/>
  <c r="Z1729" i="1"/>
  <c r="W1729" i="1"/>
  <c r="T1729" i="1"/>
  <c r="M1729" i="1"/>
  <c r="N1729" i="1" s="1"/>
  <c r="K1729" i="1"/>
  <c r="L1729" i="1" s="1"/>
  <c r="Z1728" i="1"/>
  <c r="W1728" i="1"/>
  <c r="T1728" i="1"/>
  <c r="N1728" i="1"/>
  <c r="M1728" i="1"/>
  <c r="L1728" i="1"/>
  <c r="K1728" i="1"/>
  <c r="Z1727" i="1"/>
  <c r="W1727" i="1"/>
  <c r="T1727" i="1"/>
  <c r="M1727" i="1"/>
  <c r="N1727" i="1" s="1"/>
  <c r="K1727" i="1"/>
  <c r="L1727" i="1" s="1"/>
  <c r="Z1726" i="1"/>
  <c r="W1726" i="1"/>
  <c r="T1726" i="1"/>
  <c r="N1726" i="1"/>
  <c r="M1726" i="1"/>
  <c r="L1726" i="1"/>
  <c r="K1726" i="1"/>
  <c r="Z1725" i="1"/>
  <c r="W1725" i="1"/>
  <c r="T1725" i="1"/>
  <c r="M1725" i="1"/>
  <c r="N1725" i="1" s="1"/>
  <c r="K1725" i="1"/>
  <c r="L1725" i="1" s="1"/>
  <c r="Z1724" i="1"/>
  <c r="W1724" i="1"/>
  <c r="T1724" i="1"/>
  <c r="M1724" i="1"/>
  <c r="N1724" i="1" s="1"/>
  <c r="L1724" i="1"/>
  <c r="K1724" i="1"/>
  <c r="Z1723" i="1"/>
  <c r="W1723" i="1"/>
  <c r="T1723" i="1"/>
  <c r="M1723" i="1"/>
  <c r="N1723" i="1" s="1"/>
  <c r="L1723" i="1"/>
  <c r="K1723" i="1"/>
  <c r="Z1722" i="1"/>
  <c r="W1722" i="1"/>
  <c r="T1722" i="1"/>
  <c r="N1722" i="1"/>
  <c r="M1722" i="1"/>
  <c r="L1722" i="1"/>
  <c r="K1722" i="1"/>
  <c r="Z1721" i="1"/>
  <c r="W1721" i="1"/>
  <c r="T1721" i="1"/>
  <c r="N1721" i="1"/>
  <c r="M1721" i="1"/>
  <c r="L1721" i="1"/>
  <c r="K1721" i="1"/>
  <c r="Z1720" i="1"/>
  <c r="W1720" i="1"/>
  <c r="T1720" i="1"/>
  <c r="N1720" i="1"/>
  <c r="M1720" i="1"/>
  <c r="L1720" i="1"/>
  <c r="K1720" i="1"/>
  <c r="Z1719" i="1"/>
  <c r="W1719" i="1"/>
  <c r="T1719" i="1"/>
  <c r="N1719" i="1"/>
  <c r="M1719" i="1"/>
  <c r="K1719" i="1"/>
  <c r="L1719" i="1" s="1"/>
  <c r="Z1718" i="1"/>
  <c r="W1718" i="1"/>
  <c r="T1718" i="1"/>
  <c r="N1718" i="1"/>
  <c r="M1718" i="1"/>
  <c r="L1718" i="1"/>
  <c r="K1718" i="1"/>
  <c r="Z1717" i="1"/>
  <c r="W1717" i="1"/>
  <c r="T1717" i="1"/>
  <c r="M1717" i="1"/>
  <c r="N1717" i="1" s="1"/>
  <c r="K1717" i="1"/>
  <c r="L1717" i="1" s="1"/>
  <c r="Z1716" i="1"/>
  <c r="W1716" i="1"/>
  <c r="T1716" i="1"/>
  <c r="M1716" i="1"/>
  <c r="N1716" i="1" s="1"/>
  <c r="L1716" i="1"/>
  <c r="K1716" i="1"/>
  <c r="Z1715" i="1"/>
  <c r="W1715" i="1"/>
  <c r="T1715" i="1"/>
  <c r="M1715" i="1"/>
  <c r="N1715" i="1" s="1"/>
  <c r="K1715" i="1"/>
  <c r="L1715" i="1" s="1"/>
  <c r="Z1714" i="1"/>
  <c r="W1714" i="1"/>
  <c r="T1714" i="1"/>
  <c r="M1714" i="1"/>
  <c r="N1714" i="1" s="1"/>
  <c r="L1714" i="1"/>
  <c r="K1714" i="1"/>
  <c r="Z1713" i="1"/>
  <c r="W1713" i="1"/>
  <c r="T1713" i="1"/>
  <c r="M1713" i="1"/>
  <c r="N1713" i="1" s="1"/>
  <c r="K1713" i="1"/>
  <c r="L1713" i="1" s="1"/>
  <c r="Z1712" i="1"/>
  <c r="W1712" i="1"/>
  <c r="T1712" i="1"/>
  <c r="M1712" i="1"/>
  <c r="N1712" i="1" s="1"/>
  <c r="K1712" i="1"/>
  <c r="L1712" i="1" s="1"/>
  <c r="Z1711" i="1"/>
  <c r="W1711" i="1"/>
  <c r="T1711" i="1"/>
  <c r="M1711" i="1"/>
  <c r="N1711" i="1" s="1"/>
  <c r="K1711" i="1"/>
  <c r="L1711" i="1" s="1"/>
  <c r="Z1710" i="1"/>
  <c r="W1710" i="1"/>
  <c r="T1710" i="1"/>
  <c r="N1710" i="1"/>
  <c r="M1710" i="1"/>
  <c r="L1710" i="1"/>
  <c r="K1710" i="1"/>
  <c r="Z1709" i="1"/>
  <c r="W1709" i="1"/>
  <c r="T1709" i="1"/>
  <c r="M1709" i="1"/>
  <c r="N1709" i="1" s="1"/>
  <c r="K1709" i="1"/>
  <c r="L1709" i="1" s="1"/>
  <c r="Z1708" i="1"/>
  <c r="W1708" i="1"/>
  <c r="T1708" i="1"/>
  <c r="N1708" i="1"/>
  <c r="M1708" i="1"/>
  <c r="L1708" i="1"/>
  <c r="K1708" i="1"/>
  <c r="Z1707" i="1"/>
  <c r="W1707" i="1"/>
  <c r="T1707" i="1"/>
  <c r="M1707" i="1"/>
  <c r="N1707" i="1" s="1"/>
  <c r="L1707" i="1"/>
  <c r="K1707" i="1"/>
  <c r="Z1706" i="1"/>
  <c r="W1706" i="1"/>
  <c r="T1706" i="1"/>
  <c r="N1706" i="1"/>
  <c r="M1706" i="1"/>
  <c r="K1706" i="1"/>
  <c r="L1706" i="1" s="1"/>
  <c r="Z1705" i="1"/>
  <c r="W1705" i="1"/>
  <c r="T1705" i="1"/>
  <c r="N1705" i="1"/>
  <c r="M1705" i="1"/>
  <c r="K1705" i="1"/>
  <c r="L1705" i="1" s="1"/>
  <c r="Z1704" i="1"/>
  <c r="W1704" i="1"/>
  <c r="T1704" i="1"/>
  <c r="N1704" i="1"/>
  <c r="M1704" i="1"/>
  <c r="L1704" i="1"/>
  <c r="K1704" i="1"/>
  <c r="Z1703" i="1"/>
  <c r="W1703" i="1"/>
  <c r="T1703" i="1"/>
  <c r="M1703" i="1"/>
  <c r="N1703" i="1" s="1"/>
  <c r="K1703" i="1"/>
  <c r="L1703" i="1" s="1"/>
  <c r="Z1702" i="1"/>
  <c r="W1702" i="1"/>
  <c r="T1702" i="1"/>
  <c r="M1702" i="1"/>
  <c r="N1702" i="1" s="1"/>
  <c r="L1702" i="1"/>
  <c r="K1702" i="1"/>
  <c r="Z1701" i="1"/>
  <c r="W1701" i="1"/>
  <c r="T1701" i="1"/>
  <c r="N1701" i="1"/>
  <c r="M1701" i="1"/>
  <c r="K1701" i="1"/>
  <c r="L1701" i="1" s="1"/>
  <c r="Z1700" i="1"/>
  <c r="W1700" i="1"/>
  <c r="T1700" i="1"/>
  <c r="M1700" i="1"/>
  <c r="N1700" i="1" s="1"/>
  <c r="K1700" i="1"/>
  <c r="L1700" i="1" s="1"/>
  <c r="Z1699" i="1"/>
  <c r="W1699" i="1"/>
  <c r="T1699" i="1"/>
  <c r="M1699" i="1"/>
  <c r="N1699" i="1" s="1"/>
  <c r="K1699" i="1"/>
  <c r="L1699" i="1" s="1"/>
  <c r="Z1698" i="1"/>
  <c r="W1698" i="1"/>
  <c r="T1698" i="1"/>
  <c r="N1698" i="1"/>
  <c r="M1698" i="1"/>
  <c r="L1698" i="1"/>
  <c r="K1698" i="1"/>
  <c r="Z1697" i="1"/>
  <c r="W1697" i="1"/>
  <c r="T1697" i="1"/>
  <c r="M1697" i="1"/>
  <c r="N1697" i="1" s="1"/>
  <c r="L1697" i="1"/>
  <c r="K1697" i="1"/>
  <c r="Z1696" i="1"/>
  <c r="W1696" i="1"/>
  <c r="T1696" i="1"/>
  <c r="N1696" i="1"/>
  <c r="M1696" i="1"/>
  <c r="L1696" i="1"/>
  <c r="K1696" i="1"/>
  <c r="Z1695" i="1"/>
  <c r="W1695" i="1"/>
  <c r="T1695" i="1"/>
  <c r="N1695" i="1"/>
  <c r="M1695" i="1"/>
  <c r="L1695" i="1"/>
  <c r="K1695" i="1"/>
  <c r="Z1694" i="1"/>
  <c r="W1694" i="1"/>
  <c r="T1694" i="1"/>
  <c r="N1694" i="1"/>
  <c r="M1694" i="1"/>
  <c r="L1694" i="1"/>
  <c r="K1694" i="1"/>
  <c r="Z1693" i="1"/>
  <c r="W1693" i="1"/>
  <c r="T1693" i="1"/>
  <c r="N1693" i="1"/>
  <c r="M1693" i="1"/>
  <c r="L1693" i="1"/>
  <c r="K1693" i="1"/>
  <c r="Z1692" i="1"/>
  <c r="W1692" i="1"/>
  <c r="T1692" i="1"/>
  <c r="N1692" i="1"/>
  <c r="M1692" i="1"/>
  <c r="L1692" i="1"/>
  <c r="K1692" i="1"/>
  <c r="Z1691" i="1"/>
  <c r="W1691" i="1"/>
  <c r="T1691" i="1"/>
  <c r="N1691" i="1"/>
  <c r="M1691" i="1"/>
  <c r="K1691" i="1"/>
  <c r="L1691" i="1" s="1"/>
  <c r="Z1690" i="1"/>
  <c r="W1690" i="1"/>
  <c r="T1690" i="1"/>
  <c r="M1690" i="1"/>
  <c r="N1690" i="1" s="1"/>
  <c r="L1690" i="1"/>
  <c r="K1690" i="1"/>
  <c r="Z1689" i="1"/>
  <c r="W1689" i="1"/>
  <c r="T1689" i="1"/>
  <c r="M1689" i="1"/>
  <c r="N1689" i="1" s="1"/>
  <c r="K1689" i="1"/>
  <c r="L1689" i="1" s="1"/>
  <c r="Z1688" i="1"/>
  <c r="W1688" i="1"/>
  <c r="T1688" i="1"/>
  <c r="M1688" i="1"/>
  <c r="N1688" i="1" s="1"/>
  <c r="K1688" i="1"/>
  <c r="L1688" i="1" s="1"/>
  <c r="Z1687" i="1"/>
  <c r="W1687" i="1"/>
  <c r="T1687" i="1"/>
  <c r="M1687" i="1"/>
  <c r="N1687" i="1" s="1"/>
  <c r="K1687" i="1"/>
  <c r="L1687" i="1" s="1"/>
  <c r="Z1686" i="1"/>
  <c r="W1686" i="1"/>
  <c r="T1686" i="1"/>
  <c r="M1686" i="1"/>
  <c r="N1686" i="1" s="1"/>
  <c r="L1686" i="1"/>
  <c r="K1686" i="1"/>
  <c r="Z1685" i="1"/>
  <c r="W1685" i="1"/>
  <c r="T1685" i="1"/>
  <c r="M1685" i="1"/>
  <c r="N1685" i="1" s="1"/>
  <c r="K1685" i="1"/>
  <c r="L1685" i="1" s="1"/>
  <c r="Z1684" i="1"/>
  <c r="W1684" i="1"/>
  <c r="T1684" i="1"/>
  <c r="M1684" i="1"/>
  <c r="N1684" i="1" s="1"/>
  <c r="L1684" i="1"/>
  <c r="K1684" i="1"/>
  <c r="Z1683" i="1"/>
  <c r="W1683" i="1"/>
  <c r="T1683" i="1"/>
  <c r="M1683" i="1"/>
  <c r="N1683" i="1" s="1"/>
  <c r="L1683" i="1"/>
  <c r="K1683" i="1"/>
  <c r="Z1682" i="1"/>
  <c r="W1682" i="1"/>
  <c r="T1682" i="1"/>
  <c r="N1682" i="1"/>
  <c r="M1682" i="1"/>
  <c r="K1682" i="1"/>
  <c r="L1682" i="1" s="1"/>
  <c r="Z1681" i="1"/>
  <c r="W1681" i="1"/>
  <c r="T1681" i="1"/>
  <c r="M1681" i="1"/>
  <c r="N1681" i="1" s="1"/>
  <c r="K1681" i="1"/>
  <c r="L1681" i="1" s="1"/>
  <c r="Z1680" i="1"/>
  <c r="W1680" i="1"/>
  <c r="T1680" i="1"/>
  <c r="M1680" i="1"/>
  <c r="N1680" i="1" s="1"/>
  <c r="L1680" i="1"/>
  <c r="K1680" i="1"/>
  <c r="Z1679" i="1"/>
  <c r="W1679" i="1"/>
  <c r="T1679" i="1"/>
  <c r="N1679" i="1"/>
  <c r="M1679" i="1"/>
  <c r="L1679" i="1"/>
  <c r="K1679" i="1"/>
  <c r="Z1678" i="1"/>
  <c r="W1678" i="1"/>
  <c r="T1678" i="1"/>
  <c r="N1678" i="1"/>
  <c r="M1678" i="1"/>
  <c r="L1678" i="1"/>
  <c r="K1678" i="1"/>
  <c r="Z1677" i="1"/>
  <c r="W1677" i="1"/>
  <c r="T1677" i="1"/>
  <c r="N1677" i="1"/>
  <c r="M1677" i="1"/>
  <c r="K1677" i="1"/>
  <c r="L1677" i="1" s="1"/>
  <c r="Z1676" i="1"/>
  <c r="W1676" i="1"/>
  <c r="T1676" i="1"/>
  <c r="M1676" i="1"/>
  <c r="N1676" i="1" s="1"/>
  <c r="L1676" i="1"/>
  <c r="K1676" i="1"/>
  <c r="Z1675" i="1"/>
  <c r="W1675" i="1"/>
  <c r="T1675" i="1"/>
  <c r="M1675" i="1"/>
  <c r="N1675" i="1" s="1"/>
  <c r="K1675" i="1"/>
  <c r="L1675" i="1" s="1"/>
  <c r="Z1674" i="1"/>
  <c r="W1674" i="1"/>
  <c r="T1674" i="1"/>
  <c r="N1674" i="1"/>
  <c r="M1674" i="1"/>
  <c r="L1674" i="1"/>
  <c r="K1674" i="1"/>
  <c r="Z1673" i="1"/>
  <c r="W1673" i="1"/>
  <c r="T1673" i="1"/>
  <c r="M1673" i="1"/>
  <c r="N1673" i="1" s="1"/>
  <c r="K1673" i="1"/>
  <c r="L1673" i="1" s="1"/>
  <c r="Z1672" i="1"/>
  <c r="W1672" i="1"/>
  <c r="T1672" i="1"/>
  <c r="M1672" i="1"/>
  <c r="N1672" i="1" s="1"/>
  <c r="L1672" i="1"/>
  <c r="K1672" i="1"/>
  <c r="Z1671" i="1"/>
  <c r="W1671" i="1"/>
  <c r="T1671" i="1"/>
  <c r="N1671" i="1"/>
  <c r="M1671" i="1"/>
  <c r="K1671" i="1"/>
  <c r="L1671" i="1" s="1"/>
  <c r="Z1670" i="1"/>
  <c r="W1670" i="1"/>
  <c r="T1670" i="1"/>
  <c r="N1670" i="1"/>
  <c r="M1670" i="1"/>
  <c r="L1670" i="1"/>
  <c r="K1670" i="1"/>
  <c r="Z1669" i="1"/>
  <c r="W1669" i="1"/>
  <c r="T1669" i="1"/>
  <c r="M1669" i="1"/>
  <c r="N1669" i="1" s="1"/>
  <c r="K1669" i="1"/>
  <c r="L1669" i="1" s="1"/>
  <c r="Z1668" i="1"/>
  <c r="W1668" i="1"/>
  <c r="T1668" i="1"/>
  <c r="N1668" i="1"/>
  <c r="M1668" i="1"/>
  <c r="L1668" i="1"/>
  <c r="K1668" i="1"/>
  <c r="Z1667" i="1"/>
  <c r="W1667" i="1"/>
  <c r="T1667" i="1"/>
  <c r="M1667" i="1"/>
  <c r="N1667" i="1" s="1"/>
  <c r="L1667" i="1"/>
  <c r="K1667" i="1"/>
  <c r="Z1666" i="1"/>
  <c r="W1666" i="1"/>
  <c r="T1666" i="1"/>
  <c r="N1666" i="1"/>
  <c r="M1666" i="1"/>
  <c r="L1666" i="1"/>
  <c r="K1666" i="1"/>
  <c r="Z1665" i="1"/>
  <c r="W1665" i="1"/>
  <c r="T1665" i="1"/>
  <c r="N1665" i="1"/>
  <c r="M1665" i="1"/>
  <c r="K1665" i="1"/>
  <c r="L1665" i="1" s="1"/>
  <c r="Z1664" i="1"/>
  <c r="W1664" i="1"/>
  <c r="T1664" i="1"/>
  <c r="N1664" i="1"/>
  <c r="M1664" i="1"/>
  <c r="K1664" i="1"/>
  <c r="L1664" i="1" s="1"/>
  <c r="Z1663" i="1"/>
  <c r="W1663" i="1"/>
  <c r="T1663" i="1"/>
  <c r="M1663" i="1"/>
  <c r="N1663" i="1" s="1"/>
  <c r="K1663" i="1"/>
  <c r="L1663" i="1" s="1"/>
  <c r="Z1662" i="1"/>
  <c r="W1662" i="1"/>
  <c r="T1662" i="1"/>
  <c r="N1662" i="1"/>
  <c r="M1662" i="1"/>
  <c r="K1662" i="1"/>
  <c r="L1662" i="1" s="1"/>
  <c r="Z1661" i="1"/>
  <c r="W1661" i="1"/>
  <c r="T1661" i="1"/>
  <c r="M1661" i="1"/>
  <c r="N1661" i="1" s="1"/>
  <c r="K1661" i="1"/>
  <c r="L1661" i="1" s="1"/>
  <c r="Z1660" i="1"/>
  <c r="W1660" i="1"/>
  <c r="T1660" i="1"/>
  <c r="N1660" i="1"/>
  <c r="M1660" i="1"/>
  <c r="L1660" i="1"/>
  <c r="K1660" i="1"/>
  <c r="Z1659" i="1"/>
  <c r="W1659" i="1"/>
  <c r="T1659" i="1"/>
  <c r="M1659" i="1"/>
  <c r="N1659" i="1" s="1"/>
  <c r="K1659" i="1"/>
  <c r="L1659" i="1" s="1"/>
  <c r="Z1658" i="1"/>
  <c r="W1658" i="1"/>
  <c r="T1658" i="1"/>
  <c r="N1658" i="1"/>
  <c r="M1658" i="1"/>
  <c r="K1658" i="1"/>
  <c r="L1658" i="1" s="1"/>
  <c r="Z1657" i="1"/>
  <c r="W1657" i="1"/>
  <c r="T1657" i="1"/>
  <c r="N1657" i="1"/>
  <c r="M1657" i="1"/>
  <c r="K1657" i="1"/>
  <c r="L1657" i="1" s="1"/>
  <c r="Z1656" i="1"/>
  <c r="W1656" i="1"/>
  <c r="T1656" i="1"/>
  <c r="N1656" i="1"/>
  <c r="M1656" i="1"/>
  <c r="L1656" i="1"/>
  <c r="K1656" i="1"/>
  <c r="Z1655" i="1"/>
  <c r="W1655" i="1"/>
  <c r="T1655" i="1"/>
  <c r="M1655" i="1"/>
  <c r="N1655" i="1" s="1"/>
  <c r="K1655" i="1"/>
  <c r="L1655" i="1" s="1"/>
  <c r="Z1654" i="1"/>
  <c r="W1654" i="1"/>
  <c r="T1654" i="1"/>
  <c r="M1654" i="1"/>
  <c r="N1654" i="1" s="1"/>
  <c r="L1654" i="1"/>
  <c r="K1654" i="1"/>
  <c r="Z1653" i="1"/>
  <c r="W1653" i="1"/>
  <c r="T1653" i="1"/>
  <c r="M1653" i="1"/>
  <c r="N1653" i="1" s="1"/>
  <c r="K1653" i="1"/>
  <c r="L1653" i="1" s="1"/>
  <c r="Z1652" i="1"/>
  <c r="W1652" i="1"/>
  <c r="T1652" i="1"/>
  <c r="M1652" i="1"/>
  <c r="N1652" i="1" s="1"/>
  <c r="K1652" i="1"/>
  <c r="L1652" i="1" s="1"/>
  <c r="Z1651" i="1"/>
  <c r="W1651" i="1"/>
  <c r="T1651" i="1"/>
  <c r="M1651" i="1"/>
  <c r="N1651" i="1" s="1"/>
  <c r="K1651" i="1"/>
  <c r="L1651" i="1" s="1"/>
  <c r="Z1650" i="1"/>
  <c r="W1650" i="1"/>
  <c r="T1650" i="1"/>
  <c r="N1650" i="1"/>
  <c r="M1650" i="1"/>
  <c r="L1650" i="1"/>
  <c r="K1650" i="1"/>
  <c r="Z1649" i="1"/>
  <c r="W1649" i="1"/>
  <c r="T1649" i="1"/>
  <c r="M1649" i="1"/>
  <c r="N1649" i="1" s="1"/>
  <c r="L1649" i="1"/>
  <c r="K1649" i="1"/>
  <c r="Z1648" i="1"/>
  <c r="W1648" i="1"/>
  <c r="T1648" i="1"/>
  <c r="N1648" i="1"/>
  <c r="M1648" i="1"/>
  <c r="L1648" i="1"/>
  <c r="K1648" i="1"/>
  <c r="Z1647" i="1"/>
  <c r="W1647" i="1"/>
  <c r="T1647" i="1"/>
  <c r="N1647" i="1"/>
  <c r="M1647" i="1"/>
  <c r="L1647" i="1"/>
  <c r="K1647" i="1"/>
  <c r="Z1646" i="1"/>
  <c r="W1646" i="1"/>
  <c r="T1646" i="1"/>
  <c r="N1646" i="1"/>
  <c r="M1646" i="1"/>
  <c r="L1646" i="1"/>
  <c r="K1646" i="1"/>
  <c r="Z1645" i="1"/>
  <c r="W1645" i="1"/>
  <c r="T1645" i="1"/>
  <c r="N1645" i="1"/>
  <c r="M1645" i="1"/>
  <c r="K1645" i="1"/>
  <c r="L1645" i="1" s="1"/>
  <c r="Z1644" i="1"/>
  <c r="W1644" i="1"/>
  <c r="T1644" i="1"/>
  <c r="M1644" i="1"/>
  <c r="N1644" i="1" s="1"/>
  <c r="K1644" i="1"/>
  <c r="L1644" i="1" s="1"/>
  <c r="Z1643" i="1"/>
  <c r="W1643" i="1"/>
  <c r="T1643" i="1"/>
  <c r="M1643" i="1"/>
  <c r="N1643" i="1" s="1"/>
  <c r="K1643" i="1"/>
  <c r="L1643" i="1" s="1"/>
  <c r="Z1642" i="1"/>
  <c r="W1642" i="1"/>
  <c r="T1642" i="1"/>
  <c r="M1642" i="1"/>
  <c r="N1642" i="1" s="1"/>
  <c r="L1642" i="1"/>
  <c r="K1642" i="1"/>
  <c r="Z1641" i="1"/>
  <c r="W1641" i="1"/>
  <c r="T1641" i="1"/>
  <c r="M1641" i="1"/>
  <c r="N1641" i="1" s="1"/>
  <c r="K1641" i="1"/>
  <c r="L1641" i="1" s="1"/>
  <c r="Z1640" i="1"/>
  <c r="W1640" i="1"/>
  <c r="T1640" i="1"/>
  <c r="M1640" i="1"/>
  <c r="N1640" i="1" s="1"/>
  <c r="L1640" i="1"/>
  <c r="K1640" i="1"/>
  <c r="Z1639" i="1"/>
  <c r="W1639" i="1"/>
  <c r="T1639" i="1"/>
  <c r="M1639" i="1"/>
  <c r="N1639" i="1" s="1"/>
  <c r="L1639" i="1"/>
  <c r="K1639" i="1"/>
  <c r="Z1638" i="1"/>
  <c r="W1638" i="1"/>
  <c r="T1638" i="1"/>
  <c r="N1638" i="1"/>
  <c r="M1638" i="1"/>
  <c r="K1638" i="1"/>
  <c r="L1638" i="1" s="1"/>
  <c r="Z1637" i="1"/>
  <c r="W1637" i="1"/>
  <c r="T1637" i="1"/>
  <c r="M1637" i="1"/>
  <c r="N1637" i="1" s="1"/>
  <c r="K1637" i="1"/>
  <c r="L1637" i="1" s="1"/>
  <c r="Z1636" i="1"/>
  <c r="W1636" i="1"/>
  <c r="T1636" i="1"/>
  <c r="M1636" i="1"/>
  <c r="N1636" i="1" s="1"/>
  <c r="L1636" i="1"/>
  <c r="K1636" i="1"/>
  <c r="Z1635" i="1"/>
  <c r="W1635" i="1"/>
  <c r="T1635" i="1"/>
  <c r="N1635" i="1"/>
  <c r="M1635" i="1"/>
  <c r="L1635" i="1"/>
  <c r="K1635" i="1"/>
  <c r="Z1634" i="1"/>
  <c r="W1634" i="1"/>
  <c r="T1634" i="1"/>
  <c r="N1634" i="1"/>
  <c r="M1634" i="1"/>
  <c r="K1634" i="1"/>
  <c r="L1634" i="1" s="1"/>
  <c r="Z1633" i="1"/>
  <c r="W1633" i="1"/>
  <c r="T1633" i="1"/>
  <c r="N1633" i="1"/>
  <c r="M1633" i="1"/>
  <c r="L1633" i="1"/>
  <c r="K1633" i="1"/>
  <c r="Z1632" i="1"/>
  <c r="W1632" i="1"/>
  <c r="T1632" i="1"/>
  <c r="M1632" i="1"/>
  <c r="N1632" i="1" s="1"/>
  <c r="K1632" i="1"/>
  <c r="L1632" i="1" s="1"/>
  <c r="Z1631" i="1"/>
  <c r="W1631" i="1"/>
  <c r="T1631" i="1"/>
  <c r="N1631" i="1"/>
  <c r="M1631" i="1"/>
  <c r="L1631" i="1"/>
  <c r="K1631" i="1"/>
  <c r="Z1630" i="1"/>
  <c r="W1630" i="1"/>
  <c r="T1630" i="1"/>
  <c r="M1630" i="1"/>
  <c r="N1630" i="1" s="1"/>
  <c r="K1630" i="1"/>
  <c r="L1630" i="1" s="1"/>
  <c r="Z1629" i="1"/>
  <c r="W1629" i="1"/>
  <c r="T1629" i="1"/>
  <c r="N1629" i="1"/>
  <c r="M1629" i="1"/>
  <c r="K1629" i="1"/>
  <c r="L1629" i="1" s="1"/>
  <c r="Z1628" i="1"/>
  <c r="W1628" i="1"/>
  <c r="T1628" i="1"/>
  <c r="N1628" i="1"/>
  <c r="M1628" i="1"/>
  <c r="L1628" i="1"/>
  <c r="K1628" i="1"/>
  <c r="Z1627" i="1"/>
  <c r="W1627" i="1"/>
  <c r="T1627" i="1"/>
  <c r="M1627" i="1"/>
  <c r="N1627" i="1" s="1"/>
  <c r="K1627" i="1"/>
  <c r="L1627" i="1" s="1"/>
  <c r="Z1626" i="1"/>
  <c r="W1626" i="1"/>
  <c r="T1626" i="1"/>
  <c r="N1626" i="1"/>
  <c r="M1626" i="1"/>
  <c r="L1626" i="1"/>
  <c r="K1626" i="1"/>
  <c r="Z1625" i="1"/>
  <c r="W1625" i="1"/>
  <c r="T1625" i="1"/>
  <c r="M1625" i="1"/>
  <c r="N1625" i="1" s="1"/>
  <c r="L1625" i="1"/>
  <c r="K1625" i="1"/>
  <c r="Z1624" i="1"/>
  <c r="W1624" i="1"/>
  <c r="T1624" i="1"/>
  <c r="M1624" i="1"/>
  <c r="N1624" i="1" s="1"/>
  <c r="L1624" i="1"/>
  <c r="K1624" i="1"/>
  <c r="Z1623" i="1"/>
  <c r="W1623" i="1"/>
  <c r="T1623" i="1"/>
  <c r="N1623" i="1"/>
  <c r="M1623" i="1"/>
  <c r="L1623" i="1"/>
  <c r="K1623" i="1"/>
  <c r="Z1622" i="1"/>
  <c r="W1622" i="1"/>
  <c r="T1622" i="1"/>
  <c r="N1622" i="1"/>
  <c r="M1622" i="1"/>
  <c r="L1622" i="1"/>
  <c r="K1622" i="1"/>
  <c r="Z1621" i="1"/>
  <c r="W1621" i="1"/>
  <c r="T1621" i="1"/>
  <c r="N1621" i="1"/>
  <c r="M1621" i="1"/>
  <c r="L1621" i="1"/>
  <c r="K1621" i="1"/>
  <c r="Z1620" i="1"/>
  <c r="W1620" i="1"/>
  <c r="T1620" i="1"/>
  <c r="N1620" i="1"/>
  <c r="M1620" i="1"/>
  <c r="L1620" i="1"/>
  <c r="K1620" i="1"/>
  <c r="Z1619" i="1"/>
  <c r="W1619" i="1"/>
  <c r="T1619" i="1"/>
  <c r="N1619" i="1"/>
  <c r="M1619" i="1"/>
  <c r="L1619" i="1"/>
  <c r="K1619" i="1"/>
  <c r="Z1618" i="1"/>
  <c r="W1618" i="1"/>
  <c r="T1618" i="1"/>
  <c r="N1618" i="1"/>
  <c r="M1618" i="1"/>
  <c r="L1618" i="1"/>
  <c r="K1618" i="1"/>
  <c r="Z1617" i="1"/>
  <c r="W1617" i="1"/>
  <c r="T1617" i="1"/>
  <c r="N1617" i="1"/>
  <c r="M1617" i="1"/>
  <c r="K1617" i="1"/>
  <c r="L1617" i="1" s="1"/>
  <c r="Z1616" i="1"/>
  <c r="W1616" i="1"/>
  <c r="T1616" i="1"/>
  <c r="N1616" i="1"/>
  <c r="M1616" i="1"/>
  <c r="L1616" i="1"/>
  <c r="K1616" i="1"/>
  <c r="Z1615" i="1"/>
  <c r="W1615" i="1"/>
  <c r="T1615" i="1"/>
  <c r="M1615" i="1"/>
  <c r="N1615" i="1" s="1"/>
  <c r="L1615" i="1"/>
  <c r="K1615" i="1"/>
  <c r="Z1614" i="1"/>
  <c r="W1614" i="1"/>
  <c r="T1614" i="1"/>
  <c r="N1614" i="1"/>
  <c r="M1614" i="1"/>
  <c r="K1614" i="1"/>
  <c r="L1614" i="1" s="1"/>
  <c r="Z1613" i="1"/>
  <c r="W1613" i="1"/>
  <c r="T1613" i="1"/>
  <c r="M1613" i="1"/>
  <c r="N1613" i="1" s="1"/>
  <c r="K1613" i="1"/>
  <c r="L1613" i="1" s="1"/>
  <c r="Z1612" i="1"/>
  <c r="W1612" i="1"/>
  <c r="T1612" i="1"/>
  <c r="N1612" i="1"/>
  <c r="M1612" i="1"/>
  <c r="L1612" i="1"/>
  <c r="K1612" i="1"/>
  <c r="Z1611" i="1"/>
  <c r="W1611" i="1"/>
  <c r="T1611" i="1"/>
  <c r="M1611" i="1"/>
  <c r="N1611" i="1" s="1"/>
  <c r="L1611" i="1"/>
  <c r="K1611" i="1"/>
  <c r="Z1610" i="1"/>
  <c r="W1610" i="1"/>
  <c r="T1610" i="1"/>
  <c r="N1610" i="1"/>
  <c r="M1610" i="1"/>
  <c r="K1610" i="1"/>
  <c r="L1610" i="1" s="1"/>
  <c r="Z1609" i="1"/>
  <c r="W1609" i="1"/>
  <c r="T1609" i="1"/>
  <c r="N1609" i="1"/>
  <c r="M1609" i="1"/>
  <c r="L1609" i="1"/>
  <c r="K1609" i="1"/>
  <c r="Z1608" i="1"/>
  <c r="W1608" i="1"/>
  <c r="T1608" i="1"/>
  <c r="M1608" i="1"/>
  <c r="N1608" i="1" s="1"/>
  <c r="L1608" i="1"/>
  <c r="K1608" i="1"/>
  <c r="Z1607" i="1"/>
  <c r="W1607" i="1"/>
  <c r="T1607" i="1"/>
  <c r="N1607" i="1"/>
  <c r="M1607" i="1"/>
  <c r="K1607" i="1"/>
  <c r="L1607" i="1" s="1"/>
  <c r="Z1606" i="1"/>
  <c r="W1606" i="1"/>
  <c r="T1606" i="1"/>
  <c r="N1606" i="1"/>
  <c r="M1606" i="1"/>
  <c r="K1606" i="1"/>
  <c r="L1606" i="1" s="1"/>
  <c r="Z1605" i="1"/>
  <c r="W1605" i="1"/>
  <c r="T1605" i="1"/>
  <c r="N1605" i="1"/>
  <c r="M1605" i="1"/>
  <c r="K1605" i="1"/>
  <c r="L1605" i="1" s="1"/>
  <c r="Z1604" i="1"/>
  <c r="W1604" i="1"/>
  <c r="T1604" i="1"/>
  <c r="M1604" i="1"/>
  <c r="N1604" i="1" s="1"/>
  <c r="K1604" i="1"/>
  <c r="L1604" i="1" s="1"/>
  <c r="Z1603" i="1"/>
  <c r="W1603" i="1"/>
  <c r="T1603" i="1"/>
  <c r="M1603" i="1"/>
  <c r="N1603" i="1" s="1"/>
  <c r="L1603" i="1"/>
  <c r="K1603" i="1"/>
  <c r="Z1602" i="1"/>
  <c r="W1602" i="1"/>
  <c r="T1602" i="1"/>
  <c r="N1602" i="1"/>
  <c r="M1602" i="1"/>
  <c r="K1602" i="1"/>
  <c r="L1602" i="1" s="1"/>
  <c r="Z1601" i="1"/>
  <c r="W1601" i="1"/>
  <c r="T1601" i="1"/>
  <c r="N1601" i="1"/>
  <c r="M1601" i="1"/>
  <c r="K1601" i="1"/>
  <c r="L1601" i="1" s="1"/>
  <c r="Z1600" i="1"/>
  <c r="W1600" i="1"/>
  <c r="T1600" i="1"/>
  <c r="M1600" i="1"/>
  <c r="N1600" i="1" s="1"/>
  <c r="L1600" i="1"/>
  <c r="K1600" i="1"/>
  <c r="Z1599" i="1"/>
  <c r="W1599" i="1"/>
  <c r="T1599" i="1"/>
  <c r="M1599" i="1"/>
  <c r="N1599" i="1" s="1"/>
  <c r="K1599" i="1"/>
  <c r="L1599" i="1" s="1"/>
  <c r="Z1598" i="1"/>
  <c r="W1598" i="1"/>
  <c r="T1598" i="1"/>
  <c r="N1598" i="1"/>
  <c r="M1598" i="1"/>
  <c r="L1598" i="1"/>
  <c r="K1598" i="1"/>
  <c r="Z1597" i="1"/>
  <c r="W1597" i="1"/>
  <c r="T1597" i="1"/>
  <c r="M1597" i="1"/>
  <c r="N1597" i="1" s="1"/>
  <c r="K1597" i="1"/>
  <c r="L1597" i="1" s="1"/>
  <c r="Z1596" i="1"/>
  <c r="W1596" i="1"/>
  <c r="T1596" i="1"/>
  <c r="M1596" i="1"/>
  <c r="N1596" i="1" s="1"/>
  <c r="K1596" i="1"/>
  <c r="L1596" i="1" s="1"/>
  <c r="Z1595" i="1"/>
  <c r="W1595" i="1"/>
  <c r="T1595" i="1"/>
  <c r="N1595" i="1"/>
  <c r="M1595" i="1"/>
  <c r="L1595" i="1"/>
  <c r="K1595" i="1"/>
  <c r="Z1594" i="1"/>
  <c r="W1594" i="1"/>
  <c r="T1594" i="1"/>
  <c r="M1594" i="1"/>
  <c r="N1594" i="1" s="1"/>
  <c r="L1594" i="1"/>
  <c r="K1594" i="1"/>
  <c r="Z1593" i="1"/>
  <c r="W1593" i="1"/>
  <c r="T1593" i="1"/>
  <c r="M1593" i="1"/>
  <c r="N1593" i="1" s="1"/>
  <c r="K1593" i="1"/>
  <c r="L1593" i="1" s="1"/>
  <c r="Z1592" i="1"/>
  <c r="W1592" i="1"/>
  <c r="T1592" i="1"/>
  <c r="M1592" i="1"/>
  <c r="N1592" i="1" s="1"/>
  <c r="K1592" i="1"/>
  <c r="L1592" i="1" s="1"/>
  <c r="Z1591" i="1"/>
  <c r="W1591" i="1"/>
  <c r="T1591" i="1"/>
  <c r="M1591" i="1"/>
  <c r="N1591" i="1" s="1"/>
  <c r="L1591" i="1"/>
  <c r="K1591" i="1"/>
  <c r="Z1590" i="1"/>
  <c r="W1590" i="1"/>
  <c r="T1590" i="1"/>
  <c r="N1590" i="1"/>
  <c r="M1590" i="1"/>
  <c r="L1590" i="1"/>
  <c r="K1590" i="1"/>
  <c r="Z1589" i="1"/>
  <c r="W1589" i="1"/>
  <c r="T1589" i="1"/>
  <c r="N1589" i="1"/>
  <c r="M1589" i="1"/>
  <c r="L1589" i="1"/>
  <c r="K1589" i="1"/>
  <c r="Z1588" i="1"/>
  <c r="W1588" i="1"/>
  <c r="T1588" i="1"/>
  <c r="N1588" i="1"/>
  <c r="M1588" i="1"/>
  <c r="L1588" i="1"/>
  <c r="K1588" i="1"/>
  <c r="Z1587" i="1"/>
  <c r="W1587" i="1"/>
  <c r="T1587" i="1"/>
  <c r="N1587" i="1"/>
  <c r="M1587" i="1"/>
  <c r="L1587" i="1"/>
  <c r="K1587" i="1"/>
  <c r="Z1586" i="1"/>
  <c r="W1586" i="1"/>
  <c r="T1586" i="1"/>
  <c r="N1586" i="1"/>
  <c r="M1586" i="1"/>
  <c r="K1586" i="1"/>
  <c r="L1586" i="1" s="1"/>
  <c r="Z1585" i="1"/>
  <c r="W1585" i="1"/>
  <c r="T1585" i="1"/>
  <c r="M1585" i="1"/>
  <c r="N1585" i="1" s="1"/>
  <c r="K1585" i="1"/>
  <c r="L1585" i="1" s="1"/>
  <c r="Z1584" i="1"/>
  <c r="W1584" i="1"/>
  <c r="T1584" i="1"/>
  <c r="N1584" i="1"/>
  <c r="M1584" i="1"/>
  <c r="L1584" i="1"/>
  <c r="K1584" i="1"/>
  <c r="Z1583" i="1"/>
  <c r="W1583" i="1"/>
  <c r="T1583" i="1"/>
  <c r="M1583" i="1"/>
  <c r="N1583" i="1" s="1"/>
  <c r="K1583" i="1"/>
  <c r="L1583" i="1" s="1"/>
  <c r="Z1582" i="1"/>
  <c r="W1582" i="1"/>
  <c r="T1582" i="1"/>
  <c r="M1582" i="1"/>
  <c r="N1582" i="1" s="1"/>
  <c r="K1582" i="1"/>
  <c r="L1582" i="1" s="1"/>
  <c r="Z1581" i="1"/>
  <c r="W1581" i="1"/>
  <c r="T1581" i="1"/>
  <c r="M1581" i="1"/>
  <c r="N1581" i="1" s="1"/>
  <c r="K1581" i="1"/>
  <c r="L1581" i="1" s="1"/>
  <c r="Z1580" i="1"/>
  <c r="W1580" i="1"/>
  <c r="T1580" i="1"/>
  <c r="N1580" i="1"/>
  <c r="M1580" i="1"/>
  <c r="K1580" i="1"/>
  <c r="L1580" i="1" s="1"/>
  <c r="Z1579" i="1"/>
  <c r="W1579" i="1"/>
  <c r="T1579" i="1"/>
  <c r="M1579" i="1"/>
  <c r="N1579" i="1" s="1"/>
  <c r="L1579" i="1"/>
  <c r="K1579" i="1"/>
  <c r="Z1578" i="1"/>
  <c r="W1578" i="1"/>
  <c r="T1578" i="1"/>
  <c r="M1578" i="1"/>
  <c r="N1578" i="1" s="1"/>
  <c r="L1578" i="1"/>
  <c r="K1578" i="1"/>
  <c r="Z1577" i="1"/>
  <c r="W1577" i="1"/>
  <c r="T1577" i="1"/>
  <c r="M1577" i="1"/>
  <c r="N1577" i="1" s="1"/>
  <c r="L1577" i="1"/>
  <c r="K1577" i="1"/>
  <c r="Z1576" i="1"/>
  <c r="W1576" i="1"/>
  <c r="T1576" i="1"/>
  <c r="N1576" i="1"/>
  <c r="M1576" i="1"/>
  <c r="L1576" i="1"/>
  <c r="K1576" i="1"/>
  <c r="Z1575" i="1"/>
  <c r="W1575" i="1"/>
  <c r="T1575" i="1"/>
  <c r="N1575" i="1"/>
  <c r="M1575" i="1"/>
  <c r="L1575" i="1"/>
  <c r="K1575" i="1"/>
  <c r="Z1574" i="1"/>
  <c r="W1574" i="1"/>
  <c r="T1574" i="1"/>
  <c r="N1574" i="1"/>
  <c r="M1574" i="1"/>
  <c r="L1574" i="1"/>
  <c r="K1574" i="1"/>
  <c r="Z1573" i="1"/>
  <c r="W1573" i="1"/>
  <c r="T1573" i="1"/>
  <c r="N1573" i="1"/>
  <c r="M1573" i="1"/>
  <c r="L1573" i="1"/>
  <c r="K1573" i="1"/>
  <c r="Z1572" i="1"/>
  <c r="W1572" i="1"/>
  <c r="T1572" i="1"/>
  <c r="N1572" i="1"/>
  <c r="M1572" i="1"/>
  <c r="L1572" i="1"/>
  <c r="K1572" i="1"/>
  <c r="Z1571" i="1"/>
  <c r="W1571" i="1"/>
  <c r="T1571" i="1"/>
  <c r="N1571" i="1"/>
  <c r="M1571" i="1"/>
  <c r="K1571" i="1"/>
  <c r="L1571" i="1" s="1"/>
  <c r="Z1570" i="1"/>
  <c r="W1570" i="1"/>
  <c r="T1570" i="1"/>
  <c r="M1570" i="1"/>
  <c r="N1570" i="1" s="1"/>
  <c r="L1570" i="1"/>
  <c r="K1570" i="1"/>
  <c r="Z1569" i="1"/>
  <c r="W1569" i="1"/>
  <c r="T1569" i="1"/>
  <c r="M1569" i="1"/>
  <c r="N1569" i="1" s="1"/>
  <c r="K1569" i="1"/>
  <c r="L1569" i="1" s="1"/>
  <c r="Z1568" i="1"/>
  <c r="W1568" i="1"/>
  <c r="T1568" i="1"/>
  <c r="M1568" i="1"/>
  <c r="N1568" i="1" s="1"/>
  <c r="L1568" i="1"/>
  <c r="K1568" i="1"/>
  <c r="Z1567" i="1"/>
  <c r="W1567" i="1"/>
  <c r="T1567" i="1"/>
  <c r="M1567" i="1"/>
  <c r="N1567" i="1" s="1"/>
  <c r="L1567" i="1"/>
  <c r="K1567" i="1"/>
  <c r="Z1566" i="1"/>
  <c r="W1566" i="1"/>
  <c r="T1566" i="1"/>
  <c r="N1566" i="1"/>
  <c r="M1566" i="1"/>
  <c r="K1566" i="1"/>
  <c r="L1566" i="1" s="1"/>
  <c r="Z1565" i="1"/>
  <c r="W1565" i="1"/>
  <c r="T1565" i="1"/>
  <c r="M1565" i="1"/>
  <c r="N1565" i="1" s="1"/>
  <c r="L1565" i="1"/>
  <c r="K1565" i="1"/>
  <c r="Z1564" i="1"/>
  <c r="W1564" i="1"/>
  <c r="T1564" i="1"/>
  <c r="M1564" i="1"/>
  <c r="N1564" i="1" s="1"/>
  <c r="L1564" i="1"/>
  <c r="K1564" i="1"/>
  <c r="Z1563" i="1"/>
  <c r="W1563" i="1"/>
  <c r="T1563" i="1"/>
  <c r="M1563" i="1"/>
  <c r="N1563" i="1" s="1"/>
  <c r="L1563" i="1"/>
  <c r="K1563" i="1"/>
  <c r="Z1562" i="1"/>
  <c r="W1562" i="1"/>
  <c r="T1562" i="1"/>
  <c r="N1562" i="1"/>
  <c r="M1562" i="1"/>
  <c r="K1562" i="1"/>
  <c r="L1562" i="1" s="1"/>
  <c r="Z1561" i="1"/>
  <c r="W1561" i="1"/>
  <c r="T1561" i="1"/>
  <c r="N1561" i="1"/>
  <c r="M1561" i="1"/>
  <c r="L1561" i="1"/>
  <c r="K1561" i="1"/>
  <c r="Z1560" i="1"/>
  <c r="W1560" i="1"/>
  <c r="T1560" i="1"/>
  <c r="M1560" i="1"/>
  <c r="N1560" i="1" s="1"/>
  <c r="K1560" i="1"/>
  <c r="L1560" i="1" s="1"/>
  <c r="Z1559" i="1"/>
  <c r="W1559" i="1"/>
  <c r="T1559" i="1"/>
  <c r="N1559" i="1"/>
  <c r="M1559" i="1"/>
  <c r="L1559" i="1"/>
  <c r="K1559" i="1"/>
  <c r="Z1558" i="1"/>
  <c r="W1558" i="1"/>
  <c r="T1558" i="1"/>
  <c r="M1558" i="1"/>
  <c r="N1558" i="1" s="1"/>
  <c r="L1558" i="1"/>
  <c r="K1558" i="1"/>
  <c r="Z1557" i="1"/>
  <c r="W1557" i="1"/>
  <c r="T1557" i="1"/>
  <c r="N1557" i="1"/>
  <c r="M1557" i="1"/>
  <c r="K1557" i="1"/>
  <c r="L1557" i="1" s="1"/>
  <c r="Z1556" i="1"/>
  <c r="W1556" i="1"/>
  <c r="T1556" i="1"/>
  <c r="M1556" i="1"/>
  <c r="N1556" i="1" s="1"/>
  <c r="K1556" i="1"/>
  <c r="L1556" i="1" s="1"/>
  <c r="Z1555" i="1"/>
  <c r="W1555" i="1"/>
  <c r="T1555" i="1"/>
  <c r="M1555" i="1"/>
  <c r="N1555" i="1" s="1"/>
  <c r="K1555" i="1"/>
  <c r="L1555" i="1" s="1"/>
  <c r="Z1554" i="1"/>
  <c r="W1554" i="1"/>
  <c r="T1554" i="1"/>
  <c r="M1554" i="1"/>
  <c r="N1554" i="1" s="1"/>
  <c r="K1554" i="1"/>
  <c r="L1554" i="1" s="1"/>
  <c r="Z1553" i="1"/>
  <c r="W1553" i="1"/>
  <c r="T1553" i="1"/>
  <c r="M1553" i="1"/>
  <c r="N1553" i="1" s="1"/>
  <c r="L1553" i="1"/>
  <c r="K1553" i="1"/>
  <c r="Z1552" i="1"/>
  <c r="W1552" i="1"/>
  <c r="T1552" i="1"/>
  <c r="N1552" i="1"/>
  <c r="M1552" i="1"/>
  <c r="L1552" i="1"/>
  <c r="K1552" i="1"/>
  <c r="Z1551" i="1"/>
  <c r="W1551" i="1"/>
  <c r="T1551" i="1"/>
  <c r="N1551" i="1"/>
  <c r="M1551" i="1"/>
  <c r="L1551" i="1"/>
  <c r="K1551" i="1"/>
  <c r="Z1550" i="1"/>
  <c r="W1550" i="1"/>
  <c r="T1550" i="1"/>
  <c r="N1550" i="1"/>
  <c r="M1550" i="1"/>
  <c r="L1550" i="1"/>
  <c r="K1550" i="1"/>
  <c r="Z1549" i="1"/>
  <c r="W1549" i="1"/>
  <c r="T1549" i="1"/>
  <c r="N1549" i="1"/>
  <c r="M1549" i="1"/>
  <c r="K1549" i="1"/>
  <c r="L1549" i="1" s="1"/>
  <c r="Z1548" i="1"/>
  <c r="W1548" i="1"/>
  <c r="T1548" i="1"/>
  <c r="N1548" i="1"/>
  <c r="M1548" i="1"/>
  <c r="K1548" i="1"/>
  <c r="L1548" i="1" s="1"/>
  <c r="Z1547" i="1"/>
  <c r="W1547" i="1"/>
  <c r="T1547" i="1"/>
  <c r="M1547" i="1"/>
  <c r="N1547" i="1" s="1"/>
  <c r="L1547" i="1"/>
  <c r="K1547" i="1"/>
  <c r="Z1546" i="1"/>
  <c r="W1546" i="1"/>
  <c r="T1546" i="1"/>
  <c r="M1546" i="1"/>
  <c r="N1546" i="1" s="1"/>
  <c r="K1546" i="1"/>
  <c r="L1546" i="1" s="1"/>
  <c r="Z1545" i="1"/>
  <c r="W1545" i="1"/>
  <c r="T1545" i="1"/>
  <c r="N1545" i="1"/>
  <c r="M1545" i="1"/>
  <c r="K1545" i="1"/>
  <c r="L1545" i="1" s="1"/>
  <c r="Z1544" i="1"/>
  <c r="W1544" i="1"/>
  <c r="T1544" i="1"/>
  <c r="N1544" i="1"/>
  <c r="M1544" i="1"/>
  <c r="L1544" i="1"/>
  <c r="K1544" i="1"/>
  <c r="Z1543" i="1"/>
  <c r="W1543" i="1"/>
  <c r="T1543" i="1"/>
  <c r="M1543" i="1"/>
  <c r="N1543" i="1" s="1"/>
  <c r="L1543" i="1"/>
  <c r="K1543" i="1"/>
  <c r="Z1542" i="1"/>
  <c r="W1542" i="1"/>
  <c r="T1542" i="1"/>
  <c r="M1542" i="1"/>
  <c r="N1542" i="1" s="1"/>
  <c r="K1542" i="1"/>
  <c r="L1542" i="1" s="1"/>
  <c r="Z1541" i="1"/>
  <c r="W1541" i="1"/>
  <c r="T1541" i="1"/>
  <c r="M1541" i="1"/>
  <c r="N1541" i="1" s="1"/>
  <c r="K1541" i="1"/>
  <c r="L1541" i="1" s="1"/>
  <c r="Z1540" i="1"/>
  <c r="W1540" i="1"/>
  <c r="T1540" i="1"/>
  <c r="N1540" i="1"/>
  <c r="M1540" i="1"/>
  <c r="L1540" i="1"/>
  <c r="K1540" i="1"/>
  <c r="Z1539" i="1"/>
  <c r="W1539" i="1"/>
  <c r="T1539" i="1"/>
  <c r="M1539" i="1"/>
  <c r="N1539" i="1" s="1"/>
  <c r="L1539" i="1"/>
  <c r="K1539" i="1"/>
  <c r="Z1538" i="1"/>
  <c r="W1538" i="1"/>
  <c r="T1538" i="1"/>
  <c r="N1538" i="1"/>
  <c r="M1538" i="1"/>
  <c r="K1538" i="1"/>
  <c r="L1538" i="1" s="1"/>
  <c r="Z1537" i="1"/>
  <c r="W1537" i="1"/>
  <c r="T1537" i="1"/>
  <c r="M1537" i="1"/>
  <c r="N1537" i="1" s="1"/>
  <c r="K1537" i="1"/>
  <c r="L1537" i="1" s="1"/>
  <c r="Z1536" i="1"/>
  <c r="W1536" i="1"/>
  <c r="T1536" i="1"/>
  <c r="M1536" i="1"/>
  <c r="N1536" i="1" s="1"/>
  <c r="L1536" i="1"/>
  <c r="K1536" i="1"/>
  <c r="Z1535" i="1"/>
  <c r="W1535" i="1"/>
  <c r="T1535" i="1"/>
  <c r="N1535" i="1"/>
  <c r="M1535" i="1"/>
  <c r="L1535" i="1"/>
  <c r="K1535" i="1"/>
  <c r="Z1534" i="1"/>
  <c r="W1534" i="1"/>
  <c r="T1534" i="1"/>
  <c r="N1534" i="1"/>
  <c r="M1534" i="1"/>
  <c r="K1534" i="1"/>
  <c r="L1534" i="1" s="1"/>
  <c r="Z1533" i="1"/>
  <c r="W1533" i="1"/>
  <c r="T1533" i="1"/>
  <c r="N1533" i="1"/>
  <c r="M1533" i="1"/>
  <c r="K1533" i="1"/>
  <c r="L1533" i="1" s="1"/>
  <c r="Z1532" i="1"/>
  <c r="W1532" i="1"/>
  <c r="T1532" i="1"/>
  <c r="M1532" i="1"/>
  <c r="N1532" i="1" s="1"/>
  <c r="K1532" i="1"/>
  <c r="L1532" i="1" s="1"/>
  <c r="Z1531" i="1"/>
  <c r="W1531" i="1"/>
  <c r="T1531" i="1"/>
  <c r="M1531" i="1"/>
  <c r="N1531" i="1" s="1"/>
  <c r="L1531" i="1"/>
  <c r="K1531" i="1"/>
  <c r="Z1530" i="1"/>
  <c r="W1530" i="1"/>
  <c r="T1530" i="1"/>
  <c r="N1530" i="1"/>
  <c r="M1530" i="1"/>
  <c r="L1530" i="1"/>
  <c r="K1530" i="1"/>
  <c r="Z1529" i="1"/>
  <c r="W1529" i="1"/>
  <c r="T1529" i="1"/>
  <c r="N1529" i="1"/>
  <c r="M1529" i="1"/>
  <c r="K1529" i="1"/>
  <c r="L1529" i="1" s="1"/>
  <c r="Z1528" i="1"/>
  <c r="W1528" i="1"/>
  <c r="T1528" i="1"/>
  <c r="M1528" i="1"/>
  <c r="N1528" i="1" s="1"/>
  <c r="L1528" i="1"/>
  <c r="K1528" i="1"/>
  <c r="Z1527" i="1"/>
  <c r="W1527" i="1"/>
  <c r="T1527" i="1"/>
  <c r="M1527" i="1"/>
  <c r="N1527" i="1" s="1"/>
  <c r="K1527" i="1"/>
  <c r="L1527" i="1" s="1"/>
  <c r="Z1526" i="1"/>
  <c r="W1526" i="1"/>
  <c r="T1526" i="1"/>
  <c r="N1526" i="1"/>
  <c r="M1526" i="1"/>
  <c r="K1526" i="1"/>
  <c r="L1526" i="1" s="1"/>
  <c r="Z1525" i="1"/>
  <c r="W1525" i="1"/>
  <c r="T1525" i="1"/>
  <c r="M1525" i="1"/>
  <c r="N1525" i="1" s="1"/>
  <c r="L1525" i="1"/>
  <c r="K1525" i="1"/>
  <c r="Z1524" i="1"/>
  <c r="W1524" i="1"/>
  <c r="T1524" i="1"/>
  <c r="N1524" i="1"/>
  <c r="M1524" i="1"/>
  <c r="K1524" i="1"/>
  <c r="L1524" i="1" s="1"/>
  <c r="Z1523" i="1"/>
  <c r="W1523" i="1"/>
  <c r="T1523" i="1"/>
  <c r="M1523" i="1"/>
  <c r="N1523" i="1" s="1"/>
  <c r="L1523" i="1"/>
  <c r="K1523" i="1"/>
  <c r="Z1522" i="1"/>
  <c r="W1522" i="1"/>
  <c r="T1522" i="1"/>
  <c r="M1522" i="1"/>
  <c r="N1522" i="1" s="1"/>
  <c r="L1522" i="1"/>
  <c r="K1522" i="1"/>
  <c r="Z1521" i="1"/>
  <c r="W1521" i="1"/>
  <c r="T1521" i="1"/>
  <c r="N1521" i="1"/>
  <c r="M1521" i="1"/>
  <c r="K1521" i="1"/>
  <c r="L1521" i="1" s="1"/>
  <c r="Z1520" i="1"/>
  <c r="W1520" i="1"/>
  <c r="T1520" i="1"/>
  <c r="M1520" i="1"/>
  <c r="N1520" i="1" s="1"/>
  <c r="K1520" i="1"/>
  <c r="L1520" i="1" s="1"/>
  <c r="Z1519" i="1"/>
  <c r="W1519" i="1"/>
  <c r="T1519" i="1"/>
  <c r="M1519" i="1"/>
  <c r="N1519" i="1" s="1"/>
  <c r="L1519" i="1"/>
  <c r="K1519" i="1"/>
  <c r="Z1518" i="1"/>
  <c r="W1518" i="1"/>
  <c r="T1518" i="1"/>
  <c r="N1518" i="1"/>
  <c r="M1518" i="1"/>
  <c r="K1518" i="1"/>
  <c r="L1518" i="1" s="1"/>
  <c r="Z1517" i="1"/>
  <c r="W1517" i="1"/>
  <c r="T1517" i="1"/>
  <c r="M1517" i="1"/>
  <c r="N1517" i="1" s="1"/>
  <c r="L1517" i="1"/>
  <c r="K1517" i="1"/>
  <c r="Z1516" i="1"/>
  <c r="W1516" i="1"/>
  <c r="T1516" i="1"/>
  <c r="M1516" i="1"/>
  <c r="N1516" i="1" s="1"/>
  <c r="L1516" i="1"/>
  <c r="K1516" i="1"/>
  <c r="Z1515" i="1"/>
  <c r="W1515" i="1"/>
  <c r="T1515" i="1"/>
  <c r="N1515" i="1"/>
  <c r="M1515" i="1"/>
  <c r="L1515" i="1"/>
  <c r="K1515" i="1"/>
  <c r="Z1514" i="1"/>
  <c r="W1514" i="1"/>
  <c r="T1514" i="1"/>
  <c r="N1514" i="1"/>
  <c r="M1514" i="1"/>
  <c r="L1514" i="1"/>
  <c r="K1514" i="1"/>
  <c r="Z1513" i="1"/>
  <c r="W1513" i="1"/>
  <c r="T1513" i="1"/>
  <c r="N1513" i="1"/>
  <c r="M1513" i="1"/>
  <c r="K1513" i="1"/>
  <c r="L1513" i="1" s="1"/>
  <c r="Z1512" i="1"/>
  <c r="W1512" i="1"/>
  <c r="T1512" i="1"/>
  <c r="M1512" i="1"/>
  <c r="N1512" i="1" s="1"/>
  <c r="K1512" i="1"/>
  <c r="L1512" i="1" s="1"/>
  <c r="Z1511" i="1"/>
  <c r="W1511" i="1"/>
  <c r="T1511" i="1"/>
  <c r="M1511" i="1"/>
  <c r="N1511" i="1" s="1"/>
  <c r="L1511" i="1"/>
  <c r="K1511" i="1"/>
  <c r="Z1510" i="1"/>
  <c r="W1510" i="1"/>
  <c r="T1510" i="1"/>
  <c r="N1510" i="1"/>
  <c r="M1510" i="1"/>
  <c r="K1510" i="1"/>
  <c r="L1510" i="1" s="1"/>
  <c r="Z1509" i="1"/>
  <c r="W1509" i="1"/>
  <c r="T1509" i="1"/>
  <c r="M1509" i="1"/>
  <c r="N1509" i="1" s="1"/>
  <c r="K1509" i="1"/>
  <c r="L1509" i="1" s="1"/>
  <c r="Z1508" i="1"/>
  <c r="W1508" i="1"/>
  <c r="T1508" i="1"/>
  <c r="N1508" i="1"/>
  <c r="M1508" i="1"/>
  <c r="K1508" i="1"/>
  <c r="L1508" i="1" s="1"/>
  <c r="Z1507" i="1"/>
  <c r="W1507" i="1"/>
  <c r="T1507" i="1"/>
  <c r="M1507" i="1"/>
  <c r="N1507" i="1" s="1"/>
  <c r="K1507" i="1"/>
  <c r="L1507" i="1" s="1"/>
  <c r="Z1506" i="1"/>
  <c r="W1506" i="1"/>
  <c r="T1506" i="1"/>
  <c r="M1506" i="1"/>
  <c r="N1506" i="1" s="1"/>
  <c r="L1506" i="1"/>
  <c r="K1506" i="1"/>
  <c r="Z1505" i="1"/>
  <c r="W1505" i="1"/>
  <c r="T1505" i="1"/>
  <c r="N1505" i="1"/>
  <c r="M1505" i="1"/>
  <c r="L1505" i="1"/>
  <c r="K1505" i="1"/>
  <c r="Z1504" i="1"/>
  <c r="W1504" i="1"/>
  <c r="T1504" i="1"/>
  <c r="N1504" i="1"/>
  <c r="M1504" i="1"/>
  <c r="L1504" i="1"/>
  <c r="K1504" i="1"/>
  <c r="Z1503" i="1"/>
  <c r="W1503" i="1"/>
  <c r="T1503" i="1"/>
  <c r="N1503" i="1"/>
  <c r="M1503" i="1"/>
  <c r="L1503" i="1"/>
  <c r="K1503" i="1"/>
  <c r="Z1502" i="1"/>
  <c r="W1502" i="1"/>
  <c r="T1502" i="1"/>
  <c r="N1502" i="1"/>
  <c r="M1502" i="1"/>
  <c r="K1502" i="1"/>
  <c r="L1502" i="1" s="1"/>
  <c r="Z1501" i="1"/>
  <c r="W1501" i="1"/>
  <c r="T1501" i="1"/>
  <c r="N1501" i="1"/>
  <c r="M1501" i="1"/>
  <c r="K1501" i="1"/>
  <c r="L1501" i="1" s="1"/>
  <c r="Z1500" i="1"/>
  <c r="W1500" i="1"/>
  <c r="T1500" i="1"/>
  <c r="M1500" i="1"/>
  <c r="N1500" i="1" s="1"/>
  <c r="K1500" i="1"/>
  <c r="L1500" i="1" s="1"/>
  <c r="Z1499" i="1"/>
  <c r="W1499" i="1"/>
  <c r="T1499" i="1"/>
  <c r="M1499" i="1"/>
  <c r="N1499" i="1" s="1"/>
  <c r="K1499" i="1"/>
  <c r="L1499" i="1" s="1"/>
  <c r="Z1498" i="1"/>
  <c r="W1498" i="1"/>
  <c r="T1498" i="1"/>
  <c r="N1498" i="1"/>
  <c r="M1498" i="1"/>
  <c r="L1498" i="1"/>
  <c r="K1498" i="1"/>
  <c r="Z1497" i="1"/>
  <c r="W1497" i="1"/>
  <c r="T1497" i="1"/>
  <c r="M1497" i="1"/>
  <c r="N1497" i="1" s="1"/>
  <c r="K1497" i="1"/>
  <c r="L1497" i="1" s="1"/>
  <c r="Z1496" i="1"/>
  <c r="W1496" i="1"/>
  <c r="T1496" i="1"/>
  <c r="N1496" i="1"/>
  <c r="M1496" i="1"/>
  <c r="L1496" i="1"/>
  <c r="K1496" i="1"/>
  <c r="Z1495" i="1"/>
  <c r="W1495" i="1"/>
  <c r="T1495" i="1"/>
  <c r="M1495" i="1"/>
  <c r="N1495" i="1" s="1"/>
  <c r="K1495" i="1"/>
  <c r="L1495" i="1" s="1"/>
  <c r="Z1494" i="1"/>
  <c r="W1494" i="1"/>
  <c r="T1494" i="1"/>
  <c r="M1494" i="1"/>
  <c r="N1494" i="1" s="1"/>
  <c r="K1494" i="1"/>
  <c r="L1494" i="1" s="1"/>
  <c r="Z1493" i="1"/>
  <c r="W1493" i="1"/>
  <c r="T1493" i="1"/>
  <c r="M1493" i="1"/>
  <c r="N1493" i="1" s="1"/>
  <c r="K1493" i="1"/>
  <c r="L1493" i="1" s="1"/>
  <c r="Z1492" i="1"/>
  <c r="W1492" i="1"/>
  <c r="T1492" i="1"/>
  <c r="M1492" i="1"/>
  <c r="N1492" i="1" s="1"/>
  <c r="L1492" i="1"/>
  <c r="K1492" i="1"/>
  <c r="Z1491" i="1"/>
  <c r="W1491" i="1"/>
  <c r="T1491" i="1"/>
  <c r="N1491" i="1"/>
  <c r="M1491" i="1"/>
  <c r="L1491" i="1"/>
  <c r="K1491" i="1"/>
  <c r="Z1490" i="1"/>
  <c r="W1490" i="1"/>
  <c r="T1490" i="1"/>
  <c r="N1490" i="1"/>
  <c r="M1490" i="1"/>
  <c r="L1490" i="1"/>
  <c r="K1490" i="1"/>
  <c r="Z1489" i="1"/>
  <c r="W1489" i="1"/>
  <c r="T1489" i="1"/>
  <c r="N1489" i="1"/>
  <c r="M1489" i="1"/>
  <c r="L1489" i="1"/>
  <c r="K1489" i="1"/>
  <c r="Z1488" i="1"/>
  <c r="W1488" i="1"/>
  <c r="T1488" i="1"/>
  <c r="N1488" i="1"/>
  <c r="M1488" i="1"/>
  <c r="K1488" i="1"/>
  <c r="L1488" i="1" s="1"/>
  <c r="Z1487" i="1"/>
  <c r="W1487" i="1"/>
  <c r="T1487" i="1"/>
  <c r="N1487" i="1"/>
  <c r="M1487" i="1"/>
  <c r="L1487" i="1"/>
  <c r="K1487" i="1"/>
  <c r="Z1486" i="1"/>
  <c r="W1486" i="1"/>
  <c r="T1486" i="1"/>
  <c r="M1486" i="1"/>
  <c r="N1486" i="1" s="1"/>
  <c r="K1486" i="1"/>
  <c r="L1486" i="1" s="1"/>
  <c r="Z1485" i="1"/>
  <c r="W1485" i="1"/>
  <c r="T1485" i="1"/>
  <c r="N1485" i="1"/>
  <c r="M1485" i="1"/>
  <c r="K1485" i="1"/>
  <c r="L1485" i="1" s="1"/>
  <c r="Z1484" i="1"/>
  <c r="W1484" i="1"/>
  <c r="T1484" i="1"/>
  <c r="N1484" i="1"/>
  <c r="M1484" i="1"/>
  <c r="L1484" i="1"/>
  <c r="K1484" i="1"/>
  <c r="Z1483" i="1"/>
  <c r="W1483" i="1"/>
  <c r="T1483" i="1"/>
  <c r="M1483" i="1"/>
  <c r="N1483" i="1" s="1"/>
  <c r="K1483" i="1"/>
  <c r="L1483" i="1" s="1"/>
  <c r="Z1482" i="1"/>
  <c r="W1482" i="1"/>
  <c r="T1482" i="1"/>
  <c r="N1482" i="1"/>
  <c r="M1482" i="1"/>
  <c r="L1482" i="1"/>
  <c r="K1482" i="1"/>
  <c r="Z1481" i="1"/>
  <c r="W1481" i="1"/>
  <c r="T1481" i="1"/>
  <c r="M1481" i="1"/>
  <c r="N1481" i="1" s="1"/>
  <c r="K1481" i="1"/>
  <c r="L1481" i="1" s="1"/>
  <c r="Z1480" i="1"/>
  <c r="W1480" i="1"/>
  <c r="T1480" i="1"/>
  <c r="M1480" i="1"/>
  <c r="N1480" i="1" s="1"/>
  <c r="L1480" i="1"/>
  <c r="K1480" i="1"/>
  <c r="Z1479" i="1"/>
  <c r="W1479" i="1"/>
  <c r="T1479" i="1"/>
  <c r="M1479" i="1"/>
  <c r="N1479" i="1" s="1"/>
  <c r="L1479" i="1"/>
  <c r="K1479" i="1"/>
  <c r="Z1478" i="1"/>
  <c r="W1478" i="1"/>
  <c r="T1478" i="1"/>
  <c r="N1478" i="1"/>
  <c r="M1478" i="1"/>
  <c r="L1478" i="1"/>
  <c r="K1478" i="1"/>
  <c r="Z1477" i="1"/>
  <c r="W1477" i="1"/>
  <c r="T1477" i="1"/>
  <c r="N1477" i="1"/>
  <c r="M1477" i="1"/>
  <c r="L1477" i="1"/>
  <c r="K1477" i="1"/>
  <c r="Z1476" i="1"/>
  <c r="W1476" i="1"/>
  <c r="T1476" i="1"/>
  <c r="N1476" i="1"/>
  <c r="M1476" i="1"/>
  <c r="K1476" i="1"/>
  <c r="L1476" i="1" s="1"/>
  <c r="Z1475" i="1"/>
  <c r="W1475" i="1"/>
  <c r="T1475" i="1"/>
  <c r="M1475" i="1"/>
  <c r="N1475" i="1" s="1"/>
  <c r="L1475" i="1"/>
  <c r="K1475" i="1"/>
  <c r="Z1474" i="1"/>
  <c r="W1474" i="1"/>
  <c r="T1474" i="1"/>
  <c r="M1474" i="1"/>
  <c r="N1474" i="1" s="1"/>
  <c r="L1474" i="1"/>
  <c r="K1474" i="1"/>
  <c r="Z1473" i="1"/>
  <c r="W1473" i="1"/>
  <c r="T1473" i="1"/>
  <c r="N1473" i="1"/>
  <c r="M1473" i="1"/>
  <c r="K1473" i="1"/>
  <c r="L1473" i="1" s="1"/>
  <c r="Z1472" i="1"/>
  <c r="W1472" i="1"/>
  <c r="T1472" i="1"/>
  <c r="M1472" i="1"/>
  <c r="N1472" i="1" s="1"/>
  <c r="L1472" i="1"/>
  <c r="K1472" i="1"/>
  <c r="Z1471" i="1"/>
  <c r="W1471" i="1"/>
  <c r="T1471" i="1"/>
  <c r="M1471" i="1"/>
  <c r="N1471" i="1" s="1"/>
  <c r="L1471" i="1"/>
  <c r="K1471" i="1"/>
  <c r="Z1470" i="1"/>
  <c r="W1470" i="1"/>
  <c r="T1470" i="1"/>
  <c r="N1470" i="1"/>
  <c r="M1470" i="1"/>
  <c r="K1470" i="1"/>
  <c r="L1470" i="1" s="1"/>
  <c r="Z1469" i="1"/>
  <c r="W1469" i="1"/>
  <c r="T1469" i="1"/>
  <c r="N1469" i="1"/>
  <c r="M1469" i="1"/>
  <c r="K1469" i="1"/>
  <c r="L1469" i="1" s="1"/>
  <c r="Z1468" i="1"/>
  <c r="W1468" i="1"/>
  <c r="T1468" i="1"/>
  <c r="N1468" i="1"/>
  <c r="M1468" i="1"/>
  <c r="L1468" i="1"/>
  <c r="K1468" i="1"/>
  <c r="Z1467" i="1"/>
  <c r="W1467" i="1"/>
  <c r="T1467" i="1"/>
  <c r="M1467" i="1"/>
  <c r="N1467" i="1" s="1"/>
  <c r="L1467" i="1"/>
  <c r="K1467" i="1"/>
  <c r="Z1466" i="1"/>
  <c r="W1466" i="1"/>
  <c r="T1466" i="1"/>
  <c r="N1466" i="1"/>
  <c r="M1466" i="1"/>
  <c r="K1466" i="1"/>
  <c r="L1466" i="1" s="1"/>
  <c r="Z1465" i="1"/>
  <c r="W1465" i="1"/>
  <c r="T1465" i="1"/>
  <c r="M1465" i="1"/>
  <c r="N1465" i="1" s="1"/>
  <c r="K1465" i="1"/>
  <c r="L1465" i="1" s="1"/>
  <c r="Z1464" i="1"/>
  <c r="W1464" i="1"/>
  <c r="T1464" i="1"/>
  <c r="M1464" i="1"/>
  <c r="N1464" i="1" s="1"/>
  <c r="L1464" i="1"/>
  <c r="K1464" i="1"/>
  <c r="Z1463" i="1"/>
  <c r="W1463" i="1"/>
  <c r="T1463" i="1"/>
  <c r="N1463" i="1"/>
  <c r="M1463" i="1"/>
  <c r="K1463" i="1"/>
  <c r="L1463" i="1" s="1"/>
  <c r="Z1462" i="1"/>
  <c r="W1462" i="1"/>
  <c r="T1462" i="1"/>
  <c r="N1462" i="1"/>
  <c r="M1462" i="1"/>
  <c r="K1462" i="1"/>
  <c r="L1462" i="1" s="1"/>
  <c r="Z1461" i="1"/>
  <c r="W1461" i="1"/>
  <c r="T1461" i="1"/>
  <c r="N1461" i="1"/>
  <c r="M1461" i="1"/>
  <c r="K1461" i="1"/>
  <c r="L1461" i="1" s="1"/>
  <c r="Z1460" i="1"/>
  <c r="W1460" i="1"/>
  <c r="T1460" i="1"/>
  <c r="M1460" i="1"/>
  <c r="N1460" i="1" s="1"/>
  <c r="K1460" i="1"/>
  <c r="L1460" i="1" s="1"/>
  <c r="Z1459" i="1"/>
  <c r="W1459" i="1"/>
  <c r="T1459" i="1"/>
  <c r="M1459" i="1"/>
  <c r="N1459" i="1" s="1"/>
  <c r="L1459" i="1"/>
  <c r="K1459" i="1"/>
  <c r="Z1458" i="1"/>
  <c r="W1458" i="1"/>
  <c r="T1458" i="1"/>
  <c r="N1458" i="1"/>
  <c r="M1458" i="1"/>
  <c r="L1458" i="1"/>
  <c r="K1458" i="1"/>
  <c r="Z1457" i="1"/>
  <c r="W1457" i="1"/>
  <c r="T1457" i="1"/>
  <c r="N1457" i="1"/>
  <c r="M1457" i="1"/>
  <c r="K1457" i="1"/>
  <c r="L1457" i="1" s="1"/>
  <c r="Z1456" i="1"/>
  <c r="W1456" i="1"/>
  <c r="T1456" i="1"/>
  <c r="N1456" i="1"/>
  <c r="M1456" i="1"/>
  <c r="L1456" i="1"/>
  <c r="K1456" i="1"/>
  <c r="Z1455" i="1"/>
  <c r="W1455" i="1"/>
  <c r="T1455" i="1"/>
  <c r="M1455" i="1"/>
  <c r="N1455" i="1" s="1"/>
  <c r="K1455" i="1"/>
  <c r="L1455" i="1" s="1"/>
  <c r="Z1454" i="1"/>
  <c r="W1454" i="1"/>
  <c r="T1454" i="1"/>
  <c r="N1454" i="1"/>
  <c r="M1454" i="1"/>
  <c r="K1454" i="1"/>
  <c r="L1454" i="1" s="1"/>
  <c r="Z1453" i="1"/>
  <c r="W1453" i="1"/>
  <c r="T1453" i="1"/>
  <c r="M1453" i="1"/>
  <c r="N1453" i="1" s="1"/>
  <c r="L1453" i="1"/>
  <c r="K1453" i="1"/>
  <c r="Z1452" i="1"/>
  <c r="W1452" i="1"/>
  <c r="T1452" i="1"/>
  <c r="N1452" i="1"/>
  <c r="M1452" i="1"/>
  <c r="K1452" i="1"/>
  <c r="L1452" i="1" s="1"/>
  <c r="Z1451" i="1"/>
  <c r="W1451" i="1"/>
  <c r="T1451" i="1"/>
  <c r="M1451" i="1"/>
  <c r="N1451" i="1" s="1"/>
  <c r="L1451" i="1"/>
  <c r="K1451" i="1"/>
  <c r="Z1450" i="1"/>
  <c r="W1450" i="1"/>
  <c r="T1450" i="1"/>
  <c r="M1450" i="1"/>
  <c r="N1450" i="1" s="1"/>
  <c r="L1450" i="1"/>
  <c r="K1450" i="1"/>
  <c r="Z1449" i="1"/>
  <c r="W1449" i="1"/>
  <c r="T1449" i="1"/>
  <c r="N1449" i="1"/>
  <c r="M1449" i="1"/>
  <c r="K1449" i="1"/>
  <c r="L1449" i="1" s="1"/>
  <c r="Z1448" i="1"/>
  <c r="W1448" i="1"/>
  <c r="T1448" i="1"/>
  <c r="M1448" i="1"/>
  <c r="N1448" i="1" s="1"/>
  <c r="K1448" i="1"/>
  <c r="L1448" i="1" s="1"/>
  <c r="Z1447" i="1"/>
  <c r="W1447" i="1"/>
  <c r="T1447" i="1"/>
  <c r="M1447" i="1"/>
  <c r="N1447" i="1" s="1"/>
  <c r="L1447" i="1"/>
  <c r="K1447" i="1"/>
  <c r="Z1446" i="1"/>
  <c r="W1446" i="1"/>
  <c r="T1446" i="1"/>
  <c r="N1446" i="1"/>
  <c r="M1446" i="1"/>
  <c r="K1446" i="1"/>
  <c r="L1446" i="1" s="1"/>
  <c r="Z1445" i="1"/>
  <c r="W1445" i="1"/>
  <c r="T1445" i="1"/>
  <c r="N1445" i="1"/>
  <c r="M1445" i="1"/>
  <c r="L1445" i="1"/>
  <c r="K1445" i="1"/>
  <c r="Z1444" i="1"/>
  <c r="W1444" i="1"/>
  <c r="T1444" i="1"/>
  <c r="M1444" i="1"/>
  <c r="N1444" i="1" s="1"/>
  <c r="L1444" i="1"/>
  <c r="K1444" i="1"/>
  <c r="Z1443" i="1"/>
  <c r="W1443" i="1"/>
  <c r="T1443" i="1"/>
  <c r="N1443" i="1"/>
  <c r="M1443" i="1"/>
  <c r="L1443" i="1"/>
  <c r="K1443" i="1"/>
  <c r="Z1442" i="1"/>
  <c r="W1442" i="1"/>
  <c r="T1442" i="1"/>
  <c r="N1442" i="1"/>
  <c r="M1442" i="1"/>
  <c r="K1442" i="1"/>
  <c r="L1442" i="1" s="1"/>
  <c r="Z1441" i="1"/>
  <c r="W1441" i="1"/>
  <c r="T1441" i="1"/>
  <c r="N1441" i="1"/>
  <c r="M1441" i="1"/>
  <c r="K1441" i="1"/>
  <c r="L1441" i="1" s="1"/>
  <c r="Z1440" i="1"/>
  <c r="W1440" i="1"/>
  <c r="T1440" i="1"/>
  <c r="M1440" i="1"/>
  <c r="N1440" i="1" s="1"/>
  <c r="L1440" i="1"/>
  <c r="K1440" i="1"/>
  <c r="Z1439" i="1"/>
  <c r="W1439" i="1"/>
  <c r="T1439" i="1"/>
  <c r="M1439" i="1"/>
  <c r="N1439" i="1" s="1"/>
  <c r="L1439" i="1"/>
  <c r="K1439" i="1"/>
  <c r="Z1438" i="1"/>
  <c r="W1438" i="1"/>
  <c r="T1438" i="1"/>
  <c r="N1438" i="1"/>
  <c r="M1438" i="1"/>
  <c r="K1438" i="1"/>
  <c r="L1438" i="1" s="1"/>
  <c r="Z1437" i="1"/>
  <c r="W1437" i="1"/>
  <c r="T1437" i="1"/>
  <c r="M1437" i="1"/>
  <c r="N1437" i="1" s="1"/>
  <c r="K1437" i="1"/>
  <c r="L1437" i="1" s="1"/>
  <c r="Z1436" i="1"/>
  <c r="W1436" i="1"/>
  <c r="T1436" i="1"/>
  <c r="N1436" i="1"/>
  <c r="M1436" i="1"/>
  <c r="K1436" i="1"/>
  <c r="L1436" i="1" s="1"/>
  <c r="Z1435" i="1"/>
  <c r="W1435" i="1"/>
  <c r="T1435" i="1"/>
  <c r="M1435" i="1"/>
  <c r="N1435" i="1" s="1"/>
  <c r="K1435" i="1"/>
  <c r="L1435" i="1" s="1"/>
  <c r="Z1434" i="1"/>
  <c r="W1434" i="1"/>
  <c r="T1434" i="1"/>
  <c r="M1434" i="1"/>
  <c r="N1434" i="1" s="1"/>
  <c r="L1434" i="1"/>
  <c r="K1434" i="1"/>
  <c r="Z1433" i="1"/>
  <c r="W1433" i="1"/>
  <c r="T1433" i="1"/>
  <c r="N1433" i="1"/>
  <c r="M1433" i="1"/>
  <c r="L1433" i="1"/>
  <c r="K1433" i="1"/>
  <c r="Z1432" i="1"/>
  <c r="W1432" i="1"/>
  <c r="T1432" i="1"/>
  <c r="N1432" i="1"/>
  <c r="M1432" i="1"/>
  <c r="L1432" i="1"/>
  <c r="K1432" i="1"/>
  <c r="Z1431" i="1"/>
  <c r="W1431" i="1"/>
  <c r="T1431" i="1"/>
  <c r="N1431" i="1"/>
  <c r="M1431" i="1"/>
  <c r="L1431" i="1"/>
  <c r="K1431" i="1"/>
  <c r="Z1430" i="1"/>
  <c r="W1430" i="1"/>
  <c r="T1430" i="1"/>
  <c r="N1430" i="1"/>
  <c r="M1430" i="1"/>
  <c r="K1430" i="1"/>
  <c r="L1430" i="1" s="1"/>
  <c r="Z1429" i="1"/>
  <c r="W1429" i="1"/>
  <c r="T1429" i="1"/>
  <c r="N1429" i="1"/>
  <c r="M1429" i="1"/>
  <c r="L1429" i="1"/>
  <c r="K1429" i="1"/>
  <c r="Z1428" i="1"/>
  <c r="W1428" i="1"/>
  <c r="T1428" i="1"/>
  <c r="M1428" i="1"/>
  <c r="N1428" i="1" s="1"/>
  <c r="L1428" i="1"/>
  <c r="K1428" i="1"/>
  <c r="Z1427" i="1"/>
  <c r="W1427" i="1"/>
  <c r="T1427" i="1"/>
  <c r="N1427" i="1"/>
  <c r="M1427" i="1"/>
  <c r="K1427" i="1"/>
  <c r="L1427" i="1" s="1"/>
  <c r="Z1426" i="1"/>
  <c r="W1426" i="1"/>
  <c r="T1426" i="1"/>
  <c r="M1426" i="1"/>
  <c r="N1426" i="1" s="1"/>
  <c r="L1426" i="1"/>
  <c r="K1426" i="1"/>
  <c r="Z1425" i="1"/>
  <c r="W1425" i="1"/>
  <c r="T1425" i="1"/>
  <c r="M1425" i="1"/>
  <c r="N1425" i="1" s="1"/>
  <c r="K1425" i="1"/>
  <c r="L1425" i="1" s="1"/>
  <c r="Z1424" i="1"/>
  <c r="W1424" i="1"/>
  <c r="T1424" i="1"/>
  <c r="M1424" i="1"/>
  <c r="N1424" i="1" s="1"/>
  <c r="L1424" i="1"/>
  <c r="K1424" i="1"/>
  <c r="Z1423" i="1"/>
  <c r="W1423" i="1"/>
  <c r="T1423" i="1"/>
  <c r="M1423" i="1"/>
  <c r="N1423" i="1" s="1"/>
  <c r="L1423" i="1"/>
  <c r="K1423" i="1"/>
  <c r="Z1422" i="1"/>
  <c r="W1422" i="1"/>
  <c r="T1422" i="1"/>
  <c r="N1422" i="1"/>
  <c r="M1422" i="1"/>
  <c r="K1422" i="1"/>
  <c r="L1422" i="1" s="1"/>
  <c r="Z1421" i="1"/>
  <c r="W1421" i="1"/>
  <c r="T1421" i="1"/>
  <c r="M1421" i="1"/>
  <c r="N1421" i="1" s="1"/>
  <c r="K1421" i="1"/>
  <c r="L1421" i="1" s="1"/>
  <c r="Z1420" i="1"/>
  <c r="W1420" i="1"/>
  <c r="T1420" i="1"/>
  <c r="M1420" i="1"/>
  <c r="N1420" i="1" s="1"/>
  <c r="L1420" i="1"/>
  <c r="K1420" i="1"/>
  <c r="Z1419" i="1"/>
  <c r="W1419" i="1"/>
  <c r="T1419" i="1"/>
  <c r="N1419" i="1"/>
  <c r="M1419" i="1"/>
  <c r="L1419" i="1"/>
  <c r="K1419" i="1"/>
  <c r="Z1418" i="1"/>
  <c r="W1418" i="1"/>
  <c r="T1418" i="1"/>
  <c r="N1418" i="1"/>
  <c r="M1418" i="1"/>
  <c r="K1418" i="1"/>
  <c r="L1418" i="1" s="1"/>
  <c r="Z1417" i="1"/>
  <c r="W1417" i="1"/>
  <c r="T1417" i="1"/>
  <c r="N1417" i="1"/>
  <c r="M1417" i="1"/>
  <c r="L1417" i="1"/>
  <c r="K1417" i="1"/>
  <c r="Z1416" i="1"/>
  <c r="W1416" i="1"/>
  <c r="T1416" i="1"/>
  <c r="M1416" i="1"/>
  <c r="N1416" i="1" s="1"/>
  <c r="K1416" i="1"/>
  <c r="L1416" i="1" s="1"/>
  <c r="Z1415" i="1"/>
  <c r="W1415" i="1"/>
  <c r="T1415" i="1"/>
  <c r="N1415" i="1"/>
  <c r="M1415" i="1"/>
  <c r="K1415" i="1"/>
  <c r="L1415" i="1" s="1"/>
  <c r="Z1414" i="1"/>
  <c r="W1414" i="1"/>
  <c r="T1414" i="1"/>
  <c r="M1414" i="1"/>
  <c r="N1414" i="1" s="1"/>
  <c r="K1414" i="1"/>
  <c r="L1414" i="1" s="1"/>
  <c r="Z1413" i="1"/>
  <c r="W1413" i="1"/>
  <c r="T1413" i="1"/>
  <c r="M1413" i="1"/>
  <c r="N1413" i="1" s="1"/>
  <c r="K1413" i="1"/>
  <c r="L1413" i="1" s="1"/>
  <c r="Z1412" i="1"/>
  <c r="W1412" i="1"/>
  <c r="T1412" i="1"/>
  <c r="N1412" i="1"/>
  <c r="M1412" i="1"/>
  <c r="L1412" i="1"/>
  <c r="K1412" i="1"/>
  <c r="Z1411" i="1"/>
  <c r="W1411" i="1"/>
  <c r="T1411" i="1"/>
  <c r="M1411" i="1"/>
  <c r="N1411" i="1" s="1"/>
  <c r="K1411" i="1"/>
  <c r="L1411" i="1" s="1"/>
  <c r="Z1410" i="1"/>
  <c r="W1410" i="1"/>
  <c r="T1410" i="1"/>
  <c r="N1410" i="1"/>
  <c r="M1410" i="1"/>
  <c r="L1410" i="1"/>
  <c r="K1410" i="1"/>
  <c r="Z1409" i="1"/>
  <c r="W1409" i="1"/>
  <c r="T1409" i="1"/>
  <c r="M1409" i="1"/>
  <c r="N1409" i="1" s="1"/>
  <c r="K1409" i="1"/>
  <c r="L1409" i="1" s="1"/>
  <c r="Z1408" i="1"/>
  <c r="W1408" i="1"/>
  <c r="T1408" i="1"/>
  <c r="M1408" i="1"/>
  <c r="N1408" i="1" s="1"/>
  <c r="L1408" i="1"/>
  <c r="K1408" i="1"/>
  <c r="Z1407" i="1"/>
  <c r="W1407" i="1"/>
  <c r="T1407" i="1"/>
  <c r="N1407" i="1"/>
  <c r="M1407" i="1"/>
  <c r="L1407" i="1"/>
  <c r="K1407" i="1"/>
  <c r="Z1406" i="1"/>
  <c r="W1406" i="1"/>
  <c r="T1406" i="1"/>
  <c r="N1406" i="1"/>
  <c r="M1406" i="1"/>
  <c r="L1406" i="1"/>
  <c r="K1406" i="1"/>
  <c r="Z1405" i="1"/>
  <c r="W1405" i="1"/>
  <c r="T1405" i="1"/>
  <c r="N1405" i="1"/>
  <c r="M1405" i="1"/>
  <c r="L1405" i="1"/>
  <c r="K1405" i="1"/>
  <c r="Z1404" i="1"/>
  <c r="W1404" i="1"/>
  <c r="T1404" i="1"/>
  <c r="N1404" i="1"/>
  <c r="M1404" i="1"/>
  <c r="K1404" i="1"/>
  <c r="L1404" i="1" s="1"/>
  <c r="Z1403" i="1"/>
  <c r="W1403" i="1"/>
  <c r="T1403" i="1"/>
  <c r="N1403" i="1"/>
  <c r="M1403" i="1"/>
  <c r="L1403" i="1"/>
  <c r="K1403" i="1"/>
  <c r="Z1402" i="1"/>
  <c r="W1402" i="1"/>
  <c r="T1402" i="1"/>
  <c r="M1402" i="1"/>
  <c r="N1402" i="1" s="1"/>
  <c r="K1402" i="1"/>
  <c r="L1402" i="1" s="1"/>
  <c r="Z1401" i="1"/>
  <c r="W1401" i="1"/>
  <c r="T1401" i="1"/>
  <c r="N1401" i="1"/>
  <c r="M1401" i="1"/>
  <c r="K1401" i="1"/>
  <c r="L1401" i="1" s="1"/>
  <c r="Z1400" i="1"/>
  <c r="W1400" i="1"/>
  <c r="T1400" i="1"/>
  <c r="N1400" i="1"/>
  <c r="M1400" i="1"/>
  <c r="L1400" i="1"/>
  <c r="K1400" i="1"/>
  <c r="Z1399" i="1"/>
  <c r="W1399" i="1"/>
  <c r="T1399" i="1"/>
  <c r="M1399" i="1"/>
  <c r="N1399" i="1" s="1"/>
  <c r="K1399" i="1"/>
  <c r="L1399" i="1" s="1"/>
  <c r="Z1398" i="1"/>
  <c r="W1398" i="1"/>
  <c r="T1398" i="1"/>
  <c r="N1398" i="1"/>
  <c r="M1398" i="1"/>
  <c r="K1398" i="1"/>
  <c r="L1398" i="1" s="1"/>
  <c r="Z1397" i="1"/>
  <c r="W1397" i="1"/>
  <c r="T1397" i="1"/>
  <c r="M1397" i="1"/>
  <c r="N1397" i="1" s="1"/>
  <c r="K1397" i="1"/>
  <c r="L1397" i="1" s="1"/>
  <c r="Z1396" i="1"/>
  <c r="W1396" i="1"/>
  <c r="T1396" i="1"/>
  <c r="N1396" i="1"/>
  <c r="M1396" i="1"/>
  <c r="L1396" i="1"/>
  <c r="K1396" i="1"/>
  <c r="Z1395" i="1"/>
  <c r="W1395" i="1"/>
  <c r="T1395" i="1"/>
  <c r="M1395" i="1"/>
  <c r="N1395" i="1" s="1"/>
  <c r="L1395" i="1"/>
  <c r="K1395" i="1"/>
  <c r="Z1394" i="1"/>
  <c r="W1394" i="1"/>
  <c r="T1394" i="1"/>
  <c r="N1394" i="1"/>
  <c r="M1394" i="1"/>
  <c r="K1394" i="1"/>
  <c r="L1394" i="1" s="1"/>
  <c r="Z1393" i="1"/>
  <c r="W1393" i="1"/>
  <c r="T1393" i="1"/>
  <c r="M1393" i="1"/>
  <c r="N1393" i="1" s="1"/>
  <c r="K1393" i="1"/>
  <c r="L1393" i="1" s="1"/>
  <c r="Z1392" i="1"/>
  <c r="W1392" i="1"/>
  <c r="T1392" i="1"/>
  <c r="M1392" i="1"/>
  <c r="N1392" i="1" s="1"/>
  <c r="L1392" i="1"/>
  <c r="K1392" i="1"/>
  <c r="Z1391" i="1"/>
  <c r="W1391" i="1"/>
  <c r="T1391" i="1"/>
  <c r="N1391" i="1"/>
  <c r="M1391" i="1"/>
  <c r="K1391" i="1"/>
  <c r="L1391" i="1" s="1"/>
  <c r="Z1390" i="1"/>
  <c r="W1390" i="1"/>
  <c r="T1390" i="1"/>
  <c r="N1390" i="1"/>
  <c r="M1390" i="1"/>
  <c r="K1390" i="1"/>
  <c r="L1390" i="1" s="1"/>
  <c r="Z1389" i="1"/>
  <c r="W1389" i="1"/>
  <c r="T1389" i="1"/>
  <c r="M1389" i="1"/>
  <c r="N1389" i="1" s="1"/>
  <c r="K1389" i="1"/>
  <c r="L1389" i="1" s="1"/>
  <c r="Z1388" i="1"/>
  <c r="W1388" i="1"/>
  <c r="T1388" i="1"/>
  <c r="M1388" i="1"/>
  <c r="N1388" i="1" s="1"/>
  <c r="K1388" i="1"/>
  <c r="L1388" i="1" s="1"/>
  <c r="Z1387" i="1"/>
  <c r="W1387" i="1"/>
  <c r="T1387" i="1"/>
  <c r="M1387" i="1"/>
  <c r="N1387" i="1" s="1"/>
  <c r="L1387" i="1"/>
  <c r="K1387" i="1"/>
  <c r="Z1386" i="1"/>
  <c r="W1386" i="1"/>
  <c r="T1386" i="1"/>
  <c r="N1386" i="1"/>
  <c r="M1386" i="1"/>
  <c r="K1386" i="1"/>
  <c r="L1386" i="1" s="1"/>
  <c r="Z1385" i="1"/>
  <c r="W1385" i="1"/>
  <c r="T1385" i="1"/>
  <c r="N1385" i="1"/>
  <c r="M1385" i="1"/>
  <c r="K1385" i="1"/>
  <c r="L1385" i="1" s="1"/>
  <c r="Z1384" i="1"/>
  <c r="W1384" i="1"/>
  <c r="T1384" i="1"/>
  <c r="N1384" i="1"/>
  <c r="M1384" i="1"/>
  <c r="L1384" i="1"/>
  <c r="K1384" i="1"/>
  <c r="Z1383" i="1"/>
  <c r="W1383" i="1"/>
  <c r="T1383" i="1"/>
  <c r="M1383" i="1"/>
  <c r="N1383" i="1" s="1"/>
  <c r="K1383" i="1"/>
  <c r="L1383" i="1" s="1"/>
  <c r="Z1382" i="1"/>
  <c r="W1382" i="1"/>
  <c r="T1382" i="1"/>
  <c r="N1382" i="1"/>
  <c r="M1382" i="1"/>
  <c r="L1382" i="1"/>
  <c r="K1382" i="1"/>
  <c r="Z1381" i="1"/>
  <c r="W1381" i="1"/>
  <c r="T1381" i="1"/>
  <c r="M1381" i="1"/>
  <c r="N1381" i="1" s="1"/>
  <c r="K1381" i="1"/>
  <c r="L1381" i="1" s="1"/>
  <c r="Z1380" i="1"/>
  <c r="W1380" i="1"/>
  <c r="T1380" i="1"/>
  <c r="N1380" i="1"/>
  <c r="M1380" i="1"/>
  <c r="K1380" i="1"/>
  <c r="L1380" i="1" s="1"/>
  <c r="Z1379" i="1"/>
  <c r="W1379" i="1"/>
  <c r="T1379" i="1"/>
  <c r="N1379" i="1"/>
  <c r="M1379" i="1"/>
  <c r="L1379" i="1"/>
  <c r="K1379" i="1"/>
  <c r="Z1378" i="1"/>
  <c r="W1378" i="1"/>
  <c r="T1378" i="1"/>
  <c r="M1378" i="1"/>
  <c r="N1378" i="1" s="1"/>
  <c r="L1378" i="1"/>
  <c r="K1378" i="1"/>
  <c r="Z1377" i="1"/>
  <c r="W1377" i="1"/>
  <c r="T1377" i="1"/>
  <c r="M1377" i="1"/>
  <c r="N1377" i="1" s="1"/>
  <c r="K1377" i="1"/>
  <c r="L1377" i="1" s="1"/>
  <c r="Z1376" i="1"/>
  <c r="W1376" i="1"/>
  <c r="T1376" i="1"/>
  <c r="N1376" i="1"/>
  <c r="M1376" i="1"/>
  <c r="K1376" i="1"/>
  <c r="L1376" i="1" s="1"/>
  <c r="Z1375" i="1"/>
  <c r="W1375" i="1"/>
  <c r="T1375" i="1"/>
  <c r="M1375" i="1"/>
  <c r="N1375" i="1" s="1"/>
  <c r="L1375" i="1"/>
  <c r="K1375" i="1"/>
  <c r="Z1374" i="1"/>
  <c r="W1374" i="1"/>
  <c r="T1374" i="1"/>
  <c r="N1374" i="1"/>
  <c r="M1374" i="1"/>
  <c r="L1374" i="1"/>
  <c r="K1374" i="1"/>
  <c r="Z1373" i="1"/>
  <c r="W1373" i="1"/>
  <c r="T1373" i="1"/>
  <c r="N1373" i="1"/>
  <c r="M1373" i="1"/>
  <c r="L1373" i="1"/>
  <c r="K1373" i="1"/>
  <c r="Z1372" i="1"/>
  <c r="W1372" i="1"/>
  <c r="T1372" i="1"/>
  <c r="N1372" i="1"/>
  <c r="M1372" i="1"/>
  <c r="L1372" i="1"/>
  <c r="K1372" i="1"/>
  <c r="Z1371" i="1"/>
  <c r="W1371" i="1"/>
  <c r="T1371" i="1"/>
  <c r="N1371" i="1"/>
  <c r="M1371" i="1"/>
  <c r="L1371" i="1"/>
  <c r="K1371" i="1"/>
  <c r="Z1370" i="1"/>
  <c r="W1370" i="1"/>
  <c r="T1370" i="1"/>
  <c r="N1370" i="1"/>
  <c r="M1370" i="1"/>
  <c r="K1370" i="1"/>
  <c r="L1370" i="1" s="1"/>
  <c r="Z1369" i="1"/>
  <c r="W1369" i="1"/>
  <c r="T1369" i="1"/>
  <c r="N1369" i="1"/>
  <c r="M1369" i="1"/>
  <c r="K1369" i="1"/>
  <c r="L1369" i="1" s="1"/>
  <c r="Z1368" i="1"/>
  <c r="W1368" i="1"/>
  <c r="T1368" i="1"/>
  <c r="N1368" i="1"/>
  <c r="M1368" i="1"/>
  <c r="L1368" i="1"/>
  <c r="K1368" i="1"/>
  <c r="Z1367" i="1"/>
  <c r="W1367" i="1"/>
  <c r="T1367" i="1"/>
  <c r="M1367" i="1"/>
  <c r="N1367" i="1" s="1"/>
  <c r="L1367" i="1"/>
  <c r="K1367" i="1"/>
  <c r="Z1366" i="1"/>
  <c r="W1366" i="1"/>
  <c r="T1366" i="1"/>
  <c r="M1366" i="1"/>
  <c r="N1366" i="1" s="1"/>
  <c r="K1366" i="1"/>
  <c r="L1366" i="1" s="1"/>
  <c r="Z1365" i="1"/>
  <c r="W1365" i="1"/>
  <c r="T1365" i="1"/>
  <c r="N1365" i="1"/>
  <c r="M1365" i="1"/>
  <c r="K1365" i="1"/>
  <c r="L1365" i="1" s="1"/>
  <c r="Z1364" i="1"/>
  <c r="W1364" i="1"/>
  <c r="T1364" i="1"/>
  <c r="N1364" i="1"/>
  <c r="M1364" i="1"/>
  <c r="K1364" i="1"/>
  <c r="L1364" i="1" s="1"/>
  <c r="Z1363" i="1"/>
  <c r="W1363" i="1"/>
  <c r="T1363" i="1"/>
  <c r="M1363" i="1"/>
  <c r="N1363" i="1" s="1"/>
  <c r="L1363" i="1"/>
  <c r="K1363" i="1"/>
  <c r="Z1362" i="1"/>
  <c r="W1362" i="1"/>
  <c r="T1362" i="1"/>
  <c r="M1362" i="1"/>
  <c r="N1362" i="1" s="1"/>
  <c r="L1362" i="1"/>
  <c r="K1362" i="1"/>
  <c r="Z1361" i="1"/>
  <c r="W1361" i="1"/>
  <c r="T1361" i="1"/>
  <c r="N1361" i="1"/>
  <c r="M1361" i="1"/>
  <c r="L1361" i="1"/>
  <c r="K1361" i="1"/>
  <c r="Z1360" i="1"/>
  <c r="W1360" i="1"/>
  <c r="T1360" i="1"/>
  <c r="N1360" i="1"/>
  <c r="M1360" i="1"/>
  <c r="L1360" i="1"/>
  <c r="K1360" i="1"/>
  <c r="Z1359" i="1"/>
  <c r="W1359" i="1"/>
  <c r="T1359" i="1"/>
  <c r="N1359" i="1"/>
  <c r="M1359" i="1"/>
  <c r="L1359" i="1"/>
  <c r="K1359" i="1"/>
  <c r="Z1358" i="1"/>
  <c r="W1358" i="1"/>
  <c r="T1358" i="1"/>
  <c r="N1358" i="1"/>
  <c r="M1358" i="1"/>
  <c r="K1358" i="1"/>
  <c r="L1358" i="1" s="1"/>
  <c r="Z1357" i="1"/>
  <c r="W1357" i="1"/>
  <c r="T1357" i="1"/>
  <c r="N1357" i="1"/>
  <c r="M1357" i="1"/>
  <c r="L1357" i="1"/>
  <c r="K1357" i="1"/>
  <c r="Z1356" i="1"/>
  <c r="W1356" i="1"/>
  <c r="T1356" i="1"/>
  <c r="M1356" i="1"/>
  <c r="N1356" i="1" s="1"/>
  <c r="L1356" i="1"/>
  <c r="K1356" i="1"/>
  <c r="Z1355" i="1"/>
  <c r="W1355" i="1"/>
  <c r="T1355" i="1"/>
  <c r="N1355" i="1"/>
  <c r="M1355" i="1"/>
  <c r="K1355" i="1"/>
  <c r="L1355" i="1" s="1"/>
  <c r="Z1354" i="1"/>
  <c r="W1354" i="1"/>
  <c r="T1354" i="1"/>
  <c r="N1354" i="1"/>
  <c r="M1354" i="1"/>
  <c r="L1354" i="1"/>
  <c r="K1354" i="1"/>
  <c r="Z1353" i="1"/>
  <c r="W1353" i="1"/>
  <c r="T1353" i="1"/>
  <c r="M1353" i="1"/>
  <c r="N1353" i="1" s="1"/>
  <c r="K1353" i="1"/>
  <c r="L1353" i="1" s="1"/>
  <c r="Z1352" i="1"/>
  <c r="W1352" i="1"/>
  <c r="T1352" i="1"/>
  <c r="N1352" i="1"/>
  <c r="M1352" i="1"/>
  <c r="L1352" i="1"/>
  <c r="K1352" i="1"/>
  <c r="Z1351" i="1"/>
  <c r="W1351" i="1"/>
  <c r="T1351" i="1"/>
  <c r="M1351" i="1"/>
  <c r="N1351" i="1" s="1"/>
  <c r="K1351" i="1"/>
  <c r="L1351" i="1" s="1"/>
  <c r="Z1350" i="1"/>
  <c r="W1350" i="1"/>
  <c r="T1350" i="1"/>
  <c r="N1350" i="1"/>
  <c r="M1350" i="1"/>
  <c r="K1350" i="1"/>
  <c r="L1350" i="1" s="1"/>
  <c r="Z1349" i="1"/>
  <c r="W1349" i="1"/>
  <c r="T1349" i="1"/>
  <c r="N1349" i="1"/>
  <c r="M1349" i="1"/>
  <c r="L1349" i="1"/>
  <c r="K1349" i="1"/>
  <c r="Z1348" i="1"/>
  <c r="W1348" i="1"/>
  <c r="T1348" i="1"/>
  <c r="M1348" i="1"/>
  <c r="N1348" i="1" s="1"/>
  <c r="L1348" i="1"/>
  <c r="K1348" i="1"/>
  <c r="Z1347" i="1"/>
  <c r="W1347" i="1"/>
  <c r="T1347" i="1"/>
  <c r="M1347" i="1"/>
  <c r="N1347" i="1" s="1"/>
  <c r="L1347" i="1"/>
  <c r="K1347" i="1"/>
  <c r="Z1346" i="1"/>
  <c r="W1346" i="1"/>
  <c r="T1346" i="1"/>
  <c r="N1346" i="1"/>
  <c r="M1346" i="1"/>
  <c r="K1346" i="1"/>
  <c r="L1346" i="1" s="1"/>
  <c r="Z1345" i="1"/>
  <c r="W1345" i="1"/>
  <c r="T1345" i="1"/>
  <c r="M1345" i="1"/>
  <c r="N1345" i="1" s="1"/>
  <c r="L1345" i="1"/>
  <c r="K1345" i="1"/>
  <c r="Z1344" i="1"/>
  <c r="W1344" i="1"/>
  <c r="T1344" i="1"/>
  <c r="M1344" i="1"/>
  <c r="N1344" i="1" s="1"/>
  <c r="K1344" i="1"/>
  <c r="L1344" i="1" s="1"/>
  <c r="Z1343" i="1"/>
  <c r="W1343" i="1"/>
  <c r="T1343" i="1"/>
  <c r="N1343" i="1"/>
  <c r="M1343" i="1"/>
  <c r="L1343" i="1"/>
  <c r="K1343" i="1"/>
  <c r="Z1342" i="1"/>
  <c r="W1342" i="1"/>
  <c r="T1342" i="1"/>
  <c r="M1342" i="1"/>
  <c r="N1342" i="1" s="1"/>
  <c r="L1342" i="1"/>
  <c r="K1342" i="1"/>
  <c r="Z1341" i="1"/>
  <c r="W1341" i="1"/>
  <c r="T1341" i="1"/>
  <c r="N1341" i="1"/>
  <c r="M1341" i="1"/>
  <c r="K1341" i="1"/>
  <c r="L1341" i="1" s="1"/>
  <c r="Z1340" i="1"/>
  <c r="W1340" i="1"/>
  <c r="T1340" i="1"/>
  <c r="M1340" i="1"/>
  <c r="N1340" i="1" s="1"/>
  <c r="K1340" i="1"/>
  <c r="L1340" i="1" s="1"/>
  <c r="Z1339" i="1"/>
  <c r="W1339" i="1"/>
  <c r="T1339" i="1"/>
  <c r="M1339" i="1"/>
  <c r="N1339" i="1" s="1"/>
  <c r="K1339" i="1"/>
  <c r="L1339" i="1" s="1"/>
  <c r="Z1338" i="1"/>
  <c r="W1338" i="1"/>
  <c r="T1338" i="1"/>
  <c r="M1338" i="1"/>
  <c r="N1338" i="1" s="1"/>
  <c r="K1338" i="1"/>
  <c r="L1338" i="1" s="1"/>
  <c r="Z1337" i="1"/>
  <c r="W1337" i="1"/>
  <c r="T1337" i="1"/>
  <c r="M1337" i="1"/>
  <c r="N1337" i="1" s="1"/>
  <c r="L1337" i="1"/>
  <c r="K1337" i="1"/>
  <c r="Z1336" i="1"/>
  <c r="W1336" i="1"/>
  <c r="T1336" i="1"/>
  <c r="N1336" i="1"/>
  <c r="M1336" i="1"/>
  <c r="L1336" i="1"/>
  <c r="K1336" i="1"/>
  <c r="Z1335" i="1"/>
  <c r="W1335" i="1"/>
  <c r="T1335" i="1"/>
  <c r="N1335" i="1"/>
  <c r="M1335" i="1"/>
  <c r="L1335" i="1"/>
  <c r="K1335" i="1"/>
  <c r="Z1334" i="1"/>
  <c r="W1334" i="1"/>
  <c r="T1334" i="1"/>
  <c r="N1334" i="1"/>
  <c r="M1334" i="1"/>
  <c r="L1334" i="1"/>
  <c r="K1334" i="1"/>
  <c r="Z1333" i="1"/>
  <c r="W1333" i="1"/>
  <c r="T1333" i="1"/>
  <c r="N1333" i="1"/>
  <c r="M1333" i="1"/>
  <c r="K1333" i="1"/>
  <c r="L1333" i="1" s="1"/>
  <c r="Z1332" i="1"/>
  <c r="W1332" i="1"/>
  <c r="T1332" i="1"/>
  <c r="N1332" i="1"/>
  <c r="M1332" i="1"/>
  <c r="K1332" i="1"/>
  <c r="L1332" i="1" s="1"/>
  <c r="Z1331" i="1"/>
  <c r="W1331" i="1"/>
  <c r="T1331" i="1"/>
  <c r="M1331" i="1"/>
  <c r="N1331" i="1" s="1"/>
  <c r="L1331" i="1"/>
  <c r="K1331" i="1"/>
  <c r="Z1330" i="1"/>
  <c r="W1330" i="1"/>
  <c r="T1330" i="1"/>
  <c r="M1330" i="1"/>
  <c r="N1330" i="1" s="1"/>
  <c r="K1330" i="1"/>
  <c r="L1330" i="1" s="1"/>
  <c r="Z1329" i="1"/>
  <c r="W1329" i="1"/>
  <c r="T1329" i="1"/>
  <c r="M1329" i="1"/>
  <c r="N1329" i="1" s="1"/>
  <c r="K1329" i="1"/>
  <c r="L1329" i="1" s="1"/>
  <c r="Z1328" i="1"/>
  <c r="W1328" i="1"/>
  <c r="T1328" i="1"/>
  <c r="N1328" i="1"/>
  <c r="M1328" i="1"/>
  <c r="K1328" i="1"/>
  <c r="L1328" i="1" s="1"/>
  <c r="Z1327" i="1"/>
  <c r="W1327" i="1"/>
  <c r="T1327" i="1"/>
  <c r="M1327" i="1"/>
  <c r="N1327" i="1" s="1"/>
  <c r="L1327" i="1"/>
  <c r="K1327" i="1"/>
  <c r="Z1326" i="1"/>
  <c r="W1326" i="1"/>
  <c r="T1326" i="1"/>
  <c r="M1326" i="1"/>
  <c r="N1326" i="1" s="1"/>
  <c r="K1326" i="1"/>
  <c r="L1326" i="1" s="1"/>
  <c r="Z1325" i="1"/>
  <c r="W1325" i="1"/>
  <c r="T1325" i="1"/>
  <c r="N1325" i="1"/>
  <c r="M1325" i="1"/>
  <c r="K1325" i="1"/>
  <c r="L1325" i="1" s="1"/>
  <c r="Z1324" i="1"/>
  <c r="W1324" i="1"/>
  <c r="T1324" i="1"/>
  <c r="N1324" i="1"/>
  <c r="M1324" i="1"/>
  <c r="L1324" i="1"/>
  <c r="K1324" i="1"/>
  <c r="Z1323" i="1"/>
  <c r="W1323" i="1"/>
  <c r="T1323" i="1"/>
  <c r="M1323" i="1"/>
  <c r="N1323" i="1" s="1"/>
  <c r="L1323" i="1"/>
  <c r="K1323" i="1"/>
  <c r="Z1322" i="1"/>
  <c r="W1322" i="1"/>
  <c r="T1322" i="1"/>
  <c r="N1322" i="1"/>
  <c r="M1322" i="1"/>
  <c r="K1322" i="1"/>
  <c r="L1322" i="1" s="1"/>
  <c r="Z1321" i="1"/>
  <c r="W1321" i="1"/>
  <c r="T1321" i="1"/>
  <c r="N1321" i="1"/>
  <c r="M1321" i="1"/>
  <c r="L1321" i="1"/>
  <c r="K1321" i="1"/>
  <c r="Z1320" i="1"/>
  <c r="W1320" i="1"/>
  <c r="T1320" i="1"/>
  <c r="M1320" i="1"/>
  <c r="N1320" i="1" s="1"/>
  <c r="L1320" i="1"/>
  <c r="K1320" i="1"/>
  <c r="Z1319" i="1"/>
  <c r="W1319" i="1"/>
  <c r="T1319" i="1"/>
  <c r="N1319" i="1"/>
  <c r="M1319" i="1"/>
  <c r="K1319" i="1"/>
  <c r="L1319" i="1" s="1"/>
  <c r="Z1318" i="1"/>
  <c r="W1318" i="1"/>
  <c r="T1318" i="1"/>
  <c r="N1318" i="1"/>
  <c r="M1318" i="1"/>
  <c r="K1318" i="1"/>
  <c r="L1318" i="1" s="1"/>
  <c r="Z1317" i="1"/>
  <c r="W1317" i="1"/>
  <c r="T1317" i="1"/>
  <c r="N1317" i="1"/>
  <c r="M1317" i="1"/>
  <c r="K1317" i="1"/>
  <c r="L1317" i="1" s="1"/>
  <c r="Z1316" i="1"/>
  <c r="W1316" i="1"/>
  <c r="T1316" i="1"/>
  <c r="M1316" i="1"/>
  <c r="N1316" i="1" s="1"/>
  <c r="K1316" i="1"/>
  <c r="L1316" i="1" s="1"/>
  <c r="Z1315" i="1"/>
  <c r="W1315" i="1"/>
  <c r="T1315" i="1"/>
  <c r="M1315" i="1"/>
  <c r="N1315" i="1" s="1"/>
  <c r="L1315" i="1"/>
  <c r="K1315" i="1"/>
  <c r="Z1314" i="1"/>
  <c r="W1314" i="1"/>
  <c r="T1314" i="1"/>
  <c r="N1314" i="1"/>
  <c r="M1314" i="1"/>
  <c r="L1314" i="1"/>
  <c r="K1314" i="1"/>
  <c r="Z1313" i="1"/>
  <c r="W1313" i="1"/>
  <c r="T1313" i="1"/>
  <c r="N1313" i="1"/>
  <c r="M1313" i="1"/>
  <c r="L1313" i="1"/>
  <c r="K1313" i="1"/>
  <c r="Z1312" i="1"/>
  <c r="W1312" i="1"/>
  <c r="T1312" i="1"/>
  <c r="N1312" i="1"/>
  <c r="M1312" i="1"/>
  <c r="L1312" i="1"/>
  <c r="K1312" i="1"/>
  <c r="Z1311" i="1"/>
  <c r="W1311" i="1"/>
  <c r="T1311" i="1"/>
  <c r="N1311" i="1"/>
  <c r="M1311" i="1"/>
  <c r="K1311" i="1"/>
  <c r="L1311" i="1" s="1"/>
  <c r="Z1310" i="1"/>
  <c r="W1310" i="1"/>
  <c r="T1310" i="1"/>
  <c r="N1310" i="1"/>
  <c r="M1310" i="1"/>
  <c r="K1310" i="1"/>
  <c r="L1310" i="1" s="1"/>
  <c r="Z1309" i="1"/>
  <c r="W1309" i="1"/>
  <c r="T1309" i="1"/>
  <c r="M1309" i="1"/>
  <c r="N1309" i="1" s="1"/>
  <c r="L1309" i="1"/>
  <c r="K1309" i="1"/>
  <c r="Z1308" i="1"/>
  <c r="W1308" i="1"/>
  <c r="T1308" i="1"/>
  <c r="N1308" i="1"/>
  <c r="M1308" i="1"/>
  <c r="K1308" i="1"/>
  <c r="L1308" i="1" s="1"/>
  <c r="Z1307" i="1"/>
  <c r="W1307" i="1"/>
  <c r="T1307" i="1"/>
  <c r="N1307" i="1"/>
  <c r="M1307" i="1"/>
  <c r="K1307" i="1"/>
  <c r="L1307" i="1" s="1"/>
  <c r="Z1306" i="1"/>
  <c r="W1306" i="1"/>
  <c r="T1306" i="1"/>
  <c r="M1306" i="1"/>
  <c r="N1306" i="1" s="1"/>
  <c r="L1306" i="1"/>
  <c r="K1306" i="1"/>
  <c r="Z1305" i="1"/>
  <c r="W1305" i="1"/>
  <c r="T1305" i="1"/>
  <c r="M1305" i="1"/>
  <c r="N1305" i="1" s="1"/>
  <c r="K1305" i="1"/>
  <c r="L1305" i="1" s="1"/>
  <c r="Z1304" i="1"/>
  <c r="W1304" i="1"/>
  <c r="T1304" i="1"/>
  <c r="M1304" i="1"/>
  <c r="N1304" i="1" s="1"/>
  <c r="K1304" i="1"/>
  <c r="L1304" i="1" s="1"/>
  <c r="Z1303" i="1"/>
  <c r="W1303" i="1"/>
  <c r="T1303" i="1"/>
  <c r="M1303" i="1"/>
  <c r="N1303" i="1" s="1"/>
  <c r="L1303" i="1"/>
  <c r="K1303" i="1"/>
  <c r="Z1302" i="1"/>
  <c r="W1302" i="1"/>
  <c r="T1302" i="1"/>
  <c r="N1302" i="1"/>
  <c r="M1302" i="1"/>
  <c r="K1302" i="1"/>
  <c r="L1302" i="1" s="1"/>
  <c r="Z1301" i="1"/>
  <c r="W1301" i="1"/>
  <c r="T1301" i="1"/>
  <c r="N1301" i="1"/>
  <c r="M1301" i="1"/>
  <c r="L1301" i="1"/>
  <c r="K1301" i="1"/>
  <c r="Z1300" i="1"/>
  <c r="W1300" i="1"/>
  <c r="T1300" i="1"/>
  <c r="M1300" i="1"/>
  <c r="N1300" i="1" s="1"/>
  <c r="L1300" i="1"/>
  <c r="K1300" i="1"/>
  <c r="Z1299" i="1"/>
  <c r="W1299" i="1"/>
  <c r="T1299" i="1"/>
  <c r="N1299" i="1"/>
  <c r="M1299" i="1"/>
  <c r="L1299" i="1"/>
  <c r="K1299" i="1"/>
  <c r="Z1298" i="1"/>
  <c r="W1298" i="1"/>
  <c r="T1298" i="1"/>
  <c r="N1298" i="1"/>
  <c r="M1298" i="1"/>
  <c r="K1298" i="1"/>
  <c r="L1298" i="1" s="1"/>
  <c r="Z1297" i="1"/>
  <c r="W1297" i="1"/>
  <c r="T1297" i="1"/>
  <c r="M1297" i="1"/>
  <c r="N1297" i="1" s="1"/>
  <c r="K1297" i="1"/>
  <c r="L1297" i="1" s="1"/>
  <c r="Z1296" i="1"/>
  <c r="W1296" i="1"/>
  <c r="T1296" i="1"/>
  <c r="N1296" i="1"/>
  <c r="M1296" i="1"/>
  <c r="L1296" i="1"/>
  <c r="K1296" i="1"/>
  <c r="Z1295" i="1"/>
  <c r="W1295" i="1"/>
  <c r="T1295" i="1"/>
  <c r="M1295" i="1"/>
  <c r="N1295" i="1" s="1"/>
  <c r="K1295" i="1"/>
  <c r="L1295" i="1" s="1"/>
  <c r="Z1294" i="1"/>
  <c r="W1294" i="1"/>
  <c r="T1294" i="1"/>
  <c r="M1294" i="1"/>
  <c r="N1294" i="1" s="1"/>
  <c r="K1294" i="1"/>
  <c r="L1294" i="1" s="1"/>
  <c r="Z1293" i="1"/>
  <c r="W1293" i="1"/>
  <c r="T1293" i="1"/>
  <c r="M1293" i="1"/>
  <c r="N1293" i="1" s="1"/>
  <c r="K1293" i="1"/>
  <c r="L1293" i="1" s="1"/>
  <c r="Z1292" i="1"/>
  <c r="W1292" i="1"/>
  <c r="T1292" i="1"/>
  <c r="N1292" i="1"/>
  <c r="M1292" i="1"/>
  <c r="L1292" i="1"/>
  <c r="K1292" i="1"/>
  <c r="Z1291" i="1"/>
  <c r="W1291" i="1"/>
  <c r="T1291" i="1"/>
  <c r="M1291" i="1"/>
  <c r="N1291" i="1" s="1"/>
  <c r="K1291" i="1"/>
  <c r="L1291" i="1" s="1"/>
  <c r="Z1290" i="1"/>
  <c r="W1290" i="1"/>
  <c r="T1290" i="1"/>
  <c r="M1290" i="1"/>
  <c r="N1290" i="1" s="1"/>
  <c r="K1290" i="1"/>
  <c r="L1290" i="1" s="1"/>
  <c r="Z1289" i="1"/>
  <c r="W1289" i="1"/>
  <c r="T1289" i="1"/>
  <c r="M1289" i="1"/>
  <c r="N1289" i="1" s="1"/>
  <c r="L1289" i="1"/>
  <c r="K1289" i="1"/>
  <c r="Z1288" i="1"/>
  <c r="W1288" i="1"/>
  <c r="T1288" i="1"/>
  <c r="M1288" i="1"/>
  <c r="N1288" i="1" s="1"/>
  <c r="L1288" i="1"/>
  <c r="K1288" i="1"/>
  <c r="Z1287" i="1"/>
  <c r="W1287" i="1"/>
  <c r="T1287" i="1"/>
  <c r="N1287" i="1"/>
  <c r="M1287" i="1"/>
  <c r="L1287" i="1"/>
  <c r="K1287" i="1"/>
  <c r="Z1286" i="1"/>
  <c r="W1286" i="1"/>
  <c r="T1286" i="1"/>
  <c r="N1286" i="1"/>
  <c r="M1286" i="1"/>
  <c r="L1286" i="1"/>
  <c r="K1286" i="1"/>
  <c r="Z1285" i="1"/>
  <c r="W1285" i="1"/>
  <c r="T1285" i="1"/>
  <c r="N1285" i="1"/>
  <c r="M1285" i="1"/>
  <c r="L1285" i="1"/>
  <c r="K1285" i="1"/>
  <c r="Z1284" i="1"/>
  <c r="W1284" i="1"/>
  <c r="T1284" i="1"/>
  <c r="N1284" i="1"/>
  <c r="M1284" i="1"/>
  <c r="K1284" i="1"/>
  <c r="L1284" i="1" s="1"/>
  <c r="Z1283" i="1"/>
  <c r="W1283" i="1"/>
  <c r="T1283" i="1"/>
  <c r="N1283" i="1"/>
  <c r="M1283" i="1"/>
  <c r="L1283" i="1"/>
  <c r="K1283" i="1"/>
  <c r="Z1282" i="1"/>
  <c r="W1282" i="1"/>
  <c r="T1282" i="1"/>
  <c r="M1282" i="1"/>
  <c r="N1282" i="1" s="1"/>
  <c r="K1282" i="1"/>
  <c r="L1282" i="1" s="1"/>
  <c r="Z1281" i="1"/>
  <c r="W1281" i="1"/>
  <c r="T1281" i="1"/>
  <c r="M1281" i="1"/>
  <c r="N1281" i="1" s="1"/>
  <c r="K1281" i="1"/>
  <c r="L1281" i="1" s="1"/>
  <c r="Z1280" i="1"/>
  <c r="W1280" i="1"/>
  <c r="T1280" i="1"/>
  <c r="N1280" i="1"/>
  <c r="M1280" i="1"/>
  <c r="L1280" i="1"/>
  <c r="K1280" i="1"/>
  <c r="Z1279" i="1"/>
  <c r="W1279" i="1"/>
  <c r="T1279" i="1"/>
  <c r="M1279" i="1"/>
  <c r="N1279" i="1" s="1"/>
  <c r="L1279" i="1"/>
  <c r="K1279" i="1"/>
  <c r="Z1278" i="1"/>
  <c r="W1278" i="1"/>
  <c r="T1278" i="1"/>
  <c r="M1278" i="1"/>
  <c r="N1278" i="1" s="1"/>
  <c r="K1278" i="1"/>
  <c r="L1278" i="1" s="1"/>
  <c r="Z1277" i="1"/>
  <c r="W1277" i="1"/>
  <c r="T1277" i="1"/>
  <c r="M1277" i="1"/>
  <c r="N1277" i="1" s="1"/>
  <c r="L1277" i="1"/>
  <c r="K1277" i="1"/>
  <c r="Z1276" i="1"/>
  <c r="W1276" i="1"/>
  <c r="T1276" i="1"/>
  <c r="M1276" i="1"/>
  <c r="N1276" i="1" s="1"/>
  <c r="L1276" i="1"/>
  <c r="K1276" i="1"/>
  <c r="Z1275" i="1"/>
  <c r="W1275" i="1"/>
  <c r="T1275" i="1"/>
  <c r="M1275" i="1"/>
  <c r="N1275" i="1" s="1"/>
  <c r="L1275" i="1"/>
  <c r="K1275" i="1"/>
  <c r="Z1274" i="1"/>
  <c r="W1274" i="1"/>
  <c r="T1274" i="1"/>
  <c r="N1274" i="1"/>
  <c r="M1274" i="1"/>
  <c r="L1274" i="1"/>
  <c r="K1274" i="1"/>
  <c r="Z1273" i="1"/>
  <c r="W1273" i="1"/>
  <c r="T1273" i="1"/>
  <c r="N1273" i="1"/>
  <c r="M1273" i="1"/>
  <c r="L1273" i="1"/>
  <c r="K1273" i="1"/>
  <c r="Z1272" i="1"/>
  <c r="W1272" i="1"/>
  <c r="T1272" i="1"/>
  <c r="N1272" i="1"/>
  <c r="M1272" i="1"/>
  <c r="K1272" i="1"/>
  <c r="L1272" i="1" s="1"/>
  <c r="Z1271" i="1"/>
  <c r="W1271" i="1"/>
  <c r="T1271" i="1"/>
  <c r="N1271" i="1"/>
  <c r="M1271" i="1"/>
  <c r="L1271" i="1"/>
  <c r="K1271" i="1"/>
  <c r="Z1270" i="1"/>
  <c r="W1270" i="1"/>
  <c r="T1270" i="1"/>
  <c r="M1270" i="1"/>
  <c r="N1270" i="1" s="1"/>
  <c r="L1270" i="1"/>
  <c r="K1270" i="1"/>
  <c r="Z1269" i="1"/>
  <c r="W1269" i="1"/>
  <c r="T1269" i="1"/>
  <c r="N1269" i="1"/>
  <c r="M1269" i="1"/>
  <c r="K1269" i="1"/>
  <c r="L1269" i="1" s="1"/>
  <c r="Z1268" i="1"/>
  <c r="W1268" i="1"/>
  <c r="T1268" i="1"/>
  <c r="M1268" i="1"/>
  <c r="N1268" i="1" s="1"/>
  <c r="L1268" i="1"/>
  <c r="K1268" i="1"/>
  <c r="Z1267" i="1"/>
  <c r="W1267" i="1"/>
  <c r="T1267" i="1"/>
  <c r="M1267" i="1"/>
  <c r="N1267" i="1" s="1"/>
  <c r="K1267" i="1"/>
  <c r="L1267" i="1" s="1"/>
  <c r="Z1266" i="1"/>
  <c r="W1266" i="1"/>
  <c r="T1266" i="1"/>
  <c r="N1266" i="1"/>
  <c r="M1266" i="1"/>
  <c r="K1266" i="1"/>
  <c r="L1266" i="1" s="1"/>
  <c r="Z1265" i="1"/>
  <c r="W1265" i="1"/>
  <c r="T1265" i="1"/>
  <c r="M1265" i="1"/>
  <c r="N1265" i="1" s="1"/>
  <c r="K1265" i="1"/>
  <c r="L1265" i="1" s="1"/>
  <c r="Z1264" i="1"/>
  <c r="W1264" i="1"/>
  <c r="T1264" i="1"/>
  <c r="M1264" i="1"/>
  <c r="N1264" i="1" s="1"/>
  <c r="L1264" i="1"/>
  <c r="K1264" i="1"/>
  <c r="Z1263" i="1"/>
  <c r="W1263" i="1"/>
  <c r="T1263" i="1"/>
  <c r="N1263" i="1"/>
  <c r="M1263" i="1"/>
  <c r="L1263" i="1"/>
  <c r="K1263" i="1"/>
  <c r="Z1262" i="1"/>
  <c r="W1262" i="1"/>
  <c r="T1262" i="1"/>
  <c r="N1262" i="1"/>
  <c r="M1262" i="1"/>
  <c r="K1262" i="1"/>
  <c r="L1262" i="1" s="1"/>
  <c r="Z1261" i="1"/>
  <c r="W1261" i="1"/>
  <c r="T1261" i="1"/>
  <c r="M1261" i="1"/>
  <c r="N1261" i="1" s="1"/>
  <c r="L1261" i="1"/>
  <c r="K1261" i="1"/>
  <c r="Z1260" i="1"/>
  <c r="W1260" i="1"/>
  <c r="T1260" i="1"/>
  <c r="M1260" i="1"/>
  <c r="N1260" i="1" s="1"/>
  <c r="K1260" i="1"/>
  <c r="L1260" i="1" s="1"/>
  <c r="Z1259" i="1"/>
  <c r="W1259" i="1"/>
  <c r="T1259" i="1"/>
  <c r="N1259" i="1"/>
  <c r="M1259" i="1"/>
  <c r="L1259" i="1"/>
  <c r="K1259" i="1"/>
  <c r="Z1258" i="1"/>
  <c r="W1258" i="1"/>
  <c r="T1258" i="1"/>
  <c r="M1258" i="1"/>
  <c r="N1258" i="1" s="1"/>
  <c r="K1258" i="1"/>
  <c r="L1258" i="1" s="1"/>
  <c r="Z1257" i="1"/>
  <c r="W1257" i="1"/>
  <c r="T1257" i="1"/>
  <c r="N1257" i="1"/>
  <c r="M1257" i="1"/>
  <c r="K1257" i="1"/>
  <c r="L1257" i="1" s="1"/>
  <c r="Z1256" i="1"/>
  <c r="W1256" i="1"/>
  <c r="T1256" i="1"/>
  <c r="N1256" i="1"/>
  <c r="M1256" i="1"/>
  <c r="K1256" i="1"/>
  <c r="L1256" i="1" s="1"/>
  <c r="Z1255" i="1"/>
  <c r="W1255" i="1"/>
  <c r="T1255" i="1"/>
  <c r="M1255" i="1"/>
  <c r="N1255" i="1" s="1"/>
  <c r="L1255" i="1"/>
  <c r="K1255" i="1"/>
  <c r="Z1254" i="1"/>
  <c r="W1254" i="1"/>
  <c r="T1254" i="1"/>
  <c r="M1254" i="1"/>
  <c r="N1254" i="1" s="1"/>
  <c r="K1254" i="1"/>
  <c r="L1254" i="1" s="1"/>
  <c r="Z1253" i="1"/>
  <c r="W1253" i="1"/>
  <c r="T1253" i="1"/>
  <c r="N1253" i="1"/>
  <c r="M1253" i="1"/>
  <c r="K1253" i="1"/>
  <c r="L1253" i="1" s="1"/>
  <c r="Z1252" i="1"/>
  <c r="W1252" i="1"/>
  <c r="T1252" i="1"/>
  <c r="M1252" i="1"/>
  <c r="N1252" i="1" s="1"/>
  <c r="L1252" i="1"/>
  <c r="K1252" i="1"/>
  <c r="Z1251" i="1"/>
  <c r="W1251" i="1"/>
  <c r="T1251" i="1"/>
  <c r="M1251" i="1"/>
  <c r="N1251" i="1" s="1"/>
  <c r="L1251" i="1"/>
  <c r="K1251" i="1"/>
  <c r="Z1250" i="1"/>
  <c r="W1250" i="1"/>
  <c r="T1250" i="1"/>
  <c r="N1250" i="1"/>
  <c r="M1250" i="1"/>
  <c r="K1250" i="1"/>
  <c r="L1250" i="1" s="1"/>
  <c r="Z1249" i="1"/>
  <c r="W1249" i="1"/>
  <c r="T1249" i="1"/>
  <c r="M1249" i="1"/>
  <c r="N1249" i="1" s="1"/>
  <c r="K1249" i="1"/>
  <c r="L1249" i="1" s="1"/>
  <c r="Z1248" i="1"/>
  <c r="W1248" i="1"/>
  <c r="T1248" i="1"/>
  <c r="M1248" i="1"/>
  <c r="N1248" i="1" s="1"/>
  <c r="K1248" i="1"/>
  <c r="L1248" i="1" s="1"/>
  <c r="Z1247" i="1"/>
  <c r="W1247" i="1"/>
  <c r="T1247" i="1"/>
  <c r="M1247" i="1"/>
  <c r="N1247" i="1" s="1"/>
  <c r="L1247" i="1"/>
  <c r="K1247" i="1"/>
  <c r="Z1246" i="1"/>
  <c r="W1246" i="1"/>
  <c r="T1246" i="1"/>
  <c r="M1246" i="1"/>
  <c r="N1246" i="1" s="1"/>
  <c r="L1246" i="1"/>
  <c r="K1246" i="1"/>
  <c r="Z1245" i="1"/>
  <c r="W1245" i="1"/>
  <c r="T1245" i="1"/>
  <c r="N1245" i="1"/>
  <c r="M1245" i="1"/>
  <c r="K1245" i="1"/>
  <c r="L1245" i="1" s="1"/>
  <c r="Z1244" i="1"/>
  <c r="W1244" i="1"/>
  <c r="T1244" i="1"/>
  <c r="M1244" i="1"/>
  <c r="N1244" i="1" s="1"/>
  <c r="K1244" i="1"/>
  <c r="L1244" i="1" s="1"/>
  <c r="Z1243" i="1"/>
  <c r="W1243" i="1"/>
  <c r="T1243" i="1"/>
  <c r="M1243" i="1"/>
  <c r="N1243" i="1" s="1"/>
  <c r="L1243" i="1"/>
  <c r="K1243" i="1"/>
  <c r="Z1242" i="1"/>
  <c r="W1242" i="1"/>
  <c r="T1242" i="1"/>
  <c r="N1242" i="1"/>
  <c r="M1242" i="1"/>
  <c r="L1242" i="1"/>
  <c r="K1242" i="1"/>
  <c r="Z1241" i="1"/>
  <c r="W1241" i="1"/>
  <c r="T1241" i="1"/>
  <c r="N1241" i="1"/>
  <c r="M1241" i="1"/>
  <c r="L1241" i="1"/>
  <c r="K1241" i="1"/>
  <c r="Z1240" i="1"/>
  <c r="W1240" i="1"/>
  <c r="T1240" i="1"/>
  <c r="N1240" i="1"/>
  <c r="M1240" i="1"/>
  <c r="L1240" i="1"/>
  <c r="K1240" i="1"/>
  <c r="Z1239" i="1"/>
  <c r="W1239" i="1"/>
  <c r="T1239" i="1"/>
  <c r="N1239" i="1"/>
  <c r="M1239" i="1"/>
  <c r="L1239" i="1"/>
  <c r="K1239" i="1"/>
  <c r="Z1238" i="1"/>
  <c r="W1238" i="1"/>
  <c r="T1238" i="1"/>
  <c r="N1238" i="1"/>
  <c r="M1238" i="1"/>
  <c r="K1238" i="1"/>
  <c r="L1238" i="1" s="1"/>
  <c r="Z1237" i="1"/>
  <c r="W1237" i="1"/>
  <c r="T1237" i="1"/>
  <c r="M1237" i="1"/>
  <c r="N1237" i="1" s="1"/>
  <c r="L1237" i="1"/>
  <c r="K1237" i="1"/>
  <c r="Z1236" i="1"/>
  <c r="W1236" i="1"/>
  <c r="T1236" i="1"/>
  <c r="M1236" i="1"/>
  <c r="N1236" i="1" s="1"/>
  <c r="K1236" i="1"/>
  <c r="L1236" i="1" s="1"/>
  <c r="Z1235" i="1"/>
  <c r="W1235" i="1"/>
  <c r="T1235" i="1"/>
  <c r="M1235" i="1"/>
  <c r="N1235" i="1" s="1"/>
  <c r="L1235" i="1"/>
  <c r="K1235" i="1"/>
  <c r="Z1234" i="1"/>
  <c r="W1234" i="1"/>
  <c r="T1234" i="1"/>
  <c r="M1234" i="1"/>
  <c r="N1234" i="1" s="1"/>
  <c r="K1234" i="1"/>
  <c r="L1234" i="1" s="1"/>
  <c r="Z1233" i="1"/>
  <c r="W1233" i="1"/>
  <c r="T1233" i="1"/>
  <c r="M1233" i="1"/>
  <c r="N1233" i="1" s="1"/>
  <c r="K1233" i="1"/>
  <c r="L1233" i="1" s="1"/>
  <c r="Z1232" i="1"/>
  <c r="W1232" i="1"/>
  <c r="T1232" i="1"/>
  <c r="N1232" i="1"/>
  <c r="M1232" i="1"/>
  <c r="K1232" i="1"/>
  <c r="L1232" i="1" s="1"/>
  <c r="Z1231" i="1"/>
  <c r="W1231" i="1"/>
  <c r="T1231" i="1"/>
  <c r="M1231" i="1"/>
  <c r="N1231" i="1" s="1"/>
  <c r="L1231" i="1"/>
  <c r="K1231" i="1"/>
  <c r="Z1230" i="1"/>
  <c r="W1230" i="1"/>
  <c r="T1230" i="1"/>
  <c r="M1230" i="1"/>
  <c r="N1230" i="1" s="1"/>
  <c r="K1230" i="1"/>
  <c r="L1230" i="1" s="1"/>
  <c r="Z1229" i="1"/>
  <c r="W1229" i="1"/>
  <c r="T1229" i="1"/>
  <c r="N1229" i="1"/>
  <c r="M1229" i="1"/>
  <c r="L1229" i="1"/>
  <c r="K1229" i="1"/>
  <c r="Z1228" i="1"/>
  <c r="W1228" i="1"/>
  <c r="T1228" i="1"/>
  <c r="M1228" i="1"/>
  <c r="N1228" i="1" s="1"/>
  <c r="L1228" i="1"/>
  <c r="K1228" i="1"/>
  <c r="Z1227" i="1"/>
  <c r="W1227" i="1"/>
  <c r="T1227" i="1"/>
  <c r="N1227" i="1"/>
  <c r="M1227" i="1"/>
  <c r="L1227" i="1"/>
  <c r="K1227" i="1"/>
  <c r="Z1226" i="1"/>
  <c r="W1226" i="1"/>
  <c r="T1226" i="1"/>
  <c r="N1226" i="1"/>
  <c r="M1226" i="1"/>
  <c r="L1226" i="1"/>
  <c r="K1226" i="1"/>
  <c r="Z1225" i="1"/>
  <c r="W1225" i="1"/>
  <c r="T1225" i="1"/>
  <c r="N1225" i="1"/>
  <c r="M1225" i="1"/>
  <c r="L1225" i="1"/>
  <c r="K1225" i="1"/>
  <c r="Z1224" i="1"/>
  <c r="W1224" i="1"/>
  <c r="T1224" i="1"/>
  <c r="N1224" i="1"/>
  <c r="M1224" i="1"/>
  <c r="K1224" i="1"/>
  <c r="L1224" i="1" s="1"/>
  <c r="Z1223" i="1"/>
  <c r="W1223" i="1"/>
  <c r="T1223" i="1"/>
  <c r="M1223" i="1"/>
  <c r="N1223" i="1" s="1"/>
  <c r="K1223" i="1"/>
  <c r="L1223" i="1" s="1"/>
  <c r="Z1222" i="1"/>
  <c r="W1222" i="1"/>
  <c r="T1222" i="1"/>
  <c r="M1222" i="1"/>
  <c r="N1222" i="1" s="1"/>
  <c r="K1222" i="1"/>
  <c r="L1222" i="1" s="1"/>
  <c r="Z1221" i="1"/>
  <c r="W1221" i="1"/>
  <c r="T1221" i="1"/>
  <c r="M1221" i="1"/>
  <c r="N1221" i="1" s="1"/>
  <c r="K1221" i="1"/>
  <c r="L1221" i="1" s="1"/>
  <c r="Z1220" i="1"/>
  <c r="W1220" i="1"/>
  <c r="T1220" i="1"/>
  <c r="N1220" i="1"/>
  <c r="M1220" i="1"/>
  <c r="L1220" i="1"/>
  <c r="K1220" i="1"/>
  <c r="Z1219" i="1"/>
  <c r="W1219" i="1"/>
  <c r="T1219" i="1"/>
  <c r="M1219" i="1"/>
  <c r="N1219" i="1" s="1"/>
  <c r="K1219" i="1"/>
  <c r="L1219" i="1" s="1"/>
  <c r="Z1218" i="1"/>
  <c r="W1218" i="1"/>
  <c r="T1218" i="1"/>
  <c r="M1218" i="1"/>
  <c r="N1218" i="1" s="1"/>
  <c r="K1218" i="1"/>
  <c r="L1218" i="1" s="1"/>
  <c r="Z1217" i="1"/>
  <c r="W1217" i="1"/>
  <c r="T1217" i="1"/>
  <c r="M1217" i="1"/>
  <c r="N1217" i="1" s="1"/>
  <c r="L1217" i="1"/>
  <c r="K1217" i="1"/>
  <c r="Z1216" i="1"/>
  <c r="W1216" i="1"/>
  <c r="T1216" i="1"/>
  <c r="M1216" i="1"/>
  <c r="N1216" i="1" s="1"/>
  <c r="L1216" i="1"/>
  <c r="K1216" i="1"/>
  <c r="Z1215" i="1"/>
  <c r="W1215" i="1"/>
  <c r="T1215" i="1"/>
  <c r="N1215" i="1"/>
  <c r="M1215" i="1"/>
  <c r="L1215" i="1"/>
  <c r="K1215" i="1"/>
  <c r="Z1214" i="1"/>
  <c r="W1214" i="1"/>
  <c r="T1214" i="1"/>
  <c r="N1214" i="1"/>
  <c r="M1214" i="1"/>
  <c r="L1214" i="1"/>
  <c r="K1214" i="1"/>
  <c r="Z1213" i="1"/>
  <c r="W1213" i="1"/>
  <c r="T1213" i="1"/>
  <c r="N1213" i="1"/>
  <c r="M1213" i="1"/>
  <c r="L1213" i="1"/>
  <c r="K1213" i="1"/>
  <c r="Z1212" i="1"/>
  <c r="W1212" i="1"/>
  <c r="T1212" i="1"/>
  <c r="N1212" i="1"/>
  <c r="M1212" i="1"/>
  <c r="K1212" i="1"/>
  <c r="L1212" i="1" s="1"/>
  <c r="Z1211" i="1"/>
  <c r="W1211" i="1"/>
  <c r="T1211" i="1"/>
  <c r="N1211" i="1"/>
  <c r="M1211" i="1"/>
  <c r="L1211" i="1"/>
  <c r="K1211" i="1"/>
  <c r="Z1210" i="1"/>
  <c r="W1210" i="1"/>
  <c r="T1210" i="1"/>
  <c r="M1210" i="1"/>
  <c r="N1210" i="1" s="1"/>
  <c r="K1210" i="1"/>
  <c r="L1210" i="1" s="1"/>
  <c r="Z1209" i="1"/>
  <c r="W1209" i="1"/>
  <c r="T1209" i="1"/>
  <c r="M1209" i="1"/>
  <c r="N1209" i="1" s="1"/>
  <c r="K1209" i="1"/>
  <c r="L1209" i="1" s="1"/>
  <c r="Z1208" i="1"/>
  <c r="W1208" i="1"/>
  <c r="T1208" i="1"/>
  <c r="N1208" i="1"/>
  <c r="M1208" i="1"/>
  <c r="L1208" i="1"/>
  <c r="K1208" i="1"/>
  <c r="Z1207" i="1"/>
  <c r="W1207" i="1"/>
  <c r="T1207" i="1"/>
  <c r="M1207" i="1"/>
  <c r="N1207" i="1" s="1"/>
  <c r="L1207" i="1"/>
  <c r="K1207" i="1"/>
  <c r="Z1206" i="1"/>
  <c r="W1206" i="1"/>
  <c r="T1206" i="1"/>
  <c r="M1206" i="1"/>
  <c r="N1206" i="1" s="1"/>
  <c r="K1206" i="1"/>
  <c r="L1206" i="1" s="1"/>
  <c r="Z1205" i="1"/>
  <c r="W1205" i="1"/>
  <c r="T1205" i="1"/>
  <c r="M1205" i="1"/>
  <c r="N1205" i="1" s="1"/>
  <c r="L1205" i="1"/>
  <c r="K1205" i="1"/>
  <c r="Z1204" i="1"/>
  <c r="W1204" i="1"/>
  <c r="T1204" i="1"/>
  <c r="M1204" i="1"/>
  <c r="N1204" i="1" s="1"/>
  <c r="L1204" i="1"/>
  <c r="K1204" i="1"/>
  <c r="Z1203" i="1"/>
  <c r="W1203" i="1"/>
  <c r="T1203" i="1"/>
  <c r="M1203" i="1"/>
  <c r="N1203" i="1" s="1"/>
  <c r="L1203" i="1"/>
  <c r="K1203" i="1"/>
  <c r="Z1202" i="1"/>
  <c r="W1202" i="1"/>
  <c r="T1202" i="1"/>
  <c r="N1202" i="1"/>
  <c r="M1202" i="1"/>
  <c r="K1202" i="1"/>
  <c r="L1202" i="1" s="1"/>
  <c r="Z1201" i="1"/>
  <c r="W1201" i="1"/>
  <c r="T1201" i="1"/>
  <c r="N1201" i="1"/>
  <c r="M1201" i="1"/>
  <c r="L1201" i="1"/>
  <c r="K1201" i="1"/>
  <c r="Z1200" i="1"/>
  <c r="W1200" i="1"/>
  <c r="T1200" i="1"/>
  <c r="M1200" i="1"/>
  <c r="N1200" i="1" s="1"/>
  <c r="K1200" i="1"/>
  <c r="L1200" i="1" s="1"/>
  <c r="Z1199" i="1"/>
  <c r="W1199" i="1"/>
  <c r="T1199" i="1"/>
  <c r="N1199" i="1"/>
  <c r="M1199" i="1"/>
  <c r="L1199" i="1"/>
  <c r="K1199" i="1"/>
  <c r="Z1198" i="1"/>
  <c r="W1198" i="1"/>
  <c r="T1198" i="1"/>
  <c r="M1198" i="1"/>
  <c r="N1198" i="1" s="1"/>
  <c r="L1198" i="1"/>
  <c r="K1198" i="1"/>
  <c r="Z1197" i="1"/>
  <c r="W1197" i="1"/>
  <c r="T1197" i="1"/>
  <c r="N1197" i="1"/>
  <c r="M1197" i="1"/>
  <c r="K1197" i="1"/>
  <c r="L1197" i="1" s="1"/>
  <c r="Z1196" i="1"/>
  <c r="W1196" i="1"/>
  <c r="T1196" i="1"/>
  <c r="N1196" i="1"/>
  <c r="M1196" i="1"/>
  <c r="L1196" i="1"/>
  <c r="K1196" i="1"/>
  <c r="Z1195" i="1"/>
  <c r="W1195" i="1"/>
  <c r="T1195" i="1"/>
  <c r="M1195" i="1"/>
  <c r="N1195" i="1" s="1"/>
  <c r="K1195" i="1"/>
  <c r="L1195" i="1" s="1"/>
  <c r="Z1194" i="1"/>
  <c r="W1194" i="1"/>
  <c r="T1194" i="1"/>
  <c r="N1194" i="1"/>
  <c r="M1194" i="1"/>
  <c r="K1194" i="1"/>
  <c r="L1194" i="1" s="1"/>
  <c r="Z1193" i="1"/>
  <c r="W1193" i="1"/>
  <c r="T1193" i="1"/>
  <c r="M1193" i="1"/>
  <c r="N1193" i="1" s="1"/>
  <c r="K1193" i="1"/>
  <c r="L1193" i="1" s="1"/>
  <c r="Z1192" i="1"/>
  <c r="W1192" i="1"/>
  <c r="T1192" i="1"/>
  <c r="M1192" i="1"/>
  <c r="N1192" i="1" s="1"/>
  <c r="L1192" i="1"/>
  <c r="K1192" i="1"/>
  <c r="Z1191" i="1"/>
  <c r="W1191" i="1"/>
  <c r="T1191" i="1"/>
  <c r="N1191" i="1"/>
  <c r="M1191" i="1"/>
  <c r="K1191" i="1"/>
  <c r="L1191" i="1" s="1"/>
  <c r="Z1190" i="1"/>
  <c r="W1190" i="1"/>
  <c r="T1190" i="1"/>
  <c r="N1190" i="1"/>
  <c r="M1190" i="1"/>
  <c r="K1190" i="1"/>
  <c r="L1190" i="1" s="1"/>
  <c r="Z1189" i="1"/>
  <c r="W1189" i="1"/>
  <c r="T1189" i="1"/>
  <c r="M1189" i="1"/>
  <c r="N1189" i="1" s="1"/>
  <c r="L1189" i="1"/>
  <c r="K1189" i="1"/>
  <c r="Z1188" i="1"/>
  <c r="W1188" i="1"/>
  <c r="T1188" i="1"/>
  <c r="M1188" i="1"/>
  <c r="N1188" i="1" s="1"/>
  <c r="K1188" i="1"/>
  <c r="L1188" i="1" s="1"/>
  <c r="Z1187" i="1"/>
  <c r="W1187" i="1"/>
  <c r="T1187" i="1"/>
  <c r="N1187" i="1"/>
  <c r="M1187" i="1"/>
  <c r="L1187" i="1"/>
  <c r="K1187" i="1"/>
  <c r="Z1186" i="1"/>
  <c r="W1186" i="1"/>
  <c r="T1186" i="1"/>
  <c r="M1186" i="1"/>
  <c r="N1186" i="1" s="1"/>
  <c r="K1186" i="1"/>
  <c r="L1186" i="1" s="1"/>
  <c r="Z1185" i="1"/>
  <c r="W1185" i="1"/>
  <c r="T1185" i="1"/>
  <c r="N1185" i="1"/>
  <c r="M1185" i="1"/>
  <c r="K1185" i="1"/>
  <c r="L1185" i="1" s="1"/>
  <c r="Z1184" i="1"/>
  <c r="W1184" i="1"/>
  <c r="T1184" i="1"/>
  <c r="N1184" i="1"/>
  <c r="M1184" i="1"/>
  <c r="L1184" i="1"/>
  <c r="K1184" i="1"/>
  <c r="Z1183" i="1"/>
  <c r="W1183" i="1"/>
  <c r="T1183" i="1"/>
  <c r="M1183" i="1"/>
  <c r="N1183" i="1" s="1"/>
  <c r="L1183" i="1"/>
  <c r="K1183" i="1"/>
  <c r="Z1182" i="1"/>
  <c r="W1182" i="1"/>
  <c r="T1182" i="1"/>
  <c r="M1182" i="1"/>
  <c r="N1182" i="1" s="1"/>
  <c r="L1182" i="1"/>
  <c r="K1182" i="1"/>
  <c r="Z1181" i="1"/>
  <c r="W1181" i="1"/>
  <c r="T1181" i="1"/>
  <c r="N1181" i="1"/>
  <c r="M1181" i="1"/>
  <c r="K1181" i="1"/>
  <c r="L1181" i="1" s="1"/>
  <c r="Z1180" i="1"/>
  <c r="W1180" i="1"/>
  <c r="T1180" i="1"/>
  <c r="M1180" i="1"/>
  <c r="N1180" i="1" s="1"/>
  <c r="L1180" i="1"/>
  <c r="K1180" i="1"/>
  <c r="Z1179" i="1"/>
  <c r="W1179" i="1"/>
  <c r="T1179" i="1"/>
  <c r="M1179" i="1"/>
  <c r="N1179" i="1" s="1"/>
  <c r="L1179" i="1"/>
  <c r="K1179" i="1"/>
  <c r="Z1178" i="1"/>
  <c r="W1178" i="1"/>
  <c r="T1178" i="1"/>
  <c r="N1178" i="1"/>
  <c r="M1178" i="1"/>
  <c r="K1178" i="1"/>
  <c r="L1178" i="1" s="1"/>
  <c r="Z1177" i="1"/>
  <c r="W1177" i="1"/>
  <c r="T1177" i="1"/>
  <c r="M1177" i="1"/>
  <c r="N1177" i="1" s="1"/>
  <c r="K1177" i="1"/>
  <c r="L1177" i="1" s="1"/>
  <c r="Z1176" i="1"/>
  <c r="W1176" i="1"/>
  <c r="T1176" i="1"/>
  <c r="M1176" i="1"/>
  <c r="N1176" i="1" s="1"/>
  <c r="K1176" i="1"/>
  <c r="L1176" i="1" s="1"/>
  <c r="Z1175" i="1"/>
  <c r="W1175" i="1"/>
  <c r="T1175" i="1"/>
  <c r="M1175" i="1"/>
  <c r="N1175" i="1" s="1"/>
  <c r="L1175" i="1"/>
  <c r="K1175" i="1"/>
  <c r="Z1174" i="1"/>
  <c r="W1174" i="1"/>
  <c r="T1174" i="1"/>
  <c r="M1174" i="1"/>
  <c r="N1174" i="1" s="1"/>
  <c r="L1174" i="1"/>
  <c r="K1174" i="1"/>
  <c r="Z1173" i="1"/>
  <c r="W1173" i="1"/>
  <c r="T1173" i="1"/>
  <c r="N1173" i="1"/>
  <c r="M1173" i="1"/>
  <c r="K1173" i="1"/>
  <c r="L1173" i="1" s="1"/>
  <c r="Z1172" i="1"/>
  <c r="W1172" i="1"/>
  <c r="T1172" i="1"/>
  <c r="M1172" i="1"/>
  <c r="N1172" i="1" s="1"/>
  <c r="K1172" i="1"/>
  <c r="L1172" i="1" s="1"/>
  <c r="Z1171" i="1"/>
  <c r="W1171" i="1"/>
  <c r="T1171" i="1"/>
  <c r="M1171" i="1"/>
  <c r="N1171" i="1" s="1"/>
  <c r="L1171" i="1"/>
  <c r="K1171" i="1"/>
  <c r="Z1170" i="1"/>
  <c r="W1170" i="1"/>
  <c r="T1170" i="1"/>
  <c r="N1170" i="1"/>
  <c r="M1170" i="1"/>
  <c r="L1170" i="1"/>
  <c r="K1170" i="1"/>
  <c r="Z1169" i="1"/>
  <c r="W1169" i="1"/>
  <c r="T1169" i="1"/>
  <c r="N1169" i="1"/>
  <c r="M1169" i="1"/>
  <c r="L1169" i="1"/>
  <c r="K1169" i="1"/>
  <c r="Z1168" i="1"/>
  <c r="W1168" i="1"/>
  <c r="T1168" i="1"/>
  <c r="N1168" i="1"/>
  <c r="M1168" i="1"/>
  <c r="L1168" i="1"/>
  <c r="K1168" i="1"/>
  <c r="Z1167" i="1"/>
  <c r="W1167" i="1"/>
  <c r="T1167" i="1"/>
  <c r="N1167" i="1"/>
  <c r="M1167" i="1"/>
  <c r="L1167" i="1"/>
  <c r="K1167" i="1"/>
  <c r="Z1166" i="1"/>
  <c r="W1166" i="1"/>
  <c r="T1166" i="1"/>
  <c r="N1166" i="1"/>
  <c r="M1166" i="1"/>
  <c r="K1166" i="1"/>
  <c r="L1166" i="1" s="1"/>
  <c r="Z1165" i="1"/>
  <c r="W1165" i="1"/>
  <c r="T1165" i="1"/>
  <c r="M1165" i="1"/>
  <c r="N1165" i="1" s="1"/>
  <c r="L1165" i="1"/>
  <c r="K1165" i="1"/>
  <c r="Z1164" i="1"/>
  <c r="W1164" i="1"/>
  <c r="T1164" i="1"/>
  <c r="M1164" i="1"/>
  <c r="N1164" i="1" s="1"/>
  <c r="K1164" i="1"/>
  <c r="L1164" i="1" s="1"/>
  <c r="Z1163" i="1"/>
  <c r="W1163" i="1"/>
  <c r="T1163" i="1"/>
  <c r="M1163" i="1"/>
  <c r="N1163" i="1" s="1"/>
  <c r="L1163" i="1"/>
  <c r="K1163" i="1"/>
  <c r="Z1162" i="1"/>
  <c r="W1162" i="1"/>
  <c r="T1162" i="1"/>
  <c r="M1162" i="1"/>
  <c r="N1162" i="1" s="1"/>
  <c r="K1162" i="1"/>
  <c r="L1162" i="1" s="1"/>
  <c r="Z1161" i="1"/>
  <c r="W1161" i="1"/>
  <c r="T1161" i="1"/>
  <c r="M1161" i="1"/>
  <c r="N1161" i="1" s="1"/>
  <c r="K1161" i="1"/>
  <c r="L1161" i="1" s="1"/>
  <c r="Z1160" i="1"/>
  <c r="W1160" i="1"/>
  <c r="T1160" i="1"/>
  <c r="N1160" i="1"/>
  <c r="M1160" i="1"/>
  <c r="K1160" i="1"/>
  <c r="L1160" i="1" s="1"/>
  <c r="Z1159" i="1"/>
  <c r="W1159" i="1"/>
  <c r="T1159" i="1"/>
  <c r="M1159" i="1"/>
  <c r="N1159" i="1" s="1"/>
  <c r="L1159" i="1"/>
  <c r="K1159" i="1"/>
  <c r="Z1158" i="1"/>
  <c r="W1158" i="1"/>
  <c r="T1158" i="1"/>
  <c r="M1158" i="1"/>
  <c r="N1158" i="1" s="1"/>
  <c r="K1158" i="1"/>
  <c r="L1158" i="1" s="1"/>
  <c r="Z1157" i="1"/>
  <c r="W1157" i="1"/>
  <c r="T1157" i="1"/>
  <c r="N1157" i="1"/>
  <c r="M1157" i="1"/>
  <c r="L1157" i="1"/>
  <c r="K1157" i="1"/>
  <c r="Z1156" i="1"/>
  <c r="W1156" i="1"/>
  <c r="T1156" i="1"/>
  <c r="M1156" i="1"/>
  <c r="N1156" i="1" s="1"/>
  <c r="L1156" i="1"/>
  <c r="K1156" i="1"/>
  <c r="Z1155" i="1"/>
  <c r="W1155" i="1"/>
  <c r="T1155" i="1"/>
  <c r="N1155" i="1"/>
  <c r="M1155" i="1"/>
  <c r="L1155" i="1"/>
  <c r="K1155" i="1"/>
  <c r="Z1154" i="1"/>
  <c r="W1154" i="1"/>
  <c r="T1154" i="1"/>
  <c r="N1154" i="1"/>
  <c r="M1154" i="1"/>
  <c r="K1154" i="1"/>
  <c r="L1154" i="1" s="1"/>
  <c r="Z1153" i="1"/>
  <c r="W1153" i="1"/>
  <c r="T1153" i="1"/>
  <c r="N1153" i="1"/>
  <c r="M1153" i="1"/>
  <c r="L1153" i="1"/>
  <c r="K1153" i="1"/>
  <c r="Z1152" i="1"/>
  <c r="W1152" i="1"/>
  <c r="T1152" i="1"/>
  <c r="M1152" i="1"/>
  <c r="N1152" i="1" s="1"/>
  <c r="K1152" i="1"/>
  <c r="L1152" i="1" s="1"/>
  <c r="Z1151" i="1"/>
  <c r="W1151" i="1"/>
  <c r="T1151" i="1"/>
  <c r="M1151" i="1"/>
  <c r="N1151" i="1" s="1"/>
  <c r="K1151" i="1"/>
  <c r="L1151" i="1" s="1"/>
  <c r="Z1150" i="1"/>
  <c r="W1150" i="1"/>
  <c r="T1150" i="1"/>
  <c r="M1150" i="1"/>
  <c r="N1150" i="1" s="1"/>
  <c r="K1150" i="1"/>
  <c r="L1150" i="1" s="1"/>
  <c r="Z1149" i="1"/>
  <c r="W1149" i="1"/>
  <c r="T1149" i="1"/>
  <c r="M1149" i="1"/>
  <c r="N1149" i="1" s="1"/>
  <c r="K1149" i="1"/>
  <c r="L1149" i="1" s="1"/>
  <c r="Z1148" i="1"/>
  <c r="W1148" i="1"/>
  <c r="T1148" i="1"/>
  <c r="N1148" i="1"/>
  <c r="M1148" i="1"/>
  <c r="L1148" i="1"/>
  <c r="K1148" i="1"/>
  <c r="Z1147" i="1"/>
  <c r="W1147" i="1"/>
  <c r="T1147" i="1"/>
  <c r="M1147" i="1"/>
  <c r="N1147" i="1" s="1"/>
  <c r="K1147" i="1"/>
  <c r="L1147" i="1" s="1"/>
  <c r="Z1146" i="1"/>
  <c r="W1146" i="1"/>
  <c r="T1146" i="1"/>
  <c r="M1146" i="1"/>
  <c r="N1146" i="1" s="1"/>
  <c r="K1146" i="1"/>
  <c r="L1146" i="1" s="1"/>
  <c r="Z1145" i="1"/>
  <c r="W1145" i="1"/>
  <c r="T1145" i="1"/>
  <c r="M1145" i="1"/>
  <c r="N1145" i="1" s="1"/>
  <c r="L1145" i="1"/>
  <c r="K1145" i="1"/>
  <c r="Z1144" i="1"/>
  <c r="W1144" i="1"/>
  <c r="T1144" i="1"/>
  <c r="M1144" i="1"/>
  <c r="N1144" i="1" s="1"/>
  <c r="L1144" i="1"/>
  <c r="K1144" i="1"/>
  <c r="Z1143" i="1"/>
  <c r="W1143" i="1"/>
  <c r="T1143" i="1"/>
  <c r="N1143" i="1"/>
  <c r="M1143" i="1"/>
  <c r="L1143" i="1"/>
  <c r="K1143" i="1"/>
  <c r="Z1142" i="1"/>
  <c r="W1142" i="1"/>
  <c r="T1142" i="1"/>
  <c r="N1142" i="1"/>
  <c r="M1142" i="1"/>
  <c r="L1142" i="1"/>
  <c r="K1142" i="1"/>
  <c r="Z1141" i="1"/>
  <c r="W1141" i="1"/>
  <c r="T1141" i="1"/>
  <c r="N1141" i="1"/>
  <c r="M1141" i="1"/>
  <c r="L1141" i="1"/>
  <c r="K1141" i="1"/>
  <c r="Z1140" i="1"/>
  <c r="W1140" i="1"/>
  <c r="T1140" i="1"/>
  <c r="N1140" i="1"/>
  <c r="M1140" i="1"/>
  <c r="K1140" i="1"/>
  <c r="L1140" i="1" s="1"/>
  <c r="Z1139" i="1"/>
  <c r="W1139" i="1"/>
  <c r="T1139" i="1"/>
  <c r="N1139" i="1"/>
  <c r="M1139" i="1"/>
  <c r="L1139" i="1"/>
  <c r="K1139" i="1"/>
  <c r="Z1138" i="1"/>
  <c r="W1138" i="1"/>
  <c r="T1138" i="1"/>
  <c r="M1138" i="1"/>
  <c r="N1138" i="1" s="1"/>
  <c r="K1138" i="1"/>
  <c r="L1138" i="1" s="1"/>
  <c r="Z1137" i="1"/>
  <c r="W1137" i="1"/>
  <c r="T1137" i="1"/>
  <c r="M1137" i="1"/>
  <c r="N1137" i="1" s="1"/>
  <c r="K1137" i="1"/>
  <c r="L1137" i="1" s="1"/>
  <c r="Z1136" i="1"/>
  <c r="W1136" i="1"/>
  <c r="T1136" i="1"/>
  <c r="N1136" i="1"/>
  <c r="M1136" i="1"/>
  <c r="L1136" i="1"/>
  <c r="K1136" i="1"/>
  <c r="Z1135" i="1"/>
  <c r="W1135" i="1"/>
  <c r="T1135" i="1"/>
  <c r="M1135" i="1"/>
  <c r="N1135" i="1" s="1"/>
  <c r="L1135" i="1"/>
  <c r="K1135" i="1"/>
  <c r="Z1134" i="1"/>
  <c r="W1134" i="1"/>
  <c r="T1134" i="1"/>
  <c r="M1134" i="1"/>
  <c r="N1134" i="1" s="1"/>
  <c r="K1134" i="1"/>
  <c r="L1134" i="1" s="1"/>
  <c r="Z1133" i="1"/>
  <c r="W1133" i="1"/>
  <c r="T1133" i="1"/>
  <c r="M1133" i="1"/>
  <c r="N1133" i="1" s="1"/>
  <c r="L1133" i="1"/>
  <c r="K1133" i="1"/>
  <c r="Z1132" i="1"/>
  <c r="W1132" i="1"/>
  <c r="T1132" i="1"/>
  <c r="M1132" i="1"/>
  <c r="N1132" i="1" s="1"/>
  <c r="L1132" i="1"/>
  <c r="K1132" i="1"/>
  <c r="Z1131" i="1"/>
  <c r="W1131" i="1"/>
  <c r="T1131" i="1"/>
  <c r="M1131" i="1"/>
  <c r="N1131" i="1" s="1"/>
  <c r="L1131" i="1"/>
  <c r="K1131" i="1"/>
  <c r="Z1130" i="1"/>
  <c r="W1130" i="1"/>
  <c r="T1130" i="1"/>
  <c r="N1130" i="1"/>
  <c r="M1130" i="1"/>
  <c r="K1130" i="1"/>
  <c r="L1130" i="1" s="1"/>
  <c r="Z1129" i="1"/>
  <c r="W1129" i="1"/>
  <c r="T1129" i="1"/>
  <c r="N1129" i="1"/>
  <c r="M1129" i="1"/>
  <c r="L1129" i="1"/>
  <c r="K1129" i="1"/>
  <c r="Z1128" i="1"/>
  <c r="W1128" i="1"/>
  <c r="T1128" i="1"/>
  <c r="M1128" i="1"/>
  <c r="N1128" i="1" s="1"/>
  <c r="K1128" i="1"/>
  <c r="L1128" i="1" s="1"/>
  <c r="Z1127" i="1"/>
  <c r="W1127" i="1"/>
  <c r="T1127" i="1"/>
  <c r="N1127" i="1"/>
  <c r="M1127" i="1"/>
  <c r="L1127" i="1"/>
  <c r="K1127" i="1"/>
  <c r="Z1126" i="1"/>
  <c r="W1126" i="1"/>
  <c r="T1126" i="1"/>
  <c r="M1126" i="1"/>
  <c r="N1126" i="1" s="1"/>
  <c r="L1126" i="1"/>
  <c r="K1126" i="1"/>
  <c r="Z1125" i="1"/>
  <c r="W1125" i="1"/>
  <c r="T1125" i="1"/>
  <c r="N1125" i="1"/>
  <c r="M1125" i="1"/>
  <c r="K1125" i="1"/>
  <c r="L1125" i="1" s="1"/>
  <c r="Z1124" i="1"/>
  <c r="W1124" i="1"/>
  <c r="T1124" i="1"/>
  <c r="M1124" i="1"/>
  <c r="N1124" i="1" s="1"/>
  <c r="L1124" i="1"/>
  <c r="K1124" i="1"/>
  <c r="Z1123" i="1"/>
  <c r="W1123" i="1"/>
  <c r="T1123" i="1"/>
  <c r="M1123" i="1"/>
  <c r="N1123" i="1" s="1"/>
  <c r="K1123" i="1"/>
  <c r="L1123" i="1" s="1"/>
  <c r="Z1122" i="1"/>
  <c r="W1122" i="1"/>
  <c r="T1122" i="1"/>
  <c r="N1122" i="1"/>
  <c r="M1122" i="1"/>
  <c r="K1122" i="1"/>
  <c r="L1122" i="1" s="1"/>
  <c r="Z1121" i="1"/>
  <c r="W1121" i="1"/>
  <c r="T1121" i="1"/>
  <c r="M1121" i="1"/>
  <c r="N1121" i="1" s="1"/>
  <c r="K1121" i="1"/>
  <c r="L1121" i="1" s="1"/>
  <c r="Z1120" i="1"/>
  <c r="W1120" i="1"/>
  <c r="T1120" i="1"/>
  <c r="N1120" i="1"/>
  <c r="M1120" i="1"/>
  <c r="L1120" i="1"/>
  <c r="K1120" i="1"/>
  <c r="Z1119" i="1"/>
  <c r="W1119" i="1"/>
  <c r="T1119" i="1"/>
  <c r="N1119" i="1"/>
  <c r="M1119" i="1"/>
  <c r="L1119" i="1"/>
  <c r="K1119" i="1"/>
  <c r="Z1118" i="1"/>
  <c r="W1118" i="1"/>
  <c r="T1118" i="1"/>
  <c r="N1118" i="1"/>
  <c r="M1118" i="1"/>
  <c r="K1118" i="1"/>
  <c r="L1118" i="1" s="1"/>
  <c r="Z1117" i="1"/>
  <c r="W1117" i="1"/>
  <c r="T1117" i="1"/>
  <c r="N1117" i="1"/>
  <c r="M1117" i="1"/>
  <c r="L1117" i="1"/>
  <c r="K1117" i="1"/>
  <c r="Z1116" i="1"/>
  <c r="W1116" i="1"/>
  <c r="T1116" i="1"/>
  <c r="M1116" i="1"/>
  <c r="N1116" i="1" s="1"/>
  <c r="L1116" i="1"/>
  <c r="K1116" i="1"/>
  <c r="Z1115" i="1"/>
  <c r="W1115" i="1"/>
  <c r="T1115" i="1"/>
  <c r="N1115" i="1"/>
  <c r="M1115" i="1"/>
  <c r="L1115" i="1"/>
  <c r="K1115" i="1"/>
  <c r="Z1114" i="1"/>
  <c r="W1114" i="1"/>
  <c r="T1114" i="1"/>
  <c r="N1114" i="1"/>
  <c r="M1114" i="1"/>
  <c r="L1114" i="1"/>
  <c r="K1114" i="1"/>
  <c r="Z1113" i="1"/>
  <c r="W1113" i="1"/>
  <c r="T1113" i="1"/>
  <c r="N1113" i="1"/>
  <c r="M1113" i="1"/>
  <c r="K1113" i="1"/>
  <c r="L1113" i="1" s="1"/>
  <c r="Z1112" i="1"/>
  <c r="W1112" i="1"/>
  <c r="T1112" i="1"/>
  <c r="M1112" i="1"/>
  <c r="N1112" i="1" s="1"/>
  <c r="L1112" i="1"/>
  <c r="K1112" i="1"/>
  <c r="Z1111" i="1"/>
  <c r="W1111" i="1"/>
  <c r="T1111" i="1"/>
  <c r="M1111" i="1"/>
  <c r="N1111" i="1" s="1"/>
  <c r="L1111" i="1"/>
  <c r="K1111" i="1"/>
  <c r="Z1110" i="1"/>
  <c r="W1110" i="1"/>
  <c r="T1110" i="1"/>
  <c r="M1110" i="1"/>
  <c r="N1110" i="1" s="1"/>
  <c r="K1110" i="1"/>
  <c r="L1110" i="1" s="1"/>
  <c r="Z1109" i="1"/>
  <c r="W1109" i="1"/>
  <c r="T1109" i="1"/>
  <c r="N1109" i="1"/>
  <c r="M1109" i="1"/>
  <c r="K1109" i="1"/>
  <c r="L1109" i="1" s="1"/>
  <c r="Z1108" i="1"/>
  <c r="W1108" i="1"/>
  <c r="T1108" i="1"/>
  <c r="N1108" i="1"/>
  <c r="M1108" i="1"/>
  <c r="L1108" i="1"/>
  <c r="K1108" i="1"/>
  <c r="Z1107" i="1"/>
  <c r="W1107" i="1"/>
  <c r="T1107" i="1"/>
  <c r="M1107" i="1"/>
  <c r="N1107" i="1" s="1"/>
  <c r="K1107" i="1"/>
  <c r="L1107" i="1" s="1"/>
  <c r="Z1106" i="1"/>
  <c r="W1106" i="1"/>
  <c r="T1106" i="1"/>
  <c r="N1106" i="1"/>
  <c r="M1106" i="1"/>
  <c r="K1106" i="1"/>
  <c r="L1106" i="1" s="1"/>
  <c r="Z1105" i="1"/>
  <c r="W1105" i="1"/>
  <c r="T1105" i="1"/>
  <c r="N1105" i="1"/>
  <c r="M1105" i="1"/>
  <c r="L1105" i="1"/>
  <c r="K1105" i="1"/>
  <c r="Z1104" i="1"/>
  <c r="W1104" i="1"/>
  <c r="T1104" i="1"/>
  <c r="M1104" i="1"/>
  <c r="N1104" i="1" s="1"/>
  <c r="K1104" i="1"/>
  <c r="L1104" i="1" s="1"/>
  <c r="Z1103" i="1"/>
  <c r="W1103" i="1"/>
  <c r="T1103" i="1"/>
  <c r="N1103" i="1"/>
  <c r="M1103" i="1"/>
  <c r="L1103" i="1"/>
  <c r="K1103" i="1"/>
  <c r="Z1102" i="1"/>
  <c r="W1102" i="1"/>
  <c r="T1102" i="1"/>
  <c r="M1102" i="1"/>
  <c r="N1102" i="1" s="1"/>
  <c r="K1102" i="1"/>
  <c r="L1102" i="1" s="1"/>
  <c r="Z1101" i="1"/>
  <c r="W1101" i="1"/>
  <c r="T1101" i="1"/>
  <c r="N1101" i="1"/>
  <c r="M1101" i="1"/>
  <c r="K1101" i="1"/>
  <c r="L1101" i="1" s="1"/>
  <c r="Z1100" i="1"/>
  <c r="W1100" i="1"/>
  <c r="T1100" i="1"/>
  <c r="N1100" i="1"/>
  <c r="M1100" i="1"/>
  <c r="L1100" i="1"/>
  <c r="K1100" i="1"/>
  <c r="Z1099" i="1"/>
  <c r="W1099" i="1"/>
  <c r="T1099" i="1"/>
  <c r="M1099" i="1"/>
  <c r="N1099" i="1" s="1"/>
  <c r="L1099" i="1"/>
  <c r="K1099" i="1"/>
  <c r="Z1098" i="1"/>
  <c r="W1098" i="1"/>
  <c r="T1098" i="1"/>
  <c r="M1098" i="1"/>
  <c r="N1098" i="1" s="1"/>
  <c r="K1098" i="1"/>
  <c r="L1098" i="1" s="1"/>
  <c r="Z1097" i="1"/>
  <c r="W1097" i="1"/>
  <c r="T1097" i="1"/>
  <c r="N1097" i="1"/>
  <c r="M1097" i="1"/>
  <c r="L1097" i="1"/>
  <c r="K1097" i="1"/>
  <c r="Z1096" i="1"/>
  <c r="W1096" i="1"/>
  <c r="T1096" i="1"/>
  <c r="M1096" i="1"/>
  <c r="N1096" i="1" s="1"/>
  <c r="L1096" i="1"/>
  <c r="K1096" i="1"/>
  <c r="Z1095" i="1"/>
  <c r="W1095" i="1"/>
  <c r="T1095" i="1"/>
  <c r="N1095" i="1"/>
  <c r="M1095" i="1"/>
  <c r="L1095" i="1"/>
  <c r="K1095" i="1"/>
  <c r="Z1094" i="1"/>
  <c r="W1094" i="1"/>
  <c r="T1094" i="1"/>
  <c r="N1094" i="1"/>
  <c r="M1094" i="1"/>
  <c r="K1094" i="1"/>
  <c r="L1094" i="1" s="1"/>
  <c r="Z1093" i="1"/>
  <c r="W1093" i="1"/>
  <c r="T1093" i="1"/>
  <c r="N1093" i="1"/>
  <c r="M1093" i="1"/>
  <c r="K1093" i="1"/>
  <c r="L1093" i="1" s="1"/>
  <c r="Z1092" i="1"/>
  <c r="W1092" i="1"/>
  <c r="T1092" i="1"/>
  <c r="M1092" i="1"/>
  <c r="N1092" i="1" s="1"/>
  <c r="K1092" i="1"/>
  <c r="L1092" i="1" s="1"/>
  <c r="Z1091" i="1"/>
  <c r="W1091" i="1"/>
  <c r="T1091" i="1"/>
  <c r="M1091" i="1"/>
  <c r="N1091" i="1" s="1"/>
  <c r="K1091" i="1"/>
  <c r="L1091" i="1" s="1"/>
  <c r="Z1090" i="1"/>
  <c r="W1090" i="1"/>
  <c r="T1090" i="1"/>
  <c r="M1090" i="1"/>
  <c r="N1090" i="1" s="1"/>
  <c r="K1090" i="1"/>
  <c r="L1090" i="1" s="1"/>
  <c r="Z1089" i="1"/>
  <c r="W1089" i="1"/>
  <c r="T1089" i="1"/>
  <c r="N1089" i="1"/>
  <c r="M1089" i="1"/>
  <c r="L1089" i="1"/>
  <c r="K1089" i="1"/>
  <c r="Z1088" i="1"/>
  <c r="W1088" i="1"/>
  <c r="T1088" i="1"/>
  <c r="M1088" i="1"/>
  <c r="N1088" i="1" s="1"/>
  <c r="L1088" i="1"/>
  <c r="K1088" i="1"/>
  <c r="Z1087" i="1"/>
  <c r="W1087" i="1"/>
  <c r="T1087" i="1"/>
  <c r="N1087" i="1"/>
  <c r="M1087" i="1"/>
  <c r="L1087" i="1"/>
  <c r="K1087" i="1"/>
  <c r="Z1086" i="1"/>
  <c r="W1086" i="1"/>
  <c r="T1086" i="1"/>
  <c r="N1086" i="1"/>
  <c r="M1086" i="1"/>
  <c r="K1086" i="1"/>
  <c r="L1086" i="1" s="1"/>
  <c r="Z1085" i="1"/>
  <c r="W1085" i="1"/>
  <c r="T1085" i="1"/>
  <c r="N1085" i="1"/>
  <c r="M1085" i="1"/>
  <c r="L1085" i="1"/>
  <c r="K1085" i="1"/>
  <c r="Z1084" i="1"/>
  <c r="W1084" i="1"/>
  <c r="T1084" i="1"/>
  <c r="M1084" i="1"/>
  <c r="N1084" i="1" s="1"/>
  <c r="L1084" i="1"/>
  <c r="K1084" i="1"/>
  <c r="Z1083" i="1"/>
  <c r="W1083" i="1"/>
  <c r="T1083" i="1"/>
  <c r="N1083" i="1"/>
  <c r="M1083" i="1"/>
  <c r="K1083" i="1"/>
  <c r="L1083" i="1" s="1"/>
  <c r="Z1082" i="1"/>
  <c r="W1082" i="1"/>
  <c r="T1082" i="1"/>
  <c r="M1082" i="1"/>
  <c r="N1082" i="1" s="1"/>
  <c r="K1082" i="1"/>
  <c r="L1082" i="1" s="1"/>
  <c r="Z1081" i="1"/>
  <c r="W1081" i="1"/>
  <c r="T1081" i="1"/>
  <c r="N1081" i="1"/>
  <c r="M1081" i="1"/>
  <c r="K1081" i="1"/>
  <c r="L1081" i="1" s="1"/>
  <c r="Z1080" i="1"/>
  <c r="W1080" i="1"/>
  <c r="T1080" i="1"/>
  <c r="M1080" i="1"/>
  <c r="N1080" i="1" s="1"/>
  <c r="K1080" i="1"/>
  <c r="L1080" i="1" s="1"/>
  <c r="Z1079" i="1"/>
  <c r="W1079" i="1"/>
  <c r="T1079" i="1"/>
  <c r="N1079" i="1"/>
  <c r="M1079" i="1"/>
  <c r="K1079" i="1"/>
  <c r="L1079" i="1" s="1"/>
  <c r="Z1078" i="1"/>
  <c r="W1078" i="1"/>
  <c r="T1078" i="1"/>
  <c r="M1078" i="1"/>
  <c r="N1078" i="1" s="1"/>
  <c r="K1078" i="1"/>
  <c r="L1078" i="1" s="1"/>
  <c r="Z1077" i="1"/>
  <c r="W1077" i="1"/>
  <c r="T1077" i="1"/>
  <c r="N1077" i="1"/>
  <c r="M1077" i="1"/>
  <c r="L1077" i="1"/>
  <c r="K1077" i="1"/>
  <c r="Z1076" i="1"/>
  <c r="W1076" i="1"/>
  <c r="T1076" i="1"/>
  <c r="M1076" i="1"/>
  <c r="N1076" i="1" s="1"/>
  <c r="K1076" i="1"/>
  <c r="L1076" i="1" s="1"/>
  <c r="Z1075" i="1"/>
  <c r="W1075" i="1"/>
  <c r="T1075" i="1"/>
  <c r="N1075" i="1"/>
  <c r="M1075" i="1"/>
  <c r="L1075" i="1"/>
  <c r="K1075" i="1"/>
  <c r="Z1074" i="1"/>
  <c r="W1074" i="1"/>
  <c r="T1074" i="1"/>
  <c r="M1074" i="1"/>
  <c r="N1074" i="1" s="1"/>
  <c r="K1074" i="1"/>
  <c r="L1074" i="1" s="1"/>
  <c r="Z1073" i="1"/>
  <c r="W1073" i="1"/>
  <c r="T1073" i="1"/>
  <c r="N1073" i="1"/>
  <c r="M1073" i="1"/>
  <c r="L1073" i="1"/>
  <c r="K1073" i="1"/>
  <c r="Z1072" i="1"/>
  <c r="W1072" i="1"/>
  <c r="T1072" i="1"/>
  <c r="M1072" i="1"/>
  <c r="N1072" i="1" s="1"/>
  <c r="L1072" i="1"/>
  <c r="K1072" i="1"/>
  <c r="Z1071" i="1"/>
  <c r="W1071" i="1"/>
  <c r="T1071" i="1"/>
  <c r="N1071" i="1"/>
  <c r="M1071" i="1"/>
  <c r="L1071" i="1"/>
  <c r="K1071" i="1"/>
  <c r="Z1070" i="1"/>
  <c r="W1070" i="1"/>
  <c r="T1070" i="1"/>
  <c r="N1070" i="1"/>
  <c r="M1070" i="1"/>
  <c r="K1070" i="1"/>
  <c r="L1070" i="1" s="1"/>
  <c r="Z1069" i="1"/>
  <c r="W1069" i="1"/>
  <c r="T1069" i="1"/>
  <c r="M1069" i="1"/>
  <c r="N1069" i="1" s="1"/>
  <c r="K1069" i="1"/>
  <c r="L1069" i="1" s="1"/>
  <c r="Z1068" i="1"/>
  <c r="W1068" i="1"/>
  <c r="T1068" i="1"/>
  <c r="M1068" i="1"/>
  <c r="N1068" i="1" s="1"/>
  <c r="K1068" i="1"/>
  <c r="L1068" i="1" s="1"/>
  <c r="Z1067" i="1"/>
  <c r="W1067" i="1"/>
  <c r="T1067" i="1"/>
  <c r="N1067" i="1"/>
  <c r="M1067" i="1"/>
  <c r="K1067" i="1"/>
  <c r="L1067" i="1" s="1"/>
  <c r="Z1066" i="1"/>
  <c r="W1066" i="1"/>
  <c r="T1066" i="1"/>
  <c r="M1066" i="1"/>
  <c r="N1066" i="1" s="1"/>
  <c r="K1066" i="1"/>
  <c r="L1066" i="1" s="1"/>
  <c r="Z1065" i="1"/>
  <c r="W1065" i="1"/>
  <c r="T1065" i="1"/>
  <c r="M1065" i="1"/>
  <c r="N1065" i="1" s="1"/>
  <c r="L1065" i="1"/>
  <c r="K1065" i="1"/>
  <c r="Z1064" i="1"/>
  <c r="W1064" i="1"/>
  <c r="T1064" i="1"/>
  <c r="M1064" i="1"/>
  <c r="N1064" i="1" s="1"/>
  <c r="K1064" i="1"/>
  <c r="L1064" i="1" s="1"/>
  <c r="Z1063" i="1"/>
  <c r="W1063" i="1"/>
  <c r="T1063" i="1"/>
  <c r="N1063" i="1"/>
  <c r="M1063" i="1"/>
  <c r="L1063" i="1"/>
  <c r="K1063" i="1"/>
  <c r="Z1062" i="1"/>
  <c r="W1062" i="1"/>
  <c r="T1062" i="1"/>
  <c r="M1062" i="1"/>
  <c r="N1062" i="1" s="1"/>
  <c r="L1062" i="1"/>
  <c r="K1062" i="1"/>
  <c r="Z1061" i="1"/>
  <c r="W1061" i="1"/>
  <c r="T1061" i="1"/>
  <c r="N1061" i="1"/>
  <c r="M1061" i="1"/>
  <c r="L1061" i="1"/>
  <c r="K1061" i="1"/>
  <c r="Z1060" i="1"/>
  <c r="W1060" i="1"/>
  <c r="T1060" i="1"/>
  <c r="N1060" i="1"/>
  <c r="M1060" i="1"/>
  <c r="K1060" i="1"/>
  <c r="L1060" i="1" s="1"/>
  <c r="Z1059" i="1"/>
  <c r="W1059" i="1"/>
  <c r="T1059" i="1"/>
  <c r="N1059" i="1"/>
  <c r="M1059" i="1"/>
  <c r="K1059" i="1"/>
  <c r="L1059" i="1" s="1"/>
  <c r="Z1058" i="1"/>
  <c r="W1058" i="1"/>
  <c r="T1058" i="1"/>
  <c r="M1058" i="1"/>
  <c r="N1058" i="1" s="1"/>
  <c r="K1058" i="1"/>
  <c r="L1058" i="1" s="1"/>
  <c r="Z1057" i="1"/>
  <c r="W1057" i="1"/>
  <c r="T1057" i="1"/>
  <c r="N1057" i="1"/>
  <c r="M1057" i="1"/>
  <c r="L1057" i="1"/>
  <c r="K1057" i="1"/>
  <c r="Z1056" i="1"/>
  <c r="W1056" i="1"/>
  <c r="T1056" i="1"/>
  <c r="M1056" i="1"/>
  <c r="N1056" i="1" s="1"/>
  <c r="K1056" i="1"/>
  <c r="L1056" i="1" s="1"/>
  <c r="Z1055" i="1"/>
  <c r="W1055" i="1"/>
  <c r="T1055" i="1"/>
  <c r="N1055" i="1"/>
  <c r="M1055" i="1"/>
  <c r="L1055" i="1"/>
  <c r="K1055" i="1"/>
  <c r="Z1054" i="1"/>
  <c r="W1054" i="1"/>
  <c r="T1054" i="1"/>
  <c r="M1054" i="1"/>
  <c r="N1054" i="1" s="1"/>
  <c r="K1054" i="1"/>
  <c r="L1054" i="1" s="1"/>
  <c r="Z1053" i="1"/>
  <c r="W1053" i="1"/>
  <c r="T1053" i="1"/>
  <c r="N1053" i="1"/>
  <c r="M1053" i="1"/>
  <c r="L1053" i="1"/>
  <c r="K1053" i="1"/>
  <c r="Z1052" i="1"/>
  <c r="W1052" i="1"/>
  <c r="T1052" i="1"/>
  <c r="M1052" i="1"/>
  <c r="N1052" i="1" s="1"/>
  <c r="K1052" i="1"/>
  <c r="L1052" i="1" s="1"/>
  <c r="Z1051" i="1"/>
  <c r="W1051" i="1"/>
  <c r="T1051" i="1"/>
  <c r="N1051" i="1"/>
  <c r="M1051" i="1"/>
  <c r="L1051" i="1"/>
  <c r="K1051" i="1"/>
  <c r="Z1050" i="1"/>
  <c r="W1050" i="1"/>
  <c r="T1050" i="1"/>
  <c r="M1050" i="1"/>
  <c r="N1050" i="1" s="1"/>
  <c r="K1050" i="1"/>
  <c r="L1050" i="1" s="1"/>
  <c r="Z1049" i="1"/>
  <c r="W1049" i="1"/>
  <c r="T1049" i="1"/>
  <c r="N1049" i="1"/>
  <c r="M1049" i="1"/>
  <c r="L1049" i="1"/>
  <c r="K1049" i="1"/>
  <c r="Z1048" i="1"/>
  <c r="W1048" i="1"/>
  <c r="T1048" i="1"/>
  <c r="M1048" i="1"/>
  <c r="N1048" i="1" s="1"/>
  <c r="L1048" i="1"/>
  <c r="K1048" i="1"/>
  <c r="Z1047" i="1"/>
  <c r="W1047" i="1"/>
  <c r="T1047" i="1"/>
  <c r="N1047" i="1"/>
  <c r="M1047" i="1"/>
  <c r="L1047" i="1"/>
  <c r="K1047" i="1"/>
  <c r="Z1046" i="1"/>
  <c r="W1046" i="1"/>
  <c r="T1046" i="1"/>
  <c r="N1046" i="1"/>
  <c r="M1046" i="1"/>
  <c r="K1046" i="1"/>
  <c r="L1046" i="1" s="1"/>
  <c r="Z1045" i="1"/>
  <c r="W1045" i="1"/>
  <c r="T1045" i="1"/>
  <c r="N1045" i="1"/>
  <c r="M1045" i="1"/>
  <c r="K1045" i="1"/>
  <c r="L1045" i="1" s="1"/>
  <c r="Z1044" i="1"/>
  <c r="W1044" i="1"/>
  <c r="T1044" i="1"/>
  <c r="M1044" i="1"/>
  <c r="N1044" i="1" s="1"/>
  <c r="K1044" i="1"/>
  <c r="L1044" i="1" s="1"/>
  <c r="Z1043" i="1"/>
  <c r="W1043" i="1"/>
  <c r="T1043" i="1"/>
  <c r="M1043" i="1"/>
  <c r="N1043" i="1" s="1"/>
  <c r="K1043" i="1"/>
  <c r="L1043" i="1" s="1"/>
  <c r="Z1042" i="1"/>
  <c r="W1042" i="1"/>
  <c r="T1042" i="1"/>
  <c r="M1042" i="1"/>
  <c r="N1042" i="1" s="1"/>
  <c r="K1042" i="1"/>
  <c r="L1042" i="1" s="1"/>
  <c r="Z1041" i="1"/>
  <c r="W1041" i="1"/>
  <c r="T1041" i="1"/>
  <c r="N1041" i="1"/>
  <c r="M1041" i="1"/>
  <c r="L1041" i="1"/>
  <c r="K1041" i="1"/>
  <c r="Z1040" i="1"/>
  <c r="W1040" i="1"/>
  <c r="T1040" i="1"/>
  <c r="M1040" i="1"/>
  <c r="N1040" i="1" s="1"/>
  <c r="L1040" i="1"/>
  <c r="K1040" i="1"/>
  <c r="Z1039" i="1"/>
  <c r="W1039" i="1"/>
  <c r="T1039" i="1"/>
  <c r="N1039" i="1"/>
  <c r="M1039" i="1"/>
  <c r="L1039" i="1"/>
  <c r="K1039" i="1"/>
  <c r="Z1038" i="1"/>
  <c r="W1038" i="1"/>
  <c r="T1038" i="1"/>
  <c r="N1038" i="1"/>
  <c r="M1038" i="1"/>
  <c r="K1038" i="1"/>
  <c r="L1038" i="1" s="1"/>
  <c r="Z1037" i="1"/>
  <c r="W1037" i="1"/>
  <c r="T1037" i="1"/>
  <c r="N1037" i="1"/>
  <c r="M1037" i="1"/>
  <c r="L1037" i="1"/>
  <c r="K1037" i="1"/>
  <c r="Z1036" i="1"/>
  <c r="W1036" i="1"/>
  <c r="T1036" i="1"/>
  <c r="M1036" i="1"/>
  <c r="N1036" i="1" s="1"/>
  <c r="L1036" i="1"/>
  <c r="K1036" i="1"/>
  <c r="Z1035" i="1"/>
  <c r="W1035" i="1"/>
  <c r="T1035" i="1"/>
  <c r="N1035" i="1"/>
  <c r="M1035" i="1"/>
  <c r="K1035" i="1"/>
  <c r="L1035" i="1" s="1"/>
  <c r="Z1034" i="1"/>
  <c r="W1034" i="1"/>
  <c r="T1034" i="1"/>
  <c r="N1034" i="1"/>
  <c r="M1034" i="1"/>
  <c r="K1034" i="1"/>
  <c r="L1034" i="1" s="1"/>
  <c r="Z1033" i="1"/>
  <c r="W1033" i="1"/>
  <c r="T1033" i="1"/>
  <c r="N1033" i="1"/>
  <c r="M1033" i="1"/>
  <c r="K1033" i="1"/>
  <c r="L1033" i="1" s="1"/>
  <c r="Z1032" i="1"/>
  <c r="W1032" i="1"/>
  <c r="T1032" i="1"/>
  <c r="M1032" i="1"/>
  <c r="N1032" i="1" s="1"/>
  <c r="K1032" i="1"/>
  <c r="L1032" i="1" s="1"/>
  <c r="Z1031" i="1"/>
  <c r="W1031" i="1"/>
  <c r="T1031" i="1"/>
  <c r="N1031" i="1"/>
  <c r="M1031" i="1"/>
  <c r="K1031" i="1"/>
  <c r="L1031" i="1" s="1"/>
  <c r="Z1030" i="1"/>
  <c r="W1030" i="1"/>
  <c r="T1030" i="1"/>
  <c r="M1030" i="1"/>
  <c r="N1030" i="1" s="1"/>
  <c r="K1030" i="1"/>
  <c r="L1030" i="1" s="1"/>
  <c r="Z1029" i="1"/>
  <c r="W1029" i="1"/>
  <c r="T1029" i="1"/>
  <c r="N1029" i="1"/>
  <c r="M1029" i="1"/>
  <c r="L1029" i="1"/>
  <c r="K1029" i="1"/>
  <c r="Z1028" i="1"/>
  <c r="W1028" i="1"/>
  <c r="T1028" i="1"/>
  <c r="M1028" i="1"/>
  <c r="N1028" i="1" s="1"/>
  <c r="K1028" i="1"/>
  <c r="L1028" i="1" s="1"/>
  <c r="Z1027" i="1"/>
  <c r="W1027" i="1"/>
  <c r="T1027" i="1"/>
  <c r="N1027" i="1"/>
  <c r="M1027" i="1"/>
  <c r="L1027" i="1"/>
  <c r="K1027" i="1"/>
  <c r="Z1026" i="1"/>
  <c r="W1026" i="1"/>
  <c r="T1026" i="1"/>
  <c r="M1026" i="1"/>
  <c r="N1026" i="1" s="1"/>
  <c r="K1026" i="1"/>
  <c r="L1026" i="1" s="1"/>
  <c r="Z1025" i="1"/>
  <c r="W1025" i="1"/>
  <c r="T1025" i="1"/>
  <c r="N1025" i="1"/>
  <c r="M1025" i="1"/>
  <c r="L1025" i="1"/>
  <c r="K1025" i="1"/>
  <c r="Z1024" i="1"/>
  <c r="W1024" i="1"/>
  <c r="T1024" i="1"/>
  <c r="M1024" i="1"/>
  <c r="N1024" i="1" s="1"/>
  <c r="L1024" i="1"/>
  <c r="K1024" i="1"/>
  <c r="Z1023" i="1"/>
  <c r="W1023" i="1"/>
  <c r="T1023" i="1"/>
  <c r="N1023" i="1"/>
  <c r="M1023" i="1"/>
  <c r="L1023" i="1"/>
  <c r="K1023" i="1"/>
  <c r="Z1022" i="1"/>
  <c r="W1022" i="1"/>
  <c r="T1022" i="1"/>
  <c r="N1022" i="1"/>
  <c r="M1022" i="1"/>
  <c r="K1022" i="1"/>
  <c r="L1022" i="1" s="1"/>
  <c r="Z1021" i="1"/>
  <c r="W1021" i="1"/>
  <c r="T1021" i="1"/>
  <c r="M1021" i="1"/>
  <c r="N1021" i="1" s="1"/>
  <c r="K1021" i="1"/>
  <c r="L1021" i="1" s="1"/>
  <c r="Z1020" i="1"/>
  <c r="W1020" i="1"/>
  <c r="T1020" i="1"/>
  <c r="M1020" i="1"/>
  <c r="N1020" i="1" s="1"/>
  <c r="K1020" i="1"/>
  <c r="L1020" i="1" s="1"/>
  <c r="Z1019" i="1"/>
  <c r="W1019" i="1"/>
  <c r="T1019" i="1"/>
  <c r="M1019" i="1"/>
  <c r="N1019" i="1" s="1"/>
  <c r="K1019" i="1"/>
  <c r="L1019" i="1" s="1"/>
  <c r="Z1018" i="1"/>
  <c r="W1018" i="1"/>
  <c r="T1018" i="1"/>
  <c r="M1018" i="1"/>
  <c r="N1018" i="1" s="1"/>
  <c r="K1018" i="1"/>
  <c r="L1018" i="1" s="1"/>
  <c r="Z1017" i="1"/>
  <c r="W1017" i="1"/>
  <c r="T1017" i="1"/>
  <c r="N1017" i="1"/>
  <c r="M1017" i="1"/>
  <c r="L1017" i="1"/>
  <c r="K1017" i="1"/>
  <c r="Z1016" i="1"/>
  <c r="W1016" i="1"/>
  <c r="T1016" i="1"/>
  <c r="M1016" i="1"/>
  <c r="N1016" i="1" s="1"/>
  <c r="L1016" i="1"/>
  <c r="K1016" i="1"/>
  <c r="Z1015" i="1"/>
  <c r="W1015" i="1"/>
  <c r="T1015" i="1"/>
  <c r="N1015" i="1"/>
  <c r="M1015" i="1"/>
  <c r="L1015" i="1"/>
  <c r="K1015" i="1"/>
  <c r="Z1014" i="1"/>
  <c r="W1014" i="1"/>
  <c r="T1014" i="1"/>
  <c r="N1014" i="1"/>
  <c r="M1014" i="1"/>
  <c r="K1014" i="1"/>
  <c r="L1014" i="1" s="1"/>
  <c r="Z1013" i="1"/>
  <c r="W1013" i="1"/>
  <c r="T1013" i="1"/>
  <c r="N1013" i="1"/>
  <c r="M1013" i="1"/>
  <c r="L1013" i="1"/>
  <c r="K1013" i="1"/>
  <c r="Z1012" i="1"/>
  <c r="W1012" i="1"/>
  <c r="T1012" i="1"/>
  <c r="M1012" i="1"/>
  <c r="N1012" i="1" s="1"/>
  <c r="L1012" i="1"/>
  <c r="K1012" i="1"/>
  <c r="Z1011" i="1"/>
  <c r="W1011" i="1"/>
  <c r="T1011" i="1"/>
  <c r="N1011" i="1"/>
  <c r="M1011" i="1"/>
  <c r="K1011" i="1"/>
  <c r="L1011" i="1" s="1"/>
  <c r="Z1010" i="1"/>
  <c r="W1010" i="1"/>
  <c r="T1010" i="1"/>
  <c r="N1010" i="1"/>
  <c r="M1010" i="1"/>
  <c r="K1010" i="1"/>
  <c r="L1010" i="1" s="1"/>
  <c r="Z1009" i="1"/>
  <c r="W1009" i="1"/>
  <c r="T1009" i="1"/>
  <c r="N1009" i="1"/>
  <c r="M1009" i="1"/>
  <c r="L1009" i="1"/>
  <c r="K1009" i="1"/>
  <c r="Z1008" i="1"/>
  <c r="W1008" i="1"/>
  <c r="T1008" i="1"/>
  <c r="M1008" i="1"/>
  <c r="N1008" i="1" s="1"/>
  <c r="K1008" i="1"/>
  <c r="L1008" i="1" s="1"/>
  <c r="Z1007" i="1"/>
  <c r="W1007" i="1"/>
  <c r="T1007" i="1"/>
  <c r="N1007" i="1"/>
  <c r="M1007" i="1"/>
  <c r="L1007" i="1"/>
  <c r="K1007" i="1"/>
  <c r="Z1006" i="1"/>
  <c r="W1006" i="1"/>
  <c r="T1006" i="1"/>
  <c r="M1006" i="1"/>
  <c r="N1006" i="1" s="1"/>
  <c r="K1006" i="1"/>
  <c r="L1006" i="1" s="1"/>
  <c r="Z1005" i="1"/>
  <c r="W1005" i="1"/>
  <c r="T1005" i="1"/>
  <c r="N1005" i="1"/>
  <c r="M1005" i="1"/>
  <c r="L1005" i="1"/>
  <c r="K1005" i="1"/>
  <c r="Z1004" i="1"/>
  <c r="W1004" i="1"/>
  <c r="T1004" i="1"/>
  <c r="M1004" i="1"/>
  <c r="N1004" i="1" s="1"/>
  <c r="K1004" i="1"/>
  <c r="L1004" i="1" s="1"/>
  <c r="Z1003" i="1"/>
  <c r="W1003" i="1"/>
  <c r="T1003" i="1"/>
  <c r="N1003" i="1"/>
  <c r="M1003" i="1"/>
  <c r="L1003" i="1"/>
  <c r="K1003" i="1"/>
  <c r="Z1002" i="1"/>
  <c r="W1002" i="1"/>
  <c r="T1002" i="1"/>
  <c r="M1002" i="1"/>
  <c r="N1002" i="1" s="1"/>
  <c r="K1002" i="1"/>
  <c r="L1002" i="1" s="1"/>
  <c r="Z1001" i="1"/>
  <c r="W1001" i="1"/>
  <c r="T1001" i="1"/>
  <c r="N1001" i="1"/>
  <c r="M1001" i="1"/>
  <c r="L1001" i="1"/>
  <c r="K1001" i="1"/>
  <c r="Z1000" i="1"/>
  <c r="W1000" i="1"/>
  <c r="T1000" i="1"/>
  <c r="M1000" i="1"/>
  <c r="N1000" i="1" s="1"/>
  <c r="L1000" i="1"/>
  <c r="K1000" i="1"/>
  <c r="Z999" i="1"/>
  <c r="W999" i="1"/>
  <c r="T999" i="1"/>
  <c r="N999" i="1"/>
  <c r="M999" i="1"/>
  <c r="L999" i="1"/>
  <c r="K999" i="1"/>
  <c r="Z998" i="1"/>
  <c r="W998" i="1"/>
  <c r="T998" i="1"/>
  <c r="N998" i="1"/>
  <c r="M998" i="1"/>
  <c r="K998" i="1"/>
  <c r="L998" i="1" s="1"/>
  <c r="Z997" i="1"/>
  <c r="W997" i="1"/>
  <c r="T997" i="1"/>
  <c r="N997" i="1"/>
  <c r="M997" i="1"/>
  <c r="K997" i="1"/>
  <c r="L997" i="1" s="1"/>
  <c r="Z996" i="1"/>
  <c r="W996" i="1"/>
  <c r="T996" i="1"/>
  <c r="M996" i="1"/>
  <c r="N996" i="1" s="1"/>
  <c r="K996" i="1"/>
  <c r="L996" i="1" s="1"/>
  <c r="Z995" i="1"/>
  <c r="W995" i="1"/>
  <c r="T995" i="1"/>
  <c r="N995" i="1"/>
  <c r="M995" i="1"/>
  <c r="K995" i="1"/>
  <c r="L995" i="1" s="1"/>
  <c r="Z994" i="1"/>
  <c r="W994" i="1"/>
  <c r="T994" i="1"/>
  <c r="M994" i="1"/>
  <c r="N994" i="1" s="1"/>
  <c r="K994" i="1"/>
  <c r="L994" i="1" s="1"/>
  <c r="Z993" i="1"/>
  <c r="W993" i="1"/>
  <c r="T993" i="1"/>
  <c r="M993" i="1"/>
  <c r="N993" i="1" s="1"/>
  <c r="L993" i="1"/>
  <c r="K993" i="1"/>
  <c r="Z992" i="1"/>
  <c r="W992" i="1"/>
  <c r="T992" i="1"/>
  <c r="M992" i="1"/>
  <c r="N992" i="1" s="1"/>
  <c r="K992" i="1"/>
  <c r="L992" i="1" s="1"/>
  <c r="Z991" i="1"/>
  <c r="W991" i="1"/>
  <c r="T991" i="1"/>
  <c r="N991" i="1"/>
  <c r="M991" i="1"/>
  <c r="L991" i="1"/>
  <c r="K991" i="1"/>
  <c r="Z990" i="1"/>
  <c r="W990" i="1"/>
  <c r="T990" i="1"/>
  <c r="M990" i="1"/>
  <c r="N990" i="1" s="1"/>
  <c r="L990" i="1"/>
  <c r="K990" i="1"/>
  <c r="Z989" i="1"/>
  <c r="W989" i="1"/>
  <c r="T989" i="1"/>
  <c r="N989" i="1"/>
  <c r="M989" i="1"/>
  <c r="L989" i="1"/>
  <c r="K989" i="1"/>
  <c r="Z988" i="1"/>
  <c r="W988" i="1"/>
  <c r="T988" i="1"/>
  <c r="N988" i="1"/>
  <c r="M988" i="1"/>
  <c r="K988" i="1"/>
  <c r="L988" i="1" s="1"/>
  <c r="Z987" i="1"/>
  <c r="W987" i="1"/>
  <c r="T987" i="1"/>
  <c r="N987" i="1"/>
  <c r="M987" i="1"/>
  <c r="K987" i="1"/>
  <c r="L987" i="1" s="1"/>
  <c r="Z986" i="1"/>
  <c r="W986" i="1"/>
  <c r="T986" i="1"/>
  <c r="M986" i="1"/>
  <c r="N986" i="1" s="1"/>
  <c r="K986" i="1"/>
  <c r="L986" i="1" s="1"/>
  <c r="Z985" i="1"/>
  <c r="W985" i="1"/>
  <c r="T985" i="1"/>
  <c r="N985" i="1"/>
  <c r="M985" i="1"/>
  <c r="L985" i="1"/>
  <c r="K985" i="1"/>
  <c r="Z984" i="1"/>
  <c r="W984" i="1"/>
  <c r="T984" i="1"/>
  <c r="M984" i="1"/>
  <c r="N984" i="1" s="1"/>
  <c r="K984" i="1"/>
  <c r="L984" i="1" s="1"/>
  <c r="Z983" i="1"/>
  <c r="W983" i="1"/>
  <c r="T983" i="1"/>
  <c r="N983" i="1"/>
  <c r="M983" i="1"/>
  <c r="L983" i="1"/>
  <c r="K983" i="1"/>
  <c r="Z982" i="1"/>
  <c r="W982" i="1"/>
  <c r="T982" i="1"/>
  <c r="M982" i="1"/>
  <c r="N982" i="1" s="1"/>
  <c r="K982" i="1"/>
  <c r="L982" i="1" s="1"/>
  <c r="Z981" i="1"/>
  <c r="W981" i="1"/>
  <c r="T981" i="1"/>
  <c r="N981" i="1"/>
  <c r="M981" i="1"/>
  <c r="L981" i="1"/>
  <c r="K981" i="1"/>
  <c r="Z980" i="1"/>
  <c r="W980" i="1"/>
  <c r="T980" i="1"/>
  <c r="M980" i="1"/>
  <c r="N980" i="1" s="1"/>
  <c r="K980" i="1"/>
  <c r="L980" i="1" s="1"/>
  <c r="Z979" i="1"/>
  <c r="W979" i="1"/>
  <c r="T979" i="1"/>
  <c r="N979" i="1"/>
  <c r="M979" i="1"/>
  <c r="L979" i="1"/>
  <c r="K979" i="1"/>
  <c r="Z978" i="1"/>
  <c r="W978" i="1"/>
  <c r="T978" i="1"/>
  <c r="M978" i="1"/>
  <c r="N978" i="1" s="1"/>
  <c r="K978" i="1"/>
  <c r="L978" i="1" s="1"/>
  <c r="Z977" i="1"/>
  <c r="W977" i="1"/>
  <c r="T977" i="1"/>
  <c r="N977" i="1"/>
  <c r="M977" i="1"/>
  <c r="L977" i="1"/>
  <c r="K977" i="1"/>
  <c r="Z976" i="1"/>
  <c r="W976" i="1"/>
  <c r="T976" i="1"/>
  <c r="M976" i="1"/>
  <c r="N976" i="1" s="1"/>
  <c r="K976" i="1"/>
  <c r="L976" i="1" s="1"/>
  <c r="Z975" i="1"/>
  <c r="W975" i="1"/>
  <c r="T975" i="1"/>
  <c r="N975" i="1"/>
  <c r="M975" i="1"/>
  <c r="L975" i="1"/>
  <c r="K975" i="1"/>
  <c r="Z974" i="1"/>
  <c r="W974" i="1"/>
  <c r="T974" i="1"/>
  <c r="M974" i="1"/>
  <c r="N974" i="1" s="1"/>
  <c r="K974" i="1"/>
  <c r="L974" i="1" s="1"/>
  <c r="Z973" i="1"/>
  <c r="W973" i="1"/>
  <c r="T973" i="1"/>
  <c r="N973" i="1"/>
  <c r="M973" i="1"/>
  <c r="K973" i="1"/>
  <c r="L973" i="1" s="1"/>
  <c r="Z972" i="1"/>
  <c r="W972" i="1"/>
  <c r="T972" i="1"/>
  <c r="M972" i="1"/>
  <c r="N972" i="1" s="1"/>
  <c r="K972" i="1"/>
  <c r="L972" i="1" s="1"/>
  <c r="Z971" i="1"/>
  <c r="W971" i="1"/>
  <c r="T971" i="1"/>
  <c r="N971" i="1"/>
  <c r="M971" i="1"/>
  <c r="K971" i="1"/>
  <c r="L971" i="1" s="1"/>
  <c r="Z970" i="1"/>
  <c r="W970" i="1"/>
  <c r="T970" i="1"/>
  <c r="M970" i="1"/>
  <c r="N970" i="1" s="1"/>
  <c r="K970" i="1"/>
  <c r="L970" i="1" s="1"/>
  <c r="Z969" i="1"/>
  <c r="W969" i="1"/>
  <c r="T969" i="1"/>
  <c r="N969" i="1"/>
  <c r="M969" i="1"/>
  <c r="L969" i="1"/>
  <c r="K969" i="1"/>
  <c r="Z968" i="1"/>
  <c r="W968" i="1"/>
  <c r="T968" i="1"/>
  <c r="M968" i="1"/>
  <c r="N968" i="1" s="1"/>
  <c r="K968" i="1"/>
  <c r="L968" i="1" s="1"/>
  <c r="Z967" i="1"/>
  <c r="W967" i="1"/>
  <c r="T967" i="1"/>
  <c r="N967" i="1"/>
  <c r="M967" i="1"/>
  <c r="L967" i="1"/>
  <c r="K967" i="1"/>
  <c r="Z966" i="1"/>
  <c r="W966" i="1"/>
  <c r="T966" i="1"/>
  <c r="M966" i="1"/>
  <c r="N966" i="1" s="1"/>
  <c r="K966" i="1"/>
  <c r="L966" i="1" s="1"/>
  <c r="Z965" i="1"/>
  <c r="W965" i="1"/>
  <c r="T965" i="1"/>
  <c r="N965" i="1"/>
  <c r="M965" i="1"/>
  <c r="L965" i="1"/>
  <c r="K965" i="1"/>
  <c r="Z964" i="1"/>
  <c r="W964" i="1"/>
  <c r="T964" i="1"/>
  <c r="M964" i="1"/>
  <c r="N964" i="1" s="1"/>
  <c r="K964" i="1"/>
  <c r="L964" i="1" s="1"/>
  <c r="Z963" i="1"/>
  <c r="W963" i="1"/>
  <c r="T963" i="1"/>
  <c r="M963" i="1"/>
  <c r="N963" i="1" s="1"/>
  <c r="L963" i="1"/>
  <c r="K963" i="1"/>
  <c r="Z962" i="1"/>
  <c r="W962" i="1"/>
  <c r="T962" i="1"/>
  <c r="M962" i="1"/>
  <c r="N962" i="1" s="1"/>
  <c r="K962" i="1"/>
  <c r="L962" i="1" s="1"/>
  <c r="Z961" i="1"/>
  <c r="W961" i="1"/>
  <c r="T961" i="1"/>
  <c r="M961" i="1"/>
  <c r="N961" i="1" s="1"/>
  <c r="K961" i="1"/>
  <c r="L961" i="1" s="1"/>
  <c r="Z960" i="1"/>
  <c r="W960" i="1"/>
  <c r="T960" i="1"/>
  <c r="M960" i="1"/>
  <c r="N960" i="1" s="1"/>
  <c r="K960" i="1"/>
  <c r="L960" i="1" s="1"/>
  <c r="Z959" i="1"/>
  <c r="W959" i="1"/>
  <c r="T959" i="1"/>
  <c r="M959" i="1"/>
  <c r="N959" i="1" s="1"/>
  <c r="L959" i="1"/>
  <c r="K959" i="1"/>
  <c r="Z958" i="1"/>
  <c r="W958" i="1"/>
  <c r="T958" i="1"/>
  <c r="M958" i="1"/>
  <c r="N958" i="1" s="1"/>
  <c r="K958" i="1"/>
  <c r="L958" i="1" s="1"/>
  <c r="Z957" i="1"/>
  <c r="W957" i="1"/>
  <c r="T957" i="1"/>
  <c r="M957" i="1"/>
  <c r="N957" i="1" s="1"/>
  <c r="L957" i="1"/>
  <c r="K957" i="1"/>
  <c r="Z956" i="1"/>
  <c r="W956" i="1"/>
  <c r="T956" i="1"/>
  <c r="M956" i="1"/>
  <c r="N956" i="1" s="1"/>
  <c r="L956" i="1"/>
  <c r="K956" i="1"/>
  <c r="Z955" i="1"/>
  <c r="W955" i="1"/>
  <c r="T955" i="1"/>
  <c r="N955" i="1"/>
  <c r="M955" i="1"/>
  <c r="L955" i="1"/>
  <c r="K955" i="1"/>
  <c r="Z954" i="1"/>
  <c r="W954" i="1"/>
  <c r="T954" i="1"/>
  <c r="N954" i="1"/>
  <c r="M954" i="1"/>
  <c r="K954" i="1"/>
  <c r="L954" i="1" s="1"/>
  <c r="Z953" i="1"/>
  <c r="W953" i="1"/>
  <c r="T953" i="1"/>
  <c r="N953" i="1"/>
  <c r="M953" i="1"/>
  <c r="L953" i="1"/>
  <c r="K953" i="1"/>
  <c r="Z952" i="1"/>
  <c r="W952" i="1"/>
  <c r="T952" i="1"/>
  <c r="M952" i="1"/>
  <c r="N952" i="1" s="1"/>
  <c r="K952" i="1"/>
  <c r="L952" i="1" s="1"/>
  <c r="Z951" i="1"/>
  <c r="W951" i="1"/>
  <c r="T951" i="1"/>
  <c r="N951" i="1"/>
  <c r="M951" i="1"/>
  <c r="L951" i="1"/>
  <c r="K951" i="1"/>
  <c r="Z950" i="1"/>
  <c r="W950" i="1"/>
  <c r="T950" i="1"/>
  <c r="M950" i="1"/>
  <c r="N950" i="1" s="1"/>
  <c r="K950" i="1"/>
  <c r="L950" i="1" s="1"/>
  <c r="Z949" i="1"/>
  <c r="W949" i="1"/>
  <c r="T949" i="1"/>
  <c r="M949" i="1"/>
  <c r="N949" i="1" s="1"/>
  <c r="L949" i="1"/>
  <c r="K949" i="1"/>
  <c r="Z948" i="1"/>
  <c r="W948" i="1"/>
  <c r="T948" i="1"/>
  <c r="M948" i="1"/>
  <c r="N948" i="1" s="1"/>
  <c r="K948" i="1"/>
  <c r="L948" i="1" s="1"/>
  <c r="Z947" i="1"/>
  <c r="W947" i="1"/>
  <c r="T947" i="1"/>
  <c r="M947" i="1"/>
  <c r="N947" i="1" s="1"/>
  <c r="K947" i="1"/>
  <c r="L947" i="1" s="1"/>
  <c r="Z946" i="1"/>
  <c r="W946" i="1"/>
  <c r="T946" i="1"/>
  <c r="M946" i="1"/>
  <c r="N946" i="1" s="1"/>
  <c r="K946" i="1"/>
  <c r="L946" i="1" s="1"/>
  <c r="Z945" i="1"/>
  <c r="W945" i="1"/>
  <c r="T945" i="1"/>
  <c r="N945" i="1"/>
  <c r="M945" i="1"/>
  <c r="L945" i="1"/>
  <c r="K945" i="1"/>
  <c r="Z944" i="1"/>
  <c r="W944" i="1"/>
  <c r="T944" i="1"/>
  <c r="M944" i="1"/>
  <c r="N944" i="1" s="1"/>
  <c r="K944" i="1"/>
  <c r="L944" i="1" s="1"/>
  <c r="Z943" i="1"/>
  <c r="W943" i="1"/>
  <c r="T943" i="1"/>
  <c r="N943" i="1"/>
  <c r="M943" i="1"/>
  <c r="L943" i="1"/>
  <c r="K943" i="1"/>
  <c r="Z942" i="1"/>
  <c r="W942" i="1"/>
  <c r="T942" i="1"/>
  <c r="M942" i="1"/>
  <c r="N942" i="1" s="1"/>
  <c r="K942" i="1"/>
  <c r="L942" i="1" s="1"/>
  <c r="Z941" i="1"/>
  <c r="W941" i="1"/>
  <c r="T941" i="1"/>
  <c r="N941" i="1"/>
  <c r="M941" i="1"/>
  <c r="L941" i="1"/>
  <c r="K941" i="1"/>
  <c r="Z940" i="1"/>
  <c r="W940" i="1"/>
  <c r="T940" i="1"/>
  <c r="M940" i="1"/>
  <c r="N940" i="1" s="1"/>
  <c r="K940" i="1"/>
  <c r="L940" i="1" s="1"/>
  <c r="Z939" i="1"/>
  <c r="W939" i="1"/>
  <c r="T939" i="1"/>
  <c r="N939" i="1"/>
  <c r="M939" i="1"/>
  <c r="L939" i="1"/>
  <c r="K939" i="1"/>
  <c r="Z938" i="1"/>
  <c r="W938" i="1"/>
  <c r="T938" i="1"/>
  <c r="M938" i="1"/>
  <c r="N938" i="1" s="1"/>
  <c r="K938" i="1"/>
  <c r="L938" i="1" s="1"/>
  <c r="Z937" i="1"/>
  <c r="W937" i="1"/>
  <c r="T937" i="1"/>
  <c r="N937" i="1"/>
  <c r="M937" i="1"/>
  <c r="K937" i="1"/>
  <c r="L937" i="1" s="1"/>
  <c r="Z936" i="1"/>
  <c r="W936" i="1"/>
  <c r="T936" i="1"/>
  <c r="M936" i="1"/>
  <c r="N936" i="1" s="1"/>
  <c r="K936" i="1"/>
  <c r="L936" i="1" s="1"/>
  <c r="Z935" i="1"/>
  <c r="W935" i="1"/>
  <c r="T935" i="1"/>
  <c r="N935" i="1"/>
  <c r="M935" i="1"/>
  <c r="K935" i="1"/>
  <c r="L935" i="1" s="1"/>
  <c r="Z934" i="1"/>
  <c r="W934" i="1"/>
  <c r="T934" i="1"/>
  <c r="M934" i="1"/>
  <c r="N934" i="1" s="1"/>
  <c r="K934" i="1"/>
  <c r="L934" i="1" s="1"/>
  <c r="Z933" i="1"/>
  <c r="W933" i="1"/>
  <c r="T933" i="1"/>
  <c r="N933" i="1"/>
  <c r="M933" i="1"/>
  <c r="L933" i="1"/>
  <c r="K933" i="1"/>
  <c r="Z932" i="1"/>
  <c r="W932" i="1"/>
  <c r="T932" i="1"/>
  <c r="M932" i="1"/>
  <c r="N932" i="1" s="1"/>
  <c r="L932" i="1"/>
  <c r="K932" i="1"/>
  <c r="Z931" i="1"/>
  <c r="W931" i="1"/>
  <c r="T931" i="1"/>
  <c r="N931" i="1"/>
  <c r="M931" i="1"/>
  <c r="L931" i="1"/>
  <c r="K931" i="1"/>
  <c r="Z930" i="1"/>
  <c r="W930" i="1"/>
  <c r="T930" i="1"/>
  <c r="N930" i="1"/>
  <c r="M930" i="1"/>
  <c r="K930" i="1"/>
  <c r="L930" i="1" s="1"/>
  <c r="Z929" i="1"/>
  <c r="W929" i="1"/>
  <c r="T929" i="1"/>
  <c r="N929" i="1"/>
  <c r="M929" i="1"/>
  <c r="K929" i="1"/>
  <c r="L929" i="1" s="1"/>
  <c r="Z928" i="1"/>
  <c r="W928" i="1"/>
  <c r="T928" i="1"/>
  <c r="M928" i="1"/>
  <c r="N928" i="1" s="1"/>
  <c r="K928" i="1"/>
  <c r="L928" i="1" s="1"/>
  <c r="Z927" i="1"/>
  <c r="W927" i="1"/>
  <c r="T927" i="1"/>
  <c r="M927" i="1"/>
  <c r="N927" i="1" s="1"/>
  <c r="K927" i="1"/>
  <c r="L927" i="1" s="1"/>
  <c r="Z926" i="1"/>
  <c r="W926" i="1"/>
  <c r="T926" i="1"/>
  <c r="M926" i="1"/>
  <c r="N926" i="1" s="1"/>
  <c r="K926" i="1"/>
  <c r="L926" i="1" s="1"/>
  <c r="Z925" i="1"/>
  <c r="W925" i="1"/>
  <c r="T925" i="1"/>
  <c r="M925" i="1"/>
  <c r="N925" i="1" s="1"/>
  <c r="K925" i="1"/>
  <c r="L925" i="1" s="1"/>
  <c r="Z924" i="1"/>
  <c r="W924" i="1"/>
  <c r="T924" i="1"/>
  <c r="M924" i="1"/>
  <c r="N924" i="1" s="1"/>
  <c r="K924" i="1"/>
  <c r="L924" i="1" s="1"/>
  <c r="Z923" i="1"/>
  <c r="W923" i="1"/>
  <c r="T923" i="1"/>
  <c r="M923" i="1"/>
  <c r="N923" i="1" s="1"/>
  <c r="K923" i="1"/>
  <c r="L923" i="1" s="1"/>
  <c r="Z922" i="1"/>
  <c r="W922" i="1"/>
  <c r="T922" i="1"/>
  <c r="M922" i="1"/>
  <c r="N922" i="1" s="1"/>
  <c r="L922" i="1"/>
  <c r="K922" i="1"/>
  <c r="Z921" i="1"/>
  <c r="W921" i="1"/>
  <c r="T921" i="1"/>
  <c r="M921" i="1"/>
  <c r="N921" i="1" s="1"/>
  <c r="L921" i="1"/>
  <c r="K921" i="1"/>
  <c r="Z920" i="1"/>
  <c r="W920" i="1"/>
  <c r="T920" i="1"/>
  <c r="N920" i="1"/>
  <c r="M920" i="1"/>
  <c r="K920" i="1"/>
  <c r="L920" i="1" s="1"/>
  <c r="Z919" i="1"/>
  <c r="W919" i="1"/>
  <c r="T919" i="1"/>
  <c r="N919" i="1"/>
  <c r="M919" i="1"/>
  <c r="L919" i="1"/>
  <c r="K919" i="1"/>
  <c r="Z918" i="1"/>
  <c r="W918" i="1"/>
  <c r="T918" i="1"/>
  <c r="M918" i="1"/>
  <c r="N918" i="1" s="1"/>
  <c r="K918" i="1"/>
  <c r="L918" i="1" s="1"/>
  <c r="Z917" i="1"/>
  <c r="W917" i="1"/>
  <c r="T917" i="1"/>
  <c r="N917" i="1"/>
  <c r="M917" i="1"/>
  <c r="L917" i="1"/>
  <c r="K917" i="1"/>
  <c r="Z916" i="1"/>
  <c r="W916" i="1"/>
  <c r="T916" i="1"/>
  <c r="M916" i="1"/>
  <c r="N916" i="1" s="1"/>
  <c r="K916" i="1"/>
  <c r="L916" i="1" s="1"/>
  <c r="Z915" i="1"/>
  <c r="W915" i="1"/>
  <c r="T915" i="1"/>
  <c r="N915" i="1"/>
  <c r="M915" i="1"/>
  <c r="K915" i="1"/>
  <c r="L915" i="1" s="1"/>
  <c r="Z914" i="1"/>
  <c r="W914" i="1"/>
  <c r="T914" i="1"/>
  <c r="N914" i="1"/>
  <c r="M914" i="1"/>
  <c r="K914" i="1"/>
  <c r="L914" i="1" s="1"/>
  <c r="Z913" i="1"/>
  <c r="W913" i="1"/>
  <c r="T913" i="1"/>
  <c r="N913" i="1"/>
  <c r="M913" i="1"/>
  <c r="K913" i="1"/>
  <c r="L913" i="1" s="1"/>
  <c r="Z912" i="1"/>
  <c r="W912" i="1"/>
  <c r="T912" i="1"/>
  <c r="M912" i="1"/>
  <c r="N912" i="1" s="1"/>
  <c r="K912" i="1"/>
  <c r="L912" i="1" s="1"/>
  <c r="Z911" i="1"/>
  <c r="W911" i="1"/>
  <c r="T911" i="1"/>
  <c r="N911" i="1"/>
  <c r="M911" i="1"/>
  <c r="K911" i="1"/>
  <c r="L911" i="1" s="1"/>
  <c r="Z910" i="1"/>
  <c r="W910" i="1"/>
  <c r="T910" i="1"/>
  <c r="M910" i="1"/>
  <c r="N910" i="1" s="1"/>
  <c r="L910" i="1"/>
  <c r="K910" i="1"/>
  <c r="Z909" i="1"/>
  <c r="W909" i="1"/>
  <c r="T909" i="1"/>
  <c r="M909" i="1"/>
  <c r="N909" i="1" s="1"/>
  <c r="L909" i="1"/>
  <c r="K909" i="1"/>
  <c r="Z908" i="1"/>
  <c r="W908" i="1"/>
  <c r="T908" i="1"/>
  <c r="M908" i="1"/>
  <c r="N908" i="1" s="1"/>
  <c r="K908" i="1"/>
  <c r="L908" i="1" s="1"/>
  <c r="Z907" i="1"/>
  <c r="W907" i="1"/>
  <c r="T907" i="1"/>
  <c r="N907" i="1"/>
  <c r="M907" i="1"/>
  <c r="L907" i="1"/>
  <c r="K907" i="1"/>
  <c r="Z906" i="1"/>
  <c r="W906" i="1"/>
  <c r="T906" i="1"/>
  <c r="M906" i="1"/>
  <c r="N906" i="1" s="1"/>
  <c r="K906" i="1"/>
  <c r="L906" i="1" s="1"/>
  <c r="Z905" i="1"/>
  <c r="W905" i="1"/>
  <c r="T905" i="1"/>
  <c r="N905" i="1"/>
  <c r="M905" i="1"/>
  <c r="K905" i="1"/>
  <c r="L905" i="1" s="1"/>
  <c r="Z904" i="1"/>
  <c r="W904" i="1"/>
  <c r="T904" i="1"/>
  <c r="M904" i="1"/>
  <c r="N904" i="1" s="1"/>
  <c r="L904" i="1"/>
  <c r="K904" i="1"/>
  <c r="Z903" i="1"/>
  <c r="W903" i="1"/>
  <c r="T903" i="1"/>
  <c r="N903" i="1"/>
  <c r="M903" i="1"/>
  <c r="L903" i="1"/>
  <c r="K903" i="1"/>
  <c r="Z902" i="1"/>
  <c r="W902" i="1"/>
  <c r="T902" i="1"/>
  <c r="N902" i="1"/>
  <c r="M902" i="1"/>
  <c r="K902" i="1"/>
  <c r="L902" i="1" s="1"/>
  <c r="Z901" i="1"/>
  <c r="W901" i="1"/>
  <c r="T901" i="1"/>
  <c r="M901" i="1"/>
  <c r="N901" i="1" s="1"/>
  <c r="K901" i="1"/>
  <c r="L901" i="1" s="1"/>
  <c r="Z900" i="1"/>
  <c r="W900" i="1"/>
  <c r="T900" i="1"/>
  <c r="M900" i="1"/>
  <c r="N900" i="1" s="1"/>
  <c r="K900" i="1"/>
  <c r="L900" i="1" s="1"/>
  <c r="Z899" i="1"/>
  <c r="W899" i="1"/>
  <c r="T899" i="1"/>
  <c r="N899" i="1"/>
  <c r="M899" i="1"/>
  <c r="K899" i="1"/>
  <c r="L899" i="1" s="1"/>
  <c r="Z898" i="1"/>
  <c r="W898" i="1"/>
  <c r="T898" i="1"/>
  <c r="M898" i="1"/>
  <c r="N898" i="1" s="1"/>
  <c r="L898" i="1"/>
  <c r="K898" i="1"/>
  <c r="Z897" i="1"/>
  <c r="W897" i="1"/>
  <c r="T897" i="1"/>
  <c r="N897" i="1"/>
  <c r="M897" i="1"/>
  <c r="L897" i="1"/>
  <c r="K897" i="1"/>
  <c r="Z896" i="1"/>
  <c r="W896" i="1"/>
  <c r="T896" i="1"/>
  <c r="N896" i="1"/>
  <c r="M896" i="1"/>
  <c r="K896" i="1"/>
  <c r="L896" i="1" s="1"/>
  <c r="Z895" i="1"/>
  <c r="W895" i="1"/>
  <c r="T895" i="1"/>
  <c r="N895" i="1"/>
  <c r="M895" i="1"/>
  <c r="L895" i="1"/>
  <c r="K895" i="1"/>
  <c r="Z894" i="1"/>
  <c r="W894" i="1"/>
  <c r="T894" i="1"/>
  <c r="M894" i="1"/>
  <c r="N894" i="1" s="1"/>
  <c r="K894" i="1"/>
  <c r="L894" i="1" s="1"/>
  <c r="Z893" i="1"/>
  <c r="W893" i="1"/>
  <c r="T893" i="1"/>
  <c r="N893" i="1"/>
  <c r="M893" i="1"/>
  <c r="L893" i="1"/>
  <c r="K893" i="1"/>
  <c r="Z892" i="1"/>
  <c r="W892" i="1"/>
  <c r="T892" i="1"/>
  <c r="M892" i="1"/>
  <c r="N892" i="1" s="1"/>
  <c r="K892" i="1"/>
  <c r="L892" i="1" s="1"/>
  <c r="Z891" i="1"/>
  <c r="W891" i="1"/>
  <c r="T891" i="1"/>
  <c r="M891" i="1"/>
  <c r="N891" i="1" s="1"/>
  <c r="L891" i="1"/>
  <c r="K891" i="1"/>
  <c r="Z890" i="1"/>
  <c r="W890" i="1"/>
  <c r="T890" i="1"/>
  <c r="M890" i="1"/>
  <c r="N890" i="1" s="1"/>
  <c r="K890" i="1"/>
  <c r="L890" i="1" s="1"/>
  <c r="Z889" i="1"/>
  <c r="W889" i="1"/>
  <c r="T889" i="1"/>
  <c r="M889" i="1"/>
  <c r="N889" i="1" s="1"/>
  <c r="L889" i="1"/>
  <c r="K889" i="1"/>
  <c r="Z888" i="1"/>
  <c r="W888" i="1"/>
  <c r="T888" i="1"/>
  <c r="M888" i="1"/>
  <c r="N888" i="1" s="1"/>
  <c r="K888" i="1"/>
  <c r="L888" i="1" s="1"/>
  <c r="Z887" i="1"/>
  <c r="W887" i="1"/>
  <c r="T887" i="1"/>
  <c r="M887" i="1"/>
  <c r="N887" i="1" s="1"/>
  <c r="L887" i="1"/>
  <c r="K887" i="1"/>
  <c r="Z886" i="1"/>
  <c r="W886" i="1"/>
  <c r="T886" i="1"/>
  <c r="M886" i="1"/>
  <c r="N886" i="1" s="1"/>
  <c r="L886" i="1"/>
  <c r="K886" i="1"/>
  <c r="Z885" i="1"/>
  <c r="W885" i="1"/>
  <c r="T885" i="1"/>
  <c r="N885" i="1"/>
  <c r="M885" i="1"/>
  <c r="L885" i="1"/>
  <c r="K885" i="1"/>
  <c r="Z884" i="1"/>
  <c r="W884" i="1"/>
  <c r="T884" i="1"/>
  <c r="N884" i="1"/>
  <c r="M884" i="1"/>
  <c r="L884" i="1"/>
  <c r="K884" i="1"/>
  <c r="Z883" i="1"/>
  <c r="W883" i="1"/>
  <c r="T883" i="1"/>
  <c r="N883" i="1"/>
  <c r="M883" i="1"/>
  <c r="L883" i="1"/>
  <c r="K883" i="1"/>
  <c r="Z882" i="1"/>
  <c r="W882" i="1"/>
  <c r="T882" i="1"/>
  <c r="N882" i="1"/>
  <c r="M882" i="1"/>
  <c r="K882" i="1"/>
  <c r="L882" i="1" s="1"/>
  <c r="Z881" i="1"/>
  <c r="W881" i="1"/>
  <c r="T881" i="1"/>
  <c r="N881" i="1"/>
  <c r="M881" i="1"/>
  <c r="K881" i="1"/>
  <c r="L881" i="1" s="1"/>
  <c r="Z880" i="1"/>
  <c r="W880" i="1"/>
  <c r="T880" i="1"/>
  <c r="M880" i="1"/>
  <c r="N880" i="1" s="1"/>
  <c r="L880" i="1"/>
  <c r="K880" i="1"/>
  <c r="Z879" i="1"/>
  <c r="W879" i="1"/>
  <c r="T879" i="1"/>
  <c r="N879" i="1"/>
  <c r="M879" i="1"/>
  <c r="K879" i="1"/>
  <c r="L879" i="1" s="1"/>
  <c r="Z878" i="1"/>
  <c r="W878" i="1"/>
  <c r="T878" i="1"/>
  <c r="N878" i="1"/>
  <c r="M878" i="1"/>
  <c r="K878" i="1"/>
  <c r="L878" i="1" s="1"/>
  <c r="Z877" i="1"/>
  <c r="W877" i="1"/>
  <c r="T877" i="1"/>
  <c r="M877" i="1"/>
  <c r="N877" i="1" s="1"/>
  <c r="K877" i="1"/>
  <c r="L877" i="1" s="1"/>
  <c r="Z876" i="1"/>
  <c r="W876" i="1"/>
  <c r="T876" i="1"/>
  <c r="M876" i="1"/>
  <c r="N876" i="1" s="1"/>
  <c r="K876" i="1"/>
  <c r="L876" i="1" s="1"/>
  <c r="Z875" i="1"/>
  <c r="W875" i="1"/>
  <c r="T875" i="1"/>
  <c r="M875" i="1"/>
  <c r="N875" i="1" s="1"/>
  <c r="K875" i="1"/>
  <c r="L875" i="1" s="1"/>
  <c r="Z874" i="1"/>
  <c r="W874" i="1"/>
  <c r="T874" i="1"/>
  <c r="M874" i="1"/>
  <c r="N874" i="1" s="1"/>
  <c r="K874" i="1"/>
  <c r="L874" i="1" s="1"/>
  <c r="Z873" i="1"/>
  <c r="W873" i="1"/>
  <c r="T873" i="1"/>
  <c r="M873" i="1"/>
  <c r="N873" i="1" s="1"/>
  <c r="L873" i="1"/>
  <c r="K873" i="1"/>
  <c r="Z872" i="1"/>
  <c r="W872" i="1"/>
  <c r="T872" i="1"/>
  <c r="M872" i="1"/>
  <c r="N872" i="1" s="1"/>
  <c r="K872" i="1"/>
  <c r="L872" i="1" s="1"/>
  <c r="Z871" i="1"/>
  <c r="W871" i="1"/>
  <c r="T871" i="1"/>
  <c r="N871" i="1"/>
  <c r="M871" i="1"/>
  <c r="L871" i="1"/>
  <c r="K871" i="1"/>
  <c r="Z870" i="1"/>
  <c r="W870" i="1"/>
  <c r="T870" i="1"/>
  <c r="M870" i="1"/>
  <c r="N870" i="1" s="1"/>
  <c r="K870" i="1"/>
  <c r="L870" i="1" s="1"/>
  <c r="Z869" i="1"/>
  <c r="W869" i="1"/>
  <c r="T869" i="1"/>
  <c r="N869" i="1"/>
  <c r="M869" i="1"/>
  <c r="L869" i="1"/>
  <c r="K869" i="1"/>
  <c r="Z868" i="1"/>
  <c r="W868" i="1"/>
  <c r="T868" i="1"/>
  <c r="M868" i="1"/>
  <c r="N868" i="1" s="1"/>
  <c r="L868" i="1"/>
  <c r="K868" i="1"/>
  <c r="Z867" i="1"/>
  <c r="W867" i="1"/>
  <c r="T867" i="1"/>
  <c r="N867" i="1"/>
  <c r="M867" i="1"/>
  <c r="L867" i="1"/>
  <c r="K867" i="1"/>
  <c r="Z866" i="1"/>
  <c r="W866" i="1"/>
  <c r="T866" i="1"/>
  <c r="N866" i="1"/>
  <c r="M866" i="1"/>
  <c r="K866" i="1"/>
  <c r="L866" i="1" s="1"/>
  <c r="Z865" i="1"/>
  <c r="W865" i="1"/>
  <c r="T865" i="1"/>
  <c r="N865" i="1"/>
  <c r="M865" i="1"/>
  <c r="K865" i="1"/>
  <c r="L865" i="1" s="1"/>
  <c r="Z864" i="1"/>
  <c r="W864" i="1"/>
  <c r="T864" i="1"/>
  <c r="M864" i="1"/>
  <c r="N864" i="1" s="1"/>
  <c r="K864" i="1"/>
  <c r="L864" i="1" s="1"/>
  <c r="Z863" i="1"/>
  <c r="W863" i="1"/>
  <c r="T863" i="1"/>
  <c r="N863" i="1"/>
  <c r="M863" i="1"/>
  <c r="K863" i="1"/>
  <c r="L863" i="1" s="1"/>
  <c r="Z862" i="1"/>
  <c r="W862" i="1"/>
  <c r="T862" i="1"/>
  <c r="M862" i="1"/>
  <c r="N862" i="1" s="1"/>
  <c r="L862" i="1"/>
  <c r="K862" i="1"/>
  <c r="Z861" i="1"/>
  <c r="W861" i="1"/>
  <c r="T861" i="1"/>
  <c r="N861" i="1"/>
  <c r="M861" i="1"/>
  <c r="L861" i="1"/>
  <c r="K861" i="1"/>
  <c r="Z860" i="1"/>
  <c r="W860" i="1"/>
  <c r="T860" i="1"/>
  <c r="N860" i="1"/>
  <c r="M860" i="1"/>
  <c r="K860" i="1"/>
  <c r="L860" i="1" s="1"/>
  <c r="Z859" i="1"/>
  <c r="W859" i="1"/>
  <c r="T859" i="1"/>
  <c r="N859" i="1"/>
  <c r="M859" i="1"/>
  <c r="L859" i="1"/>
  <c r="K859" i="1"/>
  <c r="Z858" i="1"/>
  <c r="W858" i="1"/>
  <c r="T858" i="1"/>
  <c r="M858" i="1"/>
  <c r="N858" i="1" s="1"/>
  <c r="K858" i="1"/>
  <c r="L858" i="1" s="1"/>
  <c r="Z857" i="1"/>
  <c r="W857" i="1"/>
  <c r="T857" i="1"/>
  <c r="N857" i="1"/>
  <c r="M857" i="1"/>
  <c r="K857" i="1"/>
  <c r="L857" i="1" s="1"/>
  <c r="Z856" i="1"/>
  <c r="W856" i="1"/>
  <c r="T856" i="1"/>
  <c r="M856" i="1"/>
  <c r="N856" i="1" s="1"/>
  <c r="K856" i="1"/>
  <c r="L856" i="1" s="1"/>
  <c r="Z855" i="1"/>
  <c r="W855" i="1"/>
  <c r="T855" i="1"/>
  <c r="M855" i="1"/>
  <c r="N855" i="1" s="1"/>
  <c r="L855" i="1"/>
  <c r="K855" i="1"/>
  <c r="Z854" i="1"/>
  <c r="W854" i="1"/>
  <c r="T854" i="1"/>
  <c r="N854" i="1"/>
  <c r="M854" i="1"/>
  <c r="K854" i="1"/>
  <c r="L854" i="1" s="1"/>
  <c r="Z853" i="1"/>
  <c r="W853" i="1"/>
  <c r="T853" i="1"/>
  <c r="N853" i="1"/>
  <c r="M853" i="1"/>
  <c r="K853" i="1"/>
  <c r="L853" i="1" s="1"/>
  <c r="Z852" i="1"/>
  <c r="W852" i="1"/>
  <c r="T852" i="1"/>
  <c r="M852" i="1"/>
  <c r="N852" i="1" s="1"/>
  <c r="K852" i="1"/>
  <c r="L852" i="1" s="1"/>
  <c r="Z851" i="1"/>
  <c r="W851" i="1"/>
  <c r="T851" i="1"/>
  <c r="N851" i="1"/>
  <c r="M851" i="1"/>
  <c r="K851" i="1"/>
  <c r="L851" i="1" s="1"/>
  <c r="Z850" i="1"/>
  <c r="W850" i="1"/>
  <c r="T850" i="1"/>
  <c r="M850" i="1"/>
  <c r="N850" i="1" s="1"/>
  <c r="K850" i="1"/>
  <c r="L850" i="1" s="1"/>
  <c r="Z849" i="1"/>
  <c r="W849" i="1"/>
  <c r="T849" i="1"/>
  <c r="N849" i="1"/>
  <c r="M849" i="1"/>
  <c r="L849" i="1"/>
  <c r="K849" i="1"/>
  <c r="Z848" i="1"/>
  <c r="W848" i="1"/>
  <c r="T848" i="1"/>
  <c r="M848" i="1"/>
  <c r="N848" i="1" s="1"/>
  <c r="L848" i="1"/>
  <c r="K848" i="1"/>
  <c r="Z847" i="1"/>
  <c r="W847" i="1"/>
  <c r="T847" i="1"/>
  <c r="N847" i="1"/>
  <c r="M847" i="1"/>
  <c r="L847" i="1"/>
  <c r="K847" i="1"/>
  <c r="Z846" i="1"/>
  <c r="W846" i="1"/>
  <c r="T846" i="1"/>
  <c r="N846" i="1"/>
  <c r="M846" i="1"/>
  <c r="K846" i="1"/>
  <c r="L846" i="1" s="1"/>
  <c r="Z845" i="1"/>
  <c r="W845" i="1"/>
  <c r="T845" i="1"/>
  <c r="N845" i="1"/>
  <c r="M845" i="1"/>
  <c r="L845" i="1"/>
  <c r="K845" i="1"/>
  <c r="Z844" i="1"/>
  <c r="W844" i="1"/>
  <c r="T844" i="1"/>
  <c r="M844" i="1"/>
  <c r="N844" i="1" s="1"/>
  <c r="L844" i="1"/>
  <c r="K844" i="1"/>
  <c r="Z843" i="1"/>
  <c r="W843" i="1"/>
  <c r="T843" i="1"/>
  <c r="N843" i="1"/>
  <c r="M843" i="1"/>
  <c r="K843" i="1"/>
  <c r="L843" i="1" s="1"/>
  <c r="Z842" i="1"/>
  <c r="W842" i="1"/>
  <c r="T842" i="1"/>
  <c r="N842" i="1"/>
  <c r="M842" i="1"/>
  <c r="K842" i="1"/>
  <c r="L842" i="1" s="1"/>
  <c r="Z841" i="1"/>
  <c r="W841" i="1"/>
  <c r="T841" i="1"/>
  <c r="M841" i="1"/>
  <c r="N841" i="1" s="1"/>
  <c r="L841" i="1"/>
  <c r="K841" i="1"/>
  <c r="Z840" i="1"/>
  <c r="W840" i="1"/>
  <c r="T840" i="1"/>
  <c r="M840" i="1"/>
  <c r="N840" i="1" s="1"/>
  <c r="K840" i="1"/>
  <c r="L840" i="1" s="1"/>
  <c r="Z839" i="1"/>
  <c r="W839" i="1"/>
  <c r="T839" i="1"/>
  <c r="M839" i="1"/>
  <c r="N839" i="1" s="1"/>
  <c r="L839" i="1"/>
  <c r="K839" i="1"/>
  <c r="Z838" i="1"/>
  <c r="W838" i="1"/>
  <c r="T838" i="1"/>
  <c r="M838" i="1"/>
  <c r="N838" i="1" s="1"/>
  <c r="L838" i="1"/>
  <c r="K838" i="1"/>
  <c r="Z837" i="1"/>
  <c r="W837" i="1"/>
  <c r="T837" i="1"/>
  <c r="M837" i="1"/>
  <c r="N837" i="1" s="1"/>
  <c r="L837" i="1"/>
  <c r="K837" i="1"/>
  <c r="Z836" i="1"/>
  <c r="W836" i="1"/>
  <c r="T836" i="1"/>
  <c r="N836" i="1"/>
  <c r="M836" i="1"/>
  <c r="L836" i="1"/>
  <c r="K836" i="1"/>
  <c r="Z835" i="1"/>
  <c r="W835" i="1"/>
  <c r="T835" i="1"/>
  <c r="N835" i="1"/>
  <c r="M835" i="1"/>
  <c r="L835" i="1"/>
  <c r="K835" i="1"/>
  <c r="Z834" i="1"/>
  <c r="W834" i="1"/>
  <c r="T834" i="1"/>
  <c r="N834" i="1"/>
  <c r="M834" i="1"/>
  <c r="K834" i="1"/>
  <c r="L834" i="1" s="1"/>
  <c r="Z833" i="1"/>
  <c r="W833" i="1"/>
  <c r="T833" i="1"/>
  <c r="N833" i="1"/>
  <c r="M833" i="1"/>
  <c r="K833" i="1"/>
  <c r="L833" i="1" s="1"/>
  <c r="Z832" i="1"/>
  <c r="W832" i="1"/>
  <c r="T832" i="1"/>
  <c r="M832" i="1"/>
  <c r="N832" i="1" s="1"/>
  <c r="L832" i="1"/>
  <c r="K832" i="1"/>
  <c r="Z831" i="1"/>
  <c r="W831" i="1"/>
  <c r="T831" i="1"/>
  <c r="N831" i="1"/>
  <c r="M831" i="1"/>
  <c r="K831" i="1"/>
  <c r="L831" i="1" s="1"/>
  <c r="Z830" i="1"/>
  <c r="W830" i="1"/>
  <c r="T830" i="1"/>
  <c r="N830" i="1"/>
  <c r="M830" i="1"/>
  <c r="K830" i="1"/>
  <c r="L830" i="1" s="1"/>
  <c r="Z829" i="1"/>
  <c r="W829" i="1"/>
  <c r="T829" i="1"/>
  <c r="N829" i="1"/>
  <c r="M829" i="1"/>
  <c r="L829" i="1"/>
  <c r="K829" i="1"/>
  <c r="Z828" i="1"/>
  <c r="W828" i="1"/>
  <c r="T828" i="1"/>
  <c r="M828" i="1"/>
  <c r="N828" i="1" s="1"/>
  <c r="K828" i="1"/>
  <c r="L828" i="1" s="1"/>
  <c r="Z827" i="1"/>
  <c r="W827" i="1"/>
  <c r="T827" i="1"/>
  <c r="N827" i="1"/>
  <c r="M827" i="1"/>
  <c r="L827" i="1"/>
  <c r="K827" i="1"/>
  <c r="Z826" i="1"/>
  <c r="W826" i="1"/>
  <c r="T826" i="1"/>
  <c r="M826" i="1"/>
  <c r="N826" i="1" s="1"/>
  <c r="K826" i="1"/>
  <c r="L826" i="1" s="1"/>
  <c r="Z825" i="1"/>
  <c r="W825" i="1"/>
  <c r="T825" i="1"/>
  <c r="M825" i="1"/>
  <c r="N825" i="1" s="1"/>
  <c r="L825" i="1"/>
  <c r="K825" i="1"/>
  <c r="Z824" i="1"/>
  <c r="W824" i="1"/>
  <c r="T824" i="1"/>
  <c r="M824" i="1"/>
  <c r="N824" i="1" s="1"/>
  <c r="K824" i="1"/>
  <c r="L824" i="1" s="1"/>
  <c r="Z823" i="1"/>
  <c r="W823" i="1"/>
  <c r="T823" i="1"/>
  <c r="N823" i="1"/>
  <c r="M823" i="1"/>
  <c r="L823" i="1"/>
  <c r="K823" i="1"/>
  <c r="Z822" i="1"/>
  <c r="W822" i="1"/>
  <c r="T822" i="1"/>
  <c r="M822" i="1"/>
  <c r="N822" i="1" s="1"/>
  <c r="L822" i="1"/>
  <c r="K822" i="1"/>
  <c r="Z821" i="1"/>
  <c r="W821" i="1"/>
  <c r="T821" i="1"/>
  <c r="N821" i="1"/>
  <c r="M821" i="1"/>
  <c r="K821" i="1"/>
  <c r="L821" i="1" s="1"/>
  <c r="Z820" i="1"/>
  <c r="W820" i="1"/>
  <c r="T820" i="1"/>
  <c r="N820" i="1"/>
  <c r="M820" i="1"/>
  <c r="L820" i="1"/>
  <c r="K820" i="1"/>
  <c r="Z819" i="1"/>
  <c r="W819" i="1"/>
  <c r="T819" i="1"/>
  <c r="M819" i="1"/>
  <c r="N819" i="1" s="1"/>
  <c r="L819" i="1"/>
  <c r="K819" i="1"/>
  <c r="Z818" i="1"/>
  <c r="W818" i="1"/>
  <c r="T818" i="1"/>
  <c r="N818" i="1"/>
  <c r="M818" i="1"/>
  <c r="K818" i="1"/>
  <c r="L818" i="1" s="1"/>
  <c r="Z817" i="1"/>
  <c r="W817" i="1"/>
  <c r="T817" i="1"/>
  <c r="N817" i="1"/>
  <c r="M817" i="1"/>
  <c r="K817" i="1"/>
  <c r="L817" i="1" s="1"/>
  <c r="Z816" i="1"/>
  <c r="W816" i="1"/>
  <c r="T816" i="1"/>
  <c r="M816" i="1"/>
  <c r="N816" i="1" s="1"/>
  <c r="K816" i="1"/>
  <c r="L816" i="1" s="1"/>
  <c r="Z815" i="1"/>
  <c r="W815" i="1"/>
  <c r="T815" i="1"/>
  <c r="N815" i="1"/>
  <c r="M815" i="1"/>
  <c r="K815" i="1"/>
  <c r="L815" i="1" s="1"/>
  <c r="Z814" i="1"/>
  <c r="W814" i="1"/>
  <c r="T814" i="1"/>
  <c r="M814" i="1"/>
  <c r="N814" i="1" s="1"/>
  <c r="K814" i="1"/>
  <c r="L814" i="1" s="1"/>
  <c r="Z813" i="1"/>
  <c r="W813" i="1"/>
  <c r="T813" i="1"/>
  <c r="N813" i="1"/>
  <c r="M813" i="1"/>
  <c r="L813" i="1"/>
  <c r="K813" i="1"/>
  <c r="Z812" i="1"/>
  <c r="W812" i="1"/>
  <c r="T812" i="1"/>
  <c r="M812" i="1"/>
  <c r="N812" i="1" s="1"/>
  <c r="L812" i="1"/>
  <c r="K812" i="1"/>
  <c r="Z811" i="1"/>
  <c r="W811" i="1"/>
  <c r="T811" i="1"/>
  <c r="N811" i="1"/>
  <c r="M811" i="1"/>
  <c r="L811" i="1"/>
  <c r="K811" i="1"/>
  <c r="Z810" i="1"/>
  <c r="W810" i="1"/>
  <c r="T810" i="1"/>
  <c r="N810" i="1"/>
  <c r="M810" i="1"/>
  <c r="L810" i="1"/>
  <c r="K810" i="1"/>
  <c r="Z809" i="1"/>
  <c r="W809" i="1"/>
  <c r="T809" i="1"/>
  <c r="N809" i="1"/>
  <c r="M809" i="1"/>
  <c r="L809" i="1"/>
  <c r="K809" i="1"/>
  <c r="Z808" i="1"/>
  <c r="W808" i="1"/>
  <c r="T808" i="1"/>
  <c r="N808" i="1"/>
  <c r="M808" i="1"/>
  <c r="L808" i="1"/>
  <c r="K808" i="1"/>
  <c r="Z807" i="1"/>
  <c r="W807" i="1"/>
  <c r="T807" i="1"/>
  <c r="N807" i="1"/>
  <c r="M807" i="1"/>
  <c r="K807" i="1"/>
  <c r="L807" i="1" s="1"/>
  <c r="Z806" i="1"/>
  <c r="W806" i="1"/>
  <c r="T806" i="1"/>
  <c r="M806" i="1"/>
  <c r="N806" i="1" s="1"/>
  <c r="K806" i="1"/>
  <c r="L806" i="1" s="1"/>
  <c r="Z805" i="1"/>
  <c r="W805" i="1"/>
  <c r="T805" i="1"/>
  <c r="M805" i="1"/>
  <c r="N805" i="1" s="1"/>
  <c r="L805" i="1"/>
  <c r="K805" i="1"/>
  <c r="Z804" i="1"/>
  <c r="W804" i="1"/>
  <c r="T804" i="1"/>
  <c r="M804" i="1"/>
  <c r="N804" i="1" s="1"/>
  <c r="K804" i="1"/>
  <c r="L804" i="1" s="1"/>
  <c r="Z803" i="1"/>
  <c r="W803" i="1"/>
  <c r="T803" i="1"/>
  <c r="M803" i="1"/>
  <c r="N803" i="1" s="1"/>
  <c r="L803" i="1"/>
  <c r="K803" i="1"/>
  <c r="Z802" i="1"/>
  <c r="W802" i="1"/>
  <c r="T802" i="1"/>
  <c r="M802" i="1"/>
  <c r="N802" i="1" s="1"/>
  <c r="L802" i="1"/>
  <c r="K802" i="1"/>
  <c r="Z801" i="1"/>
  <c r="W801" i="1"/>
  <c r="T801" i="1"/>
  <c r="N801" i="1"/>
  <c r="M801" i="1"/>
  <c r="L801" i="1"/>
  <c r="K801" i="1"/>
  <c r="Z800" i="1"/>
  <c r="W800" i="1"/>
  <c r="T800" i="1"/>
  <c r="N800" i="1"/>
  <c r="M800" i="1"/>
  <c r="L800" i="1"/>
  <c r="K800" i="1"/>
  <c r="Z799" i="1"/>
  <c r="W799" i="1"/>
  <c r="T799" i="1"/>
  <c r="N799" i="1"/>
  <c r="M799" i="1"/>
  <c r="L799" i="1"/>
  <c r="K799" i="1"/>
  <c r="Z798" i="1"/>
  <c r="W798" i="1"/>
  <c r="T798" i="1"/>
  <c r="N798" i="1"/>
  <c r="M798" i="1"/>
  <c r="K798" i="1"/>
  <c r="L798" i="1" s="1"/>
  <c r="Z797" i="1"/>
  <c r="W797" i="1"/>
  <c r="T797" i="1"/>
  <c r="N797" i="1"/>
  <c r="M797" i="1"/>
  <c r="K797" i="1"/>
  <c r="L797" i="1" s="1"/>
  <c r="Z796" i="1"/>
  <c r="W796" i="1"/>
  <c r="T796" i="1"/>
  <c r="M796" i="1"/>
  <c r="N796" i="1" s="1"/>
  <c r="L796" i="1"/>
  <c r="K796" i="1"/>
  <c r="Z795" i="1"/>
  <c r="W795" i="1"/>
  <c r="T795" i="1"/>
  <c r="M795" i="1"/>
  <c r="N795" i="1" s="1"/>
  <c r="K795" i="1"/>
  <c r="L795" i="1" s="1"/>
  <c r="Z794" i="1"/>
  <c r="W794" i="1"/>
  <c r="T794" i="1"/>
  <c r="N794" i="1"/>
  <c r="M794" i="1"/>
  <c r="K794" i="1"/>
  <c r="L794" i="1" s="1"/>
  <c r="Z793" i="1"/>
  <c r="W793" i="1"/>
  <c r="T793" i="1"/>
  <c r="N793" i="1"/>
  <c r="M793" i="1"/>
  <c r="L793" i="1"/>
  <c r="K793" i="1"/>
  <c r="Z792" i="1"/>
  <c r="W792" i="1"/>
  <c r="T792" i="1"/>
  <c r="M792" i="1"/>
  <c r="N792" i="1" s="1"/>
  <c r="K792" i="1"/>
  <c r="L792" i="1" s="1"/>
  <c r="Z791" i="1"/>
  <c r="W791" i="1"/>
  <c r="T791" i="1"/>
  <c r="N791" i="1"/>
  <c r="M791" i="1"/>
  <c r="L791" i="1"/>
  <c r="K791" i="1"/>
  <c r="Z790" i="1"/>
  <c r="W790" i="1"/>
  <c r="T790" i="1"/>
  <c r="M790" i="1"/>
  <c r="N790" i="1" s="1"/>
  <c r="K790" i="1"/>
  <c r="L790" i="1" s="1"/>
  <c r="Z789" i="1"/>
  <c r="W789" i="1"/>
  <c r="T789" i="1"/>
  <c r="M789" i="1"/>
  <c r="N789" i="1" s="1"/>
  <c r="L789" i="1"/>
  <c r="K789" i="1"/>
  <c r="Z788" i="1"/>
  <c r="W788" i="1"/>
  <c r="T788" i="1"/>
  <c r="M788" i="1"/>
  <c r="N788" i="1" s="1"/>
  <c r="K788" i="1"/>
  <c r="L788" i="1" s="1"/>
  <c r="Z787" i="1"/>
  <c r="W787" i="1"/>
  <c r="T787" i="1"/>
  <c r="N787" i="1"/>
  <c r="M787" i="1"/>
  <c r="L787" i="1"/>
  <c r="K787" i="1"/>
  <c r="Z786" i="1"/>
  <c r="W786" i="1"/>
  <c r="T786" i="1"/>
  <c r="M786" i="1"/>
  <c r="N786" i="1" s="1"/>
  <c r="L786" i="1"/>
  <c r="K786" i="1"/>
  <c r="Z785" i="1"/>
  <c r="W785" i="1"/>
  <c r="T785" i="1"/>
  <c r="N785" i="1"/>
  <c r="M785" i="1"/>
  <c r="K785" i="1"/>
  <c r="L785" i="1" s="1"/>
  <c r="Z784" i="1"/>
  <c r="W784" i="1"/>
  <c r="T784" i="1"/>
  <c r="N784" i="1"/>
  <c r="M784" i="1"/>
  <c r="L784" i="1"/>
  <c r="K784" i="1"/>
  <c r="Z783" i="1"/>
  <c r="W783" i="1"/>
  <c r="T783" i="1"/>
  <c r="M783" i="1"/>
  <c r="N783" i="1" s="1"/>
  <c r="K783" i="1"/>
  <c r="L783" i="1" s="1"/>
  <c r="Z782" i="1"/>
  <c r="W782" i="1"/>
  <c r="T782" i="1"/>
  <c r="N782" i="1"/>
  <c r="M782" i="1"/>
  <c r="K782" i="1"/>
  <c r="L782" i="1" s="1"/>
  <c r="Z781" i="1"/>
  <c r="W781" i="1"/>
  <c r="T781" i="1"/>
  <c r="N781" i="1"/>
  <c r="M781" i="1"/>
  <c r="K781" i="1"/>
  <c r="L781" i="1" s="1"/>
  <c r="Z780" i="1"/>
  <c r="W780" i="1"/>
  <c r="T780" i="1"/>
  <c r="M780" i="1"/>
  <c r="N780" i="1" s="1"/>
  <c r="K780" i="1"/>
  <c r="L780" i="1" s="1"/>
  <c r="Z779" i="1"/>
  <c r="W779" i="1"/>
  <c r="T779" i="1"/>
  <c r="N779" i="1"/>
  <c r="M779" i="1"/>
  <c r="K779" i="1"/>
  <c r="L779" i="1" s="1"/>
  <c r="Z778" i="1"/>
  <c r="W778" i="1"/>
  <c r="T778" i="1"/>
  <c r="M778" i="1"/>
  <c r="N778" i="1" s="1"/>
  <c r="K778" i="1"/>
  <c r="L778" i="1" s="1"/>
  <c r="Z777" i="1"/>
  <c r="W777" i="1"/>
  <c r="T777" i="1"/>
  <c r="N777" i="1"/>
  <c r="M777" i="1"/>
  <c r="L777" i="1"/>
  <c r="K777" i="1"/>
  <c r="Z776" i="1"/>
  <c r="W776" i="1"/>
  <c r="T776" i="1"/>
  <c r="M776" i="1"/>
  <c r="N776" i="1" s="1"/>
  <c r="L776" i="1"/>
  <c r="K776" i="1"/>
  <c r="Z775" i="1"/>
  <c r="W775" i="1"/>
  <c r="T775" i="1"/>
  <c r="N775" i="1"/>
  <c r="M775" i="1"/>
  <c r="L775" i="1"/>
  <c r="K775" i="1"/>
  <c r="Z774" i="1"/>
  <c r="W774" i="1"/>
  <c r="T774" i="1"/>
  <c r="N774" i="1"/>
  <c r="M774" i="1"/>
  <c r="K774" i="1"/>
  <c r="L774" i="1" s="1"/>
  <c r="Z773" i="1"/>
  <c r="W773" i="1"/>
  <c r="T773" i="1"/>
  <c r="N773" i="1"/>
  <c r="M773" i="1"/>
  <c r="L773" i="1"/>
  <c r="K773" i="1"/>
  <c r="Z772" i="1"/>
  <c r="W772" i="1"/>
  <c r="T772" i="1"/>
  <c r="M772" i="1"/>
  <c r="N772" i="1" s="1"/>
  <c r="L772" i="1"/>
  <c r="K772" i="1"/>
  <c r="Z771" i="1"/>
  <c r="W771" i="1"/>
  <c r="T771" i="1"/>
  <c r="N771" i="1"/>
  <c r="M771" i="1"/>
  <c r="K771" i="1"/>
  <c r="L771" i="1" s="1"/>
  <c r="Z770" i="1"/>
  <c r="W770" i="1"/>
  <c r="T770" i="1"/>
  <c r="N770" i="1"/>
  <c r="M770" i="1"/>
  <c r="K770" i="1"/>
  <c r="L770" i="1" s="1"/>
  <c r="Z769" i="1"/>
  <c r="W769" i="1"/>
  <c r="T769" i="1"/>
  <c r="M769" i="1"/>
  <c r="N769" i="1" s="1"/>
  <c r="L769" i="1"/>
  <c r="K769" i="1"/>
  <c r="Z768" i="1"/>
  <c r="W768" i="1"/>
  <c r="T768" i="1"/>
  <c r="M768" i="1"/>
  <c r="N768" i="1" s="1"/>
  <c r="K768" i="1"/>
  <c r="L768" i="1" s="1"/>
  <c r="Z767" i="1"/>
  <c r="W767" i="1"/>
  <c r="T767" i="1"/>
  <c r="M767" i="1"/>
  <c r="N767" i="1" s="1"/>
  <c r="L767" i="1"/>
  <c r="K767" i="1"/>
  <c r="Z766" i="1"/>
  <c r="W766" i="1"/>
  <c r="T766" i="1"/>
  <c r="M766" i="1"/>
  <c r="N766" i="1" s="1"/>
  <c r="L766" i="1"/>
  <c r="K766" i="1"/>
  <c r="Z765" i="1"/>
  <c r="W765" i="1"/>
  <c r="T765" i="1"/>
  <c r="N765" i="1"/>
  <c r="M765" i="1"/>
  <c r="L765" i="1"/>
  <c r="K765" i="1"/>
  <c r="Z764" i="1"/>
  <c r="W764" i="1"/>
  <c r="T764" i="1"/>
  <c r="N764" i="1"/>
  <c r="M764" i="1"/>
  <c r="L764" i="1"/>
  <c r="K764" i="1"/>
  <c r="Z763" i="1"/>
  <c r="W763" i="1"/>
  <c r="T763" i="1"/>
  <c r="N763" i="1"/>
  <c r="M763" i="1"/>
  <c r="L763" i="1"/>
  <c r="K763" i="1"/>
  <c r="Z762" i="1"/>
  <c r="W762" i="1"/>
  <c r="T762" i="1"/>
  <c r="N762" i="1"/>
  <c r="M762" i="1"/>
  <c r="K762" i="1"/>
  <c r="L762" i="1" s="1"/>
  <c r="Z761" i="1"/>
  <c r="W761" i="1"/>
  <c r="T761" i="1"/>
  <c r="N761" i="1"/>
  <c r="M761" i="1"/>
  <c r="K761" i="1"/>
  <c r="L761" i="1" s="1"/>
  <c r="Z760" i="1"/>
  <c r="W760" i="1"/>
  <c r="T760" i="1"/>
  <c r="M760" i="1"/>
  <c r="N760" i="1" s="1"/>
  <c r="L760" i="1"/>
  <c r="K760" i="1"/>
  <c r="Z759" i="1"/>
  <c r="W759" i="1"/>
  <c r="T759" i="1"/>
  <c r="N759" i="1"/>
  <c r="M759" i="1"/>
  <c r="K759" i="1"/>
  <c r="L759" i="1" s="1"/>
  <c r="Z758" i="1"/>
  <c r="W758" i="1"/>
  <c r="T758" i="1"/>
  <c r="N758" i="1"/>
  <c r="M758" i="1"/>
  <c r="K758" i="1"/>
  <c r="L758" i="1" s="1"/>
  <c r="Z757" i="1"/>
  <c r="W757" i="1"/>
  <c r="T757" i="1"/>
  <c r="N757" i="1"/>
  <c r="M757" i="1"/>
  <c r="L757" i="1"/>
  <c r="K757" i="1"/>
  <c r="Z756" i="1"/>
  <c r="W756" i="1"/>
  <c r="T756" i="1"/>
  <c r="M756" i="1"/>
  <c r="N756" i="1" s="1"/>
  <c r="K756" i="1"/>
  <c r="L756" i="1" s="1"/>
  <c r="Z755" i="1"/>
  <c r="W755" i="1"/>
  <c r="T755" i="1"/>
  <c r="N755" i="1"/>
  <c r="M755" i="1"/>
  <c r="L755" i="1"/>
  <c r="K755" i="1"/>
  <c r="Z754" i="1"/>
  <c r="W754" i="1"/>
  <c r="T754" i="1"/>
  <c r="M754" i="1"/>
  <c r="N754" i="1" s="1"/>
  <c r="L754" i="1"/>
  <c r="K754" i="1"/>
  <c r="Z753" i="1"/>
  <c r="W753" i="1"/>
  <c r="T753" i="1"/>
  <c r="M753" i="1"/>
  <c r="N753" i="1" s="1"/>
  <c r="L753" i="1"/>
  <c r="K753" i="1"/>
  <c r="Z752" i="1"/>
  <c r="W752" i="1"/>
  <c r="T752" i="1"/>
  <c r="M752" i="1"/>
  <c r="N752" i="1" s="1"/>
  <c r="L752" i="1"/>
  <c r="K752" i="1"/>
  <c r="Z751" i="1"/>
  <c r="W751" i="1"/>
  <c r="T751" i="1"/>
  <c r="N751" i="1"/>
  <c r="M751" i="1"/>
  <c r="L751" i="1"/>
  <c r="K751" i="1"/>
  <c r="Z750" i="1"/>
  <c r="W750" i="1"/>
  <c r="T750" i="1"/>
  <c r="N750" i="1"/>
  <c r="M750" i="1"/>
  <c r="L750" i="1"/>
  <c r="K750" i="1"/>
  <c r="Z749" i="1"/>
  <c r="W749" i="1"/>
  <c r="T749" i="1"/>
  <c r="N749" i="1"/>
  <c r="M749" i="1"/>
  <c r="K749" i="1"/>
  <c r="L749" i="1" s="1"/>
  <c r="Z748" i="1"/>
  <c r="W748" i="1"/>
  <c r="T748" i="1"/>
  <c r="N748" i="1"/>
  <c r="M748" i="1"/>
  <c r="L748" i="1"/>
  <c r="K748" i="1"/>
  <c r="Z747" i="1"/>
  <c r="W747" i="1"/>
  <c r="T747" i="1"/>
  <c r="M747" i="1"/>
  <c r="N747" i="1" s="1"/>
  <c r="L747" i="1"/>
  <c r="K747" i="1"/>
  <c r="Z746" i="1"/>
  <c r="W746" i="1"/>
  <c r="T746" i="1"/>
  <c r="N746" i="1"/>
  <c r="M746" i="1"/>
  <c r="K746" i="1"/>
  <c r="L746" i="1" s="1"/>
  <c r="Z745" i="1"/>
  <c r="W745" i="1"/>
  <c r="T745" i="1"/>
  <c r="M745" i="1"/>
  <c r="N745" i="1" s="1"/>
  <c r="L745" i="1"/>
  <c r="K745" i="1"/>
  <c r="Z744" i="1"/>
  <c r="W744" i="1"/>
  <c r="T744" i="1"/>
  <c r="M744" i="1"/>
  <c r="N744" i="1" s="1"/>
  <c r="K744" i="1"/>
  <c r="L744" i="1" s="1"/>
  <c r="Z743" i="1"/>
  <c r="W743" i="1"/>
  <c r="T743" i="1"/>
  <c r="M743" i="1"/>
  <c r="N743" i="1" s="1"/>
  <c r="K743" i="1"/>
  <c r="L743" i="1" s="1"/>
  <c r="Z742" i="1"/>
  <c r="W742" i="1"/>
  <c r="T742" i="1"/>
  <c r="M742" i="1"/>
  <c r="N742" i="1" s="1"/>
  <c r="K742" i="1"/>
  <c r="L742" i="1" s="1"/>
  <c r="Z741" i="1"/>
  <c r="W741" i="1"/>
  <c r="T741" i="1"/>
  <c r="M741" i="1"/>
  <c r="N741" i="1" s="1"/>
  <c r="L741" i="1"/>
  <c r="K741" i="1"/>
  <c r="Z740" i="1"/>
  <c r="W740" i="1"/>
  <c r="T740" i="1"/>
  <c r="M740" i="1"/>
  <c r="N740" i="1" s="1"/>
  <c r="L740" i="1"/>
  <c r="K740" i="1"/>
  <c r="Z739" i="1"/>
  <c r="W739" i="1"/>
  <c r="T739" i="1"/>
  <c r="N739" i="1"/>
  <c r="M739" i="1"/>
  <c r="L739" i="1"/>
  <c r="K739" i="1"/>
  <c r="Z738" i="1"/>
  <c r="W738" i="1"/>
  <c r="T738" i="1"/>
  <c r="N738" i="1"/>
  <c r="M738" i="1"/>
  <c r="L738" i="1"/>
  <c r="K738" i="1"/>
  <c r="Z737" i="1"/>
  <c r="W737" i="1"/>
  <c r="T737" i="1"/>
  <c r="N737" i="1"/>
  <c r="M737" i="1"/>
  <c r="L737" i="1"/>
  <c r="K737" i="1"/>
  <c r="Z736" i="1"/>
  <c r="W736" i="1"/>
  <c r="T736" i="1"/>
  <c r="N736" i="1"/>
  <c r="M736" i="1"/>
  <c r="K736" i="1"/>
  <c r="L736" i="1" s="1"/>
  <c r="Z735" i="1"/>
  <c r="W735" i="1"/>
  <c r="T735" i="1"/>
  <c r="N735" i="1"/>
  <c r="M735" i="1"/>
  <c r="L735" i="1"/>
  <c r="K735" i="1"/>
  <c r="Z734" i="1"/>
  <c r="W734" i="1"/>
  <c r="T734" i="1"/>
  <c r="M734" i="1"/>
  <c r="N734" i="1" s="1"/>
  <c r="K734" i="1"/>
  <c r="L734" i="1" s="1"/>
  <c r="Z733" i="1"/>
  <c r="W733" i="1"/>
  <c r="T733" i="1"/>
  <c r="M733" i="1"/>
  <c r="N733" i="1" s="1"/>
  <c r="L733" i="1"/>
  <c r="K733" i="1"/>
  <c r="Z732" i="1"/>
  <c r="W732" i="1"/>
  <c r="T732" i="1"/>
  <c r="M732" i="1"/>
  <c r="N732" i="1" s="1"/>
  <c r="K732" i="1"/>
  <c r="L732" i="1" s="1"/>
  <c r="Z731" i="1"/>
  <c r="W731" i="1"/>
  <c r="T731" i="1"/>
  <c r="M731" i="1"/>
  <c r="N731" i="1" s="1"/>
  <c r="L731" i="1"/>
  <c r="K731" i="1"/>
  <c r="Z730" i="1"/>
  <c r="W730" i="1"/>
  <c r="T730" i="1"/>
  <c r="M730" i="1"/>
  <c r="N730" i="1" s="1"/>
  <c r="L730" i="1"/>
  <c r="K730" i="1"/>
  <c r="Z729" i="1"/>
  <c r="W729" i="1"/>
  <c r="T729" i="1"/>
  <c r="M729" i="1"/>
  <c r="N729" i="1" s="1"/>
  <c r="L729" i="1"/>
  <c r="K729" i="1"/>
  <c r="Z728" i="1"/>
  <c r="W728" i="1"/>
  <c r="T728" i="1"/>
  <c r="N728" i="1"/>
  <c r="M728" i="1"/>
  <c r="L728" i="1"/>
  <c r="K728" i="1"/>
  <c r="Z727" i="1"/>
  <c r="W727" i="1"/>
  <c r="T727" i="1"/>
  <c r="N727" i="1"/>
  <c r="M727" i="1"/>
  <c r="L727" i="1"/>
  <c r="K727" i="1"/>
  <c r="Z726" i="1"/>
  <c r="W726" i="1"/>
  <c r="T726" i="1"/>
  <c r="N726" i="1"/>
  <c r="M726" i="1"/>
  <c r="K726" i="1"/>
  <c r="L726" i="1" s="1"/>
  <c r="Z725" i="1"/>
  <c r="W725" i="1"/>
  <c r="T725" i="1"/>
  <c r="N725" i="1"/>
  <c r="M725" i="1"/>
  <c r="L725" i="1"/>
  <c r="K725" i="1"/>
  <c r="Z724" i="1"/>
  <c r="W724" i="1"/>
  <c r="T724" i="1"/>
  <c r="M724" i="1"/>
  <c r="N724" i="1" s="1"/>
  <c r="L724" i="1"/>
  <c r="K724" i="1"/>
  <c r="Z723" i="1"/>
  <c r="W723" i="1"/>
  <c r="T723" i="1"/>
  <c r="N723" i="1"/>
  <c r="M723" i="1"/>
  <c r="K723" i="1"/>
  <c r="L723" i="1" s="1"/>
  <c r="Z722" i="1"/>
  <c r="W722" i="1"/>
  <c r="T722" i="1"/>
  <c r="N722" i="1"/>
  <c r="M722" i="1"/>
  <c r="K722" i="1"/>
  <c r="L722" i="1" s="1"/>
  <c r="Z721" i="1"/>
  <c r="W721" i="1"/>
  <c r="T721" i="1"/>
  <c r="N721" i="1"/>
  <c r="M721" i="1"/>
  <c r="L721" i="1"/>
  <c r="K721" i="1"/>
  <c r="Z720" i="1"/>
  <c r="W720" i="1"/>
  <c r="T720" i="1"/>
  <c r="M720" i="1"/>
  <c r="N720" i="1" s="1"/>
  <c r="K720" i="1"/>
  <c r="L720" i="1" s="1"/>
  <c r="Z719" i="1"/>
  <c r="W719" i="1"/>
  <c r="T719" i="1"/>
  <c r="N719" i="1"/>
  <c r="M719" i="1"/>
  <c r="L719" i="1"/>
  <c r="K719" i="1"/>
  <c r="Z718" i="1"/>
  <c r="W718" i="1"/>
  <c r="T718" i="1"/>
  <c r="M718" i="1"/>
  <c r="N718" i="1" s="1"/>
  <c r="K718" i="1"/>
  <c r="L718" i="1" s="1"/>
  <c r="Z717" i="1"/>
  <c r="W717" i="1"/>
  <c r="T717" i="1"/>
  <c r="M717" i="1"/>
  <c r="N717" i="1" s="1"/>
  <c r="L717" i="1"/>
  <c r="K717" i="1"/>
  <c r="Z716" i="1"/>
  <c r="W716" i="1"/>
  <c r="T716" i="1"/>
  <c r="N716" i="1"/>
  <c r="M716" i="1"/>
  <c r="K716" i="1"/>
  <c r="L716" i="1" s="1"/>
  <c r="Z715" i="1"/>
  <c r="W715" i="1"/>
  <c r="T715" i="1"/>
  <c r="N715" i="1"/>
  <c r="M715" i="1"/>
  <c r="L715" i="1"/>
  <c r="K715" i="1"/>
  <c r="Z714" i="1"/>
  <c r="W714" i="1"/>
  <c r="T714" i="1"/>
  <c r="M714" i="1"/>
  <c r="N714" i="1" s="1"/>
  <c r="L714" i="1"/>
  <c r="K714" i="1"/>
  <c r="Z713" i="1"/>
  <c r="W713" i="1"/>
  <c r="T713" i="1"/>
  <c r="N713" i="1"/>
  <c r="M713" i="1"/>
  <c r="K713" i="1"/>
  <c r="L713" i="1" s="1"/>
  <c r="Z712" i="1"/>
  <c r="W712" i="1"/>
  <c r="T712" i="1"/>
  <c r="N712" i="1"/>
  <c r="M712" i="1"/>
  <c r="L712" i="1"/>
  <c r="K712" i="1"/>
  <c r="Z711" i="1"/>
  <c r="W711" i="1"/>
  <c r="T711" i="1"/>
  <c r="M711" i="1"/>
  <c r="N711" i="1" s="1"/>
  <c r="K711" i="1"/>
  <c r="L711" i="1" s="1"/>
  <c r="Z710" i="1"/>
  <c r="W710" i="1"/>
  <c r="T710" i="1"/>
  <c r="N710" i="1"/>
  <c r="M710" i="1"/>
  <c r="K710" i="1"/>
  <c r="L710" i="1" s="1"/>
  <c r="Z709" i="1"/>
  <c r="W709" i="1"/>
  <c r="T709" i="1"/>
  <c r="N709" i="1"/>
  <c r="M709" i="1"/>
  <c r="L709" i="1"/>
  <c r="K709" i="1"/>
  <c r="Z708" i="1"/>
  <c r="W708" i="1"/>
  <c r="T708" i="1"/>
  <c r="M708" i="1"/>
  <c r="N708" i="1" s="1"/>
  <c r="K708" i="1"/>
  <c r="L708" i="1" s="1"/>
  <c r="Z707" i="1"/>
  <c r="W707" i="1"/>
  <c r="T707" i="1"/>
  <c r="N707" i="1"/>
  <c r="M707" i="1"/>
  <c r="L707" i="1"/>
  <c r="K707" i="1"/>
  <c r="Z706" i="1"/>
  <c r="W706" i="1"/>
  <c r="T706" i="1"/>
  <c r="M706" i="1"/>
  <c r="N706" i="1" s="1"/>
  <c r="K706" i="1"/>
  <c r="L706" i="1" s="1"/>
  <c r="Z705" i="1"/>
  <c r="W705" i="1"/>
  <c r="T705" i="1"/>
  <c r="N705" i="1"/>
  <c r="M705" i="1"/>
  <c r="L705" i="1"/>
  <c r="K705" i="1"/>
  <c r="Z704" i="1"/>
  <c r="W704" i="1"/>
  <c r="T704" i="1"/>
  <c r="M704" i="1"/>
  <c r="N704" i="1" s="1"/>
  <c r="L704" i="1"/>
  <c r="K704" i="1"/>
  <c r="Z703" i="1"/>
  <c r="W703" i="1"/>
  <c r="T703" i="1"/>
  <c r="N703" i="1"/>
  <c r="M703" i="1"/>
  <c r="L703" i="1"/>
  <c r="K703" i="1"/>
  <c r="Z702" i="1"/>
  <c r="W702" i="1"/>
  <c r="T702" i="1"/>
  <c r="N702" i="1"/>
  <c r="M702" i="1"/>
  <c r="K702" i="1"/>
  <c r="L702" i="1" s="1"/>
  <c r="Z701" i="1"/>
  <c r="W701" i="1"/>
  <c r="T701" i="1"/>
  <c r="N701" i="1"/>
  <c r="M701" i="1"/>
  <c r="L701" i="1"/>
  <c r="K701" i="1"/>
  <c r="Z700" i="1"/>
  <c r="W700" i="1"/>
  <c r="T700" i="1"/>
  <c r="M700" i="1"/>
  <c r="N700" i="1" s="1"/>
  <c r="K700" i="1"/>
  <c r="L700" i="1" s="1"/>
  <c r="Z699" i="1"/>
  <c r="W699" i="1"/>
  <c r="T699" i="1"/>
  <c r="N699" i="1"/>
  <c r="M699" i="1"/>
  <c r="L699" i="1"/>
  <c r="K699" i="1"/>
  <c r="Z698" i="1"/>
  <c r="W698" i="1"/>
  <c r="T698" i="1"/>
  <c r="M698" i="1"/>
  <c r="N698" i="1" s="1"/>
  <c r="K698" i="1"/>
  <c r="L698" i="1" s="1"/>
  <c r="Z697" i="1"/>
  <c r="W697" i="1"/>
  <c r="T697" i="1"/>
  <c r="M697" i="1"/>
  <c r="N697" i="1" s="1"/>
  <c r="L697" i="1"/>
  <c r="K697" i="1"/>
  <c r="Z696" i="1"/>
  <c r="W696" i="1"/>
  <c r="T696" i="1"/>
  <c r="M696" i="1"/>
  <c r="N696" i="1" s="1"/>
  <c r="K696" i="1"/>
  <c r="L696" i="1" s="1"/>
  <c r="Z695" i="1"/>
  <c r="W695" i="1"/>
  <c r="T695" i="1"/>
  <c r="M695" i="1"/>
  <c r="N695" i="1" s="1"/>
  <c r="L695" i="1"/>
  <c r="K695" i="1"/>
  <c r="Z694" i="1"/>
  <c r="W694" i="1"/>
  <c r="T694" i="1"/>
  <c r="M694" i="1"/>
  <c r="N694" i="1" s="1"/>
  <c r="L694" i="1"/>
  <c r="K694" i="1"/>
  <c r="Z693" i="1"/>
  <c r="W693" i="1"/>
  <c r="T693" i="1"/>
  <c r="M693" i="1"/>
  <c r="N693" i="1" s="1"/>
  <c r="L693" i="1"/>
  <c r="K693" i="1"/>
  <c r="Z692" i="1"/>
  <c r="W692" i="1"/>
  <c r="T692" i="1"/>
  <c r="N692" i="1"/>
  <c r="M692" i="1"/>
  <c r="L692" i="1"/>
  <c r="K692" i="1"/>
  <c r="Z691" i="1"/>
  <c r="W691" i="1"/>
  <c r="T691" i="1"/>
  <c r="N691" i="1"/>
  <c r="M691" i="1"/>
  <c r="L691" i="1"/>
  <c r="K691" i="1"/>
  <c r="Z690" i="1"/>
  <c r="W690" i="1"/>
  <c r="T690" i="1"/>
  <c r="N690" i="1"/>
  <c r="M690" i="1"/>
  <c r="K690" i="1"/>
  <c r="L690" i="1" s="1"/>
  <c r="Z689" i="1"/>
  <c r="W689" i="1"/>
  <c r="T689" i="1"/>
  <c r="N689" i="1"/>
  <c r="M689" i="1"/>
  <c r="K689" i="1"/>
  <c r="L689" i="1" s="1"/>
  <c r="Z688" i="1"/>
  <c r="W688" i="1"/>
  <c r="T688" i="1"/>
  <c r="M688" i="1"/>
  <c r="N688" i="1" s="1"/>
  <c r="L688" i="1"/>
  <c r="K688" i="1"/>
  <c r="Z687" i="1"/>
  <c r="W687" i="1"/>
  <c r="T687" i="1"/>
  <c r="M687" i="1"/>
  <c r="N687" i="1" s="1"/>
  <c r="K687" i="1"/>
  <c r="L687" i="1" s="1"/>
  <c r="Z686" i="1"/>
  <c r="W686" i="1"/>
  <c r="T686" i="1"/>
  <c r="N686" i="1"/>
  <c r="M686" i="1"/>
  <c r="K686" i="1"/>
  <c r="L686" i="1" s="1"/>
  <c r="Z685" i="1"/>
  <c r="W685" i="1"/>
  <c r="T685" i="1"/>
  <c r="N685" i="1"/>
  <c r="M685" i="1"/>
  <c r="L685" i="1"/>
  <c r="K685" i="1"/>
  <c r="Z684" i="1"/>
  <c r="W684" i="1"/>
  <c r="T684" i="1"/>
  <c r="M684" i="1"/>
  <c r="N684" i="1" s="1"/>
  <c r="K684" i="1"/>
  <c r="L684" i="1" s="1"/>
  <c r="Z683" i="1"/>
  <c r="W683" i="1"/>
  <c r="T683" i="1"/>
  <c r="N683" i="1"/>
  <c r="M683" i="1"/>
  <c r="L683" i="1"/>
  <c r="K683" i="1"/>
  <c r="Z682" i="1"/>
  <c r="W682" i="1"/>
  <c r="T682" i="1"/>
  <c r="M682" i="1"/>
  <c r="N682" i="1" s="1"/>
  <c r="K682" i="1"/>
  <c r="L682" i="1" s="1"/>
  <c r="Z681" i="1"/>
  <c r="W681" i="1"/>
  <c r="T681" i="1"/>
  <c r="M681" i="1"/>
  <c r="N681" i="1" s="1"/>
  <c r="L681" i="1"/>
  <c r="K681" i="1"/>
  <c r="Z680" i="1"/>
  <c r="W680" i="1"/>
  <c r="T680" i="1"/>
  <c r="N680" i="1"/>
  <c r="M680" i="1"/>
  <c r="K680" i="1"/>
  <c r="L680" i="1" s="1"/>
  <c r="Z679" i="1"/>
  <c r="W679" i="1"/>
  <c r="T679" i="1"/>
  <c r="N679" i="1"/>
  <c r="M679" i="1"/>
  <c r="L679" i="1"/>
  <c r="K679" i="1"/>
  <c r="Z678" i="1"/>
  <c r="W678" i="1"/>
  <c r="T678" i="1"/>
  <c r="M678" i="1"/>
  <c r="N678" i="1" s="1"/>
  <c r="L678" i="1"/>
  <c r="K678" i="1"/>
  <c r="Z677" i="1"/>
  <c r="W677" i="1"/>
  <c r="T677" i="1"/>
  <c r="N677" i="1"/>
  <c r="M677" i="1"/>
  <c r="K677" i="1"/>
  <c r="L677" i="1" s="1"/>
  <c r="Z676" i="1"/>
  <c r="W676" i="1"/>
  <c r="T676" i="1"/>
  <c r="N676" i="1"/>
  <c r="M676" i="1"/>
  <c r="L676" i="1"/>
  <c r="K676" i="1"/>
  <c r="Z675" i="1"/>
  <c r="W675" i="1"/>
  <c r="T675" i="1"/>
  <c r="M675" i="1"/>
  <c r="N675" i="1" s="1"/>
  <c r="K675" i="1"/>
  <c r="L675" i="1" s="1"/>
  <c r="Z674" i="1"/>
  <c r="W674" i="1"/>
  <c r="T674" i="1"/>
  <c r="N674" i="1"/>
  <c r="M674" i="1"/>
  <c r="K674" i="1"/>
  <c r="L674" i="1" s="1"/>
  <c r="Z673" i="1"/>
  <c r="W673" i="1"/>
  <c r="T673" i="1"/>
  <c r="N673" i="1"/>
  <c r="M673" i="1"/>
  <c r="K673" i="1"/>
  <c r="L673" i="1" s="1"/>
  <c r="Z672" i="1"/>
  <c r="W672" i="1"/>
  <c r="T672" i="1"/>
  <c r="M672" i="1"/>
  <c r="N672" i="1" s="1"/>
  <c r="K672" i="1"/>
  <c r="L672" i="1" s="1"/>
  <c r="Z671" i="1"/>
  <c r="W671" i="1"/>
  <c r="T671" i="1"/>
  <c r="N671" i="1"/>
  <c r="M671" i="1"/>
  <c r="K671" i="1"/>
  <c r="L671" i="1" s="1"/>
  <c r="Z670" i="1"/>
  <c r="W670" i="1"/>
  <c r="T670" i="1"/>
  <c r="M670" i="1"/>
  <c r="N670" i="1" s="1"/>
  <c r="K670" i="1"/>
  <c r="L670" i="1" s="1"/>
  <c r="Z669" i="1"/>
  <c r="W669" i="1"/>
  <c r="T669" i="1"/>
  <c r="N669" i="1"/>
  <c r="M669" i="1"/>
  <c r="L669" i="1"/>
  <c r="K669" i="1"/>
  <c r="Z668" i="1"/>
  <c r="W668" i="1"/>
  <c r="T668" i="1"/>
  <c r="M668" i="1"/>
  <c r="N668" i="1" s="1"/>
  <c r="L668" i="1"/>
  <c r="K668" i="1"/>
  <c r="Z667" i="1"/>
  <c r="W667" i="1"/>
  <c r="T667" i="1"/>
  <c r="N667" i="1"/>
  <c r="M667" i="1"/>
  <c r="L667" i="1"/>
  <c r="K667" i="1"/>
  <c r="Z666" i="1"/>
  <c r="W666" i="1"/>
  <c r="T666" i="1"/>
  <c r="N666" i="1"/>
  <c r="M666" i="1"/>
  <c r="K666" i="1"/>
  <c r="L666" i="1" s="1"/>
  <c r="Z665" i="1"/>
  <c r="W665" i="1"/>
  <c r="T665" i="1"/>
  <c r="N665" i="1"/>
  <c r="M665" i="1"/>
  <c r="L665" i="1"/>
  <c r="K665" i="1"/>
  <c r="Z664" i="1"/>
  <c r="W664" i="1"/>
  <c r="T664" i="1"/>
  <c r="N664" i="1"/>
  <c r="M664" i="1"/>
  <c r="L664" i="1"/>
  <c r="K664" i="1"/>
  <c r="Z663" i="1"/>
  <c r="W663" i="1"/>
  <c r="T663" i="1"/>
  <c r="N663" i="1"/>
  <c r="M663" i="1"/>
  <c r="L663" i="1"/>
  <c r="K663" i="1"/>
  <c r="Z662" i="1"/>
  <c r="W662" i="1"/>
  <c r="T662" i="1"/>
  <c r="N662" i="1"/>
  <c r="M662" i="1"/>
  <c r="K662" i="1"/>
  <c r="L662" i="1" s="1"/>
  <c r="Z661" i="1"/>
  <c r="W661" i="1"/>
  <c r="T661" i="1"/>
  <c r="M661" i="1"/>
  <c r="N661" i="1" s="1"/>
  <c r="L661" i="1"/>
  <c r="K661" i="1"/>
  <c r="Z660" i="1"/>
  <c r="W660" i="1"/>
  <c r="T660" i="1"/>
  <c r="M660" i="1"/>
  <c r="N660" i="1" s="1"/>
  <c r="K660" i="1"/>
  <c r="L660" i="1" s="1"/>
  <c r="Z659" i="1"/>
  <c r="W659" i="1"/>
  <c r="T659" i="1"/>
  <c r="M659" i="1"/>
  <c r="N659" i="1" s="1"/>
  <c r="L659" i="1"/>
  <c r="K659" i="1"/>
  <c r="Z658" i="1"/>
  <c r="W658" i="1"/>
  <c r="T658" i="1"/>
  <c r="M658" i="1"/>
  <c r="N658" i="1" s="1"/>
  <c r="L658" i="1"/>
  <c r="K658" i="1"/>
  <c r="Z657" i="1"/>
  <c r="W657" i="1"/>
  <c r="T657" i="1"/>
  <c r="N657" i="1"/>
  <c r="M657" i="1"/>
  <c r="L657" i="1"/>
  <c r="K657" i="1"/>
  <c r="Z656" i="1"/>
  <c r="W656" i="1"/>
  <c r="T656" i="1"/>
  <c r="N656" i="1"/>
  <c r="M656" i="1"/>
  <c r="L656" i="1"/>
  <c r="K656" i="1"/>
  <c r="Z655" i="1"/>
  <c r="W655" i="1"/>
  <c r="T655" i="1"/>
  <c r="N655" i="1"/>
  <c r="M655" i="1"/>
  <c r="L655" i="1"/>
  <c r="K655" i="1"/>
  <c r="Z654" i="1"/>
  <c r="W654" i="1"/>
  <c r="T654" i="1"/>
  <c r="N654" i="1"/>
  <c r="M654" i="1"/>
  <c r="K654" i="1"/>
  <c r="L654" i="1" s="1"/>
  <c r="Z653" i="1"/>
  <c r="W653" i="1"/>
  <c r="T653" i="1"/>
  <c r="N653" i="1"/>
  <c r="M653" i="1"/>
  <c r="K653" i="1"/>
  <c r="L653" i="1" s="1"/>
  <c r="Z652" i="1"/>
  <c r="W652" i="1"/>
  <c r="T652" i="1"/>
  <c r="M652" i="1"/>
  <c r="N652" i="1" s="1"/>
  <c r="L652" i="1"/>
  <c r="K652" i="1"/>
  <c r="Z651" i="1"/>
  <c r="W651" i="1"/>
  <c r="T651" i="1"/>
  <c r="N651" i="1"/>
  <c r="M651" i="1"/>
  <c r="K651" i="1"/>
  <c r="L651" i="1" s="1"/>
  <c r="Z650" i="1"/>
  <c r="W650" i="1"/>
  <c r="T650" i="1"/>
  <c r="N650" i="1"/>
  <c r="M650" i="1"/>
  <c r="K650" i="1"/>
  <c r="L650" i="1" s="1"/>
  <c r="Z649" i="1"/>
  <c r="W649" i="1"/>
  <c r="T649" i="1"/>
  <c r="N649" i="1"/>
  <c r="M649" i="1"/>
  <c r="L649" i="1"/>
  <c r="K649" i="1"/>
  <c r="Z648" i="1"/>
  <c r="W648" i="1"/>
  <c r="T648" i="1"/>
  <c r="M648" i="1"/>
  <c r="N648" i="1" s="1"/>
  <c r="K648" i="1"/>
  <c r="L648" i="1" s="1"/>
  <c r="Z647" i="1"/>
  <c r="W647" i="1"/>
  <c r="T647" i="1"/>
  <c r="N647" i="1"/>
  <c r="M647" i="1"/>
  <c r="L647" i="1"/>
  <c r="K647" i="1"/>
  <c r="Z646" i="1"/>
  <c r="W646" i="1"/>
  <c r="T646" i="1"/>
  <c r="M646" i="1"/>
  <c r="N646" i="1" s="1"/>
  <c r="L646" i="1"/>
  <c r="K646" i="1"/>
  <c r="Z645" i="1"/>
  <c r="W645" i="1"/>
  <c r="T645" i="1"/>
  <c r="M645" i="1"/>
  <c r="N645" i="1" s="1"/>
  <c r="L645" i="1"/>
  <c r="K645" i="1"/>
  <c r="Z644" i="1"/>
  <c r="W644" i="1"/>
  <c r="T644" i="1"/>
  <c r="M644" i="1"/>
  <c r="N644" i="1" s="1"/>
  <c r="L644" i="1"/>
  <c r="K644" i="1"/>
  <c r="Z643" i="1"/>
  <c r="W643" i="1"/>
  <c r="T643" i="1"/>
  <c r="N643" i="1"/>
  <c r="M643" i="1"/>
  <c r="L643" i="1"/>
  <c r="K643" i="1"/>
  <c r="Z642" i="1"/>
  <c r="W642" i="1"/>
  <c r="T642" i="1"/>
  <c r="N642" i="1"/>
  <c r="M642" i="1"/>
  <c r="L642" i="1"/>
  <c r="K642" i="1"/>
  <c r="Z641" i="1"/>
  <c r="W641" i="1"/>
  <c r="T641" i="1"/>
  <c r="N641" i="1"/>
  <c r="M641" i="1"/>
  <c r="K641" i="1"/>
  <c r="L641" i="1" s="1"/>
  <c r="Z640" i="1"/>
  <c r="W640" i="1"/>
  <c r="T640" i="1"/>
  <c r="N640" i="1"/>
  <c r="M640" i="1"/>
  <c r="L640" i="1"/>
  <c r="K640" i="1"/>
  <c r="Z639" i="1"/>
  <c r="W639" i="1"/>
  <c r="T639" i="1"/>
  <c r="M639" i="1"/>
  <c r="N639" i="1" s="1"/>
  <c r="L639" i="1"/>
  <c r="K639" i="1"/>
  <c r="Z638" i="1"/>
  <c r="W638" i="1"/>
  <c r="T638" i="1"/>
  <c r="N638" i="1"/>
  <c r="M638" i="1"/>
  <c r="K638" i="1"/>
  <c r="L638" i="1" s="1"/>
  <c r="Z637" i="1"/>
  <c r="W637" i="1"/>
  <c r="T637" i="1"/>
  <c r="M637" i="1"/>
  <c r="N637" i="1" s="1"/>
  <c r="K637" i="1"/>
  <c r="L637" i="1" s="1"/>
  <c r="Z636" i="1"/>
  <c r="W636" i="1"/>
  <c r="T636" i="1"/>
  <c r="M636" i="1"/>
  <c r="N636" i="1" s="1"/>
  <c r="K636" i="1"/>
  <c r="L636" i="1" s="1"/>
  <c r="Z635" i="1"/>
  <c r="W635" i="1"/>
  <c r="T635" i="1"/>
  <c r="M635" i="1"/>
  <c r="N635" i="1" s="1"/>
  <c r="K635" i="1"/>
  <c r="L635" i="1" s="1"/>
  <c r="Z634" i="1"/>
  <c r="W634" i="1"/>
  <c r="T634" i="1"/>
  <c r="M634" i="1"/>
  <c r="N634" i="1" s="1"/>
  <c r="K634" i="1"/>
  <c r="L634" i="1" s="1"/>
  <c r="Z633" i="1"/>
  <c r="W633" i="1"/>
  <c r="T633" i="1"/>
  <c r="M633" i="1"/>
  <c r="N633" i="1" s="1"/>
  <c r="L633" i="1"/>
  <c r="K633" i="1"/>
  <c r="Z632" i="1"/>
  <c r="W632" i="1"/>
  <c r="T632" i="1"/>
  <c r="M632" i="1"/>
  <c r="N632" i="1" s="1"/>
  <c r="L632" i="1"/>
  <c r="K632" i="1"/>
  <c r="Z631" i="1"/>
  <c r="W631" i="1"/>
  <c r="T631" i="1"/>
  <c r="N631" i="1"/>
  <c r="M631" i="1"/>
  <c r="L631" i="1"/>
  <c r="K631" i="1"/>
  <c r="Z630" i="1"/>
  <c r="W630" i="1"/>
  <c r="T630" i="1"/>
  <c r="N630" i="1"/>
  <c r="M630" i="1"/>
  <c r="L630" i="1"/>
  <c r="K630" i="1"/>
  <c r="Z629" i="1"/>
  <c r="W629" i="1"/>
  <c r="T629" i="1"/>
  <c r="N629" i="1"/>
  <c r="M629" i="1"/>
  <c r="L629" i="1"/>
  <c r="K629" i="1"/>
  <c r="Z628" i="1"/>
  <c r="W628" i="1"/>
  <c r="T628" i="1"/>
  <c r="N628" i="1"/>
  <c r="M628" i="1"/>
  <c r="K628" i="1"/>
  <c r="L628" i="1" s="1"/>
  <c r="Z627" i="1"/>
  <c r="W627" i="1"/>
  <c r="T627" i="1"/>
  <c r="N627" i="1"/>
  <c r="M627" i="1"/>
  <c r="L627" i="1"/>
  <c r="K627" i="1"/>
  <c r="Z626" i="1"/>
  <c r="W626" i="1"/>
  <c r="T626" i="1"/>
  <c r="M626" i="1"/>
  <c r="N626" i="1" s="1"/>
  <c r="K626" i="1"/>
  <c r="L626" i="1" s="1"/>
  <c r="Z625" i="1"/>
  <c r="W625" i="1"/>
  <c r="T625" i="1"/>
  <c r="M625" i="1"/>
  <c r="N625" i="1" s="1"/>
  <c r="L625" i="1"/>
  <c r="K625" i="1"/>
  <c r="Z624" i="1"/>
  <c r="W624" i="1"/>
  <c r="T624" i="1"/>
  <c r="M624" i="1"/>
  <c r="N624" i="1" s="1"/>
  <c r="K624" i="1"/>
  <c r="L624" i="1" s="1"/>
  <c r="Z623" i="1"/>
  <c r="W623" i="1"/>
  <c r="T623" i="1"/>
  <c r="M623" i="1"/>
  <c r="N623" i="1" s="1"/>
  <c r="L623" i="1"/>
  <c r="K623" i="1"/>
  <c r="Z622" i="1"/>
  <c r="W622" i="1"/>
  <c r="T622" i="1"/>
  <c r="M622" i="1"/>
  <c r="N622" i="1" s="1"/>
  <c r="L622" i="1"/>
  <c r="K622" i="1"/>
  <c r="Z621" i="1"/>
  <c r="W621" i="1"/>
  <c r="T621" i="1"/>
  <c r="M621" i="1"/>
  <c r="N621" i="1" s="1"/>
  <c r="L621" i="1"/>
  <c r="K621" i="1"/>
  <c r="Z620" i="1"/>
  <c r="W620" i="1"/>
  <c r="T620" i="1"/>
  <c r="N620" i="1"/>
  <c r="M620" i="1"/>
  <c r="L620" i="1"/>
  <c r="K620" i="1"/>
  <c r="Z619" i="1"/>
  <c r="W619" i="1"/>
  <c r="T619" i="1"/>
  <c r="N619" i="1"/>
  <c r="M619" i="1"/>
  <c r="L619" i="1"/>
  <c r="K619" i="1"/>
  <c r="Z618" i="1"/>
  <c r="W618" i="1"/>
  <c r="T618" i="1"/>
  <c r="N618" i="1"/>
  <c r="M618" i="1"/>
  <c r="K618" i="1"/>
  <c r="L618" i="1" s="1"/>
  <c r="Z617" i="1"/>
  <c r="W617" i="1"/>
  <c r="T617" i="1"/>
  <c r="M617" i="1"/>
  <c r="N617" i="1" s="1"/>
  <c r="K617" i="1"/>
  <c r="L617" i="1" s="1"/>
  <c r="Z616" i="1"/>
  <c r="W616" i="1"/>
  <c r="T616" i="1"/>
  <c r="N616" i="1"/>
  <c r="M616" i="1"/>
  <c r="L616" i="1"/>
  <c r="K616" i="1"/>
  <c r="Z615" i="1"/>
  <c r="W615" i="1"/>
  <c r="T615" i="1"/>
  <c r="M615" i="1"/>
  <c r="N615" i="1" s="1"/>
  <c r="L615" i="1"/>
  <c r="K615" i="1"/>
  <c r="Z614" i="1"/>
  <c r="W614" i="1"/>
  <c r="T614" i="1"/>
  <c r="N614" i="1"/>
  <c r="M614" i="1"/>
  <c r="K614" i="1"/>
  <c r="L614" i="1" s="1"/>
  <c r="Z613" i="1"/>
  <c r="W613" i="1"/>
  <c r="T613" i="1"/>
  <c r="N613" i="1"/>
  <c r="M613" i="1"/>
  <c r="K613" i="1"/>
  <c r="L613" i="1" s="1"/>
  <c r="Z612" i="1"/>
  <c r="W612" i="1"/>
  <c r="T612" i="1"/>
  <c r="M612" i="1"/>
  <c r="N612" i="1" s="1"/>
  <c r="K612" i="1"/>
  <c r="L612" i="1" s="1"/>
  <c r="Z611" i="1"/>
  <c r="W611" i="1"/>
  <c r="T611" i="1"/>
  <c r="M611" i="1"/>
  <c r="N611" i="1" s="1"/>
  <c r="K611" i="1"/>
  <c r="L611" i="1" s="1"/>
  <c r="Z610" i="1"/>
  <c r="W610" i="1"/>
  <c r="T610" i="1"/>
  <c r="M610" i="1"/>
  <c r="N610" i="1" s="1"/>
  <c r="K610" i="1"/>
  <c r="L610" i="1" s="1"/>
  <c r="Z609" i="1"/>
  <c r="W609" i="1"/>
  <c r="T609" i="1"/>
  <c r="N609" i="1"/>
  <c r="M609" i="1"/>
  <c r="L609" i="1"/>
  <c r="K609" i="1"/>
  <c r="Z608" i="1"/>
  <c r="W608" i="1"/>
  <c r="T608" i="1"/>
  <c r="M608" i="1"/>
  <c r="N608" i="1" s="1"/>
  <c r="L608" i="1"/>
  <c r="K608" i="1"/>
  <c r="Z607" i="1"/>
  <c r="W607" i="1"/>
  <c r="T607" i="1"/>
  <c r="N607" i="1"/>
  <c r="M607" i="1"/>
  <c r="K607" i="1"/>
  <c r="L607" i="1" s="1"/>
  <c r="Z606" i="1"/>
  <c r="W606" i="1"/>
  <c r="T606" i="1"/>
  <c r="N606" i="1"/>
  <c r="M606" i="1"/>
  <c r="K606" i="1"/>
  <c r="L606" i="1" s="1"/>
  <c r="Z605" i="1"/>
  <c r="W605" i="1"/>
  <c r="T605" i="1"/>
  <c r="M605" i="1"/>
  <c r="N605" i="1" s="1"/>
  <c r="K605" i="1"/>
  <c r="L605" i="1" s="1"/>
  <c r="Z604" i="1"/>
  <c r="W604" i="1"/>
  <c r="T604" i="1"/>
  <c r="N604" i="1"/>
  <c r="M604" i="1"/>
  <c r="K604" i="1"/>
  <c r="L604" i="1" s="1"/>
  <c r="Z603" i="1"/>
  <c r="W603" i="1"/>
  <c r="T603" i="1"/>
  <c r="M603" i="1"/>
  <c r="N603" i="1" s="1"/>
  <c r="L603" i="1"/>
  <c r="K603" i="1"/>
  <c r="Z602" i="1"/>
  <c r="W602" i="1"/>
  <c r="T602" i="1"/>
  <c r="N602" i="1"/>
  <c r="M602" i="1"/>
  <c r="K602" i="1"/>
  <c r="L602" i="1" s="1"/>
  <c r="Z601" i="1"/>
  <c r="W601" i="1"/>
  <c r="T601" i="1"/>
  <c r="N601" i="1"/>
  <c r="M601" i="1"/>
  <c r="K601" i="1"/>
  <c r="L601" i="1" s="1"/>
  <c r="Z600" i="1"/>
  <c r="W600" i="1"/>
  <c r="T600" i="1"/>
  <c r="M600" i="1"/>
  <c r="N600" i="1" s="1"/>
  <c r="K600" i="1"/>
  <c r="L600" i="1" s="1"/>
  <c r="Z599" i="1"/>
  <c r="W599" i="1"/>
  <c r="T599" i="1"/>
  <c r="M599" i="1"/>
  <c r="N599" i="1" s="1"/>
  <c r="K599" i="1"/>
  <c r="L599" i="1" s="1"/>
  <c r="Z598" i="1"/>
  <c r="W598" i="1"/>
  <c r="T598" i="1"/>
  <c r="M598" i="1"/>
  <c r="N598" i="1" s="1"/>
  <c r="K598" i="1"/>
  <c r="L598" i="1" s="1"/>
  <c r="Z597" i="1"/>
  <c r="W597" i="1"/>
  <c r="T597" i="1"/>
  <c r="N597" i="1"/>
  <c r="M597" i="1"/>
  <c r="L597" i="1"/>
  <c r="K597" i="1"/>
  <c r="Z596" i="1"/>
  <c r="W596" i="1"/>
  <c r="T596" i="1"/>
  <c r="M596" i="1"/>
  <c r="N596" i="1" s="1"/>
  <c r="L596" i="1"/>
  <c r="K596" i="1"/>
  <c r="Z595" i="1"/>
  <c r="W595" i="1"/>
  <c r="T595" i="1"/>
  <c r="N595" i="1"/>
  <c r="M595" i="1"/>
  <c r="K595" i="1"/>
  <c r="L595" i="1" s="1"/>
  <c r="Z594" i="1"/>
  <c r="W594" i="1"/>
  <c r="T594" i="1"/>
  <c r="N594" i="1"/>
  <c r="M594" i="1"/>
  <c r="K594" i="1"/>
  <c r="L594" i="1" s="1"/>
  <c r="Z593" i="1"/>
  <c r="W593" i="1"/>
  <c r="T593" i="1"/>
  <c r="M593" i="1"/>
  <c r="N593" i="1" s="1"/>
  <c r="L593" i="1"/>
  <c r="K593" i="1"/>
  <c r="Z592" i="1"/>
  <c r="W592" i="1"/>
  <c r="T592" i="1"/>
  <c r="N592" i="1"/>
  <c r="M592" i="1"/>
  <c r="K592" i="1"/>
  <c r="L592" i="1" s="1"/>
  <c r="Z591" i="1"/>
  <c r="W591" i="1"/>
  <c r="T591" i="1"/>
  <c r="N591" i="1"/>
  <c r="M591" i="1"/>
  <c r="L591" i="1"/>
  <c r="K591" i="1"/>
  <c r="Z590" i="1"/>
  <c r="W590" i="1"/>
  <c r="T590" i="1"/>
  <c r="M590" i="1"/>
  <c r="N590" i="1" s="1"/>
  <c r="K590" i="1"/>
  <c r="L590" i="1" s="1"/>
  <c r="Z589" i="1"/>
  <c r="W589" i="1"/>
  <c r="T589" i="1"/>
  <c r="M589" i="1"/>
  <c r="N589" i="1" s="1"/>
  <c r="K589" i="1"/>
  <c r="L589" i="1" s="1"/>
  <c r="Z588" i="1"/>
  <c r="W588" i="1"/>
  <c r="T588" i="1"/>
  <c r="M588" i="1"/>
  <c r="N588" i="1" s="1"/>
  <c r="K588" i="1"/>
  <c r="L588" i="1" s="1"/>
  <c r="Z587" i="1"/>
  <c r="W587" i="1"/>
  <c r="T587" i="1"/>
  <c r="N587" i="1"/>
  <c r="M587" i="1"/>
  <c r="K587" i="1"/>
  <c r="L587" i="1" s="1"/>
  <c r="Z586" i="1"/>
  <c r="W586" i="1"/>
  <c r="T586" i="1"/>
  <c r="M586" i="1"/>
  <c r="N586" i="1" s="1"/>
  <c r="K586" i="1"/>
  <c r="L586" i="1" s="1"/>
  <c r="Z585" i="1"/>
  <c r="W585" i="1"/>
  <c r="T585" i="1"/>
  <c r="N585" i="1"/>
  <c r="M585" i="1"/>
  <c r="L585" i="1"/>
  <c r="K585" i="1"/>
  <c r="Z584" i="1"/>
  <c r="W584" i="1"/>
  <c r="T584" i="1"/>
  <c r="M584" i="1"/>
  <c r="N584" i="1" s="1"/>
  <c r="K584" i="1"/>
  <c r="L584" i="1" s="1"/>
  <c r="Z583" i="1"/>
  <c r="W583" i="1"/>
  <c r="T583" i="1"/>
  <c r="N583" i="1"/>
  <c r="M583" i="1"/>
  <c r="L583" i="1"/>
  <c r="K583" i="1"/>
  <c r="Z582" i="1"/>
  <c r="W582" i="1"/>
  <c r="T582" i="1"/>
  <c r="M582" i="1"/>
  <c r="N582" i="1" s="1"/>
  <c r="K582" i="1"/>
  <c r="L582" i="1" s="1"/>
  <c r="Z581" i="1"/>
  <c r="W581" i="1"/>
  <c r="T581" i="1"/>
  <c r="M581" i="1"/>
  <c r="N581" i="1" s="1"/>
  <c r="K581" i="1"/>
  <c r="L581" i="1" s="1"/>
  <c r="Z580" i="1"/>
  <c r="W580" i="1"/>
  <c r="T580" i="1"/>
  <c r="M580" i="1"/>
  <c r="N580" i="1" s="1"/>
  <c r="L580" i="1"/>
  <c r="K580" i="1"/>
  <c r="Z579" i="1"/>
  <c r="W579" i="1"/>
  <c r="T579" i="1"/>
  <c r="M579" i="1"/>
  <c r="N579" i="1" s="1"/>
  <c r="K579" i="1"/>
  <c r="L579" i="1" s="1"/>
  <c r="Z578" i="1"/>
  <c r="W578" i="1"/>
  <c r="T578" i="1"/>
  <c r="N578" i="1"/>
  <c r="M578" i="1"/>
  <c r="K578" i="1"/>
  <c r="L578" i="1" s="1"/>
  <c r="Z577" i="1"/>
  <c r="W577" i="1"/>
  <c r="T577" i="1"/>
  <c r="N577" i="1"/>
  <c r="M577" i="1"/>
  <c r="L577" i="1"/>
  <c r="K577" i="1"/>
  <c r="Z576" i="1"/>
  <c r="W576" i="1"/>
  <c r="T576" i="1"/>
  <c r="M576" i="1"/>
  <c r="N576" i="1" s="1"/>
  <c r="K576" i="1"/>
  <c r="L576" i="1" s="1"/>
  <c r="Z575" i="1"/>
  <c r="W575" i="1"/>
  <c r="T575" i="1"/>
  <c r="N575" i="1"/>
  <c r="M575" i="1"/>
  <c r="L575" i="1"/>
  <c r="K575" i="1"/>
  <c r="Z574" i="1"/>
  <c r="W574" i="1"/>
  <c r="T574" i="1"/>
  <c r="M574" i="1"/>
  <c r="N574" i="1" s="1"/>
  <c r="L574" i="1"/>
  <c r="K574" i="1"/>
  <c r="Z573" i="1"/>
  <c r="W573" i="1"/>
  <c r="T573" i="1"/>
  <c r="M573" i="1"/>
  <c r="N573" i="1" s="1"/>
  <c r="L573" i="1"/>
  <c r="K573" i="1"/>
  <c r="Z572" i="1"/>
  <c r="W572" i="1"/>
  <c r="T572" i="1"/>
  <c r="N572" i="1"/>
  <c r="M572" i="1"/>
  <c r="K572" i="1"/>
  <c r="L572" i="1" s="1"/>
  <c r="Z571" i="1"/>
  <c r="W571" i="1"/>
  <c r="T571" i="1"/>
  <c r="N571" i="1"/>
  <c r="M571" i="1"/>
  <c r="K571" i="1"/>
  <c r="L571" i="1" s="1"/>
  <c r="Z570" i="1"/>
  <c r="W570" i="1"/>
  <c r="T570" i="1"/>
  <c r="N570" i="1"/>
  <c r="M570" i="1"/>
  <c r="L570" i="1"/>
  <c r="K570" i="1"/>
  <c r="Z569" i="1"/>
  <c r="W569" i="1"/>
  <c r="T569" i="1"/>
  <c r="M569" i="1"/>
  <c r="N569" i="1" s="1"/>
  <c r="L569" i="1"/>
  <c r="K569" i="1"/>
  <c r="Z568" i="1"/>
  <c r="W568" i="1"/>
  <c r="T568" i="1"/>
  <c r="M568" i="1"/>
  <c r="N568" i="1" s="1"/>
  <c r="L568" i="1"/>
  <c r="K568" i="1"/>
  <c r="Z567" i="1"/>
  <c r="W567" i="1"/>
  <c r="T567" i="1"/>
  <c r="N567" i="1"/>
  <c r="M567" i="1"/>
  <c r="K567" i="1"/>
  <c r="L567" i="1" s="1"/>
  <c r="Z566" i="1"/>
  <c r="W566" i="1"/>
  <c r="T566" i="1"/>
  <c r="N566" i="1"/>
  <c r="M566" i="1"/>
  <c r="K566" i="1"/>
  <c r="L566" i="1" s="1"/>
  <c r="Z565" i="1"/>
  <c r="W565" i="1"/>
  <c r="T565" i="1"/>
  <c r="N565" i="1"/>
  <c r="M565" i="1"/>
  <c r="L565" i="1"/>
  <c r="K565" i="1"/>
  <c r="Z564" i="1"/>
  <c r="W564" i="1"/>
  <c r="T564" i="1"/>
  <c r="M564" i="1"/>
  <c r="N564" i="1" s="1"/>
  <c r="K564" i="1"/>
  <c r="L564" i="1" s="1"/>
  <c r="Z563" i="1"/>
  <c r="W563" i="1"/>
  <c r="T563" i="1"/>
  <c r="N563" i="1"/>
  <c r="M563" i="1"/>
  <c r="L563" i="1"/>
  <c r="K563" i="1"/>
  <c r="Z562" i="1"/>
  <c r="W562" i="1"/>
  <c r="T562" i="1"/>
  <c r="M562" i="1"/>
  <c r="N562" i="1" s="1"/>
  <c r="K562" i="1"/>
  <c r="L562" i="1" s="1"/>
  <c r="Z561" i="1"/>
  <c r="W561" i="1"/>
  <c r="T561" i="1"/>
  <c r="M561" i="1"/>
  <c r="N561" i="1" s="1"/>
  <c r="L561" i="1"/>
  <c r="K561" i="1"/>
  <c r="Z560" i="1"/>
  <c r="W560" i="1"/>
  <c r="T560" i="1"/>
  <c r="N560" i="1"/>
  <c r="M560" i="1"/>
  <c r="K560" i="1"/>
  <c r="L560" i="1" s="1"/>
  <c r="Z559" i="1"/>
  <c r="W559" i="1"/>
  <c r="T559" i="1"/>
  <c r="N559" i="1"/>
  <c r="M559" i="1"/>
  <c r="K559" i="1"/>
  <c r="L559" i="1" s="1"/>
  <c r="Z558" i="1"/>
  <c r="W558" i="1"/>
  <c r="T558" i="1"/>
  <c r="M558" i="1"/>
  <c r="N558" i="1" s="1"/>
  <c r="K558" i="1"/>
  <c r="L558" i="1" s="1"/>
  <c r="Z557" i="1"/>
  <c r="W557" i="1"/>
  <c r="T557" i="1"/>
  <c r="M557" i="1"/>
  <c r="N557" i="1" s="1"/>
  <c r="K557" i="1"/>
  <c r="L557" i="1" s="1"/>
  <c r="Z556" i="1"/>
  <c r="W556" i="1"/>
  <c r="T556" i="1"/>
  <c r="N556" i="1"/>
  <c r="M556" i="1"/>
  <c r="L556" i="1"/>
  <c r="K556" i="1"/>
  <c r="Z555" i="1"/>
  <c r="W555" i="1"/>
  <c r="T555" i="1"/>
  <c r="M555" i="1"/>
  <c r="N555" i="1" s="1"/>
  <c r="K555" i="1"/>
  <c r="L555" i="1" s="1"/>
  <c r="Z554" i="1"/>
  <c r="W554" i="1"/>
  <c r="T554" i="1"/>
  <c r="N554" i="1"/>
  <c r="M554" i="1"/>
  <c r="K554" i="1"/>
  <c r="L554" i="1" s="1"/>
  <c r="Z553" i="1"/>
  <c r="W553" i="1"/>
  <c r="T553" i="1"/>
  <c r="N553" i="1"/>
  <c r="M553" i="1"/>
  <c r="L553" i="1"/>
  <c r="K553" i="1"/>
  <c r="Z552" i="1"/>
  <c r="W552" i="1"/>
  <c r="T552" i="1"/>
  <c r="M552" i="1"/>
  <c r="N552" i="1" s="1"/>
  <c r="K552" i="1"/>
  <c r="L552" i="1" s="1"/>
  <c r="Z551" i="1"/>
  <c r="W551" i="1"/>
  <c r="T551" i="1"/>
  <c r="N551" i="1"/>
  <c r="M551" i="1"/>
  <c r="L551" i="1"/>
  <c r="K551" i="1"/>
  <c r="Z550" i="1"/>
  <c r="W550" i="1"/>
  <c r="T550" i="1"/>
  <c r="M550" i="1"/>
  <c r="N550" i="1" s="1"/>
  <c r="L550" i="1"/>
  <c r="K550" i="1"/>
  <c r="Z549" i="1"/>
  <c r="W549" i="1"/>
  <c r="T549" i="1"/>
  <c r="M549" i="1"/>
  <c r="N549" i="1" s="1"/>
  <c r="L549" i="1"/>
  <c r="K549" i="1"/>
  <c r="Z548" i="1"/>
  <c r="W548" i="1"/>
  <c r="T548" i="1"/>
  <c r="N548" i="1"/>
  <c r="M548" i="1"/>
  <c r="K548" i="1"/>
  <c r="L548" i="1" s="1"/>
  <c r="Z547" i="1"/>
  <c r="W547" i="1"/>
  <c r="T547" i="1"/>
  <c r="N547" i="1"/>
  <c r="M547" i="1"/>
  <c r="K547" i="1"/>
  <c r="L547" i="1" s="1"/>
  <c r="Z546" i="1"/>
  <c r="W546" i="1"/>
  <c r="T546" i="1"/>
  <c r="N546" i="1"/>
  <c r="M546" i="1"/>
  <c r="L546" i="1"/>
  <c r="K546" i="1"/>
  <c r="Z545" i="1"/>
  <c r="W545" i="1"/>
  <c r="T545" i="1"/>
  <c r="M545" i="1"/>
  <c r="N545" i="1" s="1"/>
  <c r="L545" i="1"/>
  <c r="K545" i="1"/>
  <c r="Z544" i="1"/>
  <c r="W544" i="1"/>
  <c r="T544" i="1"/>
  <c r="M544" i="1"/>
  <c r="N544" i="1" s="1"/>
  <c r="L544" i="1"/>
  <c r="K544" i="1"/>
  <c r="Z543" i="1"/>
  <c r="W543" i="1"/>
  <c r="T543" i="1"/>
  <c r="N543" i="1"/>
  <c r="M543" i="1"/>
  <c r="K543" i="1"/>
  <c r="L543" i="1" s="1"/>
  <c r="Z542" i="1"/>
  <c r="W542" i="1"/>
  <c r="T542" i="1"/>
  <c r="N542" i="1"/>
  <c r="M542" i="1"/>
  <c r="K542" i="1"/>
  <c r="L542" i="1" s="1"/>
  <c r="Z541" i="1"/>
  <c r="W541" i="1"/>
  <c r="T541" i="1"/>
  <c r="N541" i="1"/>
  <c r="M541" i="1"/>
  <c r="L541" i="1"/>
  <c r="K541" i="1"/>
  <c r="Z540" i="1"/>
  <c r="W540" i="1"/>
  <c r="T540" i="1"/>
  <c r="M540" i="1"/>
  <c r="N540" i="1" s="1"/>
  <c r="K540" i="1"/>
  <c r="L540" i="1" s="1"/>
  <c r="Z539" i="1"/>
  <c r="W539" i="1"/>
  <c r="T539" i="1"/>
  <c r="N539" i="1"/>
  <c r="M539" i="1"/>
  <c r="L539" i="1"/>
  <c r="K539" i="1"/>
  <c r="Z538" i="1"/>
  <c r="W538" i="1"/>
  <c r="T538" i="1"/>
  <c r="M538" i="1"/>
  <c r="N538" i="1" s="1"/>
  <c r="K538" i="1"/>
  <c r="L538" i="1" s="1"/>
  <c r="Z537" i="1"/>
  <c r="W537" i="1"/>
  <c r="T537" i="1"/>
  <c r="M537" i="1"/>
  <c r="N537" i="1" s="1"/>
  <c r="L537" i="1"/>
  <c r="K537" i="1"/>
  <c r="Z536" i="1"/>
  <c r="W536" i="1"/>
  <c r="T536" i="1"/>
  <c r="N536" i="1"/>
  <c r="M536" i="1"/>
  <c r="K536" i="1"/>
  <c r="L536" i="1" s="1"/>
  <c r="Z535" i="1"/>
  <c r="W535" i="1"/>
  <c r="T535" i="1"/>
  <c r="N535" i="1"/>
  <c r="M535" i="1"/>
  <c r="K535" i="1"/>
  <c r="L535" i="1" s="1"/>
  <c r="Z534" i="1"/>
  <c r="W534" i="1"/>
  <c r="T534" i="1"/>
  <c r="M534" i="1"/>
  <c r="N534" i="1" s="1"/>
  <c r="K534" i="1"/>
  <c r="L534" i="1" s="1"/>
  <c r="Z533" i="1"/>
  <c r="W533" i="1"/>
  <c r="T533" i="1"/>
  <c r="M533" i="1"/>
  <c r="N533" i="1" s="1"/>
  <c r="K533" i="1"/>
  <c r="L533" i="1" s="1"/>
  <c r="Z532" i="1"/>
  <c r="W532" i="1"/>
  <c r="T532" i="1"/>
  <c r="M532" i="1"/>
  <c r="N532" i="1" s="1"/>
  <c r="L532" i="1"/>
  <c r="K532" i="1"/>
  <c r="Z531" i="1"/>
  <c r="W531" i="1"/>
  <c r="T531" i="1"/>
  <c r="N531" i="1"/>
  <c r="M531" i="1"/>
  <c r="K531" i="1"/>
  <c r="L531" i="1" s="1"/>
  <c r="Z530" i="1"/>
  <c r="W530" i="1"/>
  <c r="T530" i="1"/>
  <c r="N530" i="1"/>
  <c r="M530" i="1"/>
  <c r="K530" i="1"/>
  <c r="L530" i="1" s="1"/>
  <c r="Z529" i="1"/>
  <c r="W529" i="1"/>
  <c r="T529" i="1"/>
  <c r="N529" i="1"/>
  <c r="M529" i="1"/>
  <c r="L529" i="1"/>
  <c r="K529" i="1"/>
  <c r="Z528" i="1"/>
  <c r="W528" i="1"/>
  <c r="T528" i="1"/>
  <c r="M528" i="1"/>
  <c r="N528" i="1" s="1"/>
  <c r="K528" i="1"/>
  <c r="L528" i="1" s="1"/>
  <c r="Z527" i="1"/>
  <c r="W527" i="1"/>
  <c r="T527" i="1"/>
  <c r="N527" i="1"/>
  <c r="M527" i="1"/>
  <c r="L527" i="1"/>
  <c r="K527" i="1"/>
  <c r="Z526" i="1"/>
  <c r="W526" i="1"/>
  <c r="T526" i="1"/>
  <c r="M526" i="1"/>
  <c r="N526" i="1" s="1"/>
  <c r="K526" i="1"/>
  <c r="L526" i="1" s="1"/>
  <c r="Z525" i="1"/>
  <c r="W525" i="1"/>
  <c r="T525" i="1"/>
  <c r="M525" i="1"/>
  <c r="N525" i="1" s="1"/>
  <c r="L525" i="1"/>
  <c r="K525" i="1"/>
  <c r="Z524" i="1"/>
  <c r="W524" i="1"/>
  <c r="T524" i="1"/>
  <c r="M524" i="1"/>
  <c r="N524" i="1" s="1"/>
  <c r="K524" i="1"/>
  <c r="L524" i="1" s="1"/>
  <c r="Z523" i="1"/>
  <c r="W523" i="1"/>
  <c r="T523" i="1"/>
  <c r="N523" i="1"/>
  <c r="M523" i="1"/>
  <c r="K523" i="1"/>
  <c r="L523" i="1" s="1"/>
  <c r="Z522" i="1"/>
  <c r="W522" i="1"/>
  <c r="T522" i="1"/>
  <c r="N522" i="1"/>
  <c r="M522" i="1"/>
  <c r="L522" i="1"/>
  <c r="K522" i="1"/>
  <c r="Z521" i="1"/>
  <c r="W521" i="1"/>
  <c r="T521" i="1"/>
  <c r="M521" i="1"/>
  <c r="N521" i="1" s="1"/>
  <c r="L521" i="1"/>
  <c r="K521" i="1"/>
  <c r="Z520" i="1"/>
  <c r="W520" i="1"/>
  <c r="T520" i="1"/>
  <c r="M520" i="1"/>
  <c r="N520" i="1" s="1"/>
  <c r="L520" i="1"/>
  <c r="K520" i="1"/>
  <c r="Z519" i="1"/>
  <c r="W519" i="1"/>
  <c r="T519" i="1"/>
  <c r="N519" i="1"/>
  <c r="M519" i="1"/>
  <c r="K519" i="1"/>
  <c r="L519" i="1" s="1"/>
  <c r="Z518" i="1"/>
  <c r="W518" i="1"/>
  <c r="T518" i="1"/>
  <c r="N518" i="1"/>
  <c r="M518" i="1"/>
  <c r="K518" i="1"/>
  <c r="L518" i="1" s="1"/>
  <c r="Z517" i="1"/>
  <c r="W517" i="1"/>
  <c r="T517" i="1"/>
  <c r="N517" i="1"/>
  <c r="M517" i="1"/>
  <c r="K517" i="1"/>
  <c r="L517" i="1" s="1"/>
  <c r="Z516" i="1"/>
  <c r="W516" i="1"/>
  <c r="T516" i="1"/>
  <c r="M516" i="1"/>
  <c r="N516" i="1" s="1"/>
  <c r="K516" i="1"/>
  <c r="L516" i="1" s="1"/>
  <c r="Z515" i="1"/>
  <c r="W515" i="1"/>
  <c r="T515" i="1"/>
  <c r="N515" i="1"/>
  <c r="M515" i="1"/>
  <c r="K515" i="1"/>
  <c r="L515" i="1" s="1"/>
  <c r="Z514" i="1"/>
  <c r="W514" i="1"/>
  <c r="T514" i="1"/>
  <c r="M514" i="1"/>
  <c r="N514" i="1" s="1"/>
  <c r="K514" i="1"/>
  <c r="L514" i="1" s="1"/>
  <c r="Z513" i="1"/>
  <c r="W513" i="1"/>
  <c r="T513" i="1"/>
  <c r="M513" i="1"/>
  <c r="N513" i="1" s="1"/>
  <c r="L513" i="1"/>
  <c r="K513" i="1"/>
  <c r="Z512" i="1"/>
  <c r="W512" i="1"/>
  <c r="T512" i="1"/>
  <c r="N512" i="1"/>
  <c r="M512" i="1"/>
  <c r="K512" i="1"/>
  <c r="L512" i="1" s="1"/>
  <c r="Z511" i="1"/>
  <c r="W511" i="1"/>
  <c r="T511" i="1"/>
  <c r="N511" i="1"/>
  <c r="M511" i="1"/>
  <c r="K511" i="1"/>
  <c r="L511" i="1" s="1"/>
  <c r="Z510" i="1"/>
  <c r="W510" i="1"/>
  <c r="T510" i="1"/>
  <c r="M510" i="1"/>
  <c r="N510" i="1" s="1"/>
  <c r="K510" i="1"/>
  <c r="L510" i="1" s="1"/>
  <c r="Z509" i="1"/>
  <c r="W509" i="1"/>
  <c r="T509" i="1"/>
  <c r="M509" i="1"/>
  <c r="N509" i="1" s="1"/>
  <c r="K509" i="1"/>
  <c r="L509" i="1" s="1"/>
  <c r="Z508" i="1"/>
  <c r="W508" i="1"/>
  <c r="T508" i="1"/>
  <c r="M508" i="1"/>
  <c r="N508" i="1" s="1"/>
  <c r="L508" i="1"/>
  <c r="K508" i="1"/>
  <c r="Z507" i="1"/>
  <c r="W507" i="1"/>
  <c r="T507" i="1"/>
  <c r="M507" i="1"/>
  <c r="N507" i="1" s="1"/>
  <c r="K507" i="1"/>
  <c r="L507" i="1" s="1"/>
  <c r="Z506" i="1"/>
  <c r="W506" i="1"/>
  <c r="T506" i="1"/>
  <c r="N506" i="1"/>
  <c r="M506" i="1"/>
  <c r="K506" i="1"/>
  <c r="L506" i="1" s="1"/>
  <c r="Z505" i="1"/>
  <c r="W505" i="1"/>
  <c r="T505" i="1"/>
  <c r="N505" i="1"/>
  <c r="M505" i="1"/>
  <c r="K505" i="1"/>
  <c r="L505" i="1" s="1"/>
  <c r="Z504" i="1"/>
  <c r="W504" i="1"/>
  <c r="T504" i="1"/>
  <c r="M504" i="1"/>
  <c r="N504" i="1" s="1"/>
  <c r="K504" i="1"/>
  <c r="L504" i="1" s="1"/>
  <c r="Z503" i="1"/>
  <c r="W503" i="1"/>
  <c r="T503" i="1"/>
  <c r="N503" i="1"/>
  <c r="M503" i="1"/>
  <c r="K503" i="1"/>
  <c r="L503" i="1" s="1"/>
  <c r="Z502" i="1"/>
  <c r="W502" i="1"/>
  <c r="T502" i="1"/>
  <c r="M502" i="1"/>
  <c r="N502" i="1" s="1"/>
  <c r="L502" i="1"/>
  <c r="K502" i="1"/>
  <c r="Z501" i="1"/>
  <c r="W501" i="1"/>
  <c r="T501" i="1"/>
  <c r="M501" i="1"/>
  <c r="N501" i="1" s="1"/>
  <c r="L501" i="1"/>
  <c r="K501" i="1"/>
  <c r="Z500" i="1"/>
  <c r="W500" i="1"/>
  <c r="T500" i="1"/>
  <c r="N500" i="1"/>
  <c r="M500" i="1"/>
  <c r="K500" i="1"/>
  <c r="L500" i="1" s="1"/>
  <c r="Z499" i="1"/>
  <c r="W499" i="1"/>
  <c r="T499" i="1"/>
  <c r="N499" i="1"/>
  <c r="M499" i="1"/>
  <c r="K499" i="1"/>
  <c r="L499" i="1" s="1"/>
  <c r="Z498" i="1"/>
  <c r="W498" i="1"/>
  <c r="T498" i="1"/>
  <c r="N498" i="1"/>
  <c r="M498" i="1"/>
  <c r="L498" i="1"/>
  <c r="K498" i="1"/>
  <c r="Z497" i="1"/>
  <c r="W497" i="1"/>
  <c r="T497" i="1"/>
  <c r="M497" i="1"/>
  <c r="N497" i="1" s="1"/>
  <c r="L497" i="1"/>
  <c r="K497" i="1"/>
  <c r="Z496" i="1"/>
  <c r="W496" i="1"/>
  <c r="T496" i="1"/>
  <c r="M496" i="1"/>
  <c r="N496" i="1" s="1"/>
  <c r="L496" i="1"/>
  <c r="K496" i="1"/>
  <c r="Z495" i="1"/>
  <c r="W495" i="1"/>
  <c r="T495" i="1"/>
  <c r="M495" i="1"/>
  <c r="N495" i="1" s="1"/>
  <c r="K495" i="1"/>
  <c r="L495" i="1" s="1"/>
  <c r="Z494" i="1"/>
  <c r="W494" i="1"/>
  <c r="T494" i="1"/>
  <c r="N494" i="1"/>
  <c r="M494" i="1"/>
  <c r="K494" i="1"/>
  <c r="L494" i="1" s="1"/>
  <c r="Z493" i="1"/>
  <c r="W493" i="1"/>
  <c r="T493" i="1"/>
  <c r="N493" i="1"/>
  <c r="M493" i="1"/>
  <c r="K493" i="1"/>
  <c r="L493" i="1" s="1"/>
  <c r="Z492" i="1"/>
  <c r="W492" i="1"/>
  <c r="T492" i="1"/>
  <c r="M492" i="1"/>
  <c r="N492" i="1" s="1"/>
  <c r="K492" i="1"/>
  <c r="L492" i="1" s="1"/>
  <c r="Z491" i="1"/>
  <c r="W491" i="1"/>
  <c r="T491" i="1"/>
  <c r="N491" i="1"/>
  <c r="M491" i="1"/>
  <c r="K491" i="1"/>
  <c r="L491" i="1" s="1"/>
  <c r="Z490" i="1"/>
  <c r="W490" i="1"/>
  <c r="T490" i="1"/>
  <c r="M490" i="1"/>
  <c r="N490" i="1" s="1"/>
  <c r="K490" i="1"/>
  <c r="L490" i="1" s="1"/>
  <c r="Z489" i="1"/>
  <c r="W489" i="1"/>
  <c r="T489" i="1"/>
  <c r="M489" i="1"/>
  <c r="N489" i="1" s="1"/>
  <c r="L489" i="1"/>
  <c r="K489" i="1"/>
  <c r="Z488" i="1"/>
  <c r="W488" i="1"/>
  <c r="T488" i="1"/>
  <c r="N488" i="1"/>
  <c r="M488" i="1"/>
  <c r="K488" i="1"/>
  <c r="L488" i="1" s="1"/>
  <c r="Z487" i="1"/>
  <c r="W487" i="1"/>
  <c r="T487" i="1"/>
  <c r="N487" i="1"/>
  <c r="M487" i="1"/>
  <c r="K487" i="1"/>
  <c r="L487" i="1" s="1"/>
  <c r="Z486" i="1"/>
  <c r="W486" i="1"/>
  <c r="T486" i="1"/>
  <c r="M486" i="1"/>
  <c r="N486" i="1" s="1"/>
  <c r="L486" i="1"/>
  <c r="K486" i="1"/>
  <c r="Z485" i="1"/>
  <c r="W485" i="1"/>
  <c r="T485" i="1"/>
  <c r="M485" i="1"/>
  <c r="N485" i="1" s="1"/>
  <c r="L485" i="1"/>
  <c r="K485" i="1"/>
  <c r="Z484" i="1"/>
  <c r="W484" i="1"/>
  <c r="T484" i="1"/>
  <c r="M484" i="1"/>
  <c r="N484" i="1" s="1"/>
  <c r="L484" i="1"/>
  <c r="K484" i="1"/>
  <c r="Z483" i="1"/>
  <c r="W483" i="1"/>
  <c r="T483" i="1"/>
  <c r="M483" i="1"/>
  <c r="N483" i="1" s="1"/>
  <c r="K483" i="1"/>
  <c r="L483" i="1" s="1"/>
  <c r="Z482" i="1"/>
  <c r="W482" i="1"/>
  <c r="T482" i="1"/>
  <c r="N482" i="1"/>
  <c r="M482" i="1"/>
  <c r="K482" i="1"/>
  <c r="L482" i="1" s="1"/>
  <c r="Z481" i="1"/>
  <c r="W481" i="1"/>
  <c r="T481" i="1"/>
  <c r="N481" i="1"/>
  <c r="M481" i="1"/>
  <c r="L481" i="1"/>
  <c r="K481" i="1"/>
  <c r="Z480" i="1"/>
  <c r="W480" i="1"/>
  <c r="T480" i="1"/>
  <c r="M480" i="1"/>
  <c r="N480" i="1" s="1"/>
  <c r="K480" i="1"/>
  <c r="L480" i="1" s="1"/>
  <c r="Z479" i="1"/>
  <c r="W479" i="1"/>
  <c r="T479" i="1"/>
  <c r="N479" i="1"/>
  <c r="M479" i="1"/>
  <c r="L479" i="1"/>
  <c r="K479" i="1"/>
  <c r="Z478" i="1"/>
  <c r="W478" i="1"/>
  <c r="T478" i="1"/>
  <c r="M478" i="1"/>
  <c r="N478" i="1" s="1"/>
  <c r="L478" i="1"/>
  <c r="K478" i="1"/>
  <c r="Z477" i="1"/>
  <c r="W477" i="1"/>
  <c r="T477" i="1"/>
  <c r="N477" i="1"/>
  <c r="M477" i="1"/>
  <c r="L477" i="1"/>
  <c r="K477" i="1"/>
  <c r="Z476" i="1"/>
  <c r="W476" i="1"/>
  <c r="T476" i="1"/>
  <c r="N476" i="1"/>
  <c r="M476" i="1"/>
  <c r="K476" i="1"/>
  <c r="L476" i="1" s="1"/>
  <c r="Z475" i="1"/>
  <c r="W475" i="1"/>
  <c r="T475" i="1"/>
  <c r="N475" i="1"/>
  <c r="M475" i="1"/>
  <c r="L475" i="1"/>
  <c r="K475" i="1"/>
  <c r="Z474" i="1"/>
  <c r="W474" i="1"/>
  <c r="T474" i="1"/>
  <c r="M474" i="1"/>
  <c r="N474" i="1" s="1"/>
  <c r="K474" i="1"/>
  <c r="L474" i="1" s="1"/>
  <c r="Z473" i="1"/>
  <c r="W473" i="1"/>
  <c r="T473" i="1"/>
  <c r="N473" i="1"/>
  <c r="M473" i="1"/>
  <c r="K473" i="1"/>
  <c r="L473" i="1" s="1"/>
  <c r="Z472" i="1"/>
  <c r="W472" i="1"/>
  <c r="T472" i="1"/>
  <c r="M472" i="1"/>
  <c r="N472" i="1" s="1"/>
  <c r="L472" i="1"/>
  <c r="K472" i="1"/>
  <c r="Z471" i="1"/>
  <c r="W471" i="1"/>
  <c r="T471" i="1"/>
  <c r="M471" i="1"/>
  <c r="N471" i="1" s="1"/>
  <c r="K471" i="1"/>
  <c r="L471" i="1" s="1"/>
  <c r="Z470" i="1"/>
  <c r="W470" i="1"/>
  <c r="T470" i="1"/>
  <c r="M470" i="1"/>
  <c r="N470" i="1" s="1"/>
  <c r="L470" i="1"/>
  <c r="K470" i="1"/>
  <c r="Z469" i="1"/>
  <c r="W469" i="1"/>
  <c r="T469" i="1"/>
  <c r="M469" i="1"/>
  <c r="N469" i="1" s="1"/>
  <c r="L469" i="1"/>
  <c r="K469" i="1"/>
  <c r="Z468" i="1"/>
  <c r="W468" i="1"/>
  <c r="T468" i="1"/>
  <c r="N468" i="1"/>
  <c r="M468" i="1"/>
  <c r="K468" i="1"/>
  <c r="L468" i="1" s="1"/>
  <c r="Z467" i="1"/>
  <c r="W467" i="1"/>
  <c r="T467" i="1"/>
  <c r="N467" i="1"/>
  <c r="M467" i="1"/>
  <c r="K467" i="1"/>
  <c r="L467" i="1" s="1"/>
  <c r="Z466" i="1"/>
  <c r="W466" i="1"/>
  <c r="T466" i="1"/>
  <c r="M466" i="1"/>
  <c r="N466" i="1" s="1"/>
  <c r="L466" i="1"/>
  <c r="K466" i="1"/>
  <c r="Z465" i="1"/>
  <c r="W465" i="1"/>
  <c r="T465" i="1"/>
  <c r="M465" i="1"/>
  <c r="N465" i="1" s="1"/>
  <c r="L465" i="1"/>
  <c r="K465" i="1"/>
  <c r="Z464" i="1"/>
  <c r="W464" i="1"/>
  <c r="T464" i="1"/>
  <c r="N464" i="1"/>
  <c r="M464" i="1"/>
  <c r="K464" i="1"/>
  <c r="L464" i="1" s="1"/>
  <c r="Z463" i="1"/>
  <c r="W463" i="1"/>
  <c r="T463" i="1"/>
  <c r="N463" i="1"/>
  <c r="M463" i="1"/>
  <c r="L463" i="1"/>
  <c r="K463" i="1"/>
  <c r="Z462" i="1"/>
  <c r="W462" i="1"/>
  <c r="T462" i="1"/>
  <c r="M462" i="1"/>
  <c r="N462" i="1" s="1"/>
  <c r="L462" i="1"/>
  <c r="K462" i="1"/>
  <c r="Z461" i="1"/>
  <c r="W461" i="1"/>
  <c r="T461" i="1"/>
  <c r="N461" i="1"/>
  <c r="M461" i="1"/>
  <c r="K461" i="1"/>
  <c r="L461" i="1" s="1"/>
  <c r="Z460" i="1"/>
  <c r="W460" i="1"/>
  <c r="T460" i="1"/>
  <c r="N460" i="1"/>
  <c r="M460" i="1"/>
  <c r="K460" i="1"/>
  <c r="L460" i="1" s="1"/>
  <c r="Z459" i="1"/>
  <c r="W459" i="1"/>
  <c r="T459" i="1"/>
  <c r="M459" i="1"/>
  <c r="N459" i="1" s="1"/>
  <c r="K459" i="1"/>
  <c r="L459" i="1" s="1"/>
  <c r="Z458" i="1"/>
  <c r="W458" i="1"/>
  <c r="T458" i="1"/>
  <c r="M458" i="1"/>
  <c r="N458" i="1" s="1"/>
  <c r="L458" i="1"/>
  <c r="K458" i="1"/>
  <c r="Z457" i="1"/>
  <c r="W457" i="1"/>
  <c r="T457" i="1"/>
  <c r="M457" i="1"/>
  <c r="N457" i="1" s="1"/>
  <c r="L457" i="1"/>
  <c r="K457" i="1"/>
  <c r="Z456" i="1"/>
  <c r="W456" i="1"/>
  <c r="T456" i="1"/>
  <c r="M456" i="1"/>
  <c r="N456" i="1" s="1"/>
  <c r="K456" i="1"/>
  <c r="L456" i="1" s="1"/>
  <c r="Z455" i="1"/>
  <c r="W455" i="1"/>
  <c r="T455" i="1"/>
  <c r="N455" i="1"/>
  <c r="M455" i="1"/>
  <c r="K455" i="1"/>
  <c r="L455" i="1" s="1"/>
  <c r="Z454" i="1"/>
  <c r="W454" i="1"/>
  <c r="T454" i="1"/>
  <c r="M454" i="1"/>
  <c r="N454" i="1" s="1"/>
  <c r="L454" i="1"/>
  <c r="K454" i="1"/>
  <c r="Z453" i="1"/>
  <c r="W453" i="1"/>
  <c r="T453" i="1"/>
  <c r="N453" i="1"/>
  <c r="M453" i="1"/>
  <c r="K453" i="1"/>
  <c r="L453" i="1" s="1"/>
  <c r="Z452" i="1"/>
  <c r="W452" i="1"/>
  <c r="T452" i="1"/>
  <c r="N452" i="1"/>
  <c r="M452" i="1"/>
  <c r="K452" i="1"/>
  <c r="L452" i="1" s="1"/>
  <c r="Z451" i="1"/>
  <c r="W451" i="1"/>
  <c r="T451" i="1"/>
  <c r="M451" i="1"/>
  <c r="N451" i="1" s="1"/>
  <c r="L451" i="1"/>
  <c r="K451" i="1"/>
  <c r="Z450" i="1"/>
  <c r="W450" i="1"/>
  <c r="T450" i="1"/>
  <c r="M450" i="1"/>
  <c r="N450" i="1" s="1"/>
  <c r="L450" i="1"/>
  <c r="K450" i="1"/>
  <c r="Z449" i="1"/>
  <c r="W449" i="1"/>
  <c r="T449" i="1"/>
  <c r="N449" i="1"/>
  <c r="M449" i="1"/>
  <c r="L449" i="1"/>
  <c r="K449" i="1"/>
  <c r="Z448" i="1"/>
  <c r="W448" i="1"/>
  <c r="T448" i="1"/>
  <c r="N448" i="1"/>
  <c r="M448" i="1"/>
  <c r="K448" i="1"/>
  <c r="L448" i="1" s="1"/>
  <c r="Z447" i="1"/>
  <c r="W447" i="1"/>
  <c r="T447" i="1"/>
  <c r="N447" i="1"/>
  <c r="M447" i="1"/>
  <c r="K447" i="1"/>
  <c r="L447" i="1" s="1"/>
  <c r="Z446" i="1"/>
  <c r="W446" i="1"/>
  <c r="T446" i="1"/>
  <c r="N446" i="1"/>
  <c r="M446" i="1"/>
  <c r="K446" i="1"/>
  <c r="L446" i="1" s="1"/>
  <c r="Z445" i="1"/>
  <c r="W445" i="1"/>
  <c r="T445" i="1"/>
  <c r="M445" i="1"/>
  <c r="N445" i="1" s="1"/>
  <c r="L445" i="1"/>
  <c r="K445" i="1"/>
  <c r="Z444" i="1"/>
  <c r="W444" i="1"/>
  <c r="T444" i="1"/>
  <c r="M444" i="1"/>
  <c r="N444" i="1" s="1"/>
  <c r="K444" i="1"/>
  <c r="L444" i="1" s="1"/>
  <c r="Z443" i="1"/>
  <c r="W443" i="1"/>
  <c r="T443" i="1"/>
  <c r="M443" i="1"/>
  <c r="N443" i="1" s="1"/>
  <c r="K443" i="1"/>
  <c r="L443" i="1" s="1"/>
  <c r="Z442" i="1"/>
  <c r="W442" i="1"/>
  <c r="T442" i="1"/>
  <c r="M442" i="1"/>
  <c r="N442" i="1" s="1"/>
  <c r="L442" i="1"/>
  <c r="K442" i="1"/>
  <c r="Z441" i="1"/>
  <c r="W441" i="1"/>
  <c r="T441" i="1"/>
  <c r="M441" i="1"/>
  <c r="N441" i="1" s="1"/>
  <c r="L441" i="1"/>
  <c r="K441" i="1"/>
  <c r="Z440" i="1"/>
  <c r="W440" i="1"/>
  <c r="T440" i="1"/>
  <c r="N440" i="1"/>
  <c r="M440" i="1"/>
  <c r="K440" i="1"/>
  <c r="L440" i="1" s="1"/>
  <c r="Z439" i="1"/>
  <c r="W439" i="1"/>
  <c r="T439" i="1"/>
  <c r="N439" i="1"/>
  <c r="M439" i="1"/>
  <c r="L439" i="1"/>
  <c r="K439" i="1"/>
  <c r="Z438" i="1"/>
  <c r="W438" i="1"/>
  <c r="T438" i="1"/>
  <c r="M438" i="1"/>
  <c r="N438" i="1" s="1"/>
  <c r="K438" i="1"/>
  <c r="L438" i="1" s="1"/>
  <c r="Z437" i="1"/>
  <c r="W437" i="1"/>
  <c r="T437" i="1"/>
  <c r="N437" i="1"/>
  <c r="M437" i="1"/>
  <c r="K437" i="1"/>
  <c r="L437" i="1" s="1"/>
  <c r="Z436" i="1"/>
  <c r="W436" i="1"/>
  <c r="T436" i="1"/>
  <c r="M436" i="1"/>
  <c r="N436" i="1" s="1"/>
  <c r="L436" i="1"/>
  <c r="K436" i="1"/>
  <c r="Z435" i="1"/>
  <c r="W435" i="1"/>
  <c r="T435" i="1"/>
  <c r="M435" i="1"/>
  <c r="N435" i="1" s="1"/>
  <c r="K435" i="1"/>
  <c r="L435" i="1" s="1"/>
  <c r="Z434" i="1"/>
  <c r="W434" i="1"/>
  <c r="T434" i="1"/>
  <c r="N434" i="1"/>
  <c r="M434" i="1"/>
  <c r="L434" i="1"/>
  <c r="K434" i="1"/>
  <c r="Z433" i="1"/>
  <c r="W433" i="1"/>
  <c r="T433" i="1"/>
  <c r="M433" i="1"/>
  <c r="N433" i="1" s="1"/>
  <c r="K433" i="1"/>
  <c r="L433" i="1" s="1"/>
  <c r="Z432" i="1"/>
  <c r="W432" i="1"/>
  <c r="T432" i="1"/>
  <c r="M432" i="1"/>
  <c r="N432" i="1" s="1"/>
  <c r="K432" i="1"/>
  <c r="L432" i="1" s="1"/>
  <c r="Z431" i="1"/>
  <c r="W431" i="1"/>
  <c r="T431" i="1"/>
  <c r="M431" i="1"/>
  <c r="N431" i="1" s="1"/>
  <c r="K431" i="1"/>
  <c r="L431" i="1" s="1"/>
  <c r="Z430" i="1"/>
  <c r="W430" i="1"/>
  <c r="T430" i="1"/>
  <c r="M430" i="1"/>
  <c r="N430" i="1" s="1"/>
  <c r="L430" i="1"/>
  <c r="K430" i="1"/>
  <c r="Z429" i="1"/>
  <c r="W429" i="1"/>
  <c r="T429" i="1"/>
  <c r="M429" i="1"/>
  <c r="N429" i="1" s="1"/>
  <c r="L429" i="1"/>
  <c r="K429" i="1"/>
  <c r="Z428" i="1"/>
  <c r="W428" i="1"/>
  <c r="T428" i="1"/>
  <c r="N428" i="1"/>
  <c r="M428" i="1"/>
  <c r="K428" i="1"/>
  <c r="L428" i="1" s="1"/>
  <c r="Z427" i="1"/>
  <c r="W427" i="1"/>
  <c r="T427" i="1"/>
  <c r="N427" i="1"/>
  <c r="M427" i="1"/>
  <c r="L427" i="1"/>
  <c r="K427" i="1"/>
  <c r="Z426" i="1"/>
  <c r="W426" i="1"/>
  <c r="T426" i="1"/>
  <c r="M426" i="1"/>
  <c r="N426" i="1" s="1"/>
  <c r="K426" i="1"/>
  <c r="L426" i="1" s="1"/>
  <c r="Z425" i="1"/>
  <c r="W425" i="1"/>
  <c r="T425" i="1"/>
  <c r="N425" i="1"/>
  <c r="M425" i="1"/>
  <c r="L425" i="1"/>
  <c r="K425" i="1"/>
  <c r="Z424" i="1"/>
  <c r="W424" i="1"/>
  <c r="T424" i="1"/>
  <c r="M424" i="1"/>
  <c r="N424" i="1" s="1"/>
  <c r="K424" i="1"/>
  <c r="L424" i="1" s="1"/>
  <c r="Z423" i="1"/>
  <c r="W423" i="1"/>
  <c r="T423" i="1"/>
  <c r="N423" i="1"/>
  <c r="M423" i="1"/>
  <c r="K423" i="1"/>
  <c r="L423" i="1" s="1"/>
  <c r="Z422" i="1"/>
  <c r="W422" i="1"/>
  <c r="T422" i="1"/>
  <c r="N422" i="1"/>
  <c r="M422" i="1"/>
  <c r="L422" i="1"/>
  <c r="K422" i="1"/>
  <c r="Z421" i="1"/>
  <c r="W421" i="1"/>
  <c r="T421" i="1"/>
  <c r="M421" i="1"/>
  <c r="N421" i="1" s="1"/>
  <c r="L421" i="1"/>
  <c r="K421" i="1"/>
  <c r="Z420" i="1"/>
  <c r="W420" i="1"/>
  <c r="T420" i="1"/>
  <c r="M420" i="1"/>
  <c r="N420" i="1" s="1"/>
  <c r="K420" i="1"/>
  <c r="L420" i="1" s="1"/>
  <c r="Z419" i="1"/>
  <c r="W419" i="1"/>
  <c r="T419" i="1"/>
  <c r="N419" i="1"/>
  <c r="M419" i="1"/>
  <c r="K419" i="1"/>
  <c r="L419" i="1" s="1"/>
  <c r="Z418" i="1"/>
  <c r="W418" i="1"/>
  <c r="T418" i="1"/>
  <c r="M418" i="1"/>
  <c r="N418" i="1" s="1"/>
  <c r="K418" i="1"/>
  <c r="L418" i="1" s="1"/>
  <c r="Z417" i="1"/>
  <c r="W417" i="1"/>
  <c r="T417" i="1"/>
  <c r="N417" i="1"/>
  <c r="M417" i="1"/>
  <c r="K417" i="1"/>
  <c r="L417" i="1" s="1"/>
  <c r="Z416" i="1"/>
  <c r="W416" i="1"/>
  <c r="T416" i="1"/>
  <c r="M416" i="1"/>
  <c r="N416" i="1" s="1"/>
  <c r="K416" i="1"/>
  <c r="L416" i="1" s="1"/>
  <c r="Z415" i="1"/>
  <c r="W415" i="1"/>
  <c r="T415" i="1"/>
  <c r="M415" i="1"/>
  <c r="N415" i="1" s="1"/>
  <c r="L415" i="1"/>
  <c r="K415" i="1"/>
  <c r="Z414" i="1"/>
  <c r="W414" i="1"/>
  <c r="T414" i="1"/>
  <c r="N414" i="1"/>
  <c r="M414" i="1"/>
  <c r="L414" i="1"/>
  <c r="K414" i="1"/>
  <c r="Z413" i="1"/>
  <c r="W413" i="1"/>
  <c r="T413" i="1"/>
  <c r="N413" i="1"/>
  <c r="M413" i="1"/>
  <c r="L413" i="1"/>
  <c r="K413" i="1"/>
  <c r="Z412" i="1"/>
  <c r="W412" i="1"/>
  <c r="T412" i="1"/>
  <c r="N412" i="1"/>
  <c r="M412" i="1"/>
  <c r="K412" i="1"/>
  <c r="L412" i="1" s="1"/>
  <c r="Z411" i="1"/>
  <c r="W411" i="1"/>
  <c r="T411" i="1"/>
  <c r="N411" i="1"/>
  <c r="M411" i="1"/>
  <c r="K411" i="1"/>
  <c r="L411" i="1" s="1"/>
  <c r="Z410" i="1"/>
  <c r="W410" i="1"/>
  <c r="T410" i="1"/>
  <c r="M410" i="1"/>
  <c r="N410" i="1" s="1"/>
  <c r="K410" i="1"/>
  <c r="L410" i="1" s="1"/>
  <c r="Z409" i="1"/>
  <c r="W409" i="1"/>
  <c r="T409" i="1"/>
  <c r="N409" i="1"/>
  <c r="M409" i="1"/>
  <c r="K409" i="1"/>
  <c r="L409" i="1" s="1"/>
  <c r="Z408" i="1"/>
  <c r="W408" i="1"/>
  <c r="T408" i="1"/>
  <c r="M408" i="1"/>
  <c r="N408" i="1" s="1"/>
  <c r="L408" i="1"/>
  <c r="K408" i="1"/>
  <c r="Z407" i="1"/>
  <c r="W407" i="1"/>
  <c r="T407" i="1"/>
  <c r="M407" i="1"/>
  <c r="N407" i="1" s="1"/>
  <c r="L407" i="1"/>
  <c r="K407" i="1"/>
  <c r="Z406" i="1"/>
  <c r="W406" i="1"/>
  <c r="T406" i="1"/>
  <c r="N406" i="1"/>
  <c r="M406" i="1"/>
  <c r="K406" i="1"/>
  <c r="L406" i="1" s="1"/>
  <c r="Z405" i="1"/>
  <c r="W405" i="1"/>
  <c r="T405" i="1"/>
  <c r="N405" i="1"/>
  <c r="M405" i="1"/>
  <c r="K405" i="1"/>
  <c r="L405" i="1" s="1"/>
  <c r="Z404" i="1"/>
  <c r="W404" i="1"/>
  <c r="T404" i="1"/>
  <c r="M404" i="1"/>
  <c r="N404" i="1" s="1"/>
  <c r="K404" i="1"/>
  <c r="L404" i="1" s="1"/>
  <c r="Z403" i="1"/>
  <c r="W403" i="1"/>
  <c r="T403" i="1"/>
  <c r="M403" i="1"/>
  <c r="N403" i="1" s="1"/>
  <c r="K403" i="1"/>
  <c r="L403" i="1" s="1"/>
  <c r="Z402" i="1"/>
  <c r="W402" i="1"/>
  <c r="T402" i="1"/>
  <c r="N402" i="1"/>
  <c r="M402" i="1"/>
  <c r="L402" i="1"/>
  <c r="K402" i="1"/>
  <c r="Z401" i="1"/>
  <c r="W401" i="1"/>
  <c r="T401" i="1"/>
  <c r="M401" i="1"/>
  <c r="N401" i="1" s="1"/>
  <c r="L401" i="1"/>
  <c r="K401" i="1"/>
  <c r="Z400" i="1"/>
  <c r="W400" i="1"/>
  <c r="T400" i="1"/>
  <c r="N400" i="1"/>
  <c r="M400" i="1"/>
  <c r="K400" i="1"/>
  <c r="L400" i="1" s="1"/>
  <c r="Z399" i="1"/>
  <c r="W399" i="1"/>
  <c r="T399" i="1"/>
  <c r="N399" i="1"/>
  <c r="M399" i="1"/>
  <c r="K399" i="1"/>
  <c r="L399" i="1" s="1"/>
  <c r="Z398" i="1"/>
  <c r="W398" i="1"/>
  <c r="T398" i="1"/>
  <c r="M398" i="1"/>
  <c r="N398" i="1" s="1"/>
  <c r="K398" i="1"/>
  <c r="L398" i="1" s="1"/>
  <c r="Z397" i="1"/>
  <c r="W397" i="1"/>
  <c r="T397" i="1"/>
  <c r="M397" i="1"/>
  <c r="N397" i="1" s="1"/>
  <c r="K397" i="1"/>
  <c r="L397" i="1" s="1"/>
  <c r="Z396" i="1"/>
  <c r="W396" i="1"/>
  <c r="T396" i="1"/>
  <c r="M396" i="1"/>
  <c r="N396" i="1" s="1"/>
  <c r="L396" i="1"/>
  <c r="K396" i="1"/>
  <c r="Z395" i="1"/>
  <c r="W395" i="1"/>
  <c r="T395" i="1"/>
  <c r="M395" i="1"/>
  <c r="N395" i="1" s="1"/>
  <c r="L395" i="1"/>
  <c r="K395" i="1"/>
  <c r="Z394" i="1"/>
  <c r="W394" i="1"/>
  <c r="T394" i="1"/>
  <c r="N394" i="1"/>
  <c r="M394" i="1"/>
  <c r="K394" i="1"/>
  <c r="L394" i="1" s="1"/>
  <c r="Z393" i="1"/>
  <c r="W393" i="1"/>
  <c r="T393" i="1"/>
  <c r="N393" i="1"/>
  <c r="M393" i="1"/>
  <c r="K393" i="1"/>
  <c r="L393" i="1" s="1"/>
  <c r="Z392" i="1"/>
  <c r="W392" i="1"/>
  <c r="T392" i="1"/>
  <c r="M392" i="1"/>
  <c r="N392" i="1" s="1"/>
  <c r="K392" i="1"/>
  <c r="L392" i="1" s="1"/>
  <c r="Z391" i="1"/>
  <c r="W391" i="1"/>
  <c r="T391" i="1"/>
  <c r="M391" i="1"/>
  <c r="N391" i="1" s="1"/>
  <c r="K391" i="1"/>
  <c r="L391" i="1" s="1"/>
  <c r="Z390" i="1"/>
  <c r="W390" i="1"/>
  <c r="T390" i="1"/>
  <c r="N390" i="1"/>
  <c r="M390" i="1"/>
  <c r="L390" i="1"/>
  <c r="K390" i="1"/>
  <c r="Z389" i="1"/>
  <c r="W389" i="1"/>
  <c r="T389" i="1"/>
  <c r="M389" i="1"/>
  <c r="N389" i="1" s="1"/>
  <c r="L389" i="1"/>
  <c r="K389" i="1"/>
  <c r="Z388" i="1"/>
  <c r="W388" i="1"/>
  <c r="T388" i="1"/>
  <c r="N388" i="1"/>
  <c r="M388" i="1"/>
  <c r="K388" i="1"/>
  <c r="L388" i="1" s="1"/>
  <c r="Z387" i="1"/>
  <c r="W387" i="1"/>
  <c r="T387" i="1"/>
  <c r="N387" i="1"/>
  <c r="M387" i="1"/>
  <c r="K387" i="1"/>
  <c r="L387" i="1" s="1"/>
  <c r="Z386" i="1"/>
  <c r="W386" i="1"/>
  <c r="T386" i="1"/>
  <c r="M386" i="1"/>
  <c r="N386" i="1" s="1"/>
  <c r="K386" i="1"/>
  <c r="L386" i="1" s="1"/>
  <c r="Z385" i="1"/>
  <c r="W385" i="1"/>
  <c r="T385" i="1"/>
  <c r="N385" i="1"/>
  <c r="M385" i="1"/>
  <c r="K385" i="1"/>
  <c r="L385" i="1" s="1"/>
  <c r="Z384" i="1"/>
  <c r="W384" i="1"/>
  <c r="T384" i="1"/>
  <c r="M384" i="1"/>
  <c r="N384" i="1" s="1"/>
  <c r="L384" i="1"/>
  <c r="K384" i="1"/>
  <c r="Z383" i="1"/>
  <c r="W383" i="1"/>
  <c r="T383" i="1"/>
  <c r="M383" i="1"/>
  <c r="N383" i="1" s="1"/>
  <c r="L383" i="1"/>
  <c r="K383" i="1"/>
  <c r="Z382" i="1"/>
  <c r="W382" i="1"/>
  <c r="T382" i="1"/>
  <c r="N382" i="1"/>
  <c r="M382" i="1"/>
  <c r="K382" i="1"/>
  <c r="L382" i="1" s="1"/>
  <c r="Z381" i="1"/>
  <c r="W381" i="1"/>
  <c r="T381" i="1"/>
  <c r="N381" i="1"/>
  <c r="M381" i="1"/>
  <c r="K381" i="1"/>
  <c r="L381" i="1" s="1"/>
  <c r="Z380" i="1"/>
  <c r="W380" i="1"/>
  <c r="T380" i="1"/>
  <c r="M380" i="1"/>
  <c r="N380" i="1" s="1"/>
  <c r="K380" i="1"/>
  <c r="L380" i="1" s="1"/>
  <c r="Z379" i="1"/>
  <c r="W379" i="1"/>
  <c r="T379" i="1"/>
  <c r="M379" i="1"/>
  <c r="N379" i="1" s="1"/>
  <c r="K379" i="1"/>
  <c r="L379" i="1" s="1"/>
  <c r="Z378" i="1"/>
  <c r="W378" i="1"/>
  <c r="T378" i="1"/>
  <c r="N378" i="1"/>
  <c r="M378" i="1"/>
  <c r="L378" i="1"/>
  <c r="K378" i="1"/>
  <c r="Z377" i="1"/>
  <c r="W377" i="1"/>
  <c r="T377" i="1"/>
  <c r="M377" i="1"/>
  <c r="N377" i="1" s="1"/>
  <c r="L377" i="1"/>
  <c r="K377" i="1"/>
  <c r="Z376" i="1"/>
  <c r="W376" i="1"/>
  <c r="T376" i="1"/>
  <c r="N376" i="1"/>
  <c r="M376" i="1"/>
  <c r="K376" i="1"/>
  <c r="L376" i="1" s="1"/>
  <c r="Z375" i="1"/>
  <c r="W375" i="1"/>
  <c r="T375" i="1"/>
  <c r="N375" i="1"/>
  <c r="M375" i="1"/>
  <c r="K375" i="1"/>
  <c r="L375" i="1" s="1"/>
  <c r="Z374" i="1"/>
  <c r="W374" i="1"/>
  <c r="T374" i="1"/>
  <c r="M374" i="1"/>
  <c r="N374" i="1" s="1"/>
  <c r="K374" i="1"/>
  <c r="L374" i="1" s="1"/>
  <c r="Z373" i="1"/>
  <c r="W373" i="1"/>
  <c r="T373" i="1"/>
  <c r="M373" i="1"/>
  <c r="N373" i="1" s="1"/>
  <c r="K373" i="1"/>
  <c r="L373" i="1" s="1"/>
  <c r="Z372" i="1"/>
  <c r="W372" i="1"/>
  <c r="T372" i="1"/>
  <c r="M372" i="1"/>
  <c r="N372" i="1" s="1"/>
  <c r="L372" i="1"/>
  <c r="K372" i="1"/>
  <c r="Z371" i="1"/>
  <c r="W371" i="1"/>
  <c r="T371" i="1"/>
  <c r="M371" i="1"/>
  <c r="N371" i="1" s="1"/>
  <c r="L371" i="1"/>
  <c r="K371" i="1"/>
  <c r="Z370" i="1"/>
  <c r="W370" i="1"/>
  <c r="T370" i="1"/>
  <c r="N370" i="1"/>
  <c r="M370" i="1"/>
  <c r="K370" i="1"/>
  <c r="L370" i="1" s="1"/>
  <c r="Z369" i="1"/>
  <c r="W369" i="1"/>
  <c r="T369" i="1"/>
  <c r="N369" i="1"/>
  <c r="M369" i="1"/>
  <c r="K369" i="1"/>
  <c r="L369" i="1" s="1"/>
  <c r="Z368" i="1"/>
  <c r="W368" i="1"/>
  <c r="T368" i="1"/>
  <c r="M368" i="1"/>
  <c r="N368" i="1" s="1"/>
  <c r="K368" i="1"/>
  <c r="L368" i="1" s="1"/>
  <c r="Z367" i="1"/>
  <c r="W367" i="1"/>
  <c r="T367" i="1"/>
  <c r="M367" i="1"/>
  <c r="N367" i="1" s="1"/>
  <c r="K367" i="1"/>
  <c r="L367" i="1" s="1"/>
  <c r="Z366" i="1"/>
  <c r="W366" i="1"/>
  <c r="T366" i="1"/>
  <c r="N366" i="1"/>
  <c r="M366" i="1"/>
  <c r="L366" i="1"/>
  <c r="K366" i="1"/>
  <c r="Z365" i="1"/>
  <c r="W365" i="1"/>
  <c r="T365" i="1"/>
  <c r="M365" i="1"/>
  <c r="N365" i="1" s="1"/>
  <c r="L365" i="1"/>
  <c r="K365" i="1"/>
  <c r="Z364" i="1"/>
  <c r="W364" i="1"/>
  <c r="T364" i="1"/>
  <c r="N364" i="1"/>
  <c r="M364" i="1"/>
  <c r="K364" i="1"/>
  <c r="L364" i="1" s="1"/>
  <c r="Z363" i="1"/>
  <c r="W363" i="1"/>
  <c r="T363" i="1"/>
  <c r="N363" i="1"/>
  <c r="M363" i="1"/>
  <c r="K363" i="1"/>
  <c r="L363" i="1" s="1"/>
  <c r="Z362" i="1"/>
  <c r="W362" i="1"/>
  <c r="T362" i="1"/>
  <c r="M362" i="1"/>
  <c r="N362" i="1" s="1"/>
  <c r="K362" i="1"/>
  <c r="L362" i="1" s="1"/>
  <c r="Z361" i="1"/>
  <c r="W361" i="1"/>
  <c r="T361" i="1"/>
  <c r="N361" i="1"/>
  <c r="M361" i="1"/>
  <c r="K361" i="1"/>
  <c r="L361" i="1" s="1"/>
  <c r="Z360" i="1"/>
  <c r="W360" i="1"/>
  <c r="T360" i="1"/>
  <c r="M360" i="1"/>
  <c r="N360" i="1" s="1"/>
  <c r="L360" i="1"/>
  <c r="K360" i="1"/>
  <c r="Z359" i="1"/>
  <c r="W359" i="1"/>
  <c r="T359" i="1"/>
  <c r="M359" i="1"/>
  <c r="N359" i="1" s="1"/>
  <c r="L359" i="1"/>
  <c r="K359" i="1"/>
  <c r="Z358" i="1"/>
  <c r="W358" i="1"/>
  <c r="T358" i="1"/>
  <c r="N358" i="1"/>
  <c r="M358" i="1"/>
  <c r="K358" i="1"/>
  <c r="L358" i="1" s="1"/>
  <c r="Z357" i="1"/>
  <c r="W357" i="1"/>
  <c r="T357" i="1"/>
  <c r="M357" i="1"/>
  <c r="N357" i="1" s="1"/>
  <c r="K357" i="1"/>
  <c r="L357" i="1" s="1"/>
  <c r="Z356" i="1"/>
  <c r="W356" i="1"/>
  <c r="T356" i="1"/>
  <c r="M356" i="1"/>
  <c r="N356" i="1" s="1"/>
  <c r="L356" i="1"/>
  <c r="K356" i="1"/>
  <c r="Z355" i="1"/>
  <c r="W355" i="1"/>
  <c r="T355" i="1"/>
  <c r="M355" i="1"/>
  <c r="N355" i="1" s="1"/>
  <c r="L355" i="1"/>
  <c r="K355" i="1"/>
  <c r="Z354" i="1"/>
  <c r="W354" i="1"/>
  <c r="T354" i="1"/>
  <c r="M354" i="1"/>
  <c r="N354" i="1" s="1"/>
  <c r="L354" i="1"/>
  <c r="K354" i="1"/>
  <c r="Z353" i="1"/>
  <c r="W353" i="1"/>
  <c r="T353" i="1"/>
  <c r="N353" i="1"/>
  <c r="M353" i="1"/>
  <c r="L353" i="1"/>
  <c r="K353" i="1"/>
  <c r="Z352" i="1"/>
  <c r="W352" i="1"/>
  <c r="T352" i="1"/>
  <c r="N352" i="1"/>
  <c r="M352" i="1"/>
  <c r="K352" i="1"/>
  <c r="L352" i="1" s="1"/>
  <c r="Z351" i="1"/>
  <c r="W351" i="1"/>
  <c r="T351" i="1"/>
  <c r="N351" i="1"/>
  <c r="M351" i="1"/>
  <c r="K351" i="1"/>
  <c r="L351" i="1" s="1"/>
  <c r="Z350" i="1"/>
  <c r="W350" i="1"/>
  <c r="T350" i="1"/>
  <c r="M350" i="1"/>
  <c r="N350" i="1" s="1"/>
  <c r="L350" i="1"/>
  <c r="K350" i="1"/>
  <c r="Z349" i="1"/>
  <c r="W349" i="1"/>
  <c r="T349" i="1"/>
  <c r="M349" i="1"/>
  <c r="N349" i="1" s="1"/>
  <c r="K349" i="1"/>
  <c r="L349" i="1" s="1"/>
  <c r="Z348" i="1"/>
  <c r="W348" i="1"/>
  <c r="T348" i="1"/>
  <c r="N348" i="1"/>
  <c r="M348" i="1"/>
  <c r="K348" i="1"/>
  <c r="L348" i="1" s="1"/>
  <c r="Z347" i="1"/>
  <c r="W347" i="1"/>
  <c r="T347" i="1"/>
  <c r="M347" i="1"/>
  <c r="N347" i="1" s="1"/>
  <c r="L347" i="1"/>
  <c r="K347" i="1"/>
  <c r="Z346" i="1"/>
  <c r="W346" i="1"/>
  <c r="T346" i="1"/>
  <c r="M346" i="1"/>
  <c r="N346" i="1" s="1"/>
  <c r="K346" i="1"/>
  <c r="L346" i="1" s="1"/>
  <c r="Z345" i="1"/>
  <c r="W345" i="1"/>
  <c r="T345" i="1"/>
  <c r="M345" i="1"/>
  <c r="N345" i="1" s="1"/>
  <c r="K345" i="1"/>
  <c r="L345" i="1" s="1"/>
  <c r="Z344" i="1"/>
  <c r="W344" i="1"/>
  <c r="T344" i="1"/>
  <c r="M344" i="1"/>
  <c r="N344" i="1" s="1"/>
  <c r="K344" i="1"/>
  <c r="L344" i="1" s="1"/>
  <c r="Z343" i="1"/>
  <c r="W343" i="1"/>
  <c r="T343" i="1"/>
  <c r="M343" i="1"/>
  <c r="N343" i="1" s="1"/>
  <c r="K343" i="1"/>
  <c r="L343" i="1" s="1"/>
  <c r="Z342" i="1"/>
  <c r="W342" i="1"/>
  <c r="T342" i="1"/>
  <c r="M342" i="1"/>
  <c r="N342" i="1" s="1"/>
  <c r="L342" i="1"/>
  <c r="K342" i="1"/>
  <c r="Z341" i="1"/>
  <c r="W341" i="1"/>
  <c r="T341" i="1"/>
  <c r="M341" i="1"/>
  <c r="N341" i="1" s="1"/>
  <c r="L341" i="1"/>
  <c r="K341" i="1"/>
  <c r="Z340" i="1"/>
  <c r="W340" i="1"/>
  <c r="T340" i="1"/>
  <c r="N340" i="1"/>
  <c r="M340" i="1"/>
  <c r="K340" i="1"/>
  <c r="L340" i="1" s="1"/>
  <c r="Z339" i="1"/>
  <c r="W339" i="1"/>
  <c r="T339" i="1"/>
  <c r="N339" i="1"/>
  <c r="M339" i="1"/>
  <c r="L339" i="1"/>
  <c r="K339" i="1"/>
  <c r="Z338" i="1"/>
  <c r="W338" i="1"/>
  <c r="T338" i="1"/>
  <c r="M338" i="1"/>
  <c r="N338" i="1" s="1"/>
  <c r="K338" i="1"/>
  <c r="L338" i="1" s="1"/>
  <c r="Z337" i="1"/>
  <c r="W337" i="1"/>
  <c r="T337" i="1"/>
  <c r="M337" i="1"/>
  <c r="N337" i="1" s="1"/>
  <c r="L337" i="1"/>
  <c r="K337" i="1"/>
  <c r="Z336" i="1"/>
  <c r="W336" i="1"/>
  <c r="T336" i="1"/>
  <c r="M336" i="1"/>
  <c r="N336" i="1" s="1"/>
  <c r="K336" i="1"/>
  <c r="L336" i="1" s="1"/>
  <c r="Z335" i="1"/>
  <c r="W335" i="1"/>
  <c r="T335" i="1"/>
  <c r="N335" i="1"/>
  <c r="M335" i="1"/>
  <c r="K335" i="1"/>
  <c r="L335" i="1" s="1"/>
  <c r="Z334" i="1"/>
  <c r="W334" i="1"/>
  <c r="T334" i="1"/>
  <c r="M334" i="1"/>
  <c r="N334" i="1" s="1"/>
  <c r="K334" i="1"/>
  <c r="L334" i="1" s="1"/>
  <c r="Z333" i="1"/>
  <c r="W333" i="1"/>
  <c r="T333" i="1"/>
  <c r="M333" i="1"/>
  <c r="N333" i="1" s="1"/>
  <c r="K333" i="1"/>
  <c r="L333" i="1" s="1"/>
  <c r="Z332" i="1"/>
  <c r="W332" i="1"/>
  <c r="T332" i="1"/>
  <c r="M332" i="1"/>
  <c r="N332" i="1" s="1"/>
  <c r="K332" i="1"/>
  <c r="L332" i="1" s="1"/>
  <c r="Z331" i="1"/>
  <c r="W331" i="1"/>
  <c r="T331" i="1"/>
  <c r="M331" i="1"/>
  <c r="N331" i="1" s="1"/>
  <c r="L331" i="1"/>
  <c r="K331" i="1"/>
  <c r="Z330" i="1"/>
  <c r="W330" i="1"/>
  <c r="T330" i="1"/>
  <c r="M330" i="1"/>
  <c r="N330" i="1" s="1"/>
  <c r="L330" i="1"/>
  <c r="K330" i="1"/>
  <c r="Z329" i="1"/>
  <c r="W329" i="1"/>
  <c r="T329" i="1"/>
  <c r="N329" i="1"/>
  <c r="M329" i="1"/>
  <c r="L329" i="1"/>
  <c r="K329" i="1"/>
  <c r="Z328" i="1"/>
  <c r="W328" i="1"/>
  <c r="T328" i="1"/>
  <c r="N328" i="1"/>
  <c r="M328" i="1"/>
  <c r="K328" i="1"/>
  <c r="L328" i="1" s="1"/>
  <c r="Z327" i="1"/>
  <c r="W327" i="1"/>
  <c r="T327" i="1"/>
  <c r="N327" i="1"/>
  <c r="M327" i="1"/>
  <c r="L327" i="1"/>
  <c r="K327" i="1"/>
  <c r="Z326" i="1"/>
  <c r="W326" i="1"/>
  <c r="T326" i="1"/>
  <c r="M326" i="1"/>
  <c r="N326" i="1" s="1"/>
  <c r="L326" i="1"/>
  <c r="K326" i="1"/>
  <c r="Z325" i="1"/>
  <c r="W325" i="1"/>
  <c r="T325" i="1"/>
  <c r="M325" i="1"/>
  <c r="N325" i="1" s="1"/>
  <c r="K325" i="1"/>
  <c r="L325" i="1" s="1"/>
  <c r="Z324" i="1"/>
  <c r="W324" i="1"/>
  <c r="T324" i="1"/>
  <c r="N324" i="1"/>
  <c r="M324" i="1"/>
  <c r="L324" i="1"/>
  <c r="K324" i="1"/>
  <c r="Z323" i="1"/>
  <c r="W323" i="1"/>
  <c r="T323" i="1"/>
  <c r="M323" i="1"/>
  <c r="N323" i="1" s="1"/>
  <c r="K323" i="1"/>
  <c r="L323" i="1" s="1"/>
  <c r="Z322" i="1"/>
  <c r="W322" i="1"/>
  <c r="T322" i="1"/>
  <c r="M322" i="1"/>
  <c r="N322" i="1" s="1"/>
  <c r="K322" i="1"/>
  <c r="L322" i="1" s="1"/>
  <c r="Z321" i="1"/>
  <c r="W321" i="1"/>
  <c r="T321" i="1"/>
  <c r="M321" i="1"/>
  <c r="N321" i="1" s="1"/>
  <c r="K321" i="1"/>
  <c r="L321" i="1" s="1"/>
  <c r="Z320" i="1"/>
  <c r="W320" i="1"/>
  <c r="T320" i="1"/>
  <c r="M320" i="1"/>
  <c r="N320" i="1" s="1"/>
  <c r="K320" i="1"/>
  <c r="L320" i="1" s="1"/>
  <c r="Z319" i="1"/>
  <c r="W319" i="1"/>
  <c r="T319" i="1"/>
  <c r="N319" i="1"/>
  <c r="M319" i="1"/>
  <c r="L319" i="1"/>
  <c r="K319" i="1"/>
  <c r="Z318" i="1"/>
  <c r="W318" i="1"/>
  <c r="T318" i="1"/>
  <c r="N318" i="1"/>
  <c r="M318" i="1"/>
  <c r="L318" i="1"/>
  <c r="K318" i="1"/>
  <c r="Z317" i="1"/>
  <c r="W317" i="1"/>
  <c r="T317" i="1"/>
  <c r="M317" i="1"/>
  <c r="N317" i="1" s="1"/>
  <c r="L317" i="1"/>
  <c r="K317" i="1"/>
  <c r="Z316" i="1"/>
  <c r="W316" i="1"/>
  <c r="T316" i="1"/>
  <c r="N316" i="1"/>
  <c r="M316" i="1"/>
  <c r="K316" i="1"/>
  <c r="L316" i="1" s="1"/>
  <c r="Z315" i="1"/>
  <c r="W315" i="1"/>
  <c r="T315" i="1"/>
  <c r="N315" i="1"/>
  <c r="M315" i="1"/>
  <c r="K315" i="1"/>
  <c r="L315" i="1" s="1"/>
  <c r="Z314" i="1"/>
  <c r="W314" i="1"/>
  <c r="T314" i="1"/>
  <c r="M314" i="1"/>
  <c r="N314" i="1" s="1"/>
  <c r="K314" i="1"/>
  <c r="L314" i="1" s="1"/>
  <c r="Z313" i="1"/>
  <c r="W313" i="1"/>
  <c r="T313" i="1"/>
  <c r="M313" i="1"/>
  <c r="N313" i="1" s="1"/>
  <c r="L313" i="1"/>
  <c r="K313" i="1"/>
  <c r="Z312" i="1"/>
  <c r="W312" i="1"/>
  <c r="T312" i="1"/>
  <c r="M312" i="1"/>
  <c r="N312" i="1" s="1"/>
  <c r="K312" i="1"/>
  <c r="L312" i="1" s="1"/>
  <c r="Z311" i="1"/>
  <c r="W311" i="1"/>
  <c r="T311" i="1"/>
  <c r="N311" i="1"/>
  <c r="M311" i="1"/>
  <c r="L311" i="1"/>
  <c r="K311" i="1"/>
  <c r="Z310" i="1"/>
  <c r="W310" i="1"/>
  <c r="T310" i="1"/>
  <c r="M310" i="1"/>
  <c r="N310" i="1" s="1"/>
  <c r="K310" i="1"/>
  <c r="L310" i="1" s="1"/>
  <c r="Z309" i="1"/>
  <c r="W309" i="1"/>
  <c r="T309" i="1"/>
  <c r="N309" i="1"/>
  <c r="M309" i="1"/>
  <c r="K309" i="1"/>
  <c r="L309" i="1" s="1"/>
  <c r="Z308" i="1"/>
  <c r="W308" i="1"/>
  <c r="T308" i="1"/>
  <c r="M308" i="1"/>
  <c r="N308" i="1" s="1"/>
  <c r="K308" i="1"/>
  <c r="L308" i="1" s="1"/>
  <c r="Z307" i="1"/>
  <c r="W307" i="1"/>
  <c r="T307" i="1"/>
  <c r="M307" i="1"/>
  <c r="N307" i="1" s="1"/>
  <c r="L307" i="1"/>
  <c r="K307" i="1"/>
  <c r="Z306" i="1"/>
  <c r="W306" i="1"/>
  <c r="T306" i="1"/>
  <c r="M306" i="1"/>
  <c r="N306" i="1" s="1"/>
  <c r="L306" i="1"/>
  <c r="K306" i="1"/>
  <c r="Z305" i="1"/>
  <c r="W305" i="1"/>
  <c r="T305" i="1"/>
  <c r="N305" i="1"/>
  <c r="M305" i="1"/>
  <c r="L305" i="1"/>
  <c r="K305" i="1"/>
  <c r="Z304" i="1"/>
  <c r="W304" i="1"/>
  <c r="T304" i="1"/>
  <c r="N304" i="1"/>
  <c r="M304" i="1"/>
  <c r="K304" i="1"/>
  <c r="L304" i="1" s="1"/>
  <c r="Z303" i="1"/>
  <c r="W303" i="1"/>
  <c r="T303" i="1"/>
  <c r="N303" i="1"/>
  <c r="M303" i="1"/>
  <c r="K303" i="1"/>
  <c r="L303" i="1" s="1"/>
  <c r="Z302" i="1"/>
  <c r="W302" i="1"/>
  <c r="T302" i="1"/>
  <c r="M302" i="1"/>
  <c r="N302" i="1" s="1"/>
  <c r="K302" i="1"/>
  <c r="L302" i="1" s="1"/>
  <c r="Z301" i="1"/>
  <c r="W301" i="1"/>
  <c r="T301" i="1"/>
  <c r="M301" i="1"/>
  <c r="N301" i="1" s="1"/>
  <c r="L301" i="1"/>
  <c r="K301" i="1"/>
  <c r="Z300" i="1"/>
  <c r="W300" i="1"/>
  <c r="T300" i="1"/>
  <c r="M300" i="1"/>
  <c r="N300" i="1" s="1"/>
  <c r="K300" i="1"/>
  <c r="L300" i="1" s="1"/>
  <c r="Z299" i="1"/>
  <c r="W299" i="1"/>
  <c r="T299" i="1"/>
  <c r="N299" i="1"/>
  <c r="M299" i="1"/>
  <c r="K299" i="1"/>
  <c r="L299" i="1" s="1"/>
  <c r="Z298" i="1"/>
  <c r="W298" i="1"/>
  <c r="T298" i="1"/>
  <c r="N298" i="1"/>
  <c r="M298" i="1"/>
  <c r="K298" i="1"/>
  <c r="L298" i="1" s="1"/>
  <c r="Z297" i="1"/>
  <c r="W297" i="1"/>
  <c r="T297" i="1"/>
  <c r="M297" i="1"/>
  <c r="N297" i="1" s="1"/>
  <c r="K297" i="1"/>
  <c r="L297" i="1" s="1"/>
  <c r="Z296" i="1"/>
  <c r="W296" i="1"/>
  <c r="T296" i="1"/>
  <c r="M296" i="1"/>
  <c r="N296" i="1" s="1"/>
  <c r="L296" i="1"/>
  <c r="K296" i="1"/>
  <c r="Z295" i="1"/>
  <c r="W295" i="1"/>
  <c r="T295" i="1"/>
  <c r="M295" i="1"/>
  <c r="N295" i="1" s="1"/>
  <c r="L295" i="1"/>
  <c r="K295" i="1"/>
  <c r="Z294" i="1"/>
  <c r="W294" i="1"/>
  <c r="T294" i="1"/>
  <c r="M294" i="1"/>
  <c r="N294" i="1" s="1"/>
  <c r="L294" i="1"/>
  <c r="K294" i="1"/>
  <c r="Z293" i="1"/>
  <c r="W293" i="1"/>
  <c r="T293" i="1"/>
  <c r="N293" i="1"/>
  <c r="M293" i="1"/>
  <c r="L293" i="1"/>
  <c r="K293" i="1"/>
  <c r="Z292" i="1"/>
  <c r="W292" i="1"/>
  <c r="T292" i="1"/>
  <c r="N292" i="1"/>
  <c r="M292" i="1"/>
  <c r="K292" i="1"/>
  <c r="L292" i="1" s="1"/>
  <c r="Z291" i="1"/>
  <c r="W291" i="1"/>
  <c r="T291" i="1"/>
  <c r="N291" i="1"/>
  <c r="M291" i="1"/>
  <c r="K291" i="1"/>
  <c r="L291" i="1" s="1"/>
  <c r="Z290" i="1"/>
  <c r="W290" i="1"/>
  <c r="T290" i="1"/>
  <c r="M290" i="1"/>
  <c r="N290" i="1" s="1"/>
  <c r="L290" i="1"/>
  <c r="K290" i="1"/>
  <c r="Z289" i="1"/>
  <c r="W289" i="1"/>
  <c r="T289" i="1"/>
  <c r="M289" i="1"/>
  <c r="N289" i="1" s="1"/>
  <c r="K289" i="1"/>
  <c r="L289" i="1" s="1"/>
  <c r="Z288" i="1"/>
  <c r="W288" i="1"/>
  <c r="T288" i="1"/>
  <c r="N288" i="1"/>
  <c r="M288" i="1"/>
  <c r="K288" i="1"/>
  <c r="L288" i="1" s="1"/>
  <c r="Z287" i="1"/>
  <c r="W287" i="1"/>
  <c r="T287" i="1"/>
  <c r="M287" i="1"/>
  <c r="N287" i="1" s="1"/>
  <c r="K287" i="1"/>
  <c r="L287" i="1" s="1"/>
  <c r="Z286" i="1"/>
  <c r="W286" i="1"/>
  <c r="T286" i="1"/>
  <c r="M286" i="1"/>
  <c r="N286" i="1" s="1"/>
  <c r="K286" i="1"/>
  <c r="L286" i="1" s="1"/>
  <c r="Z285" i="1"/>
  <c r="W285" i="1"/>
  <c r="T285" i="1"/>
  <c r="M285" i="1"/>
  <c r="N285" i="1" s="1"/>
  <c r="K285" i="1"/>
  <c r="L285" i="1" s="1"/>
  <c r="Z284" i="1"/>
  <c r="W284" i="1"/>
  <c r="T284" i="1"/>
  <c r="M284" i="1"/>
  <c r="N284" i="1" s="1"/>
  <c r="K284" i="1"/>
  <c r="L284" i="1" s="1"/>
  <c r="Z283" i="1"/>
  <c r="W283" i="1"/>
  <c r="T283" i="1"/>
  <c r="M283" i="1"/>
  <c r="N283" i="1" s="1"/>
  <c r="K283" i="1"/>
  <c r="L283" i="1" s="1"/>
  <c r="Z282" i="1"/>
  <c r="W282" i="1"/>
  <c r="T282" i="1"/>
  <c r="N282" i="1"/>
  <c r="M282" i="1"/>
  <c r="L282" i="1"/>
  <c r="K282" i="1"/>
  <c r="Z281" i="1"/>
  <c r="W281" i="1"/>
  <c r="T281" i="1"/>
  <c r="M281" i="1"/>
  <c r="N281" i="1" s="1"/>
  <c r="L281" i="1"/>
  <c r="K281" i="1"/>
  <c r="Z280" i="1"/>
  <c r="W280" i="1"/>
  <c r="T280" i="1"/>
  <c r="N280" i="1"/>
  <c r="M280" i="1"/>
  <c r="K280" i="1"/>
  <c r="L280" i="1" s="1"/>
  <c r="Z279" i="1"/>
  <c r="W279" i="1"/>
  <c r="T279" i="1"/>
  <c r="N279" i="1"/>
  <c r="M279" i="1"/>
  <c r="K279" i="1"/>
  <c r="L279" i="1" s="1"/>
  <c r="Z278" i="1"/>
  <c r="W278" i="1"/>
  <c r="T278" i="1"/>
  <c r="M278" i="1"/>
  <c r="N278" i="1" s="1"/>
  <c r="K278" i="1"/>
  <c r="L278" i="1" s="1"/>
  <c r="Z277" i="1"/>
  <c r="W277" i="1"/>
  <c r="T277" i="1"/>
  <c r="N277" i="1"/>
  <c r="M277" i="1"/>
  <c r="L277" i="1"/>
  <c r="K277" i="1"/>
  <c r="Z276" i="1"/>
  <c r="W276" i="1"/>
  <c r="T276" i="1"/>
  <c r="M276" i="1"/>
  <c r="N276" i="1" s="1"/>
  <c r="K276" i="1"/>
  <c r="L276" i="1" s="1"/>
  <c r="Z275" i="1"/>
  <c r="W275" i="1"/>
  <c r="T275" i="1"/>
  <c r="N275" i="1"/>
  <c r="M275" i="1"/>
  <c r="K275" i="1"/>
  <c r="L275" i="1" s="1"/>
  <c r="Z274" i="1"/>
  <c r="W274" i="1"/>
  <c r="T274" i="1"/>
  <c r="M274" i="1"/>
  <c r="N274" i="1" s="1"/>
  <c r="K274" i="1"/>
  <c r="L274" i="1" s="1"/>
  <c r="Z273" i="1"/>
  <c r="W273" i="1"/>
  <c r="T273" i="1"/>
  <c r="M273" i="1"/>
  <c r="N273" i="1" s="1"/>
  <c r="K273" i="1"/>
  <c r="L273" i="1" s="1"/>
  <c r="Z272" i="1"/>
  <c r="W272" i="1"/>
  <c r="T272" i="1"/>
  <c r="M272" i="1"/>
  <c r="N272" i="1" s="1"/>
  <c r="K272" i="1"/>
  <c r="L272" i="1" s="1"/>
  <c r="Z271" i="1"/>
  <c r="W271" i="1"/>
  <c r="T271" i="1"/>
  <c r="M271" i="1"/>
  <c r="N271" i="1" s="1"/>
  <c r="L271" i="1"/>
  <c r="K271" i="1"/>
  <c r="Z270" i="1"/>
  <c r="W270" i="1"/>
  <c r="T270" i="1"/>
  <c r="M270" i="1"/>
  <c r="N270" i="1" s="1"/>
  <c r="L270" i="1"/>
  <c r="K270" i="1"/>
  <c r="Z269" i="1"/>
  <c r="W269" i="1"/>
  <c r="T269" i="1"/>
  <c r="N269" i="1"/>
  <c r="M269" i="1"/>
  <c r="L269" i="1"/>
  <c r="K269" i="1"/>
  <c r="Z268" i="1"/>
  <c r="W268" i="1"/>
  <c r="T268" i="1"/>
  <c r="N268" i="1"/>
  <c r="M268" i="1"/>
  <c r="K268" i="1"/>
  <c r="L268" i="1" s="1"/>
  <c r="Z267" i="1"/>
  <c r="W267" i="1"/>
  <c r="T267" i="1"/>
  <c r="N267" i="1"/>
  <c r="M267" i="1"/>
  <c r="K267" i="1"/>
  <c r="L267" i="1" s="1"/>
  <c r="Z266" i="1"/>
  <c r="W266" i="1"/>
  <c r="T266" i="1"/>
  <c r="M266" i="1"/>
  <c r="N266" i="1" s="1"/>
  <c r="K266" i="1"/>
  <c r="L266" i="1" s="1"/>
  <c r="Z265" i="1"/>
  <c r="W265" i="1"/>
  <c r="T265" i="1"/>
  <c r="M265" i="1"/>
  <c r="N265" i="1" s="1"/>
  <c r="L265" i="1"/>
  <c r="K265" i="1"/>
  <c r="Z264" i="1"/>
  <c r="W264" i="1"/>
  <c r="T264" i="1"/>
  <c r="M264" i="1"/>
  <c r="N264" i="1" s="1"/>
  <c r="K264" i="1"/>
  <c r="L264" i="1" s="1"/>
  <c r="Z263" i="1"/>
  <c r="W263" i="1"/>
  <c r="T263" i="1"/>
  <c r="N263" i="1"/>
  <c r="M263" i="1"/>
  <c r="K263" i="1"/>
  <c r="L263" i="1" s="1"/>
  <c r="Z262" i="1"/>
  <c r="W262" i="1"/>
  <c r="T262" i="1"/>
  <c r="N262" i="1"/>
  <c r="M262" i="1"/>
  <c r="K262" i="1"/>
  <c r="L262" i="1" s="1"/>
  <c r="Z261" i="1"/>
  <c r="W261" i="1"/>
  <c r="T261" i="1"/>
  <c r="M261" i="1"/>
  <c r="N261" i="1" s="1"/>
  <c r="K261" i="1"/>
  <c r="L261" i="1" s="1"/>
  <c r="Z260" i="1"/>
  <c r="W260" i="1"/>
  <c r="T260" i="1"/>
  <c r="M260" i="1"/>
  <c r="N260" i="1" s="1"/>
  <c r="L260" i="1"/>
  <c r="K260" i="1"/>
  <c r="Z259" i="1"/>
  <c r="W259" i="1"/>
  <c r="T259" i="1"/>
  <c r="M259" i="1"/>
  <c r="N259" i="1" s="1"/>
  <c r="L259" i="1"/>
  <c r="K259" i="1"/>
  <c r="Z258" i="1"/>
  <c r="W258" i="1"/>
  <c r="T258" i="1"/>
  <c r="M258" i="1"/>
  <c r="N258" i="1" s="1"/>
  <c r="L258" i="1"/>
  <c r="K258" i="1"/>
  <c r="Z257" i="1"/>
  <c r="W257" i="1"/>
  <c r="T257" i="1"/>
  <c r="N257" i="1"/>
  <c r="M257" i="1"/>
  <c r="L257" i="1"/>
  <c r="K257" i="1"/>
  <c r="Z256" i="1"/>
  <c r="W256" i="1"/>
  <c r="T256" i="1"/>
  <c r="N256" i="1"/>
  <c r="M256" i="1"/>
  <c r="K256" i="1"/>
  <c r="L256" i="1" s="1"/>
  <c r="Z255" i="1"/>
  <c r="W255" i="1"/>
  <c r="T255" i="1"/>
  <c r="N255" i="1"/>
  <c r="M255" i="1"/>
  <c r="K255" i="1"/>
  <c r="L255" i="1" s="1"/>
  <c r="Z254" i="1"/>
  <c r="W254" i="1"/>
  <c r="T254" i="1"/>
  <c r="M254" i="1"/>
  <c r="N254" i="1" s="1"/>
  <c r="L254" i="1"/>
  <c r="K254" i="1"/>
  <c r="Z253" i="1"/>
  <c r="W253" i="1"/>
  <c r="T253" i="1"/>
  <c r="M253" i="1"/>
  <c r="N253" i="1" s="1"/>
  <c r="K253" i="1"/>
  <c r="L253" i="1" s="1"/>
  <c r="Z252" i="1"/>
  <c r="W252" i="1"/>
  <c r="T252" i="1"/>
  <c r="N252" i="1"/>
  <c r="M252" i="1"/>
  <c r="K252" i="1"/>
  <c r="L252" i="1" s="1"/>
  <c r="Z251" i="1"/>
  <c r="W251" i="1"/>
  <c r="T251" i="1"/>
  <c r="M251" i="1"/>
  <c r="N251" i="1" s="1"/>
  <c r="K251" i="1"/>
  <c r="L251" i="1" s="1"/>
  <c r="Z250" i="1"/>
  <c r="W250" i="1"/>
  <c r="T250" i="1"/>
  <c r="M250" i="1"/>
  <c r="N250" i="1" s="1"/>
  <c r="K250" i="1"/>
  <c r="L250" i="1" s="1"/>
  <c r="Z249" i="1"/>
  <c r="W249" i="1"/>
  <c r="T249" i="1"/>
  <c r="M249" i="1"/>
  <c r="N249" i="1" s="1"/>
  <c r="K249" i="1"/>
  <c r="L249" i="1" s="1"/>
  <c r="Z248" i="1"/>
  <c r="W248" i="1"/>
  <c r="T248" i="1"/>
  <c r="M248" i="1"/>
  <c r="N248" i="1" s="1"/>
  <c r="K248" i="1"/>
  <c r="L248" i="1" s="1"/>
  <c r="Z247" i="1"/>
  <c r="W247" i="1"/>
  <c r="T247" i="1"/>
  <c r="M247" i="1"/>
  <c r="N247" i="1" s="1"/>
  <c r="K247" i="1"/>
  <c r="L247" i="1" s="1"/>
  <c r="Z246" i="1"/>
  <c r="W246" i="1"/>
  <c r="T246" i="1"/>
  <c r="N246" i="1"/>
  <c r="M246" i="1"/>
  <c r="L246" i="1"/>
  <c r="K246" i="1"/>
  <c r="Z245" i="1"/>
  <c r="W245" i="1"/>
  <c r="T245" i="1"/>
  <c r="M245" i="1"/>
  <c r="N245" i="1" s="1"/>
  <c r="L245" i="1"/>
  <c r="K245" i="1"/>
  <c r="Z244" i="1"/>
  <c r="W244" i="1"/>
  <c r="T244" i="1"/>
  <c r="N244" i="1"/>
  <c r="M244" i="1"/>
  <c r="K244" i="1"/>
  <c r="L244" i="1" s="1"/>
  <c r="Z243" i="1"/>
  <c r="W243" i="1"/>
  <c r="T243" i="1"/>
  <c r="N243" i="1"/>
  <c r="M243" i="1"/>
  <c r="K243" i="1"/>
  <c r="L243" i="1" s="1"/>
  <c r="Z242" i="1"/>
  <c r="W242" i="1"/>
  <c r="T242" i="1"/>
  <c r="M242" i="1"/>
  <c r="N242" i="1" s="1"/>
  <c r="K242" i="1"/>
  <c r="L242" i="1" s="1"/>
  <c r="Z241" i="1"/>
  <c r="W241" i="1"/>
  <c r="T241" i="1"/>
  <c r="N241" i="1"/>
  <c r="M241" i="1"/>
  <c r="L241" i="1"/>
  <c r="K241" i="1"/>
  <c r="Z240" i="1"/>
  <c r="W240" i="1"/>
  <c r="T240" i="1"/>
  <c r="M240" i="1"/>
  <c r="N240" i="1" s="1"/>
  <c r="K240" i="1"/>
  <c r="L240" i="1" s="1"/>
  <c r="Z239" i="1"/>
  <c r="W239" i="1"/>
  <c r="T239" i="1"/>
  <c r="N239" i="1"/>
  <c r="M239" i="1"/>
  <c r="K239" i="1"/>
  <c r="L239" i="1" s="1"/>
  <c r="Z238" i="1"/>
  <c r="W238" i="1"/>
  <c r="T238" i="1"/>
  <c r="M238" i="1"/>
  <c r="N238" i="1" s="1"/>
  <c r="K238" i="1"/>
  <c r="L238" i="1" s="1"/>
  <c r="Z237" i="1"/>
  <c r="W237" i="1"/>
  <c r="T237" i="1"/>
  <c r="M237" i="1"/>
  <c r="N237" i="1" s="1"/>
  <c r="K237" i="1"/>
  <c r="L237" i="1" s="1"/>
  <c r="Z236" i="1"/>
  <c r="W236" i="1"/>
  <c r="T236" i="1"/>
  <c r="M236" i="1"/>
  <c r="N236" i="1" s="1"/>
  <c r="K236" i="1"/>
  <c r="L236" i="1" s="1"/>
  <c r="Z235" i="1"/>
  <c r="W235" i="1"/>
  <c r="T235" i="1"/>
  <c r="M235" i="1"/>
  <c r="N235" i="1" s="1"/>
  <c r="L235" i="1"/>
  <c r="K235" i="1"/>
  <c r="Z234" i="1"/>
  <c r="W234" i="1"/>
  <c r="T234" i="1"/>
  <c r="M234" i="1"/>
  <c r="N234" i="1" s="1"/>
  <c r="L234" i="1"/>
  <c r="K234" i="1"/>
  <c r="Z233" i="1"/>
  <c r="W233" i="1"/>
  <c r="T233" i="1"/>
  <c r="N233" i="1"/>
  <c r="M233" i="1"/>
  <c r="L233" i="1"/>
  <c r="K233" i="1"/>
  <c r="Z232" i="1"/>
  <c r="W232" i="1"/>
  <c r="T232" i="1"/>
  <c r="N232" i="1"/>
  <c r="M232" i="1"/>
  <c r="K232" i="1"/>
  <c r="L232" i="1" s="1"/>
  <c r="Z231" i="1"/>
  <c r="W231" i="1"/>
  <c r="T231" i="1"/>
  <c r="N231" i="1"/>
  <c r="M231" i="1"/>
  <c r="K231" i="1"/>
  <c r="L231" i="1" s="1"/>
  <c r="Z230" i="1"/>
  <c r="W230" i="1"/>
  <c r="T230" i="1"/>
  <c r="M230" i="1"/>
  <c r="N230" i="1" s="1"/>
  <c r="K230" i="1"/>
  <c r="L230" i="1" s="1"/>
  <c r="Z229" i="1"/>
  <c r="W229" i="1"/>
  <c r="T229" i="1"/>
  <c r="M229" i="1"/>
  <c r="N229" i="1" s="1"/>
  <c r="L229" i="1"/>
  <c r="K229" i="1"/>
  <c r="Z228" i="1"/>
  <c r="W228" i="1"/>
  <c r="T228" i="1"/>
  <c r="M228" i="1"/>
  <c r="N228" i="1" s="1"/>
  <c r="K228" i="1"/>
  <c r="L228" i="1" s="1"/>
  <c r="Z227" i="1"/>
  <c r="W227" i="1"/>
  <c r="T227" i="1"/>
  <c r="N227" i="1"/>
  <c r="M227" i="1"/>
  <c r="K227" i="1"/>
  <c r="L227" i="1" s="1"/>
  <c r="Z226" i="1"/>
  <c r="W226" i="1"/>
  <c r="T226" i="1"/>
  <c r="N226" i="1"/>
  <c r="M226" i="1"/>
  <c r="K226" i="1"/>
  <c r="L226" i="1" s="1"/>
  <c r="Z225" i="1"/>
  <c r="W225" i="1"/>
  <c r="T225" i="1"/>
  <c r="M225" i="1"/>
  <c r="N225" i="1" s="1"/>
  <c r="K225" i="1"/>
  <c r="L225" i="1" s="1"/>
  <c r="Z224" i="1"/>
  <c r="W224" i="1"/>
  <c r="T224" i="1"/>
  <c r="M224" i="1"/>
  <c r="N224" i="1" s="1"/>
  <c r="L224" i="1"/>
  <c r="K224" i="1"/>
  <c r="Z223" i="1"/>
  <c r="W223" i="1"/>
  <c r="T223" i="1"/>
  <c r="M223" i="1"/>
  <c r="N223" i="1" s="1"/>
  <c r="L223" i="1"/>
  <c r="K223" i="1"/>
  <c r="Z222" i="1"/>
  <c r="W222" i="1"/>
  <c r="T222" i="1"/>
  <c r="M222" i="1"/>
  <c r="N222" i="1" s="1"/>
  <c r="L222" i="1"/>
  <c r="K222" i="1"/>
  <c r="Z221" i="1"/>
  <c r="W221" i="1"/>
  <c r="T221" i="1"/>
  <c r="N221" i="1"/>
  <c r="M221" i="1"/>
  <c r="L221" i="1"/>
  <c r="K221" i="1"/>
  <c r="Z220" i="1"/>
  <c r="W220" i="1"/>
  <c r="T220" i="1"/>
  <c r="N220" i="1"/>
  <c r="M220" i="1"/>
  <c r="K220" i="1"/>
  <c r="L220" i="1" s="1"/>
  <c r="Z219" i="1"/>
  <c r="W219" i="1"/>
  <c r="T219" i="1"/>
  <c r="N219" i="1"/>
  <c r="M219" i="1"/>
  <c r="K219" i="1"/>
  <c r="L219" i="1" s="1"/>
  <c r="Z218" i="1"/>
  <c r="W218" i="1"/>
  <c r="T218" i="1"/>
  <c r="M218" i="1"/>
  <c r="N218" i="1" s="1"/>
  <c r="L218" i="1"/>
  <c r="K218" i="1"/>
  <c r="Z217" i="1"/>
  <c r="W217" i="1"/>
  <c r="T217" i="1"/>
  <c r="M217" i="1"/>
  <c r="N217" i="1" s="1"/>
  <c r="K217" i="1"/>
  <c r="L217" i="1" s="1"/>
  <c r="Z216" i="1"/>
  <c r="W216" i="1"/>
  <c r="T216" i="1"/>
  <c r="N216" i="1"/>
  <c r="M216" i="1"/>
  <c r="K216" i="1"/>
  <c r="L216" i="1" s="1"/>
  <c r="Z215" i="1"/>
  <c r="W215" i="1"/>
  <c r="T215" i="1"/>
  <c r="M215" i="1"/>
  <c r="N215" i="1" s="1"/>
  <c r="K215" i="1"/>
  <c r="L215" i="1" s="1"/>
  <c r="Z214" i="1"/>
  <c r="W214" i="1"/>
  <c r="T214" i="1"/>
  <c r="M214" i="1"/>
  <c r="N214" i="1" s="1"/>
  <c r="K214" i="1"/>
  <c r="L214" i="1" s="1"/>
  <c r="Z213" i="1"/>
  <c r="W213" i="1"/>
  <c r="T213" i="1"/>
  <c r="M213" i="1"/>
  <c r="N213" i="1" s="1"/>
  <c r="K213" i="1"/>
  <c r="L213" i="1" s="1"/>
  <c r="Z212" i="1"/>
  <c r="W212" i="1"/>
  <c r="T212" i="1"/>
  <c r="M212" i="1"/>
  <c r="N212" i="1" s="1"/>
  <c r="K212" i="1"/>
  <c r="L212" i="1" s="1"/>
  <c r="Z211" i="1"/>
  <c r="W211" i="1"/>
  <c r="T211" i="1"/>
  <c r="M211" i="1"/>
  <c r="N211" i="1" s="1"/>
  <c r="K211" i="1"/>
  <c r="L211" i="1" s="1"/>
  <c r="Z210" i="1"/>
  <c r="W210" i="1"/>
  <c r="T210" i="1"/>
  <c r="N210" i="1"/>
  <c r="M210" i="1"/>
  <c r="L210" i="1"/>
  <c r="K210" i="1"/>
  <c r="Z209" i="1"/>
  <c r="W209" i="1"/>
  <c r="T209" i="1"/>
  <c r="M209" i="1"/>
  <c r="N209" i="1" s="1"/>
  <c r="L209" i="1"/>
  <c r="K209" i="1"/>
  <c r="Z208" i="1"/>
  <c r="W208" i="1"/>
  <c r="T208" i="1"/>
  <c r="N208" i="1"/>
  <c r="M208" i="1"/>
  <c r="K208" i="1"/>
  <c r="L208" i="1" s="1"/>
  <c r="Z207" i="1"/>
  <c r="W207" i="1"/>
  <c r="T207" i="1"/>
  <c r="N207" i="1"/>
  <c r="M207" i="1"/>
  <c r="K207" i="1"/>
  <c r="L207" i="1" s="1"/>
  <c r="Z206" i="1"/>
  <c r="W206" i="1"/>
  <c r="T206" i="1"/>
  <c r="M206" i="1"/>
  <c r="N206" i="1" s="1"/>
  <c r="K206" i="1"/>
  <c r="L206" i="1" s="1"/>
  <c r="Z205" i="1"/>
  <c r="W205" i="1"/>
  <c r="T205" i="1"/>
  <c r="N205" i="1"/>
  <c r="M205" i="1"/>
  <c r="L205" i="1"/>
  <c r="K205" i="1"/>
  <c r="Z204" i="1"/>
  <c r="W204" i="1"/>
  <c r="T204" i="1"/>
  <c r="M204" i="1"/>
  <c r="N204" i="1" s="1"/>
  <c r="K204" i="1"/>
  <c r="L204" i="1" s="1"/>
  <c r="Z203" i="1"/>
  <c r="W203" i="1"/>
  <c r="T203" i="1"/>
  <c r="N203" i="1"/>
  <c r="M203" i="1"/>
  <c r="K203" i="1"/>
  <c r="L203" i="1" s="1"/>
  <c r="Z202" i="1"/>
  <c r="W202" i="1"/>
  <c r="T202" i="1"/>
  <c r="M202" i="1"/>
  <c r="N202" i="1" s="1"/>
  <c r="K202" i="1"/>
  <c r="L202" i="1" s="1"/>
  <c r="Z201" i="1"/>
  <c r="W201" i="1"/>
  <c r="T201" i="1"/>
  <c r="M201" i="1"/>
  <c r="N201" i="1" s="1"/>
  <c r="K201" i="1"/>
  <c r="L201" i="1" s="1"/>
  <c r="Z200" i="1"/>
  <c r="W200" i="1"/>
  <c r="T200" i="1"/>
  <c r="M200" i="1"/>
  <c r="N200" i="1" s="1"/>
  <c r="K200" i="1"/>
  <c r="L200" i="1" s="1"/>
  <c r="Z199" i="1"/>
  <c r="W199" i="1"/>
  <c r="T199" i="1"/>
  <c r="M199" i="1"/>
  <c r="N199" i="1" s="1"/>
  <c r="L199" i="1"/>
  <c r="K199" i="1"/>
  <c r="Z198" i="1"/>
  <c r="W198" i="1"/>
  <c r="T198" i="1"/>
  <c r="M198" i="1"/>
  <c r="N198" i="1" s="1"/>
  <c r="L198" i="1"/>
  <c r="K198" i="1"/>
  <c r="Z197" i="1"/>
  <c r="W197" i="1"/>
  <c r="T197" i="1"/>
  <c r="N197" i="1"/>
  <c r="M197" i="1"/>
  <c r="L197" i="1"/>
  <c r="K197" i="1"/>
  <c r="Z196" i="1"/>
  <c r="W196" i="1"/>
  <c r="T196" i="1"/>
  <c r="N196" i="1"/>
  <c r="M196" i="1"/>
  <c r="K196" i="1"/>
  <c r="L196" i="1" s="1"/>
  <c r="Z195" i="1"/>
  <c r="W195" i="1"/>
  <c r="T195" i="1"/>
  <c r="N195" i="1"/>
  <c r="M195" i="1"/>
  <c r="K195" i="1"/>
  <c r="L195" i="1" s="1"/>
  <c r="Z194" i="1"/>
  <c r="W194" i="1"/>
  <c r="T194" i="1"/>
  <c r="M194" i="1"/>
  <c r="N194" i="1" s="1"/>
  <c r="K194" i="1"/>
  <c r="L194" i="1" s="1"/>
  <c r="Z193" i="1"/>
  <c r="W193" i="1"/>
  <c r="T193" i="1"/>
  <c r="M193" i="1"/>
  <c r="N193" i="1" s="1"/>
  <c r="L193" i="1"/>
  <c r="K193" i="1"/>
  <c r="Z192" i="1"/>
  <c r="W192" i="1"/>
  <c r="T192" i="1"/>
  <c r="M192" i="1"/>
  <c r="N192" i="1" s="1"/>
  <c r="K192" i="1"/>
  <c r="L192" i="1" s="1"/>
  <c r="Z191" i="1"/>
  <c r="W191" i="1"/>
  <c r="T191" i="1"/>
  <c r="N191" i="1"/>
  <c r="M191" i="1"/>
  <c r="K191" i="1"/>
  <c r="L191" i="1" s="1"/>
  <c r="Z190" i="1"/>
  <c r="W190" i="1"/>
  <c r="T190" i="1"/>
  <c r="N190" i="1"/>
  <c r="M190" i="1"/>
  <c r="K190" i="1"/>
  <c r="L190" i="1" s="1"/>
  <c r="Z189" i="1"/>
  <c r="W189" i="1"/>
  <c r="T189" i="1"/>
  <c r="M189" i="1"/>
  <c r="N189" i="1" s="1"/>
  <c r="K189" i="1"/>
  <c r="L189" i="1" s="1"/>
  <c r="Z188" i="1"/>
  <c r="W188" i="1"/>
  <c r="T188" i="1"/>
  <c r="M188" i="1"/>
  <c r="N188" i="1" s="1"/>
  <c r="L188" i="1"/>
  <c r="K188" i="1"/>
  <c r="Z187" i="1"/>
  <c r="W187" i="1"/>
  <c r="T187" i="1"/>
  <c r="M187" i="1"/>
  <c r="N187" i="1" s="1"/>
  <c r="L187" i="1"/>
  <c r="K187" i="1"/>
  <c r="Z186" i="1"/>
  <c r="W186" i="1"/>
  <c r="T186" i="1"/>
  <c r="M186" i="1"/>
  <c r="N186" i="1" s="1"/>
  <c r="L186" i="1"/>
  <c r="K186" i="1"/>
  <c r="Z185" i="1"/>
  <c r="W185" i="1"/>
  <c r="T185" i="1"/>
  <c r="N185" i="1"/>
  <c r="M185" i="1"/>
  <c r="L185" i="1"/>
  <c r="K185" i="1"/>
  <c r="Z184" i="1"/>
  <c r="W184" i="1"/>
  <c r="T184" i="1"/>
  <c r="N184" i="1"/>
  <c r="M184" i="1"/>
  <c r="K184" i="1"/>
  <c r="L184" i="1" s="1"/>
  <c r="Z183" i="1"/>
  <c r="W183" i="1"/>
  <c r="T183" i="1"/>
  <c r="N183" i="1"/>
  <c r="M183" i="1"/>
  <c r="K183" i="1"/>
  <c r="L183" i="1" s="1"/>
  <c r="Z182" i="1"/>
  <c r="W182" i="1"/>
  <c r="T182" i="1"/>
  <c r="M182" i="1"/>
  <c r="N182" i="1" s="1"/>
  <c r="L182" i="1"/>
  <c r="K182" i="1"/>
  <c r="Z181" i="1"/>
  <c r="W181" i="1"/>
  <c r="T181" i="1"/>
  <c r="M181" i="1"/>
  <c r="N181" i="1" s="1"/>
  <c r="K181" i="1"/>
  <c r="L181" i="1" s="1"/>
  <c r="Z180" i="1"/>
  <c r="W180" i="1"/>
  <c r="T180" i="1"/>
  <c r="N180" i="1"/>
  <c r="M180" i="1"/>
  <c r="K180" i="1"/>
  <c r="L180" i="1" s="1"/>
  <c r="Z179" i="1"/>
  <c r="W179" i="1"/>
  <c r="T179" i="1"/>
  <c r="M179" i="1"/>
  <c r="N179" i="1" s="1"/>
  <c r="K179" i="1"/>
  <c r="L179" i="1" s="1"/>
  <c r="Z178" i="1"/>
  <c r="W178" i="1"/>
  <c r="T178" i="1"/>
  <c r="M178" i="1"/>
  <c r="N178" i="1" s="1"/>
  <c r="K178" i="1"/>
  <c r="L178" i="1" s="1"/>
  <c r="Z177" i="1"/>
  <c r="W177" i="1"/>
  <c r="T177" i="1"/>
  <c r="M177" i="1"/>
  <c r="N177" i="1" s="1"/>
  <c r="K177" i="1"/>
  <c r="L177" i="1" s="1"/>
  <c r="Z176" i="1"/>
  <c r="W176" i="1"/>
  <c r="T176" i="1"/>
  <c r="M176" i="1"/>
  <c r="N176" i="1" s="1"/>
  <c r="K176" i="1"/>
  <c r="L176" i="1" s="1"/>
  <c r="Z175" i="1"/>
  <c r="W175" i="1"/>
  <c r="T175" i="1"/>
  <c r="M175" i="1"/>
  <c r="N175" i="1" s="1"/>
  <c r="K175" i="1"/>
  <c r="L175" i="1" s="1"/>
  <c r="Z174" i="1"/>
  <c r="W174" i="1"/>
  <c r="T174" i="1"/>
  <c r="N174" i="1"/>
  <c r="M174" i="1"/>
  <c r="L174" i="1"/>
  <c r="K174" i="1"/>
  <c r="Z173" i="1"/>
  <c r="W173" i="1"/>
  <c r="T173" i="1"/>
  <c r="M173" i="1"/>
  <c r="N173" i="1" s="1"/>
  <c r="L173" i="1"/>
  <c r="K173" i="1"/>
  <c r="Z172" i="1"/>
  <c r="W172" i="1"/>
  <c r="T172" i="1"/>
  <c r="N172" i="1"/>
  <c r="M172" i="1"/>
  <c r="K172" i="1"/>
  <c r="L172" i="1" s="1"/>
  <c r="Z171" i="1"/>
  <c r="W171" i="1"/>
  <c r="T171" i="1"/>
  <c r="N171" i="1"/>
  <c r="M171" i="1"/>
  <c r="K171" i="1"/>
  <c r="L171" i="1" s="1"/>
  <c r="Z170" i="1"/>
  <c r="W170" i="1"/>
  <c r="T170" i="1"/>
  <c r="M170" i="1"/>
  <c r="N170" i="1" s="1"/>
  <c r="K170" i="1"/>
  <c r="L170" i="1" s="1"/>
  <c r="Z169" i="1"/>
  <c r="W169" i="1"/>
  <c r="T169" i="1"/>
  <c r="N169" i="1"/>
  <c r="M169" i="1"/>
  <c r="L169" i="1"/>
  <c r="K169" i="1"/>
  <c r="Z168" i="1"/>
  <c r="W168" i="1"/>
  <c r="T168" i="1"/>
  <c r="M168" i="1"/>
  <c r="N168" i="1" s="1"/>
  <c r="K168" i="1"/>
  <c r="L168" i="1" s="1"/>
  <c r="Z167" i="1"/>
  <c r="W167" i="1"/>
  <c r="T167" i="1"/>
  <c r="N167" i="1"/>
  <c r="M167" i="1"/>
  <c r="K167" i="1"/>
  <c r="L167" i="1" s="1"/>
  <c r="Z166" i="1"/>
  <c r="W166" i="1"/>
  <c r="T166" i="1"/>
  <c r="M166" i="1"/>
  <c r="N166" i="1" s="1"/>
  <c r="K166" i="1"/>
  <c r="L166" i="1" s="1"/>
  <c r="Z165" i="1"/>
  <c r="W165" i="1"/>
  <c r="T165" i="1"/>
  <c r="M165" i="1"/>
  <c r="N165" i="1" s="1"/>
  <c r="K165" i="1"/>
  <c r="L165" i="1" s="1"/>
  <c r="Z164" i="1"/>
  <c r="W164" i="1"/>
  <c r="T164" i="1"/>
  <c r="M164" i="1"/>
  <c r="N164" i="1" s="1"/>
  <c r="K164" i="1"/>
  <c r="L164" i="1" s="1"/>
  <c r="Z163" i="1"/>
  <c r="W163" i="1"/>
  <c r="T163" i="1"/>
  <c r="N163" i="1"/>
  <c r="M163" i="1"/>
  <c r="K163" i="1"/>
  <c r="L163" i="1" s="1"/>
  <c r="Z162" i="1"/>
  <c r="W162" i="1"/>
  <c r="T162" i="1"/>
  <c r="M162" i="1"/>
  <c r="N162" i="1" s="1"/>
  <c r="K162" i="1"/>
  <c r="L162" i="1" s="1"/>
  <c r="Z161" i="1"/>
  <c r="W161" i="1"/>
  <c r="T161" i="1"/>
  <c r="M161" i="1"/>
  <c r="N161" i="1" s="1"/>
  <c r="L161" i="1"/>
  <c r="K161" i="1"/>
  <c r="Z160" i="1"/>
  <c r="W160" i="1"/>
  <c r="T160" i="1"/>
  <c r="M160" i="1"/>
  <c r="N160" i="1" s="1"/>
  <c r="K160" i="1"/>
  <c r="L160" i="1" s="1"/>
  <c r="Z159" i="1"/>
  <c r="W159" i="1"/>
  <c r="T159" i="1"/>
  <c r="N159" i="1"/>
  <c r="M159" i="1"/>
  <c r="K159" i="1"/>
  <c r="L159" i="1" s="1"/>
  <c r="Z158" i="1"/>
  <c r="W158" i="1"/>
  <c r="T158" i="1"/>
  <c r="M158" i="1"/>
  <c r="N158" i="1" s="1"/>
  <c r="L158" i="1"/>
  <c r="K158" i="1"/>
  <c r="Z157" i="1"/>
  <c r="W157" i="1"/>
  <c r="T157" i="1"/>
  <c r="M157" i="1"/>
  <c r="N157" i="1" s="1"/>
  <c r="K157" i="1"/>
  <c r="L157" i="1" s="1"/>
  <c r="Z156" i="1"/>
  <c r="W156" i="1"/>
  <c r="T156" i="1"/>
  <c r="N156" i="1"/>
  <c r="M156" i="1"/>
  <c r="K156" i="1"/>
  <c r="L156" i="1" s="1"/>
  <c r="Z155" i="1"/>
  <c r="W155" i="1"/>
  <c r="T155" i="1"/>
  <c r="M155" i="1"/>
  <c r="N155" i="1" s="1"/>
  <c r="L155" i="1"/>
  <c r="K155" i="1"/>
  <c r="Z154" i="1"/>
  <c r="W154" i="1"/>
  <c r="T154" i="1"/>
  <c r="M154" i="1"/>
  <c r="N154" i="1" s="1"/>
  <c r="K154" i="1"/>
  <c r="L154" i="1" s="1"/>
  <c r="Z153" i="1"/>
  <c r="W153" i="1"/>
  <c r="T153" i="1"/>
  <c r="N153" i="1"/>
  <c r="M153" i="1"/>
  <c r="L153" i="1"/>
  <c r="K153" i="1"/>
  <c r="Z152" i="1"/>
  <c r="W152" i="1"/>
  <c r="T152" i="1"/>
  <c r="M152" i="1"/>
  <c r="N152" i="1" s="1"/>
  <c r="K152" i="1"/>
  <c r="L152" i="1" s="1"/>
  <c r="Z151" i="1"/>
  <c r="W151" i="1"/>
  <c r="T151" i="1"/>
  <c r="N151" i="1"/>
  <c r="M151" i="1"/>
  <c r="K151" i="1"/>
  <c r="L151" i="1" s="1"/>
  <c r="Z150" i="1"/>
  <c r="W150" i="1"/>
  <c r="T150" i="1"/>
  <c r="M150" i="1"/>
  <c r="N150" i="1" s="1"/>
  <c r="K150" i="1"/>
  <c r="L150" i="1" s="1"/>
  <c r="Z149" i="1"/>
  <c r="W149" i="1"/>
  <c r="T149" i="1"/>
  <c r="M149" i="1"/>
  <c r="N149" i="1" s="1"/>
  <c r="L149" i="1"/>
  <c r="K149" i="1"/>
  <c r="Z148" i="1"/>
  <c r="W148" i="1"/>
  <c r="T148" i="1"/>
  <c r="M148" i="1"/>
  <c r="N148" i="1" s="1"/>
  <c r="K148" i="1"/>
  <c r="L148" i="1" s="1"/>
  <c r="Z147" i="1"/>
  <c r="W147" i="1"/>
  <c r="T147" i="1"/>
  <c r="N147" i="1"/>
  <c r="M147" i="1"/>
  <c r="K147" i="1"/>
  <c r="L147" i="1" s="1"/>
  <c r="Z146" i="1"/>
  <c r="W146" i="1"/>
  <c r="T146" i="1"/>
  <c r="M146" i="1"/>
  <c r="N146" i="1" s="1"/>
  <c r="L146" i="1"/>
  <c r="K146" i="1"/>
  <c r="Z145" i="1"/>
  <c r="W145" i="1"/>
  <c r="T145" i="1"/>
  <c r="M145" i="1"/>
  <c r="N145" i="1" s="1"/>
  <c r="K145" i="1"/>
  <c r="L145" i="1" s="1"/>
  <c r="Z144" i="1"/>
  <c r="W144" i="1"/>
  <c r="T144" i="1"/>
  <c r="N144" i="1"/>
  <c r="M144" i="1"/>
  <c r="K144" i="1"/>
  <c r="L144" i="1" s="1"/>
  <c r="Z143" i="1"/>
  <c r="W143" i="1"/>
  <c r="T143" i="1"/>
  <c r="M143" i="1"/>
  <c r="N143" i="1" s="1"/>
  <c r="L143" i="1"/>
  <c r="K143" i="1"/>
  <c r="Z142" i="1"/>
  <c r="W142" i="1"/>
  <c r="T142" i="1"/>
  <c r="M142" i="1"/>
  <c r="N142" i="1" s="1"/>
  <c r="K142" i="1"/>
  <c r="L142" i="1" s="1"/>
  <c r="Z141" i="1"/>
  <c r="W141" i="1"/>
  <c r="T141" i="1"/>
  <c r="N141" i="1"/>
  <c r="M141" i="1"/>
  <c r="L141" i="1"/>
  <c r="K141" i="1"/>
  <c r="Z140" i="1"/>
  <c r="W140" i="1"/>
  <c r="T140" i="1"/>
  <c r="M140" i="1"/>
  <c r="N140" i="1" s="1"/>
  <c r="K140" i="1"/>
  <c r="L140" i="1" s="1"/>
  <c r="Z139" i="1"/>
  <c r="W139" i="1"/>
  <c r="T139" i="1"/>
  <c r="N139" i="1"/>
  <c r="M139" i="1"/>
  <c r="K139" i="1"/>
  <c r="L139" i="1" s="1"/>
  <c r="Z138" i="1"/>
  <c r="W138" i="1"/>
  <c r="T138" i="1"/>
  <c r="M138" i="1"/>
  <c r="N138" i="1" s="1"/>
  <c r="K138" i="1"/>
  <c r="L138" i="1" s="1"/>
  <c r="Z137" i="1"/>
  <c r="W137" i="1"/>
  <c r="T137" i="1"/>
  <c r="M137" i="1"/>
  <c r="N137" i="1" s="1"/>
  <c r="L137" i="1"/>
  <c r="K137" i="1"/>
  <c r="Z136" i="1"/>
  <c r="W136" i="1"/>
  <c r="T136" i="1"/>
  <c r="M136" i="1"/>
  <c r="N136" i="1" s="1"/>
  <c r="K136" i="1"/>
  <c r="L136" i="1" s="1"/>
  <c r="Z135" i="1"/>
  <c r="W135" i="1"/>
  <c r="T135" i="1"/>
  <c r="N135" i="1"/>
  <c r="M135" i="1"/>
  <c r="K135" i="1"/>
  <c r="L135" i="1" s="1"/>
  <c r="Z134" i="1"/>
  <c r="W134" i="1"/>
  <c r="T134" i="1"/>
  <c r="M134" i="1"/>
  <c r="N134" i="1" s="1"/>
  <c r="L134" i="1"/>
  <c r="K134" i="1"/>
  <c r="Z133" i="1"/>
  <c r="W133" i="1"/>
  <c r="T133" i="1"/>
  <c r="M133" i="1"/>
  <c r="N133" i="1" s="1"/>
  <c r="K133" i="1"/>
  <c r="L133" i="1" s="1"/>
  <c r="Z132" i="1"/>
  <c r="W132" i="1"/>
  <c r="T132" i="1"/>
  <c r="N132" i="1"/>
  <c r="M132" i="1"/>
  <c r="K132" i="1"/>
  <c r="L132" i="1" s="1"/>
  <c r="Z131" i="1"/>
  <c r="W131" i="1"/>
  <c r="T131" i="1"/>
  <c r="M131" i="1"/>
  <c r="N131" i="1" s="1"/>
  <c r="L131" i="1"/>
  <c r="K131" i="1"/>
  <c r="Z130" i="1"/>
  <c r="W130" i="1"/>
  <c r="T130" i="1"/>
  <c r="M130" i="1"/>
  <c r="N130" i="1" s="1"/>
  <c r="K130" i="1"/>
  <c r="L130" i="1" s="1"/>
  <c r="Z129" i="1"/>
  <c r="W129" i="1"/>
  <c r="T129" i="1"/>
  <c r="N129" i="1"/>
  <c r="M129" i="1"/>
  <c r="L129" i="1"/>
  <c r="K129" i="1"/>
  <c r="Z128" i="1"/>
  <c r="W128" i="1"/>
  <c r="T128" i="1"/>
  <c r="M128" i="1"/>
  <c r="N128" i="1" s="1"/>
  <c r="K128" i="1"/>
  <c r="L128" i="1" s="1"/>
  <c r="Z127" i="1"/>
  <c r="W127" i="1"/>
  <c r="T127" i="1"/>
  <c r="N127" i="1"/>
  <c r="M127" i="1"/>
  <c r="K127" i="1"/>
  <c r="L127" i="1" s="1"/>
  <c r="Z126" i="1"/>
  <c r="W126" i="1"/>
  <c r="T126" i="1"/>
  <c r="N126" i="1"/>
  <c r="M126" i="1"/>
  <c r="K126" i="1"/>
  <c r="L126" i="1" s="1"/>
  <c r="Z125" i="1"/>
  <c r="W125" i="1"/>
  <c r="T125" i="1"/>
  <c r="M125" i="1"/>
  <c r="N125" i="1" s="1"/>
  <c r="L125" i="1"/>
  <c r="K125" i="1"/>
  <c r="Z124" i="1"/>
  <c r="W124" i="1"/>
  <c r="T124" i="1"/>
  <c r="M124" i="1"/>
  <c r="N124" i="1" s="1"/>
  <c r="K124" i="1"/>
  <c r="L124" i="1" s="1"/>
  <c r="Z123" i="1"/>
  <c r="W123" i="1"/>
  <c r="T123" i="1"/>
  <c r="N123" i="1"/>
  <c r="M123" i="1"/>
  <c r="K123" i="1"/>
  <c r="L123" i="1" s="1"/>
  <c r="Z122" i="1"/>
  <c r="W122" i="1"/>
  <c r="T122" i="1"/>
  <c r="N122" i="1"/>
  <c r="M122" i="1"/>
  <c r="L122" i="1"/>
  <c r="K122" i="1"/>
  <c r="Z121" i="1"/>
  <c r="W121" i="1"/>
  <c r="T121" i="1"/>
  <c r="N121" i="1"/>
  <c r="M121" i="1"/>
  <c r="L121" i="1"/>
  <c r="K121" i="1"/>
  <c r="Z120" i="1"/>
  <c r="W120" i="1"/>
  <c r="T120" i="1"/>
  <c r="N120" i="1"/>
  <c r="M120" i="1"/>
  <c r="K120" i="1"/>
  <c r="L120" i="1" s="1"/>
  <c r="Z119" i="1"/>
  <c r="W119" i="1"/>
  <c r="T119" i="1"/>
  <c r="M119" i="1"/>
  <c r="N119" i="1" s="1"/>
  <c r="L119" i="1"/>
  <c r="K119" i="1"/>
  <c r="Z118" i="1"/>
  <c r="W118" i="1"/>
  <c r="T118" i="1"/>
  <c r="M118" i="1"/>
  <c r="N118" i="1" s="1"/>
  <c r="K118" i="1"/>
  <c r="L118" i="1" s="1"/>
  <c r="Z117" i="1"/>
  <c r="W117" i="1"/>
  <c r="T117" i="1"/>
  <c r="N117" i="1"/>
  <c r="M117" i="1"/>
  <c r="L117" i="1"/>
  <c r="K117" i="1"/>
  <c r="Z116" i="1"/>
  <c r="W116" i="1"/>
  <c r="T116" i="1"/>
  <c r="M116" i="1"/>
  <c r="N116" i="1" s="1"/>
  <c r="K116" i="1"/>
  <c r="L116" i="1" s="1"/>
  <c r="Z115" i="1"/>
  <c r="W115" i="1"/>
  <c r="T115" i="1"/>
  <c r="N115" i="1"/>
  <c r="M115" i="1"/>
  <c r="K115" i="1"/>
  <c r="L115" i="1" s="1"/>
  <c r="Z114" i="1"/>
  <c r="W114" i="1"/>
  <c r="T114" i="1"/>
  <c r="M114" i="1"/>
  <c r="N114" i="1" s="1"/>
  <c r="K114" i="1"/>
  <c r="L114" i="1" s="1"/>
  <c r="Z113" i="1"/>
  <c r="W113" i="1"/>
  <c r="T113" i="1"/>
  <c r="M113" i="1"/>
  <c r="N113" i="1" s="1"/>
  <c r="L113" i="1"/>
  <c r="K113" i="1"/>
  <c r="Z112" i="1"/>
  <c r="W112" i="1"/>
  <c r="T112" i="1"/>
  <c r="M112" i="1"/>
  <c r="N112" i="1" s="1"/>
  <c r="K112" i="1"/>
  <c r="L112" i="1" s="1"/>
  <c r="Z111" i="1"/>
  <c r="W111" i="1"/>
  <c r="T111" i="1"/>
  <c r="N111" i="1"/>
  <c r="M111" i="1"/>
  <c r="K111" i="1"/>
  <c r="L111" i="1" s="1"/>
  <c r="Z110" i="1"/>
  <c r="W110" i="1"/>
  <c r="T110" i="1"/>
  <c r="M110" i="1"/>
  <c r="N110" i="1" s="1"/>
  <c r="L110" i="1"/>
  <c r="K110" i="1"/>
  <c r="Z109" i="1"/>
  <c r="W109" i="1"/>
  <c r="T109" i="1"/>
  <c r="M109" i="1"/>
  <c r="N109" i="1" s="1"/>
  <c r="K109" i="1"/>
  <c r="L109" i="1" s="1"/>
  <c r="Z108" i="1"/>
  <c r="W108" i="1"/>
  <c r="T108" i="1"/>
  <c r="N108" i="1"/>
  <c r="M108" i="1"/>
  <c r="K108" i="1"/>
  <c r="L108" i="1" s="1"/>
  <c r="Z107" i="1"/>
  <c r="W107" i="1"/>
  <c r="T107" i="1"/>
  <c r="M107" i="1"/>
  <c r="N107" i="1" s="1"/>
  <c r="L107" i="1"/>
  <c r="K107" i="1"/>
  <c r="Z106" i="1"/>
  <c r="W106" i="1"/>
  <c r="T106" i="1"/>
  <c r="M106" i="1"/>
  <c r="N106" i="1" s="1"/>
  <c r="K106" i="1"/>
  <c r="L106" i="1" s="1"/>
  <c r="Z105" i="1"/>
  <c r="W105" i="1"/>
  <c r="T105" i="1"/>
  <c r="N105" i="1"/>
  <c r="M105" i="1"/>
  <c r="L105" i="1"/>
  <c r="K105" i="1"/>
  <c r="Z104" i="1"/>
  <c r="W104" i="1"/>
  <c r="T104" i="1"/>
  <c r="M104" i="1"/>
  <c r="N104" i="1" s="1"/>
  <c r="K104" i="1"/>
  <c r="L104" i="1" s="1"/>
  <c r="Z103" i="1"/>
  <c r="W103" i="1"/>
  <c r="T103" i="1"/>
  <c r="N103" i="1"/>
  <c r="M103" i="1"/>
  <c r="K103" i="1"/>
  <c r="L103" i="1" s="1"/>
  <c r="Z102" i="1"/>
  <c r="W102" i="1"/>
  <c r="T102" i="1"/>
  <c r="M102" i="1"/>
  <c r="N102" i="1" s="1"/>
  <c r="K102" i="1"/>
  <c r="L102" i="1" s="1"/>
  <c r="Z101" i="1"/>
  <c r="W101" i="1"/>
  <c r="T101" i="1"/>
  <c r="M101" i="1"/>
  <c r="N101" i="1" s="1"/>
  <c r="L101" i="1"/>
  <c r="K101" i="1"/>
  <c r="Z100" i="1"/>
  <c r="W100" i="1"/>
  <c r="T100" i="1"/>
  <c r="M100" i="1"/>
  <c r="N100" i="1" s="1"/>
  <c r="K100" i="1"/>
  <c r="L100" i="1" s="1"/>
  <c r="Z99" i="1"/>
  <c r="W99" i="1"/>
  <c r="T99" i="1"/>
  <c r="N99" i="1"/>
  <c r="M99" i="1"/>
  <c r="K99" i="1"/>
  <c r="L99" i="1" s="1"/>
  <c r="Z98" i="1"/>
  <c r="W98" i="1"/>
  <c r="T98" i="1"/>
  <c r="M98" i="1"/>
  <c r="N98" i="1" s="1"/>
  <c r="L98" i="1"/>
  <c r="K98" i="1"/>
  <c r="Z97" i="1"/>
  <c r="W97" i="1"/>
  <c r="T97" i="1"/>
  <c r="M97" i="1"/>
  <c r="N97" i="1" s="1"/>
  <c r="K97" i="1"/>
  <c r="L97" i="1" s="1"/>
  <c r="Z96" i="1"/>
  <c r="W96" i="1"/>
  <c r="T96" i="1"/>
  <c r="N96" i="1"/>
  <c r="M96" i="1"/>
  <c r="K96" i="1"/>
  <c r="L96" i="1" s="1"/>
  <c r="Z95" i="1"/>
  <c r="W95" i="1"/>
  <c r="T95" i="1"/>
  <c r="M95" i="1"/>
  <c r="N95" i="1" s="1"/>
  <c r="L95" i="1"/>
  <c r="K95" i="1"/>
  <c r="Z94" i="1"/>
  <c r="W94" i="1"/>
  <c r="T94" i="1"/>
  <c r="M94" i="1"/>
  <c r="N94" i="1" s="1"/>
  <c r="K94" i="1"/>
  <c r="L94" i="1" s="1"/>
  <c r="Z93" i="1"/>
  <c r="W93" i="1"/>
  <c r="T93" i="1"/>
  <c r="N93" i="1"/>
  <c r="M93" i="1"/>
  <c r="L93" i="1"/>
  <c r="K93" i="1"/>
  <c r="Z92" i="1"/>
  <c r="W92" i="1"/>
  <c r="T92" i="1"/>
  <c r="M92" i="1"/>
  <c r="N92" i="1" s="1"/>
  <c r="K92" i="1"/>
  <c r="L92" i="1" s="1"/>
  <c r="Z91" i="1"/>
  <c r="W91" i="1"/>
  <c r="T91" i="1"/>
  <c r="N91" i="1"/>
  <c r="M91" i="1"/>
  <c r="K91" i="1"/>
  <c r="L91" i="1" s="1"/>
  <c r="Z90" i="1"/>
  <c r="W90" i="1"/>
  <c r="T90" i="1"/>
  <c r="M90" i="1"/>
  <c r="N90" i="1" s="1"/>
  <c r="K90" i="1"/>
  <c r="L90" i="1" s="1"/>
  <c r="Z89" i="1"/>
  <c r="W89" i="1"/>
  <c r="T89" i="1"/>
  <c r="M89" i="1"/>
  <c r="N89" i="1" s="1"/>
  <c r="L89" i="1"/>
  <c r="K89" i="1"/>
  <c r="Z88" i="1"/>
  <c r="W88" i="1"/>
  <c r="T88" i="1"/>
  <c r="M88" i="1"/>
  <c r="N88" i="1" s="1"/>
  <c r="K88" i="1"/>
  <c r="L88" i="1" s="1"/>
  <c r="Z87" i="1"/>
  <c r="W87" i="1"/>
  <c r="T87" i="1"/>
  <c r="N87" i="1"/>
  <c r="M87" i="1"/>
  <c r="K87" i="1"/>
  <c r="L87" i="1" s="1"/>
  <c r="Z86" i="1"/>
  <c r="W86" i="1"/>
  <c r="T86" i="1"/>
  <c r="M86" i="1"/>
  <c r="N86" i="1" s="1"/>
  <c r="L86" i="1"/>
  <c r="K86" i="1"/>
  <c r="Z85" i="1"/>
  <c r="W85" i="1"/>
  <c r="T85" i="1"/>
  <c r="M85" i="1"/>
  <c r="N85" i="1" s="1"/>
  <c r="K85" i="1"/>
  <c r="L85" i="1" s="1"/>
  <c r="Z84" i="1"/>
  <c r="W84" i="1"/>
  <c r="T84" i="1"/>
  <c r="N84" i="1"/>
  <c r="M84" i="1"/>
  <c r="K84" i="1"/>
  <c r="L84" i="1" s="1"/>
  <c r="Z83" i="1"/>
  <c r="W83" i="1"/>
  <c r="T83" i="1"/>
  <c r="M83" i="1"/>
  <c r="EP83" i="4" s="1"/>
  <c r="L83" i="1"/>
  <c r="EO83" i="4" s="1"/>
  <c r="K83" i="1"/>
  <c r="EN83" i="4" s="1"/>
  <c r="Z82" i="1"/>
  <c r="W82" i="1"/>
  <c r="T82" i="1"/>
  <c r="M82" i="1"/>
  <c r="N82" i="1" s="1"/>
  <c r="K82" i="1"/>
  <c r="L82" i="1" s="1"/>
  <c r="Z81" i="1"/>
  <c r="W81" i="1"/>
  <c r="T81" i="1"/>
  <c r="N81" i="1"/>
  <c r="M81" i="1"/>
  <c r="L81" i="1"/>
  <c r="K81" i="1"/>
  <c r="Z80" i="1"/>
  <c r="W80" i="1"/>
  <c r="T80" i="1"/>
  <c r="M80" i="1"/>
  <c r="N80" i="1" s="1"/>
  <c r="K80" i="1"/>
  <c r="L80" i="1" s="1"/>
  <c r="Z79" i="1"/>
  <c r="W79" i="1"/>
  <c r="T79" i="1"/>
  <c r="N79" i="1"/>
  <c r="M79" i="1"/>
  <c r="K79" i="1"/>
  <c r="L79" i="1" s="1"/>
  <c r="Z78" i="1"/>
  <c r="W78" i="1"/>
  <c r="T78" i="1"/>
  <c r="M78" i="1"/>
  <c r="N78" i="1" s="1"/>
  <c r="K78" i="1"/>
  <c r="L78" i="1" s="1"/>
  <c r="Z77" i="1"/>
  <c r="W77" i="1"/>
  <c r="T77" i="1"/>
  <c r="M77" i="1"/>
  <c r="N77" i="1" s="1"/>
  <c r="L77" i="1"/>
  <c r="K77" i="1"/>
  <c r="Z76" i="1"/>
  <c r="W76" i="1"/>
  <c r="T76" i="1"/>
  <c r="M76" i="1"/>
  <c r="N76" i="1" s="1"/>
  <c r="K76" i="1"/>
  <c r="L76" i="1" s="1"/>
  <c r="Z75" i="1"/>
  <c r="W75" i="1"/>
  <c r="T75" i="1"/>
  <c r="N75" i="1"/>
  <c r="M75" i="1"/>
  <c r="K75" i="1"/>
  <c r="L75" i="1" s="1"/>
  <c r="Z74" i="1"/>
  <c r="W74" i="1"/>
  <c r="T74" i="1"/>
  <c r="M74" i="1"/>
  <c r="N74" i="1" s="1"/>
  <c r="L74" i="1"/>
  <c r="K74" i="1"/>
  <c r="Z73" i="1"/>
  <c r="W73" i="1"/>
  <c r="T73" i="1"/>
  <c r="M73" i="1"/>
  <c r="N73" i="1" s="1"/>
  <c r="K73" i="1"/>
  <c r="L73" i="1" s="1"/>
  <c r="Z72" i="1"/>
  <c r="W72" i="1"/>
  <c r="T72" i="1"/>
  <c r="N72" i="1"/>
  <c r="M72" i="1"/>
  <c r="K72" i="1"/>
  <c r="L72" i="1" s="1"/>
  <c r="Z71" i="1"/>
  <c r="W71" i="1"/>
  <c r="T71" i="1"/>
  <c r="M71" i="1"/>
  <c r="N71" i="1" s="1"/>
  <c r="L71" i="1"/>
  <c r="K71" i="1"/>
  <c r="Z70" i="1"/>
  <c r="W70" i="1"/>
  <c r="T70" i="1"/>
  <c r="M70" i="1"/>
  <c r="N70" i="1" s="1"/>
  <c r="K70" i="1"/>
  <c r="L70" i="1" s="1"/>
  <c r="Z69" i="1"/>
  <c r="W69" i="1"/>
  <c r="T69" i="1"/>
  <c r="N69" i="1"/>
  <c r="M69" i="1"/>
  <c r="L69" i="1"/>
  <c r="K69" i="1"/>
  <c r="Z68" i="1"/>
  <c r="W68" i="1"/>
  <c r="T68" i="1"/>
  <c r="M68" i="1"/>
  <c r="N68" i="1" s="1"/>
  <c r="K68" i="1"/>
  <c r="L68" i="1" s="1"/>
  <c r="Z67" i="1"/>
  <c r="W67" i="1"/>
  <c r="T67" i="1"/>
  <c r="N67" i="1"/>
  <c r="M67" i="1"/>
  <c r="K67" i="1"/>
  <c r="L67" i="1" s="1"/>
  <c r="Z66" i="1"/>
  <c r="W66" i="1"/>
  <c r="T66" i="1"/>
  <c r="M66" i="1"/>
  <c r="N66" i="1" s="1"/>
  <c r="K66" i="1"/>
  <c r="L66" i="1" s="1"/>
  <c r="Z65" i="1"/>
  <c r="W65" i="1"/>
  <c r="T65" i="1"/>
  <c r="M65" i="1"/>
  <c r="N65" i="1" s="1"/>
  <c r="L65" i="1"/>
  <c r="K65" i="1"/>
  <c r="Z64" i="1"/>
  <c r="W64" i="1"/>
  <c r="T64" i="1"/>
  <c r="M64" i="1"/>
  <c r="N64" i="1" s="1"/>
  <c r="K64" i="1"/>
  <c r="L64" i="1" s="1"/>
  <c r="Z63" i="1"/>
  <c r="W63" i="1"/>
  <c r="T63" i="1"/>
  <c r="N63" i="1"/>
  <c r="M63" i="1"/>
  <c r="K63" i="1"/>
  <c r="L63" i="1" s="1"/>
  <c r="Z62" i="1"/>
  <c r="W62" i="1"/>
  <c r="T62" i="1"/>
  <c r="M62" i="1"/>
  <c r="N62" i="1" s="1"/>
  <c r="L62" i="1"/>
  <c r="K62" i="1"/>
  <c r="Z61" i="1"/>
  <c r="W61" i="1"/>
  <c r="T61" i="1"/>
  <c r="M61" i="1"/>
  <c r="N61" i="1" s="1"/>
  <c r="K61" i="1"/>
  <c r="L61" i="1" s="1"/>
  <c r="Z60" i="1"/>
  <c r="W60" i="1"/>
  <c r="T60" i="1"/>
  <c r="N60" i="1"/>
  <c r="M60" i="1"/>
  <c r="K60" i="1"/>
  <c r="L60" i="1" s="1"/>
  <c r="Z59" i="1"/>
  <c r="W59" i="1"/>
  <c r="T59" i="1"/>
  <c r="M59" i="1"/>
  <c r="N59" i="1" s="1"/>
  <c r="L59" i="1"/>
  <c r="K59" i="1"/>
  <c r="Z58" i="1"/>
  <c r="W58" i="1"/>
  <c r="T58" i="1"/>
  <c r="M58" i="1"/>
  <c r="N58" i="1" s="1"/>
  <c r="K58" i="1"/>
  <c r="L58" i="1" s="1"/>
  <c r="Z57" i="1"/>
  <c r="W57" i="1"/>
  <c r="T57" i="1"/>
  <c r="N57" i="1"/>
  <c r="M57" i="1"/>
  <c r="L57" i="1"/>
  <c r="K57" i="1"/>
  <c r="Z56" i="1"/>
  <c r="W56" i="1"/>
  <c r="T56" i="1"/>
  <c r="M56" i="1"/>
  <c r="N56" i="1" s="1"/>
  <c r="K56" i="1"/>
  <c r="L56" i="1" s="1"/>
  <c r="Z55" i="1"/>
  <c r="W55" i="1"/>
  <c r="T55" i="1"/>
  <c r="N55" i="1"/>
  <c r="M55" i="1"/>
  <c r="K55" i="1"/>
  <c r="L55" i="1" s="1"/>
  <c r="Z54" i="1"/>
  <c r="W54" i="1"/>
  <c r="T54" i="1"/>
  <c r="M54" i="1"/>
  <c r="N54" i="1" s="1"/>
  <c r="K54" i="1"/>
  <c r="L54" i="1" s="1"/>
  <c r="Z53" i="1"/>
  <c r="W53" i="1"/>
  <c r="T53" i="1"/>
  <c r="M53" i="1"/>
  <c r="N53" i="1" s="1"/>
  <c r="L53" i="1"/>
  <c r="K53" i="1"/>
  <c r="Z52" i="1"/>
  <c r="W52" i="1"/>
  <c r="T52" i="1"/>
  <c r="M52" i="1"/>
  <c r="N52" i="1" s="1"/>
  <c r="K52" i="1"/>
  <c r="L52" i="1" s="1"/>
  <c r="Z51" i="1"/>
  <c r="W51" i="1"/>
  <c r="T51" i="1"/>
  <c r="N51" i="1"/>
  <c r="M51" i="1"/>
  <c r="K51" i="1"/>
  <c r="L51" i="1" s="1"/>
  <c r="Z50" i="1"/>
  <c r="W50" i="1"/>
  <c r="T50" i="1"/>
  <c r="M50" i="1"/>
  <c r="N50" i="1" s="1"/>
  <c r="L50" i="1"/>
  <c r="K50" i="1"/>
  <c r="Z49" i="1"/>
  <c r="W49" i="1"/>
  <c r="T49" i="1"/>
  <c r="M49" i="1"/>
  <c r="N49" i="1" s="1"/>
  <c r="K49" i="1"/>
  <c r="L49" i="1" s="1"/>
  <c r="Z48" i="1"/>
  <c r="W48" i="1"/>
  <c r="T48" i="1"/>
  <c r="N48" i="1"/>
  <c r="M48" i="1"/>
  <c r="K48" i="1"/>
  <c r="L48" i="1" s="1"/>
  <c r="Z47" i="1"/>
  <c r="W47" i="1"/>
  <c r="T47" i="1"/>
  <c r="M47" i="1"/>
  <c r="N47" i="1" s="1"/>
  <c r="L47" i="1"/>
  <c r="K47" i="1"/>
  <c r="Z46" i="1"/>
  <c r="W46" i="1"/>
  <c r="T46" i="1"/>
  <c r="M46" i="1"/>
  <c r="N46" i="1" s="1"/>
  <c r="K46" i="1"/>
  <c r="L46" i="1" s="1"/>
  <c r="Z45" i="1"/>
  <c r="W45" i="1"/>
  <c r="T45" i="1"/>
  <c r="N45" i="1"/>
  <c r="M45" i="1"/>
  <c r="L45" i="1"/>
  <c r="K45" i="1"/>
  <c r="Z44" i="1"/>
  <c r="W44" i="1"/>
  <c r="T44" i="1"/>
  <c r="M44" i="1"/>
  <c r="N44" i="1" s="1"/>
  <c r="K44" i="1"/>
  <c r="L44" i="1" s="1"/>
  <c r="Z43" i="1"/>
  <c r="W43" i="1"/>
  <c r="T43" i="1"/>
  <c r="N43" i="1"/>
  <c r="M43" i="1"/>
  <c r="K43" i="1"/>
  <c r="L43" i="1" s="1"/>
  <c r="Z42" i="1"/>
  <c r="W42" i="1"/>
  <c r="T42" i="1"/>
  <c r="M42" i="1"/>
  <c r="N42" i="1" s="1"/>
  <c r="K42" i="1"/>
  <c r="L42" i="1" s="1"/>
  <c r="Z41" i="1"/>
  <c r="W41" i="1"/>
  <c r="T41" i="1"/>
  <c r="M41" i="1"/>
  <c r="N41" i="1" s="1"/>
  <c r="L41" i="1"/>
  <c r="K41" i="1"/>
  <c r="Z40" i="1"/>
  <c r="W40" i="1"/>
  <c r="T40" i="1"/>
  <c r="M40" i="1"/>
  <c r="N40" i="1" s="1"/>
  <c r="K40" i="1"/>
  <c r="L40" i="1" s="1"/>
  <c r="Z39" i="1"/>
  <c r="W39" i="1"/>
  <c r="T39" i="1"/>
  <c r="N39" i="1"/>
  <c r="M39" i="1"/>
  <c r="L39" i="1"/>
  <c r="K39" i="1"/>
  <c r="Z38" i="1"/>
  <c r="W38" i="1"/>
  <c r="T38" i="1"/>
  <c r="N38" i="1"/>
  <c r="M38" i="1"/>
  <c r="L38" i="1"/>
  <c r="K38" i="1"/>
  <c r="Z37" i="1"/>
  <c r="W37" i="1"/>
  <c r="T37" i="1"/>
  <c r="M37" i="1"/>
  <c r="N37" i="1" s="1"/>
  <c r="K37" i="1"/>
  <c r="L37" i="1" s="1"/>
  <c r="Z36" i="1"/>
  <c r="W36" i="1"/>
  <c r="T36" i="1"/>
  <c r="N36" i="1"/>
  <c r="M36" i="1"/>
  <c r="K36" i="1"/>
  <c r="L36" i="1" s="1"/>
  <c r="Z35" i="1"/>
  <c r="W35" i="1"/>
  <c r="T35" i="1"/>
  <c r="M35" i="1"/>
  <c r="N35" i="1" s="1"/>
  <c r="L35" i="1"/>
  <c r="K35" i="1"/>
  <c r="Z34" i="1"/>
  <c r="W34" i="1"/>
  <c r="T34" i="1"/>
  <c r="M34" i="1"/>
  <c r="N34" i="1" s="1"/>
  <c r="K34" i="1"/>
  <c r="L34" i="1" s="1"/>
  <c r="Z33" i="1"/>
  <c r="W33" i="1"/>
  <c r="T33" i="1"/>
  <c r="N33" i="1"/>
  <c r="M33" i="1"/>
  <c r="L33" i="1"/>
  <c r="K33" i="1"/>
  <c r="Z32" i="1"/>
  <c r="W32" i="1"/>
  <c r="T32" i="1"/>
  <c r="M32" i="1"/>
  <c r="N32" i="1" s="1"/>
  <c r="K32" i="1"/>
  <c r="L32" i="1" s="1"/>
  <c r="Z31" i="1"/>
  <c r="W31" i="1"/>
  <c r="T31" i="1"/>
  <c r="N31" i="1"/>
  <c r="M31" i="1"/>
  <c r="K31" i="1"/>
  <c r="L31" i="1" s="1"/>
  <c r="Z30" i="1"/>
  <c r="W30" i="1"/>
  <c r="T30" i="1"/>
  <c r="M30" i="1"/>
  <c r="N30" i="1" s="1"/>
  <c r="K30" i="1"/>
  <c r="L30" i="1" s="1"/>
  <c r="Z29" i="1"/>
  <c r="W29" i="1"/>
  <c r="T29" i="1"/>
  <c r="M29" i="1"/>
  <c r="N29" i="1" s="1"/>
  <c r="L29" i="1"/>
  <c r="K29" i="1"/>
  <c r="Z28" i="1"/>
  <c r="W28" i="1"/>
  <c r="T28" i="1"/>
  <c r="M28" i="1"/>
  <c r="N28" i="1" s="1"/>
  <c r="K28" i="1"/>
  <c r="L28" i="1" s="1"/>
  <c r="Z27" i="1"/>
  <c r="W27" i="1"/>
  <c r="T27" i="1"/>
  <c r="N27" i="1"/>
  <c r="M27" i="1"/>
  <c r="K27" i="1"/>
  <c r="L27" i="1" s="1"/>
  <c r="Z26" i="1"/>
  <c r="W26" i="1"/>
  <c r="T26" i="1"/>
  <c r="M26" i="1"/>
  <c r="N26" i="1" s="1"/>
  <c r="L26" i="1"/>
  <c r="K26" i="1"/>
  <c r="Z25" i="1"/>
  <c r="W25" i="1"/>
  <c r="T25" i="1"/>
  <c r="M25" i="1"/>
  <c r="N25" i="1" s="1"/>
  <c r="K25" i="1"/>
  <c r="L25" i="1" s="1"/>
  <c r="Z24" i="1"/>
  <c r="W24" i="1"/>
  <c r="T24" i="1"/>
  <c r="N24" i="1"/>
  <c r="M24" i="1"/>
  <c r="K24" i="1"/>
  <c r="L24" i="1" s="1"/>
  <c r="Z23" i="1"/>
  <c r="W23" i="1"/>
  <c r="T23" i="1"/>
  <c r="M23" i="1"/>
  <c r="N23" i="1" s="1"/>
  <c r="L23" i="1"/>
  <c r="K23" i="1"/>
  <c r="Z22" i="1"/>
  <c r="W22" i="1"/>
  <c r="T22" i="1"/>
  <c r="M22" i="1"/>
  <c r="N22" i="1" s="1"/>
  <c r="K22" i="1"/>
  <c r="L22" i="1" s="1"/>
  <c r="Z21" i="1"/>
  <c r="W21" i="1"/>
  <c r="T21" i="1"/>
  <c r="N21" i="1"/>
  <c r="M21" i="1"/>
  <c r="L21" i="1"/>
  <c r="K21" i="1"/>
  <c r="Z20" i="1"/>
  <c r="W20" i="1"/>
  <c r="T20" i="1"/>
  <c r="M20" i="1"/>
  <c r="N20" i="1" s="1"/>
  <c r="K20" i="1"/>
  <c r="L20" i="1" s="1"/>
  <c r="Z19" i="1"/>
  <c r="W19" i="1"/>
  <c r="T19" i="1"/>
  <c r="N19" i="1"/>
  <c r="M19" i="1"/>
  <c r="K19" i="1"/>
  <c r="L19" i="1" s="1"/>
  <c r="Z18" i="1"/>
  <c r="W18" i="1"/>
  <c r="T18" i="1"/>
  <c r="M18" i="1"/>
  <c r="N18" i="1" s="1"/>
  <c r="K18" i="1"/>
  <c r="L18" i="1" s="1"/>
  <c r="Z17" i="1"/>
  <c r="W17" i="1"/>
  <c r="T17" i="1"/>
  <c r="M17" i="1"/>
  <c r="N17" i="1" s="1"/>
  <c r="L17" i="1"/>
  <c r="K17" i="1"/>
  <c r="Z16" i="1"/>
  <c r="W16" i="1"/>
  <c r="T16" i="1"/>
  <c r="M16" i="1"/>
  <c r="N16" i="1" s="1"/>
  <c r="K16" i="1"/>
  <c r="L16" i="1" s="1"/>
  <c r="Z15" i="1"/>
  <c r="W15" i="1"/>
  <c r="T15" i="1"/>
  <c r="N15" i="1"/>
  <c r="M15" i="1"/>
  <c r="K15" i="1"/>
  <c r="L15" i="1" s="1"/>
  <c r="Z14" i="1"/>
  <c r="W14" i="1"/>
  <c r="T14" i="1"/>
  <c r="M14" i="1"/>
  <c r="N14" i="1" s="1"/>
  <c r="L14" i="1"/>
  <c r="K14" i="1"/>
  <c r="Z13" i="1"/>
  <c r="W13" i="1"/>
  <c r="T13" i="1"/>
  <c r="M13" i="1"/>
  <c r="N13" i="1" s="1"/>
  <c r="K13" i="1"/>
  <c r="L13" i="1" s="1"/>
  <c r="Z12" i="1"/>
  <c r="W12" i="1"/>
  <c r="T12" i="1"/>
  <c r="N12" i="1"/>
  <c r="M12" i="1"/>
  <c r="L12" i="1"/>
  <c r="K12" i="1"/>
  <c r="Z11" i="1"/>
  <c r="W11" i="1"/>
  <c r="T11" i="1"/>
  <c r="N11" i="1"/>
  <c r="M11" i="1"/>
  <c r="L11" i="1"/>
  <c r="K11" i="1"/>
  <c r="Z10" i="1"/>
  <c r="W10" i="1"/>
  <c r="T10" i="1"/>
  <c r="M10" i="1"/>
  <c r="N10" i="1" s="1"/>
  <c r="K10" i="1"/>
  <c r="L10" i="1" s="1"/>
  <c r="Z9" i="1"/>
  <c r="W9" i="1"/>
  <c r="T9" i="1"/>
  <c r="N9" i="1"/>
  <c r="M9" i="1"/>
  <c r="L9" i="1"/>
  <c r="K9" i="1"/>
  <c r="Z8" i="1"/>
  <c r="W8" i="1"/>
  <c r="T8" i="1"/>
  <c r="M8" i="1"/>
  <c r="N8" i="1" s="1"/>
  <c r="K8" i="1"/>
  <c r="L8" i="1" s="1"/>
  <c r="Z7" i="1"/>
  <c r="W7" i="1"/>
  <c r="T7" i="1"/>
  <c r="N7" i="1"/>
  <c r="M7" i="1"/>
  <c r="K7" i="1"/>
  <c r="L7" i="1" s="1"/>
  <c r="Z6" i="1"/>
  <c r="W6" i="1"/>
  <c r="T6" i="1"/>
  <c r="M6" i="1"/>
  <c r="N6" i="1" s="1"/>
  <c r="K6" i="1"/>
  <c r="L6" i="1" s="1"/>
  <c r="Z5" i="1"/>
  <c r="W5" i="1"/>
  <c r="T5" i="1"/>
  <c r="N5" i="1"/>
  <c r="M5" i="1"/>
  <c r="L5" i="1"/>
  <c r="K5" i="1"/>
  <c r="Z4" i="1"/>
  <c r="W4" i="1"/>
  <c r="T4" i="1"/>
  <c r="N4" i="1"/>
  <c r="M4" i="1"/>
  <c r="L4" i="1"/>
  <c r="K4" i="1"/>
  <c r="Z3" i="1"/>
  <c r="W3" i="1"/>
  <c r="T3" i="1"/>
  <c r="N3" i="1"/>
  <c r="M3" i="1"/>
  <c r="K3" i="1"/>
  <c r="L3" i="1" s="1"/>
  <c r="O293" i="3" l="1"/>
  <c r="N83" i="1"/>
  <c r="EQ83" i="4" s="1"/>
  <c r="P284" i="3"/>
  <c r="M293" i="3"/>
  <c r="K293" i="3"/>
  <c r="P293" i="3"/>
  <c r="P192" i="3"/>
  <c r="DI192" i="4" s="1"/>
  <c r="O218" i="3"/>
  <c r="K187" i="4"/>
  <c r="Q293" i="3"/>
</calcChain>
</file>

<file path=xl/sharedStrings.xml><?xml version="1.0" encoding="utf-8"?>
<sst xmlns="http://schemas.openxmlformats.org/spreadsheetml/2006/main" count="3391" uniqueCount="2540">
  <si>
    <t>E_KS (1st)</t>
  </si>
  <si>
    <t>E_Free</t>
  </si>
  <si>
    <t>Spin</t>
  </si>
  <si>
    <t>Gap</t>
  </si>
  <si>
    <t>N_Ag</t>
  </si>
  <si>
    <t>N_Au</t>
  </si>
  <si>
    <t>Excess Energy 1st Step</t>
  </si>
  <si>
    <t>per atom</t>
  </si>
  <si>
    <t>Excess Energy Final</t>
  </si>
  <si>
    <t>NAME</t>
  </si>
  <si>
    <t>NBONDS</t>
  </si>
  <si>
    <t>AVBONDLEN</t>
  </si>
  <si>
    <t>NAGAGBONDS</t>
  </si>
  <si>
    <t>ratio</t>
  </si>
  <si>
    <t>AVAGAGBONDLEN</t>
  </si>
  <si>
    <t>NAGAUBONDS</t>
  </si>
  <si>
    <t>AVAGAUBONDLEN</t>
  </si>
  <si>
    <t>NAUAUBONDS</t>
  </si>
  <si>
    <t>AVAUAUBONDLEN</t>
  </si>
  <si>
    <t>Configs_0_of_13</t>
  </si>
  <si>
    <t>301.xyz</t>
  </si>
  <si>
    <t>Ag_00_Au_13_BBP_config_301_LE.xyz</t>
  </si>
  <si>
    <t>Configs_1_of_13</t>
  </si>
  <si>
    <t>Ag_01_Au_12_BBP_config_301.xyz</t>
  </si>
  <si>
    <t>302.xyz</t>
  </si>
  <si>
    <t>Ag_01_Au_12_BBP_config_302.xyz</t>
  </si>
  <si>
    <t>303.xyz</t>
  </si>
  <si>
    <t>Ag_01_Au_12_BBP_config_303.xyz</t>
  </si>
  <si>
    <t>304.xyz</t>
  </si>
  <si>
    <t>Ag_01_Au_12_BBP_config_304_LE.xyz</t>
  </si>
  <si>
    <t>305.xyz</t>
  </si>
  <si>
    <t>Ag_01_Au_12_BBP_config_305.xyz</t>
  </si>
  <si>
    <t>Configs_2_of_13</t>
  </si>
  <si>
    <t>Ag_02_Au_11_BBP_config_301.xyz</t>
  </si>
  <si>
    <t>Ag_02_Au_11_BBP_config_302.xyz</t>
  </si>
  <si>
    <t>Ag_02_Au_11_BBP_config_303.xyz</t>
  </si>
  <si>
    <t>Ag_02_Au_11_BBP_config_304.xyz</t>
  </si>
  <si>
    <t>Ag_02_Au_11_BBP_config_305.xyz</t>
  </si>
  <si>
    <t>306.xyz</t>
  </si>
  <si>
    <t>Ag_02_Au_11_BBP_config_306.xyz</t>
  </si>
  <si>
    <t>307.xyz</t>
  </si>
  <si>
    <t>Ag_02_Au_11_BBP_config_307.xyz</t>
  </si>
  <si>
    <t>308.xyz</t>
  </si>
  <si>
    <t>Ag_02_Au_11_BBP_config_308.xyz</t>
  </si>
  <si>
    <t>309.xyz</t>
  </si>
  <si>
    <t>Ag_02_Au_11_BBP_config_309_LE.xyz</t>
  </si>
  <si>
    <t>310.xyz</t>
  </si>
  <si>
    <t>Ag_02_Au_11_BBP_config_310.xyz</t>
  </si>
  <si>
    <t>311.xyz</t>
  </si>
  <si>
    <t>Ag_02_Au_11_BBP_config_311.xyz</t>
  </si>
  <si>
    <t>312.xyz</t>
  </si>
  <si>
    <t>Ag_02_Au_11_BBP_config_312.xyz</t>
  </si>
  <si>
    <t>313.xyz</t>
  </si>
  <si>
    <t>Ag_02_Au_11_BBP_config_313.xyz</t>
  </si>
  <si>
    <t>314.xyz</t>
  </si>
  <si>
    <t>Ag_02_Au_11_BBP_config_314.xyz</t>
  </si>
  <si>
    <t>315.xyz</t>
  </si>
  <si>
    <t>Ag_02_Au_11_BBP_config_315.xyz</t>
  </si>
  <si>
    <t>316.xyz</t>
  </si>
  <si>
    <t>Ag_02_Au_11_BBP_config_316.xyz</t>
  </si>
  <si>
    <t>317.xyz</t>
  </si>
  <si>
    <t>Ag_02_Au_11_BBP_config_317.xyz</t>
  </si>
  <si>
    <t>318.xyz</t>
  </si>
  <si>
    <t>Ag_02_Au_11_BBP_config_318.xyz</t>
  </si>
  <si>
    <t>319.xyz</t>
  </si>
  <si>
    <t>Ag_02_Au_11_BBP_config_319.xyz</t>
  </si>
  <si>
    <t>320.xyz</t>
  </si>
  <si>
    <t>Ag_02_Au_11_BBP_config_320.xyz</t>
  </si>
  <si>
    <t>321.xyz</t>
  </si>
  <si>
    <t>Ag_02_Au_11_BBP_config_321.xyz</t>
  </si>
  <si>
    <t>322.xyz</t>
  </si>
  <si>
    <t>Ag_02_Au_11_BBP_config_322.xyz</t>
  </si>
  <si>
    <t>323.xyz</t>
  </si>
  <si>
    <t>Ag_02_Au_11_BBP_config_323.xyz</t>
  </si>
  <si>
    <t>324.xyz</t>
  </si>
  <si>
    <t>Ag_02_Au_11_BBP_config_324.xyz</t>
  </si>
  <si>
    <t>325.xyz</t>
  </si>
  <si>
    <t>Ag_02_Au_11_BBP_config_325.xyz</t>
  </si>
  <si>
    <t>Configs_3_of_13</t>
  </si>
  <si>
    <t>368.xyz</t>
  </si>
  <si>
    <t>./368.xyz</t>
  </si>
  <si>
    <t>Ag_03_Au_10_BBP_config_368.xyz</t>
  </si>
  <si>
    <t>345.xyz</t>
  </si>
  <si>
    <t>./345.xyz</t>
  </si>
  <si>
    <t>Ag_03_Au_10_BBP_config_345.xyz</t>
  </si>
  <si>
    <t>357.xyz</t>
  </si>
  <si>
    <t>./357.xyz</t>
  </si>
  <si>
    <t>Ag_03_Au_10_BBP_config_357.xyz</t>
  </si>
  <si>
    <t>375.xyz</t>
  </si>
  <si>
    <t>./375.xyz</t>
  </si>
  <si>
    <t>Ag_03_Au_10_BBP_config_375.xyz</t>
  </si>
  <si>
    <t>356.xyz</t>
  </si>
  <si>
    <t>./356.xyz</t>
  </si>
  <si>
    <t>Ag_03_Au_10_BBP_config_356.xyz</t>
  </si>
  <si>
    <t>334.xyz</t>
  </si>
  <si>
    <t>./334.xyz</t>
  </si>
  <si>
    <t>Ag_03_Au_10_BBP_config_334.xyz</t>
  </si>
  <si>
    <t>354.xyz</t>
  </si>
  <si>
    <t>./354.xyz</t>
  </si>
  <si>
    <t>Ag_03_Au_10_BBP_config_354.xyz</t>
  </si>
  <si>
    <t>./314.xyz</t>
  </si>
  <si>
    <t>Ag_03_Au_10_BBP_config_314.xyz</t>
  </si>
  <si>
    <t>350.xyz</t>
  </si>
  <si>
    <t>./350.xyz</t>
  </si>
  <si>
    <t>Ag_03_Au_10_BBP_config_350.xyz</t>
  </si>
  <si>
    <t>381.xyz</t>
  </si>
  <si>
    <t>./381.xyz</t>
  </si>
  <si>
    <t>Ag_03_Au_10_BBP_config_381.xyz</t>
  </si>
  <si>
    <t>373.xyz</t>
  </si>
  <si>
    <t>./373.xyz</t>
  </si>
  <si>
    <t>Ag_03_Au_10_BBP_config_373.xyz</t>
  </si>
  <si>
    <t>374.xyz</t>
  </si>
  <si>
    <t>./374.xyz</t>
  </si>
  <si>
    <t>Ag_03_Au_10_BBP_config_374.xyz</t>
  </si>
  <si>
    <t>372.xyz</t>
  </si>
  <si>
    <t>./372.xyz</t>
  </si>
  <si>
    <t>Ag_03_Au_10_BBP_config_372.xyz</t>
  </si>
  <si>
    <t>340.xyz</t>
  </si>
  <si>
    <t>./340.xyz</t>
  </si>
  <si>
    <t>Ag_03_Au_10_BBP_config_340.xyz</t>
  </si>
  <si>
    <t>360.xyz</t>
  </si>
  <si>
    <t>./360.xyz</t>
  </si>
  <si>
    <t>Ag_03_Au_10_BBP_config_360.xyz</t>
  </si>
  <si>
    <t>371.xyz</t>
  </si>
  <si>
    <t>./371.xyz</t>
  </si>
  <si>
    <t>Ag_03_Au_10_BBP_config_371.xyz</t>
  </si>
  <si>
    <t>352.xyz</t>
  </si>
  <si>
    <t>./352.xyz</t>
  </si>
  <si>
    <t>Ag_03_Au_10_BBP_config_352.xyz</t>
  </si>
  <si>
    <t>358.xyz</t>
  </si>
  <si>
    <t>./358.xyz</t>
  </si>
  <si>
    <t>Ag_03_Au_10_BBP_config_358.xyz</t>
  </si>
  <si>
    <t>366.xyz</t>
  </si>
  <si>
    <t>./366.xyz</t>
  </si>
  <si>
    <t>Ag_03_Au_10_BBP_config_366.xyz</t>
  </si>
  <si>
    <t>336.xyz</t>
  </si>
  <si>
    <t>./336.xyz</t>
  </si>
  <si>
    <t>Ag_03_Au_10_BBP_config_336.xyz</t>
  </si>
  <si>
    <t>359.xyz</t>
  </si>
  <si>
    <t>./359.xyz</t>
  </si>
  <si>
    <t>Ag_03_Au_10_BBP_config_359.xyz</t>
  </si>
  <si>
    <t>355.xyz</t>
  </si>
  <si>
    <t>./355.xyz</t>
  </si>
  <si>
    <t>Ag_03_Au_10_BBP_config_355.xyz</t>
  </si>
  <si>
    <t>370.xyz</t>
  </si>
  <si>
    <t>./370.xyz</t>
  </si>
  <si>
    <t>Ag_03_Au_10_BBP_config_370.xyz</t>
  </si>
  <si>
    <t>339.xyz</t>
  </si>
  <si>
    <t>./339.xyz</t>
  </si>
  <si>
    <t>Ag_03_Au_10_BBP_config_339.xyz</t>
  </si>
  <si>
    <t>327.xyz</t>
  </si>
  <si>
    <t>./327.xyz</t>
  </si>
  <si>
    <t>Ag_03_Au_10_BBP_config_327.xyz</t>
  </si>
  <si>
    <t>331.xyz</t>
  </si>
  <si>
    <t>./331.xyz</t>
  </si>
  <si>
    <t>Ag_03_Au_10_BBP_config_331.xyz</t>
  </si>
  <si>
    <t>./315.xyz</t>
  </si>
  <si>
    <t>Ag_03_Au_10_BBP_config_315.xyz</t>
  </si>
  <si>
    <t>./313.xyz</t>
  </si>
  <si>
    <t>Ag_03_Au_10_BBP_config_313.xyz</t>
  </si>
  <si>
    <t>363.xyz</t>
  </si>
  <si>
    <t>./363.xyz</t>
  </si>
  <si>
    <t>Ag_03_Au_10_BBP_config_363.xyz</t>
  </si>
  <si>
    <t>338.xyz</t>
  </si>
  <si>
    <t>./338.xyz</t>
  </si>
  <si>
    <t>Ag_03_Au_10_BBP_config_338.xyz</t>
  </si>
  <si>
    <t>369.xyz</t>
  </si>
  <si>
    <t>./369.xyz</t>
  </si>
  <si>
    <t>Ag_03_Au_10_BBP_config_369.xyz</t>
  </si>
  <si>
    <t>365.xyz</t>
  </si>
  <si>
    <t>./365.xyz</t>
  </si>
  <si>
    <t>Ag_03_Au_10_BBP_config_365.xyz</t>
  </si>
  <si>
    <t>367.xyz</t>
  </si>
  <si>
    <t>./367.xyz</t>
  </si>
  <si>
    <t>Ag_03_Au_10_BBP_config_367.xyz</t>
  </si>
  <si>
    <t>333.xyz</t>
  </si>
  <si>
    <t>./333.xyz</t>
  </si>
  <si>
    <t>Ag_03_Au_10_BBP_config_333.xyz</t>
  </si>
  <si>
    <t>./325.xyz</t>
  </si>
  <si>
    <t>Ag_03_Au_10_BBP_config_325.xyz</t>
  </si>
  <si>
    <t>326.xyz</t>
  </si>
  <si>
    <t>./326.xyz</t>
  </si>
  <si>
    <t>Ag_03_Au_10_BBP_config_326.xyz</t>
  </si>
  <si>
    <t>349.xyz</t>
  </si>
  <si>
    <t>./349.xyz</t>
  </si>
  <si>
    <t>Ag_03_Au_10_BBP_config_349.xyz</t>
  </si>
  <si>
    <t>335.xyz</t>
  </si>
  <si>
    <t>./335.xyz</t>
  </si>
  <si>
    <t>Ag_03_Au_10_BBP_config_335_LE.xyz</t>
  </si>
  <si>
    <t>342.xyz</t>
  </si>
  <si>
    <t>./342.xyz</t>
  </si>
  <si>
    <t>Ag_03_Au_10_BBP_config_342.xyz</t>
  </si>
  <si>
    <t>./322.xyz</t>
  </si>
  <si>
    <t>Ag_03_Au_10_BBP_config_322.xyz</t>
  </si>
  <si>
    <t>330.xyz</t>
  </si>
  <si>
    <t>./330.xyz</t>
  </si>
  <si>
    <t>Ag_03_Au_10_BBP_config_330.xyz</t>
  </si>
  <si>
    <t>329.xyz</t>
  </si>
  <si>
    <t>./329.xyz</t>
  </si>
  <si>
    <t>Ag_03_Au_10_BBP_config_329.xyz</t>
  </si>
  <si>
    <t>337.xyz</t>
  </si>
  <si>
    <t>./337.xyz</t>
  </si>
  <si>
    <t>Ag_03_Au_10_BBP_config_337.xyz</t>
  </si>
  <si>
    <t>348.xyz</t>
  </si>
  <si>
    <t>./348.xyz</t>
  </si>
  <si>
    <t>Ag_03_Au_10_BBP_config_348.xyz</t>
  </si>
  <si>
    <t>351.xyz</t>
  </si>
  <si>
    <t>./351.xyz</t>
  </si>
  <si>
    <t>Ag_03_Au_10_BBP_config_351.xyz</t>
  </si>
  <si>
    <t>379.xyz</t>
  </si>
  <si>
    <t>./379.xyz</t>
  </si>
  <si>
    <t>Ag_03_Au_10_BBP_config_379.xyz</t>
  </si>
  <si>
    <t>353.xyz</t>
  </si>
  <si>
    <t>./353.xyz</t>
  </si>
  <si>
    <t>Ag_03_Au_10_BBP_config_353.xyz</t>
  </si>
  <si>
    <t>332.xyz</t>
  </si>
  <si>
    <t>./332.xyz</t>
  </si>
  <si>
    <t>Ag_03_Au_10_BBP_config_332.xyz</t>
  </si>
  <si>
    <t>344.xyz</t>
  </si>
  <si>
    <t>./344.xyz</t>
  </si>
  <si>
    <t>Ag_03_Au_10_BBP_config_344.xyz</t>
  </si>
  <si>
    <t>343.xyz</t>
  </si>
  <si>
    <t>./343.xyz</t>
  </si>
  <si>
    <t>Ag_03_Au_10_BBP_config_343.xyz</t>
  </si>
  <si>
    <t>346.xyz</t>
  </si>
  <si>
    <t>./346.xyz</t>
  </si>
  <si>
    <t>Ag_03_Au_10_BBP_config_346.xyz</t>
  </si>
  <si>
    <t>376.xyz</t>
  </si>
  <si>
    <t>./376.xyz</t>
  </si>
  <si>
    <t>Ag_03_Au_10_BBP_config_376.xyz</t>
  </si>
  <si>
    <t>328.xyz</t>
  </si>
  <si>
    <t>./328.xyz</t>
  </si>
  <si>
    <t>Ag_03_Au_10_BBP_config_328.xyz</t>
  </si>
  <si>
    <t>377.xyz</t>
  </si>
  <si>
    <t>./377.xyz</t>
  </si>
  <si>
    <t>Ag_03_Au_10_BBP_config_377.xyz</t>
  </si>
  <si>
    <t>./319.xyz</t>
  </si>
  <si>
    <t>Ag_03_Au_10_BBP_config_319.xyz</t>
  </si>
  <si>
    <t>./324.xyz</t>
  </si>
  <si>
    <t>Ag_03_Au_10_BBP_config_324.xyz</t>
  </si>
  <si>
    <t>361.xyz</t>
  </si>
  <si>
    <t>./361.xyz</t>
  </si>
  <si>
    <t>Ag_03_Au_10_BBP_config_361.xyz</t>
  </si>
  <si>
    <t>./318.xyz</t>
  </si>
  <si>
    <t>Ag_03_Au_10_BBP_config_318.xyz</t>
  </si>
  <si>
    <t>347.xyz</t>
  </si>
  <si>
    <t>./347.xyz</t>
  </si>
  <si>
    <t>Ag_03_Au_10_BBP_config_347.xyz</t>
  </si>
  <si>
    <t>./323.xyz</t>
  </si>
  <si>
    <t>Ag_03_Au_10_BBP_config_323.xyz</t>
  </si>
  <si>
    <t>./305.xyz</t>
  </si>
  <si>
    <t>Ag_03_Au_10_BBP_config_305.xyz</t>
  </si>
  <si>
    <t>./321.xyz</t>
  </si>
  <si>
    <t>Ag_03_Au_10_BBP_config_321.xyz</t>
  </si>
  <si>
    <t>362.xyz</t>
  </si>
  <si>
    <t>./362.xyz</t>
  </si>
  <si>
    <t>Ag_03_Au_10_BBP_config_362.xyz</t>
  </si>
  <si>
    <t>364.xyz</t>
  </si>
  <si>
    <t>./364.xyz</t>
  </si>
  <si>
    <t>Ag_03_Au_10_BBP_config_364.xyz</t>
  </si>
  <si>
    <t>380.xyz</t>
  </si>
  <si>
    <t>./380.xyz</t>
  </si>
  <si>
    <t>Ag_03_Au_10_BBP_config_380.xyz</t>
  </si>
  <si>
    <t>./310.xyz</t>
  </si>
  <si>
    <t>Ag_03_Au_10_BBP_config_310.xyz</t>
  </si>
  <si>
    <t>./306.xyz</t>
  </si>
  <si>
    <t>Ag_03_Au_10_BBP_config_306.xyz</t>
  </si>
  <si>
    <t>./308.xyz</t>
  </si>
  <si>
    <t>Ag_03_Au_10_BBP_config_308.xyz</t>
  </si>
  <si>
    <t>341.xyz</t>
  </si>
  <si>
    <t>./341.xyz</t>
  </si>
  <si>
    <t>Ag_03_Au_10_BBP_config_341.xyz</t>
  </si>
  <si>
    <t>./320.xyz</t>
  </si>
  <si>
    <t>Ag_03_Au_10_BBP_config_320.xyz</t>
  </si>
  <si>
    <t>378.xyz</t>
  </si>
  <si>
    <t>./378.xyz</t>
  </si>
  <si>
    <t>Ag_03_Au_10_BBP_config_378.xyz</t>
  </si>
  <si>
    <t>./309.xyz</t>
  </si>
  <si>
    <t>Ag_03_Au_10_BBP_config_309.xyz</t>
  </si>
  <si>
    <t>./304.xyz</t>
  </si>
  <si>
    <t>Ag_03_Au_10_BBP_config_304.xyz</t>
  </si>
  <si>
    <t>./312.xyz</t>
  </si>
  <si>
    <t>Ag_03_Au_10_BBP_config_312.xyz</t>
  </si>
  <si>
    <t>./307.xyz</t>
  </si>
  <si>
    <t>Ag_03_Au_10_BBP_config_307.xyz</t>
  </si>
  <si>
    <t>./311.xyz</t>
  </si>
  <si>
    <t>Ag_03_Au_10_BBP_config_311.xyz</t>
  </si>
  <si>
    <t>./316.xyz</t>
  </si>
  <si>
    <t>Ag_03_Au_10_BBP_config_316.xyz</t>
  </si>
  <si>
    <t>./303.xyz</t>
  </si>
  <si>
    <t>Ag_03_Au_10_BBP_config_303.xyz</t>
  </si>
  <si>
    <t>./302.xyz</t>
  </si>
  <si>
    <t>Ag_03_Au_10_BBP_config_302.xyz</t>
  </si>
  <si>
    <t>./317.xyz</t>
  </si>
  <si>
    <t>Ag_03_Au_10_BBP_config_317.xyz</t>
  </si>
  <si>
    <t>./301.xyz</t>
  </si>
  <si>
    <t>Ag_03_Au_10_BBP_config_301.xyz</t>
  </si>
  <si>
    <t>Configs_4_of_13</t>
  </si>
  <si>
    <t>Ag_04_Au_09_BBP_config_301.xyz</t>
  </si>
  <si>
    <t>Ag_04_Au_09_BBP_config_302.xyz</t>
  </si>
  <si>
    <t>Ag_04_Au_09_BBP_config_303.xyz</t>
  </si>
  <si>
    <t>Ag_04_Au_09_BBP_config_304.xyz</t>
  </si>
  <si>
    <t>Ag_04_Au_09_BBP_config_305.xyz</t>
  </si>
  <si>
    <t>Ag_04_Au_09_BBP_config_306.xyz</t>
  </si>
  <si>
    <t>Ag_04_Au_09_BBP_config_307.xyz</t>
  </si>
  <si>
    <t>Ag_04_Au_09_BBP_config_308.xyz</t>
  </si>
  <si>
    <t>Ag_04_Au_09_BBP_config_309.xyz</t>
  </si>
  <si>
    <t>Ag_04_Au_09_BBP_config_310.xyz</t>
  </si>
  <si>
    <t>Ag_04_Au_09_BBP_config_311.xyz</t>
  </si>
  <si>
    <t>Ag_04_Au_09_BBP_config_312.xyz</t>
  </si>
  <si>
    <t>Ag_04_Au_09_BBP_config_313.xyz</t>
  </si>
  <si>
    <t>Ag_04_Au_09_BBP_config_314.xyz</t>
  </si>
  <si>
    <t>Ag_04_Au_09_BBP_config_315.xyz</t>
  </si>
  <si>
    <t>Ag_04_Au_09_BBP_config_316.xyz</t>
  </si>
  <si>
    <t>Ag_04_Au_09_BBP_config_317.xyz</t>
  </si>
  <si>
    <t>Ag_04_Au_09_BBP_config_318.xyz</t>
  </si>
  <si>
    <t>Ag_04_Au_09_BBP_config_319.xyz</t>
  </si>
  <si>
    <t>Ag_04_Au_09_BBP_config_320.xyz</t>
  </si>
  <si>
    <t>Ag_04_Au_09_BBP_config_321.xyz</t>
  </si>
  <si>
    <t>Ag_04_Au_09_BBP_config_322.xyz</t>
  </si>
  <si>
    <t>Ag_04_Au_09_BBP_config_323.xyz</t>
  </si>
  <si>
    <t>Ag_04_Au_09_BBP_config_324.xyz</t>
  </si>
  <si>
    <t>Ag_04_Au_09_BBP_config_325.xyz</t>
  </si>
  <si>
    <t>Ag_04_Au_09_BBP_config_326.xyz</t>
  </si>
  <si>
    <t>Ag_04_Au_09_BBP_config_327.xyz</t>
  </si>
  <si>
    <t>Ag_04_Au_09_BBP_config_328.xyz</t>
  </si>
  <si>
    <t>Ag_04_Au_09_BBP_config_329.xyz</t>
  </si>
  <si>
    <t>Ag_04_Au_09_BBP_config_330.xyz</t>
  </si>
  <si>
    <t>Ag_04_Au_09_BBP_config_331.xyz</t>
  </si>
  <si>
    <t>Ag_04_Au_09_BBP_config_332.xyz</t>
  </si>
  <si>
    <t>Ag_04_Au_09_BBP_config_333.xyz</t>
  </si>
  <si>
    <t>Ag_04_Au_09_BBP_config_334.xyz</t>
  </si>
  <si>
    <t>Ag_04_Au_09_BBP_config_335.xyz</t>
  </si>
  <si>
    <t>Ag_04_Au_09_BBP_config_336.xyz</t>
  </si>
  <si>
    <t>Ag_04_Au_09_BBP_config_337.xyz</t>
  </si>
  <si>
    <t>Ag_04_Au_09_BBP_config_338.xyz</t>
  </si>
  <si>
    <t>Ag_04_Au_09_BBP_config_339.xyz</t>
  </si>
  <si>
    <t>Ag_04_Au_09_BBP_config_340.xyz</t>
  </si>
  <si>
    <t>Ag_04_Au_09_BBP_config_341.xyz</t>
  </si>
  <si>
    <t>Ag_04_Au_09_BBP_config_342.xyz</t>
  </si>
  <si>
    <t>Ag_04_Au_09_BBP_config_343.xyz</t>
  </si>
  <si>
    <t>Ag_04_Au_09_BBP_config_344.xyz</t>
  </si>
  <si>
    <t>Ag_04_Au_09_BBP_config_345.xyz</t>
  </si>
  <si>
    <t>Ag_04_Au_09_BBP_config_346.xyz</t>
  </si>
  <si>
    <t>Ag_04_Au_09_BBP_config_347.xyz</t>
  </si>
  <si>
    <t>Ag_04_Au_09_BBP_config_348.xyz</t>
  </si>
  <si>
    <t>Ag_04_Au_09_BBP_config_349.xyz</t>
  </si>
  <si>
    <t>Ag_04_Au_09_BBP_config_350.xyz</t>
  </si>
  <si>
    <t>Ag_04_Au_09_BBP_config_351.xyz</t>
  </si>
  <si>
    <t>Ag_04_Au_09_BBP_config_352.xyz</t>
  </si>
  <si>
    <t>Ag_04_Au_09_BBP_config_353.xyz</t>
  </si>
  <si>
    <t>Ag_04_Au_09_BBP_config_354.xyz</t>
  </si>
  <si>
    <t>Ag_04_Au_09_BBP_config_355.xyz</t>
  </si>
  <si>
    <t>Ag_04_Au_09_BBP_config_356.xyz</t>
  </si>
  <si>
    <t>Ag_04_Au_09_BBP_config_357.xyz</t>
  </si>
  <si>
    <t>Ag_04_Au_09_BBP_config_358.xyz</t>
  </si>
  <si>
    <t>Ag_04_Au_09_BBP_config_359.xyz</t>
  </si>
  <si>
    <t>Ag_04_Au_09_BBP_config_360.xyz</t>
  </si>
  <si>
    <t>Ag_04_Au_09_BBP_config_361.xyz</t>
  </si>
  <si>
    <t>Ag_04_Au_09_BBP_config_362.xyz</t>
  </si>
  <si>
    <t>Ag_04_Au_09_BBP_config_363.xyz</t>
  </si>
  <si>
    <t>Ag_04_Au_09_BBP_config_364.xyz</t>
  </si>
  <si>
    <t>Ag_04_Au_09_BBP_config_365.xyz</t>
  </si>
  <si>
    <t>Ag_04_Au_09_BBP_config_366_LE.xyz</t>
  </si>
  <si>
    <t>Ag_04_Au_09_BBP_config_367.xyz</t>
  </si>
  <si>
    <t>Ag_04_Au_09_BBP_config_368.xyz</t>
  </si>
  <si>
    <t>Ag_04_Au_09_BBP_config_369.xyz</t>
  </si>
  <si>
    <t>Ag_04_Au_09_BBP_config_370.xyz</t>
  </si>
  <si>
    <t>Ag_04_Au_09_BBP_config_371.xyz</t>
  </si>
  <si>
    <t>Ag_04_Au_09_BBP_config_372.xyz</t>
  </si>
  <si>
    <t>Ag_04_Au_09_BBP_config_373.xyz</t>
  </si>
  <si>
    <t>Ag_04_Au_09_BBP_config_374.xyz</t>
  </si>
  <si>
    <t>Ag_04_Au_09_BBP_config_375.xyz</t>
  </si>
  <si>
    <t>Ag_04_Au_09_BBP_config_376.xyz</t>
  </si>
  <si>
    <t>Ag_04_Au_09_BBP_config_377.xyz</t>
  </si>
  <si>
    <t>Ag_04_Au_09_BBP_config_378.xyz</t>
  </si>
  <si>
    <t>Ag_04_Au_09_BBP_config_379.xyz</t>
  </si>
  <si>
    <t>Ag_04_Au_09_BBP_config_380.xyz</t>
  </si>
  <si>
    <t>Ag_04_Au_09_BBP_config_381.xyz</t>
  </si>
  <si>
    <t>382.xyz</t>
  </si>
  <si>
    <t>Ag_04_Au_09_BBP_config_382.xyz</t>
  </si>
  <si>
    <t>383.xyz</t>
  </si>
  <si>
    <t>Ag_04_Au_09_BBP_config_383.xyz</t>
  </si>
  <si>
    <t>384.xyz</t>
  </si>
  <si>
    <t>Ag_04_Au_09_BBP_config_384.xyz</t>
  </si>
  <si>
    <t>385.xyz</t>
  </si>
  <si>
    <t>Ag_04_Au_09_BBP_config_385.xyz</t>
  </si>
  <si>
    <t>386.xyz</t>
  </si>
  <si>
    <t>Ag_04_Au_09_BBP_config_386.xyz</t>
  </si>
  <si>
    <t>387.xyz</t>
  </si>
  <si>
    <t>Ag_04_Au_09_BBP_config_387.xyz</t>
  </si>
  <si>
    <t>388.xyz</t>
  </si>
  <si>
    <t>Ag_04_Au_09_BBP_config_388.xyz</t>
  </si>
  <si>
    <t>389.xyz</t>
  </si>
  <si>
    <t>Ag_04_Au_09_BBP_config_389.xyz</t>
  </si>
  <si>
    <t>390.xyz</t>
  </si>
  <si>
    <t>Ag_04_Au_09_BBP_config_390.xyz</t>
  </si>
  <si>
    <t>391.xyz</t>
  </si>
  <si>
    <t>Ag_04_Au_09_BBP_config_391.xyz</t>
  </si>
  <si>
    <t>392.xyz</t>
  </si>
  <si>
    <t>Ag_04_Au_09_BBP_config_392.xyz</t>
  </si>
  <si>
    <t>393.xyz</t>
  </si>
  <si>
    <t>Ag_04_Au_09_BBP_config_393.xyz</t>
  </si>
  <si>
    <t>394.xyz</t>
  </si>
  <si>
    <t>Ag_04_Au_09_BBP_config_394.xyz</t>
  </si>
  <si>
    <t>395.xyz</t>
  </si>
  <si>
    <t>Ag_04_Au_09_BBP_config_395.xyz</t>
  </si>
  <si>
    <t>396.xyz</t>
  </si>
  <si>
    <t>Ag_04_Au_09_BBP_config_396.xyz</t>
  </si>
  <si>
    <t>397.xyz</t>
  </si>
  <si>
    <t>Ag_04_Au_09_BBP_config_397.xyz</t>
  </si>
  <si>
    <t>398.xyz</t>
  </si>
  <si>
    <t>Ag_04_Au_09_BBP_config_398.xyz</t>
  </si>
  <si>
    <t>399.xyz</t>
  </si>
  <si>
    <t>Ag_04_Au_09_BBP_config_399.xyz</t>
  </si>
  <si>
    <t>400.xyz</t>
  </si>
  <si>
    <t>Ag_04_Au_09_BBP_config_400.xyz</t>
  </si>
  <si>
    <t>401.xyz</t>
  </si>
  <si>
    <t>Ag_04_Au_09_BBP_config_401.xyz</t>
  </si>
  <si>
    <t>402.xyz</t>
  </si>
  <si>
    <t>Ag_04_Au_09_BBP_config_402.xyz</t>
  </si>
  <si>
    <t>403.xyz</t>
  </si>
  <si>
    <t>Ag_04_Au_09_BBP_config_403.xyz</t>
  </si>
  <si>
    <t>404.xyz</t>
  </si>
  <si>
    <t>Ag_04_Au_09_BBP_config_404.xyz</t>
  </si>
  <si>
    <t>405.xyz</t>
  </si>
  <si>
    <t>Ag_04_Au_09_BBP_config_405.xyz</t>
  </si>
  <si>
    <t>406.xyz</t>
  </si>
  <si>
    <t>Ag_04_Au_09_BBP_config_406.xyz</t>
  </si>
  <si>
    <t>407.xyz</t>
  </si>
  <si>
    <t>Ag_04_Au_09_BBP_config_407.xyz</t>
  </si>
  <si>
    <t>408.xyz</t>
  </si>
  <si>
    <t>Ag_04_Au_09_BBP_config_408.xyz</t>
  </si>
  <si>
    <t>409.xyz</t>
  </si>
  <si>
    <t>Ag_04_Au_09_BBP_config_409.xyz</t>
  </si>
  <si>
    <t>410.xyz</t>
  </si>
  <si>
    <t>Ag_04_Au_09_BBP_config_410.xyz</t>
  </si>
  <si>
    <t>411.xyz</t>
  </si>
  <si>
    <t>Ag_04_Au_09_BBP_config_411.xyz</t>
  </si>
  <si>
    <t>412.xyz</t>
  </si>
  <si>
    <t>Ag_04_Au_09_BBP_config_412.xyz</t>
  </si>
  <si>
    <t>413.xyz</t>
  </si>
  <si>
    <t>Ag_04_Au_09_BBP_config_413.xyz</t>
  </si>
  <si>
    <t>414.xyz</t>
  </si>
  <si>
    <t>Ag_04_Au_09_BBP_config_414.xyz</t>
  </si>
  <si>
    <t>415.xyz</t>
  </si>
  <si>
    <t>Ag_04_Au_09_BBP_config_415.xyz</t>
  </si>
  <si>
    <t>416.xyz</t>
  </si>
  <si>
    <t>Ag_04_Au_09_BBP_config_416.xyz</t>
  </si>
  <si>
    <t>417.xyz</t>
  </si>
  <si>
    <t>Ag_04_Au_09_BBP_config_417.xyz</t>
  </si>
  <si>
    <t>418.xyz</t>
  </si>
  <si>
    <t>Ag_04_Au_09_BBP_config_418.xyz</t>
  </si>
  <si>
    <t>419.xyz</t>
  </si>
  <si>
    <t>Ag_04_Au_09_BBP_config_419.xyz</t>
  </si>
  <si>
    <t>420.xyz</t>
  </si>
  <si>
    <t>Ag_04_Au_09_BBP_config_420.xyz</t>
  </si>
  <si>
    <t>421.xyz</t>
  </si>
  <si>
    <t>Ag_04_Au_09_BBP_config_421.xyz</t>
  </si>
  <si>
    <t>422.xyz</t>
  </si>
  <si>
    <t>Ag_04_Au_09_BBP_config_422.xyz</t>
  </si>
  <si>
    <t>423.xyz</t>
  </si>
  <si>
    <t>Ag_04_Au_09_BBP_config_423.xyz</t>
  </si>
  <si>
    <t>424.xyz</t>
  </si>
  <si>
    <t>Ag_04_Au_09_BBP_config_424.xyz</t>
  </si>
  <si>
    <t>425.xyz</t>
  </si>
  <si>
    <t>Ag_04_Au_09_BBP_config_425.xyz</t>
  </si>
  <si>
    <t>426.xyz</t>
  </si>
  <si>
    <t>Ag_04_Au_09_BBP_config_426.xyz</t>
  </si>
  <si>
    <t>427.xyz</t>
  </si>
  <si>
    <t>Ag_04_Au_09_BBP_config_427.xyz</t>
  </si>
  <si>
    <t>428.xyz</t>
  </si>
  <si>
    <t>Ag_04_Au_09_BBP_config_428.xyz</t>
  </si>
  <si>
    <t>429.xyz</t>
  </si>
  <si>
    <t>Ag_04_Au_09_BBP_config_429.xyz</t>
  </si>
  <si>
    <t>430.xyz</t>
  </si>
  <si>
    <t>Ag_04_Au_09_BBP_config_430.xyz</t>
  </si>
  <si>
    <t>431.xyz</t>
  </si>
  <si>
    <t>Ag_04_Au_09_BBP_config_431.xyz</t>
  </si>
  <si>
    <t>432.xyz</t>
  </si>
  <si>
    <t>Ag_04_Au_09_BBP_config_432.xyz</t>
  </si>
  <si>
    <t>433.xyz</t>
  </si>
  <si>
    <t>Ag_04_Au_09_BBP_config_433.xyz</t>
  </si>
  <si>
    <t>434.xyz</t>
  </si>
  <si>
    <t>Ag_04_Au_09_BBP_config_434.xyz</t>
  </si>
  <si>
    <t>435.xyz</t>
  </si>
  <si>
    <t>Ag_04_Au_09_BBP_config_435.xyz</t>
  </si>
  <si>
    <t>436.xyz</t>
  </si>
  <si>
    <t>Ag_04_Au_09_BBP_config_436.xyz</t>
  </si>
  <si>
    <t>437.xyz</t>
  </si>
  <si>
    <t>Ag_04_Au_09_BBP_config_437.xyz</t>
  </si>
  <si>
    <t>438.xyz</t>
  </si>
  <si>
    <t>Ag_04_Au_09_BBP_config_438.xyz</t>
  </si>
  <si>
    <t>439.xyz</t>
  </si>
  <si>
    <t>Ag_04_Au_09_BBP_config_439.xyz</t>
  </si>
  <si>
    <t>440.xyz</t>
  </si>
  <si>
    <t>Ag_04_Au_09_BBP_config_440.xyz</t>
  </si>
  <si>
    <t>441.xyz</t>
  </si>
  <si>
    <t>Ag_04_Au_09_BBP_config_441.xyz</t>
  </si>
  <si>
    <t>442.xyz</t>
  </si>
  <si>
    <t>Ag_04_Au_09_BBP_config_442.xyz</t>
  </si>
  <si>
    <t>443.xyz</t>
  </si>
  <si>
    <t>Ag_04_Au_09_BBP_config_443.xyz</t>
  </si>
  <si>
    <t>444.xyz</t>
  </si>
  <si>
    <t>Ag_04_Au_09_BBP_config_444.xyz</t>
  </si>
  <si>
    <t>445.xyz</t>
  </si>
  <si>
    <t>Ag_04_Au_09_BBP_config_445.xyz</t>
  </si>
  <si>
    <t>446.xyz</t>
  </si>
  <si>
    <t>Ag_04_Au_09_BBP_config_446.xyz</t>
  </si>
  <si>
    <t>447.xyz</t>
  </si>
  <si>
    <t>Ag_04_Au_09_BBP_config_447.xyz</t>
  </si>
  <si>
    <t>448.xyz</t>
  </si>
  <si>
    <t>Ag_04_Au_09_BBP_config_448.xyz</t>
  </si>
  <si>
    <t>449.xyz</t>
  </si>
  <si>
    <t>Ag_04_Au_09_BBP_config_449.xyz</t>
  </si>
  <si>
    <t>450.xyz</t>
  </si>
  <si>
    <t>Ag_04_Au_09_BBP_config_450.xyz</t>
  </si>
  <si>
    <t>451.xyz</t>
  </si>
  <si>
    <t>Ag_04_Au_09_BBP_config_451.xyz</t>
  </si>
  <si>
    <t>452.xyz</t>
  </si>
  <si>
    <t>Ag_04_Au_09_BBP_config_452.xyz</t>
  </si>
  <si>
    <t>453.xyz</t>
  </si>
  <si>
    <t>Ag_04_Au_09_BBP_config_453.xyz</t>
  </si>
  <si>
    <t>454.xyz</t>
  </si>
  <si>
    <t>Ag_04_Au_09_BBP_config_454.xyz</t>
  </si>
  <si>
    <t>455.xyz</t>
  </si>
  <si>
    <t>Ag_04_Au_09_BBP_config_455.xyz</t>
  </si>
  <si>
    <t>456.xyz</t>
  </si>
  <si>
    <t>Ag_04_Au_09_BBP_config_456.xyz</t>
  </si>
  <si>
    <t>457.xyz</t>
  </si>
  <si>
    <t>Ag_04_Au_09_BBP_config_457.xyz</t>
  </si>
  <si>
    <t>458.xyz</t>
  </si>
  <si>
    <t>Ag_04_Au_09_BBP_config_458.xyz</t>
  </si>
  <si>
    <t>459.xyz</t>
  </si>
  <si>
    <t>Ag_04_Au_09_BBP_config_459.xyz</t>
  </si>
  <si>
    <t>460.xyz</t>
  </si>
  <si>
    <t>Ag_04_Au_09_BBP_config_460.xyz</t>
  </si>
  <si>
    <t>461.xyz</t>
  </si>
  <si>
    <t>Ag_04_Au_09_BBP_config_461.xyz</t>
  </si>
  <si>
    <t>462.xyz</t>
  </si>
  <si>
    <t>Ag_04_Au_09_BBP_config_462.xyz</t>
  </si>
  <si>
    <t>463.xyz</t>
  </si>
  <si>
    <t>Ag_04_Au_09_BBP_config_463.xyz</t>
  </si>
  <si>
    <t>464.xyz</t>
  </si>
  <si>
    <t>Ag_04_Au_09_BBP_config_464.xyz</t>
  </si>
  <si>
    <t>465.xyz</t>
  </si>
  <si>
    <t>Ag_04_Au_09_BBP_config_465.xyz</t>
  </si>
  <si>
    <t>466.xyz</t>
  </si>
  <si>
    <t>Ag_04_Au_09_BBP_config_466.xyz</t>
  </si>
  <si>
    <t>467.xyz</t>
  </si>
  <si>
    <t>Ag_04_Au_09_BBP_config_467.xyz</t>
  </si>
  <si>
    <t>468.xyz</t>
  </si>
  <si>
    <t>Ag_04_Au_09_BBP_config_468.xyz</t>
  </si>
  <si>
    <t>469.xyz</t>
  </si>
  <si>
    <t>Ag_04_Au_09_BBP_config_469.xyz</t>
  </si>
  <si>
    <t>470.xyz</t>
  </si>
  <si>
    <t>Ag_04_Au_09_BBP_config_470.xyz</t>
  </si>
  <si>
    <t>471.xyz</t>
  </si>
  <si>
    <t>Ag_04_Au_09_BBP_config_471.xyz</t>
  </si>
  <si>
    <t>472.xyz</t>
  </si>
  <si>
    <t>Ag_04_Au_09_BBP_config_472.xyz</t>
  </si>
  <si>
    <t>473.xyz</t>
  </si>
  <si>
    <t>Ag_04_Au_09_BBP_config_473.xyz</t>
  </si>
  <si>
    <t>474.xyz</t>
  </si>
  <si>
    <t>Ag_04_Au_09_BBP_config_474.xyz</t>
  </si>
  <si>
    <t>475.xyz</t>
  </si>
  <si>
    <t>Ag_04_Au_09_BBP_config_475.xyz</t>
  </si>
  <si>
    <t>476.xyz</t>
  </si>
  <si>
    <t>Ag_04_Au_09_BBP_config_476.xyz</t>
  </si>
  <si>
    <t>477.xyz</t>
  </si>
  <si>
    <t>Ag_04_Au_09_BBP_config_477.xyz</t>
  </si>
  <si>
    <t>478.xyz</t>
  </si>
  <si>
    <t>Ag_04_Au_09_BBP_config_478.xyz</t>
  </si>
  <si>
    <t>479.xyz</t>
  </si>
  <si>
    <t>Ag_04_Au_09_BBP_config_479.xyz</t>
  </si>
  <si>
    <t>480.xyz</t>
  </si>
  <si>
    <t>Ag_04_Au_09_BBP_config_480.xyz</t>
  </si>
  <si>
    <t>481.xyz</t>
  </si>
  <si>
    <t>Ag_04_Au_09_BBP_config_481.xyz</t>
  </si>
  <si>
    <t>482.xyz</t>
  </si>
  <si>
    <t>Ag_04_Au_09_BBP_config_482.xyz</t>
  </si>
  <si>
    <t>483.xyz</t>
  </si>
  <si>
    <t>Ag_04_Au_09_BBP_config_483.xyz</t>
  </si>
  <si>
    <t>484.xyz</t>
  </si>
  <si>
    <t>Ag_04_Au_09_BBP_config_484.xyz</t>
  </si>
  <si>
    <t>485.xyz</t>
  </si>
  <si>
    <t>Ag_04_Au_09_BBP_config_485.xyz</t>
  </si>
  <si>
    <t>486.xyz</t>
  </si>
  <si>
    <t>Ag_04_Au_09_BBP_config_486.xyz</t>
  </si>
  <si>
    <t>487.xyz</t>
  </si>
  <si>
    <t>Ag_04_Au_09_BBP_config_487.xyz</t>
  </si>
  <si>
    <t>488.xyz</t>
  </si>
  <si>
    <t>Ag_04_Au_09_BBP_config_488.xyz</t>
  </si>
  <si>
    <t>489.xyz</t>
  </si>
  <si>
    <t>Ag_04_Au_09_BBP_config_489.xyz</t>
  </si>
  <si>
    <t>490.xyz</t>
  </si>
  <si>
    <t>Ag_04_Au_09_BBP_config_490.xyz</t>
  </si>
  <si>
    <t>491.xyz</t>
  </si>
  <si>
    <t>Ag_04_Au_09_BBP_config_491.xyz</t>
  </si>
  <si>
    <t>492.xyz</t>
  </si>
  <si>
    <t>Ag_04_Au_09_BBP_config_492.xyz</t>
  </si>
  <si>
    <t>493.xyz</t>
  </si>
  <si>
    <t>Ag_04_Au_09_BBP_config_493.xyz</t>
  </si>
  <si>
    <t>494.xyz</t>
  </si>
  <si>
    <t>Ag_04_Au_09_BBP_config_494.xyz</t>
  </si>
  <si>
    <t>495.xyz</t>
  </si>
  <si>
    <t>Ag_04_Au_09_BBP_config_495.xyz</t>
  </si>
  <si>
    <t>Configs_5_of_13</t>
  </si>
  <si>
    <t>Ag_05_Au_08_BBP_config_301.xyz</t>
  </si>
  <si>
    <t>Ag_05_Au_08_BBP_config_302.xyz</t>
  </si>
  <si>
    <t>Ag_05_Au_08_BBP_config_303.xyz</t>
  </si>
  <si>
    <t>Ag_05_Au_08_BBP_config_304.xyz</t>
  </si>
  <si>
    <t>Ag_05_Au_08_BBP_config_305.xyz</t>
  </si>
  <si>
    <t>Ag_05_Au_08_BBP_config_306.xyz</t>
  </si>
  <si>
    <t>Ag_05_Au_08_BBP_config_307.xyz</t>
  </si>
  <si>
    <t>Ag_05_Au_08_BBP_config_308.xyz</t>
  </si>
  <si>
    <t>Ag_05_Au_08_BBP_config_309.xyz</t>
  </si>
  <si>
    <t>Ag_05_Au_08_BBP_config_310.xyz</t>
  </si>
  <si>
    <t>Ag_05_Au_08_BBP_config_311.xyz</t>
  </si>
  <si>
    <t>Ag_05_Au_08_BBP_config_312.xyz</t>
  </si>
  <si>
    <t>Ag_05_Au_08_BBP_config_313.xyz</t>
  </si>
  <si>
    <t>Ag_05_Au_08_BBP_config_314.xyz</t>
  </si>
  <si>
    <t>Ag_05_Au_08_BBP_config_315.xyz</t>
  </si>
  <si>
    <t>Ag_05_Au_08_BBP_config_316.xyz</t>
  </si>
  <si>
    <t>Ag_05_Au_08_BBP_config_317.xyz</t>
  </si>
  <si>
    <t>Ag_05_Au_08_BBP_config_318.xyz</t>
  </si>
  <si>
    <t>Ag_05_Au_08_BBP_config_319.xyz</t>
  </si>
  <si>
    <t>Ag_05_Au_08_BBP_config_320.xyz</t>
  </si>
  <si>
    <t>Ag_05_Au_08_BBP_config_321.xyz</t>
  </si>
  <si>
    <t>Ag_05_Au_08_BBP_config_322.xyz</t>
  </si>
  <si>
    <t>Ag_05_Au_08_BBP_config_323.xyz</t>
  </si>
  <si>
    <t>Ag_05_Au_08_BBP_config_324.xyz</t>
  </si>
  <si>
    <t>Ag_05_Au_08_BBP_config_325.xyz</t>
  </si>
  <si>
    <t>Ag_05_Au_08_BBP_config_326.xyz</t>
  </si>
  <si>
    <t>Ag_05_Au_08_BBP_config_327.xyz</t>
  </si>
  <si>
    <t>Ag_05_Au_08_BBP_config_328.xyz</t>
  </si>
  <si>
    <t>Ag_05_Au_08_BBP_config_329.xyz</t>
  </si>
  <si>
    <t>Ag_05_Au_08_BBP_config_330.xyz</t>
  </si>
  <si>
    <t>Ag_05_Au_08_BBP_config_331.xyz</t>
  </si>
  <si>
    <t>Ag_05_Au_08_BBP_config_332.xyz</t>
  </si>
  <si>
    <t>Ag_05_Au_08_BBP_config_333.xyz</t>
  </si>
  <si>
    <t>Ag_05_Au_08_BBP_config_334.xyz</t>
  </si>
  <si>
    <t>Ag_05_Au_08_BBP_config_335.xyz</t>
  </si>
  <si>
    <t>Ag_05_Au_08_BBP_config_336.xyz</t>
  </si>
  <si>
    <t>Ag_05_Au_08_BBP_config_337.xyz</t>
  </si>
  <si>
    <t>Ag_05_Au_08_BBP_config_338.xyz</t>
  </si>
  <si>
    <t>Ag_05_Au_08_BBP_config_339.xyz</t>
  </si>
  <si>
    <t>Ag_05_Au_08_BBP_config_340.xyz</t>
  </si>
  <si>
    <t>Ag_05_Au_08_BBP_config_341.xyz</t>
  </si>
  <si>
    <t>Ag_05_Au_08_BBP_config_342.xyz</t>
  </si>
  <si>
    <t>Ag_05_Au_08_BBP_config_343.xyz</t>
  </si>
  <si>
    <t>Ag_05_Au_08_BBP_config_344.xyz</t>
  </si>
  <si>
    <t>Ag_05_Au_08_BBP_config_345.xyz</t>
  </si>
  <si>
    <t>Ag_05_Au_08_BBP_config_346.xyz</t>
  </si>
  <si>
    <t>Ag_05_Au_08_BBP_config_347.xyz</t>
  </si>
  <si>
    <t>Ag_05_Au_08_BBP_config_348.xyz</t>
  </si>
  <si>
    <t>Ag_05_Au_08_BBP_config_349.xyz</t>
  </si>
  <si>
    <t>Ag_05_Au_08_BBP_config_350.xyz</t>
  </si>
  <si>
    <t>Ag_05_Au_08_BBP_config_351.xyz</t>
  </si>
  <si>
    <t>Ag_05_Au_08_BBP_config_352.xyz</t>
  </si>
  <si>
    <t>Ag_05_Au_08_BBP_config_353.xyz</t>
  </si>
  <si>
    <t>Ag_05_Au_08_BBP_config_354.xyz</t>
  </si>
  <si>
    <t>Ag_05_Au_08_BBP_config_355.xyz</t>
  </si>
  <si>
    <t>Ag_05_Au_08_BBP_config_356.xyz</t>
  </si>
  <si>
    <t>Ag_05_Au_08_BBP_config_357.xyz</t>
  </si>
  <si>
    <t>Ag_05_Au_08_BBP_config_358.xyz</t>
  </si>
  <si>
    <t>Ag_05_Au_08_BBP_config_359.xyz</t>
  </si>
  <si>
    <t>Ag_05_Au_08_BBP_config_360.xyz</t>
  </si>
  <si>
    <t>Ag_05_Au_08_BBP_config_361.xyz</t>
  </si>
  <si>
    <t>Ag_05_Au_08_BBP_config_362.xyz</t>
  </si>
  <si>
    <t>Ag_05_Au_08_BBP_config_363.xyz</t>
  </si>
  <si>
    <t>Ag_05_Au_08_BBP_config_364.xyz</t>
  </si>
  <si>
    <t>Ag_05_Au_08_BBP_config_365.xyz</t>
  </si>
  <si>
    <t>Ag_05_Au_08_BBP_config_366.xyz</t>
  </si>
  <si>
    <t>Ag_05_Au_08_BBP_config_367.xyz</t>
  </si>
  <si>
    <t>Ag_05_Au_08_BBP_config_368.xyz</t>
  </si>
  <si>
    <t>Ag_05_Au_08_BBP_config_369.xyz</t>
  </si>
  <si>
    <t>Ag_05_Au_08_BBP_config_370.xyz</t>
  </si>
  <si>
    <t>Ag_05_Au_08_BBP_config_371.xyz</t>
  </si>
  <si>
    <t>Ag_05_Au_08_BBP_config_372.xyz</t>
  </si>
  <si>
    <t>Ag_05_Au_08_BBP_config_373.xyz</t>
  </si>
  <si>
    <t>Ag_05_Au_08_BBP_config_374.xyz</t>
  </si>
  <si>
    <t>Ag_05_Au_08_BBP_config_375.xyz</t>
  </si>
  <si>
    <t>Ag_05_Au_08_BBP_config_376.xyz</t>
  </si>
  <si>
    <t>Ag_05_Au_08_BBP_config_377.xyz</t>
  </si>
  <si>
    <t>Ag_05_Au_08_BBP_config_378.xyz</t>
  </si>
  <si>
    <t>Ag_05_Au_08_BBP_config_379.xyz</t>
  </si>
  <si>
    <t>Ag_05_Au_08_BBP_config_380.xyz</t>
  </si>
  <si>
    <t>Ag_05_Au_08_BBP_config_381.xyz</t>
  </si>
  <si>
    <t>Ag_05_Au_08_BBP_config_382.xyz</t>
  </si>
  <si>
    <t>Ag_05_Au_08_BBP_config_383.xyz</t>
  </si>
  <si>
    <t>Ag_05_Au_08_BBP_config_384.xyz</t>
  </si>
  <si>
    <t>Ag_05_Au_08_BBP_config_385.xyz</t>
  </si>
  <si>
    <t>Ag_05_Au_08_BBP_config_386.xyz</t>
  </si>
  <si>
    <t>Ag_05_Au_08_BBP_config_387.xyz</t>
  </si>
  <si>
    <t>Ag_05_Au_08_BBP_config_388.xyz</t>
  </si>
  <si>
    <t>Ag_05_Au_08_BBP_config_389.xyz</t>
  </si>
  <si>
    <t>Ag_05_Au_08_BBP_config_390.xyz</t>
  </si>
  <si>
    <t>Ag_05_Au_08_BBP_config_391.xyz</t>
  </si>
  <si>
    <t>Ag_05_Au_08_BBP_config_392.xyz</t>
  </si>
  <si>
    <t>Ag_05_Au_08_BBP_config_393.xyz</t>
  </si>
  <si>
    <t>Ag_05_Au_08_BBP_config_394.xyz</t>
  </si>
  <si>
    <t>Ag_05_Au_08_BBP_config_395.xyz</t>
  </si>
  <si>
    <t>Ag_05_Au_08_BBP_config_396.xyz</t>
  </si>
  <si>
    <t>Ag_05_Au_08_BBP_config_397.xyz</t>
  </si>
  <si>
    <t>Ag_05_Au_08_BBP_config_398.xyz</t>
  </si>
  <si>
    <t>Ag_05_Au_08_BBP_config_399.xyz</t>
  </si>
  <si>
    <t>Ag_05_Au_08_BBP_config_400.xyz</t>
  </si>
  <si>
    <t>Ag_05_Au_08_BBP_config_401.xyz</t>
  </si>
  <si>
    <t>Ag_05_Au_08_BBP_config_402.xyz</t>
  </si>
  <si>
    <t>Ag_05_Au_08_BBP_config_403.xyz</t>
  </si>
  <si>
    <t>Ag_05_Au_08_BBP_config_404.xyz</t>
  </si>
  <si>
    <t>Ag_05_Au_08_BBP_config_405.xyz</t>
  </si>
  <si>
    <t>Ag_05_Au_08_BBP_config_406.xyz</t>
  </si>
  <si>
    <t>Ag_05_Au_08_BBP_config_407.xyz</t>
  </si>
  <si>
    <t>Ag_05_Au_08_BBP_config_408.xyz</t>
  </si>
  <si>
    <t>Ag_05_Au_08_BBP_config_409.xyz</t>
  </si>
  <si>
    <t>Ag_05_Au_08_BBP_config_410.xyz</t>
  </si>
  <si>
    <t>Ag_05_Au_08_BBP_config_411.xyz</t>
  </si>
  <si>
    <t>Ag_05_Au_08_BBP_config_412.xyz</t>
  </si>
  <si>
    <t>Ag_05_Au_08_BBP_config_413.xyz</t>
  </si>
  <si>
    <t>Ag_05_Au_08_BBP_config_414.xyz</t>
  </si>
  <si>
    <t>Ag_05_Au_08_BBP_config_415.xyz</t>
  </si>
  <si>
    <t>Ag_05_Au_08_BBP_config_416.xyz</t>
  </si>
  <si>
    <t>Ag_05_Au_08_BBP_config_417.xyz</t>
  </si>
  <si>
    <t>Ag_05_Au_08_BBP_config_418.xyz</t>
  </si>
  <si>
    <t>Ag_05_Au_08_BBP_config_419.xyz</t>
  </si>
  <si>
    <t>Ag_05_Au_08_BBP_config_420.xyz</t>
  </si>
  <si>
    <t>Ag_05_Au_08_BBP_config_421.xyz</t>
  </si>
  <si>
    <t>Ag_05_Au_08_BBP_config_422.xyz</t>
  </si>
  <si>
    <t>Ag_05_Au_08_BBP_config_423.xyz</t>
  </si>
  <si>
    <t>Ag_05_Au_08_BBP_config_424.xyz</t>
  </si>
  <si>
    <t>Ag_05_Au_08_BBP_config_425.xyz</t>
  </si>
  <si>
    <t>Ag_05_Au_08_BBP_config_426.xyz</t>
  </si>
  <si>
    <t>Ag_05_Au_08_BBP_config_427.xyz</t>
  </si>
  <si>
    <t>Ag_05_Au_08_BBP_config_428.xyz</t>
  </si>
  <si>
    <t>Ag_05_Au_08_BBP_config_429.xyz</t>
  </si>
  <si>
    <t>Ag_05_Au_08_BBP_config_430.xyz</t>
  </si>
  <si>
    <t>Ag_05_Au_08_BBP_config_431.xyz</t>
  </si>
  <si>
    <t>Ag_05_Au_08_BBP_config_432.xyz</t>
  </si>
  <si>
    <t>Ag_05_Au_08_BBP_config_433.xyz</t>
  </si>
  <si>
    <t>Ag_05_Au_08_BBP_config_434.xyz</t>
  </si>
  <si>
    <t>Ag_05_Au_08_BBP_config_435.xyz</t>
  </si>
  <si>
    <t>Ag_05_Au_08_BBP_config_436.xyz</t>
  </si>
  <si>
    <t>Ag_05_Au_08_BBP_config_437.xyz</t>
  </si>
  <si>
    <t>Ag_05_Au_08_BBP_config_438.xyz</t>
  </si>
  <si>
    <t>Ag_05_Au_08_BBP_config_439.xyz</t>
  </si>
  <si>
    <t>Ag_05_Au_08_BBP_config_440.xyz</t>
  </si>
  <si>
    <t>Ag_05_Au_08_BBP_config_441.xyz</t>
  </si>
  <si>
    <t>Ag_05_Au_08_BBP_config_442.xyz</t>
  </si>
  <si>
    <t>Ag_05_Au_08_BBP_config_443.xyz</t>
  </si>
  <si>
    <t>Ag_05_Au_08_BBP_config_444.xyz</t>
  </si>
  <si>
    <t>Ag_05_Au_08_BBP_config_445.xyz</t>
  </si>
  <si>
    <t>Ag_05_Au_08_BBP_config_446.xyz</t>
  </si>
  <si>
    <t>Ag_05_Au_08_BBP_config_447.xyz</t>
  </si>
  <si>
    <t>Ag_05_Au_08_BBP_config_448.xyz</t>
  </si>
  <si>
    <t>Ag_05_Au_08_BBP_config_449.xyz</t>
  </si>
  <si>
    <t>Ag_05_Au_08_BBP_config_450.xyz</t>
  </si>
  <si>
    <t>Ag_05_Au_08_BBP_config_451.xyz</t>
  </si>
  <si>
    <t>Ag_05_Au_08_BBP_config_452_LE.xyz</t>
  </si>
  <si>
    <t>Ag_05_Au_08_BBP_config_453.xyz</t>
  </si>
  <si>
    <t>Ag_05_Au_08_BBP_config_454.xyz</t>
  </si>
  <si>
    <t>Ag_05_Au_08_BBP_config_455.xyz</t>
  </si>
  <si>
    <t>Ag_05_Au_08_BBP_config_456.xyz</t>
  </si>
  <si>
    <t>Ag_05_Au_08_BBP_config_457.xyz</t>
  </si>
  <si>
    <t>Ag_05_Au_08_BBP_config_458.xyz</t>
  </si>
  <si>
    <t>Ag_05_Au_08_BBP_config_459.xyz</t>
  </si>
  <si>
    <t>Ag_05_Au_08_BBP_config_460.xyz</t>
  </si>
  <si>
    <t>Ag_05_Au_08_BBP_config_461.xyz</t>
  </si>
  <si>
    <t>Ag_05_Au_08_BBP_config_462.xyz</t>
  </si>
  <si>
    <t>Ag_05_Au_08_BBP_config_463.xyz</t>
  </si>
  <si>
    <t>Ag_05_Au_08_BBP_config_464.xyz</t>
  </si>
  <si>
    <t>Ag_05_Au_08_BBP_config_465.xyz</t>
  </si>
  <si>
    <t>Ag_05_Au_08_BBP_config_466.xyz</t>
  </si>
  <si>
    <t>Ag_05_Au_08_BBP_config_467.xyz</t>
  </si>
  <si>
    <t>Ag_05_Au_08_BBP_config_468.xyz</t>
  </si>
  <si>
    <t>Ag_05_Au_08_BBP_config_469.xyz</t>
  </si>
  <si>
    <t>Ag_05_Au_08_BBP_config_470.xyz</t>
  </si>
  <si>
    <t>Ag_05_Au_08_BBP_config_471.xyz</t>
  </si>
  <si>
    <t>Ag_05_Au_08_BBP_config_472.xyz</t>
  </si>
  <si>
    <t>Ag_05_Au_08_BBP_config_473.xyz</t>
  </si>
  <si>
    <t>Ag_05_Au_08_BBP_config_474.xyz</t>
  </si>
  <si>
    <t>Ag_05_Au_08_BBP_config_475.xyz</t>
  </si>
  <si>
    <t>Ag_05_Au_08_BBP_config_476.xyz</t>
  </si>
  <si>
    <t>Ag_05_Au_08_BBP_config_477.xyz</t>
  </si>
  <si>
    <t>Ag_05_Au_08_BBP_config_478.xyz</t>
  </si>
  <si>
    <t>Ag_05_Au_08_BBP_config_479.xyz</t>
  </si>
  <si>
    <t>Ag_05_Au_08_BBP_config_480.xyz</t>
  </si>
  <si>
    <t>Ag_05_Au_08_BBP_config_481.xyz</t>
  </si>
  <si>
    <t>Ag_05_Au_08_BBP_config_482.xyz</t>
  </si>
  <si>
    <t>Ag_05_Au_08_BBP_config_483.xyz</t>
  </si>
  <si>
    <t>Ag_05_Au_08_BBP_config_484.xyz</t>
  </si>
  <si>
    <t>Ag_05_Au_08_BBP_config_485.xyz</t>
  </si>
  <si>
    <t>Ag_05_Au_08_BBP_config_486.xyz</t>
  </si>
  <si>
    <t>Ag_05_Au_08_BBP_config_487.xyz</t>
  </si>
  <si>
    <t>Ag_05_Au_08_BBP_config_488.xyz</t>
  </si>
  <si>
    <t>Ag_05_Au_08_BBP_config_489.xyz</t>
  </si>
  <si>
    <t>Ag_05_Au_08_BBP_config_490.xyz</t>
  </si>
  <si>
    <t>Ag_05_Au_08_BBP_config_491.xyz</t>
  </si>
  <si>
    <t>Ag_05_Au_08_BBP_config_492.xyz</t>
  </si>
  <si>
    <t>Ag_05_Au_08_BBP_config_493.xyz</t>
  </si>
  <si>
    <t>Ag_05_Au_08_BBP_config_494.xyz</t>
  </si>
  <si>
    <t>Ag_05_Au_08_BBP_config_495.xyz</t>
  </si>
  <si>
    <t>Ag_05_Au_08_BBP_config_496.xyz</t>
  </si>
  <si>
    <t>Ag_05_Au_08_BBP_config_497.xyz</t>
  </si>
  <si>
    <t>Ag_05_Au_08_BBP_config_498.xyz</t>
  </si>
  <si>
    <t>Ag_05_Au_08_BBP_config_499.xyz</t>
  </si>
  <si>
    <t>Ag_05_Au_08_BBP_config_500.xyz</t>
  </si>
  <si>
    <t>Ag_05_Au_08_BBP_config_501.xyz</t>
  </si>
  <si>
    <t>Ag_05_Au_08_BBP_config_502.xyz</t>
  </si>
  <si>
    <t>Ag_05_Au_08_BBP_config_503.xyz</t>
  </si>
  <si>
    <t>Ag_05_Au_08_BBP_config_504.xyz</t>
  </si>
  <si>
    <t>Ag_05_Au_08_BBP_config_505.xyz</t>
  </si>
  <si>
    <t>Ag_05_Au_08_BBP_config_506.xyz</t>
  </si>
  <si>
    <t>Ag_05_Au_08_BBP_config_507.xyz</t>
  </si>
  <si>
    <t>Ag_05_Au_08_BBP_config_508.xyz</t>
  </si>
  <si>
    <t>Ag_05_Au_08_BBP_config_509.xyz</t>
  </si>
  <si>
    <t>Ag_05_Au_08_BBP_config_510.xyz</t>
  </si>
  <si>
    <t>Ag_05_Au_08_BBP_config_511.xyz</t>
  </si>
  <si>
    <t>Ag_05_Au_08_BBP_config_512.xyz</t>
  </si>
  <si>
    <t>Ag_05_Au_08_BBP_config_513.xyz</t>
  </si>
  <si>
    <t>Ag_05_Au_08_BBP_config_514.xyz</t>
  </si>
  <si>
    <t>Ag_05_Au_08_BBP_config_515.xyz</t>
  </si>
  <si>
    <t>Ag_05_Au_08_BBP_config_516.xyz</t>
  </si>
  <si>
    <t>Ag_05_Au_08_BBP_config_517.xyz</t>
  </si>
  <si>
    <t>Ag_05_Au_08_BBP_config_518.xyz</t>
  </si>
  <si>
    <t>Ag_05_Au_08_BBP_config_519.xyz</t>
  </si>
  <si>
    <t>Ag_05_Au_08_BBP_config_520.xyz</t>
  </si>
  <si>
    <t>Ag_05_Au_08_BBP_config_521.xyz</t>
  </si>
  <si>
    <t>Ag_05_Au_08_BBP_config_522.xyz</t>
  </si>
  <si>
    <t>Ag_05_Au_08_BBP_config_523.xyz</t>
  </si>
  <si>
    <t>Ag_05_Au_08_BBP_config_524.xyz</t>
  </si>
  <si>
    <t>Ag_05_Au_08_BBP_config_525.xyz</t>
  </si>
  <si>
    <t>Ag_05_Au_08_BBP_config_526.xyz</t>
  </si>
  <si>
    <t>Ag_05_Au_08_BBP_config_527.xyz</t>
  </si>
  <si>
    <t>Ag_05_Au_08_BBP_config_528.xyz</t>
  </si>
  <si>
    <t>Ag_05_Au_08_BBP_config_529.xyz</t>
  </si>
  <si>
    <t>Ag_05_Au_08_BBP_config_530.xyz</t>
  </si>
  <si>
    <t>Ag_05_Au_08_BBP_config_531.xyz</t>
  </si>
  <si>
    <t>Ag_05_Au_08_BBP_config_532.xyz</t>
  </si>
  <si>
    <t>Ag_05_Au_08_BBP_config_533.xyz</t>
  </si>
  <si>
    <t>Ag_05_Au_08_BBP_config_534.xyz</t>
  </si>
  <si>
    <t>Ag_05_Au_08_BBP_config_535.xyz</t>
  </si>
  <si>
    <t>Ag_05_Au_08_BBP_config_536.xyz</t>
  </si>
  <si>
    <t>Ag_05_Au_08_BBP_config_537.xyz</t>
  </si>
  <si>
    <t>Ag_05_Au_08_BBP_config_538.xyz</t>
  </si>
  <si>
    <t>Ag_05_Au_08_BBP_config_539.xyz</t>
  </si>
  <si>
    <t>Ag_05_Au_08_BBP_config_540.xyz</t>
  </si>
  <si>
    <t>Ag_05_Au_08_BBP_config_541.xyz</t>
  </si>
  <si>
    <t>Ag_05_Au_08_BBP_config_542.xyz</t>
  </si>
  <si>
    <t>Ag_05_Au_08_BBP_config_543.xyz</t>
  </si>
  <si>
    <t>Ag_05_Au_08_BBP_config_544.xyz</t>
  </si>
  <si>
    <t>Ag_05_Au_08_BBP_config_545.xyz</t>
  </si>
  <si>
    <t>Ag_05_Au_08_BBP_config_546.xyz</t>
  </si>
  <si>
    <t>Ag_05_Au_08_BBP_config_547.xyz</t>
  </si>
  <si>
    <t>Ag_05_Au_08_BBP_config_548.xyz</t>
  </si>
  <si>
    <t>Ag_05_Au_08_BBP_config_549.xyz</t>
  </si>
  <si>
    <t>Ag_05_Au_08_BBP_config_550.xyz</t>
  </si>
  <si>
    <t>Ag_05_Au_08_BBP_config_551.xyz</t>
  </si>
  <si>
    <t>Ag_05_Au_08_BBP_config_552.xyz</t>
  </si>
  <si>
    <t>Ag_05_Au_08_BBP_config_553.xyz</t>
  </si>
  <si>
    <t>Ag_05_Au_08_BBP_config_554.xyz</t>
  </si>
  <si>
    <t>Ag_05_Au_08_BBP_config_555.xyz</t>
  </si>
  <si>
    <t>Ag_05_Au_08_BBP_config_556.xyz</t>
  </si>
  <si>
    <t>Ag_05_Au_08_BBP_config_557.xyz</t>
  </si>
  <si>
    <t>Ag_05_Au_08_BBP_config_558.xyz</t>
  </si>
  <si>
    <t>Ag_05_Au_08_BBP_config_559.xyz</t>
  </si>
  <si>
    <t>Ag_05_Au_08_BBP_config_560.xyz</t>
  </si>
  <si>
    <t>Ag_05_Au_08_BBP_config_561.xyz</t>
  </si>
  <si>
    <t>Ag_05_Au_08_BBP_config_562.xyz</t>
  </si>
  <si>
    <t>Ag_05_Au_08_BBP_config_563.xyz</t>
  </si>
  <si>
    <t>Ag_05_Au_08_BBP_config_564.xyz</t>
  </si>
  <si>
    <t>Ag_05_Au_08_BBP_config_565.xyz</t>
  </si>
  <si>
    <t>Ag_05_Au_08_BBP_config_566.xyz</t>
  </si>
  <si>
    <t>Ag_05_Au_08_BBP_config_567.xyz</t>
  </si>
  <si>
    <t>Ag_05_Au_08_BBP_config_568.xyz</t>
  </si>
  <si>
    <t>Ag_05_Au_08_BBP_config_569.xyz</t>
  </si>
  <si>
    <t>Ag_05_Au_08_BBP_config_570.xyz</t>
  </si>
  <si>
    <t>Ag_05_Au_08_BBP_config_571.xyz</t>
  </si>
  <si>
    <t>Ag_05_Au_08_BBP_config_572.xyz</t>
  </si>
  <si>
    <t>Ag_05_Au_08_BBP_config_573.xyz</t>
  </si>
  <si>
    <t>Ag_05_Au_08_BBP_config_574.xyz</t>
  </si>
  <si>
    <t>Ag_05_Au_08_BBP_config_575.xyz</t>
  </si>
  <si>
    <t>Ag_05_Au_08_BBP_config_576.xyz</t>
  </si>
  <si>
    <t>Ag_05_Au_08_BBP_config_577.xyz</t>
  </si>
  <si>
    <t>Ag_05_Au_08_BBP_config_578.xyz</t>
  </si>
  <si>
    <t>Ag_05_Au_08_BBP_config_579.xyz</t>
  </si>
  <si>
    <t>Ag_05_Au_08_BBP_config_580.xyz</t>
  </si>
  <si>
    <t>Ag_05_Au_08_BBP_config_581.xyz</t>
  </si>
  <si>
    <t>Ag_05_Au_08_BBP_config_582.xyz</t>
  </si>
  <si>
    <t>Ag_05_Au_08_BBP_config_583.xyz</t>
  </si>
  <si>
    <t>Ag_05_Au_08_BBP_config_584.xyz</t>
  </si>
  <si>
    <t>Ag_05_Au_08_BBP_config_585.xyz</t>
  </si>
  <si>
    <t>Ag_05_Au_08_BBP_config_586.xyz</t>
  </si>
  <si>
    <t>Ag_05_Au_08_BBP_config_587.xyz</t>
  </si>
  <si>
    <t>Ag_05_Au_08_BBP_config_588.xyz</t>
  </si>
  <si>
    <t>Ag_05_Au_08_BBP_config_589.xyz</t>
  </si>
  <si>
    <t>Ag_05_Au_08_BBP_config_590.xyz</t>
  </si>
  <si>
    <t>Ag_05_Au_08_BBP_config_591.xyz</t>
  </si>
  <si>
    <t>Ag_05_Au_08_BBP_config_592.xyz</t>
  </si>
  <si>
    <t>Ag_05_Au_08_BBP_config_593.xyz</t>
  </si>
  <si>
    <t>Ag_05_Au_08_BBP_config_594.xyz</t>
  </si>
  <si>
    <t>Ag_05_Au_08_BBP_config_595.xyz</t>
  </si>
  <si>
    <t>Ag_05_Au_08_BBP_config_596.xyz</t>
  </si>
  <si>
    <t>Ag_05_Au_08_BBP_config_597.xyz</t>
  </si>
  <si>
    <t>Ag_05_Au_08_BBP_config_598.xyz</t>
  </si>
  <si>
    <t>Ag_05_Au_08_BBP_config_599.xyz</t>
  </si>
  <si>
    <t>Ag_05_Au_08_BBP_config_600.xyz</t>
  </si>
  <si>
    <t>Ag_05_Au_08_BBP_config_601.xyz</t>
  </si>
  <si>
    <t>Ag_05_Au_08_BBP_config_602.xyz</t>
  </si>
  <si>
    <t>Ag_05_Au_08_BBP_config_603.xyz</t>
  </si>
  <si>
    <t>Ag_05_Au_08_BBP_config_604.xyz</t>
  </si>
  <si>
    <t>Ag_05_Au_08_BBP_config_605.xyz</t>
  </si>
  <si>
    <t>Ag_05_Au_08_BBP_config_606.xyz</t>
  </si>
  <si>
    <t>Ag_05_Au_08_BBP_config_607.xyz</t>
  </si>
  <si>
    <t>Ag_05_Au_08_BBP_config_608.xyz</t>
  </si>
  <si>
    <t>Ag_05_Au_08_BBP_config_609.xyz</t>
  </si>
  <si>
    <t>Ag_05_Au_08_BBP_config_610.xyz</t>
  </si>
  <si>
    <t>Ag_05_Au_08_BBP_config_611.xyz</t>
  </si>
  <si>
    <t>Ag_05_Au_08_BBP_config_612.xyz</t>
  </si>
  <si>
    <t>Ag_05_Au_08_BBP_config_613.xyz</t>
  </si>
  <si>
    <t>Ag_05_Au_08_BBP_config_614.xyz</t>
  </si>
  <si>
    <t>Ag_05_Au_08_BBP_config_615.xyz</t>
  </si>
  <si>
    <t>Ag_05_Au_08_BBP_config_616.xyz</t>
  </si>
  <si>
    <t>Ag_05_Au_08_BBP_config_617.xyz</t>
  </si>
  <si>
    <t>Ag_05_Au_08_BBP_config_618.xyz</t>
  </si>
  <si>
    <t>Ag_05_Au_08_BBP_config_619.xyz</t>
  </si>
  <si>
    <t>Ag_05_Au_08_BBP_config_620.xyz</t>
  </si>
  <si>
    <t>Ag_05_Au_08_BBP_config_621.xyz</t>
  </si>
  <si>
    <t>Ag_05_Au_08_BBP_config_622.xyz</t>
  </si>
  <si>
    <t>Ag_05_Au_08_BBP_config_623.xyz</t>
  </si>
  <si>
    <t>Ag_05_Au_08_BBP_config_624.xyz</t>
  </si>
  <si>
    <t>Ag_05_Au_08_BBP_config_625.xyz</t>
  </si>
  <si>
    <t>Ag_05_Au_08_BBP_config_626.xyz</t>
  </si>
  <si>
    <t>Ag_05_Au_08_BBP_config_627.xyz</t>
  </si>
  <si>
    <t>Ag_05_Au_08_BBP_config_628.xyz</t>
  </si>
  <si>
    <t>Ag_05_Au_08_BBP_config_629.xyz</t>
  </si>
  <si>
    <t>Ag_05_Au_08_BBP_config_630.xyz</t>
  </si>
  <si>
    <t>Ag_05_Au_08_BBP_config_631.xyz</t>
  </si>
  <si>
    <t>Ag_05_Au_08_BBP_config_632.xyz</t>
  </si>
  <si>
    <t>Ag_05_Au_08_BBP_config_633.xyz</t>
  </si>
  <si>
    <t>Ag_05_Au_08_BBP_config_634.xyz</t>
  </si>
  <si>
    <t>Ag_05_Au_08_BBP_config_635.xyz</t>
  </si>
  <si>
    <t>Ag_05_Au_08_BBP_config_636.xyz</t>
  </si>
  <si>
    <t>Ag_05_Au_08_BBP_config_637.xyz</t>
  </si>
  <si>
    <t>Ag_05_Au_08_BBP_config_638.xyz</t>
  </si>
  <si>
    <t>Ag_05_Au_08_BBP_config_639.xyz</t>
  </si>
  <si>
    <t>Ag_05_Au_08_BBP_config_640.xyz</t>
  </si>
  <si>
    <t>Ag_05_Au_08_BBP_config_641.xyz</t>
  </si>
  <si>
    <t>Ag_05_Au_08_BBP_config_642.xyz</t>
  </si>
  <si>
    <t>Ag_05_Au_08_BBP_config_643.xyz</t>
  </si>
  <si>
    <t>Configs_6_of_13</t>
  </si>
  <si>
    <t>Ag_06_Au_07_BBP_config_542.xyz</t>
  </si>
  <si>
    <t>Ag_06_Au_07_BBP_config_690.xyz</t>
  </si>
  <si>
    <t>Ag_06_Au_07_BBP_config_558.xyz</t>
  </si>
  <si>
    <t>Ag_06_Au_07_BBP_config_650.xyz</t>
  </si>
  <si>
    <t>Ag_06_Au_07_BBP_config_404.xyz</t>
  </si>
  <si>
    <t>Ag_06_Au_07_BBP_config_524.xyz</t>
  </si>
  <si>
    <t>Ag_06_Au_07_BBP_config_505.xyz</t>
  </si>
  <si>
    <t>Ag_06_Au_07_BBP_config_665.xyz</t>
  </si>
  <si>
    <t>Ag_06_Au_07_BBP_config_676.xyz</t>
  </si>
  <si>
    <t>Ag_06_Au_07_BBP_config_689.xyz</t>
  </si>
  <si>
    <t>Ag_06_Au_07_BBP_config_403.xyz</t>
  </si>
  <si>
    <t>Ag_06_Au_07_BBP_config_433.xyz</t>
  </si>
  <si>
    <t>Ag_06_Au_07_BBP_config_647.xyz</t>
  </si>
  <si>
    <t>Ag_06_Au_07_BBP_config_671.xyz</t>
  </si>
  <si>
    <t>Ag_06_Au_07_BBP_config_471.xyz</t>
  </si>
  <si>
    <t>Ag_06_Au_07_BBP_config_745.xyz</t>
  </si>
  <si>
    <t>Ag_06_Au_07_BBP_config_326.xyz</t>
  </si>
  <si>
    <t>Ag_06_Au_07_BBP_config_744.xyz</t>
  </si>
  <si>
    <t>Ag_06_Au_07_BBP_config_747.xyz</t>
  </si>
  <si>
    <t>Ag_06_Au_07_BBP_config_651.xyz</t>
  </si>
  <si>
    <t>Ag_06_Au_07_BBP_config_562.xyz</t>
  </si>
  <si>
    <t>Ag_06_Au_07_BBP_config_491.xyz</t>
  </si>
  <si>
    <t>Ag_06_Au_07_BBP_config_501.xyz</t>
  </si>
  <si>
    <t>Ag_06_Au_07_BBP_config_431.xyz</t>
  </si>
  <si>
    <t>Ag_06_Au_07_BBP_config_598.xyz</t>
  </si>
  <si>
    <t>Ag_06_Au_07_BBP_config_668.xyz</t>
  </si>
  <si>
    <t>Ag_06_Au_07_BBP_config_600.xyz</t>
  </si>
  <si>
    <t>Ag_06_Au_07_BBP_config_643.xyz</t>
  </si>
  <si>
    <t>Ag_06_Au_07_BBP_config_400.xyz</t>
  </si>
  <si>
    <t>Ag_06_Au_07_BBP_config_674.xyz</t>
  </si>
  <si>
    <t>Ag_06_Au_07_BBP_config_719.xyz</t>
  </si>
  <si>
    <t>Ag_06_Au_07_BBP_config_631.xyz</t>
  </si>
  <si>
    <t>Ag_06_Au_07_BBP_config_489.xyz</t>
  </si>
  <si>
    <t>Ag_06_Au_07_BBP_config_718.xyz</t>
  </si>
  <si>
    <t>Ag_06_Au_07_BBP_config_538.xyz</t>
  </si>
  <si>
    <t>Ag_06_Au_07_BBP_config_599.xyz</t>
  </si>
  <si>
    <t>Ag_06_Au_07_BBP_config_398.xyz</t>
  </si>
  <si>
    <t>Ag_06_Au_07_BBP_config_716.xyz</t>
  </si>
  <si>
    <t>Ag_06_Au_07_BBP_config_592.xyz</t>
  </si>
  <si>
    <t>Ag_06_Au_07_BBP_config_468.xyz</t>
  </si>
  <si>
    <t>Ag_06_Au_07_BBP_config_709.xyz</t>
  </si>
  <si>
    <t>Ag_06_Au_07_BBP_config_714.xyz</t>
  </si>
  <si>
    <t>Ag_06_Au_07_BBP_config_751.xyz</t>
  </si>
  <si>
    <t>Ag_06_Au_07_BBP_config_595.xyz</t>
  </si>
  <si>
    <t>Ag_06_Au_07_BBP_config_513.xyz</t>
  </si>
  <si>
    <t>Ag_06_Au_07_BBP_config_423.xyz</t>
  </si>
  <si>
    <t>Ag_06_Au_07_BBP_config_691.xyz</t>
  </si>
  <si>
    <t>Ag_06_Au_07_BBP_config_427.xyz</t>
  </si>
  <si>
    <t>Ag_06_Au_07_BBP_config_697.xyz</t>
  </si>
  <si>
    <t>Ag_06_Au_07_BBP_config_720.xyz</t>
  </si>
  <si>
    <t>Ag_06_Au_07_BBP_config_593.xyz</t>
  </si>
  <si>
    <t>Ag_06_Au_07_BBP_config_752.xyz</t>
  </si>
  <si>
    <t>Ag_06_Au_07_BBP_config_641.xyz</t>
  </si>
  <si>
    <t>Ag_06_Au_07_BBP_config_736.xyz</t>
  </si>
  <si>
    <t>Ag_06_Au_07_BBP_config_601.xyz</t>
  </si>
  <si>
    <t>Ag_06_Au_07_BBP_config_500.xyz</t>
  </si>
  <si>
    <t>Ag_06_Au_07_BBP_config_591.xyz</t>
  </si>
  <si>
    <t>Ag_06_Au_07_BBP_config_529.xyz</t>
  </si>
  <si>
    <t>Ag_06_Au_07_BBP_config_672.xyz</t>
  </si>
  <si>
    <t>Ag_06_Au_07_BBP_config_481.xyz</t>
  </si>
  <si>
    <t>Ag_06_Au_07_BBP_config_710.xyz</t>
  </si>
  <si>
    <t>Ag_06_Au_07_BBP_config_531.xyz</t>
  </si>
  <si>
    <t>Ag_06_Au_07_BBP_config_698.xyz</t>
  </si>
  <si>
    <t>Ag_06_Au_07_BBP_config_328.xyz</t>
  </si>
  <si>
    <t>Ag_06_Au_07_BBP_config_738.xyz</t>
  </si>
  <si>
    <t>Ag_06_Au_07_BBP_config_667.xyz</t>
  </si>
  <si>
    <t>Ag_06_Au_07_BBP_config_561.xyz</t>
  </si>
  <si>
    <t>Ag_06_Au_07_BBP_config_552.xyz</t>
  </si>
  <si>
    <t>Ag_06_Au_07_BBP_config_429.xyz</t>
  </si>
  <si>
    <t>Ag_06_Au_07_BBP_config_707.xyz</t>
  </si>
  <si>
    <t>Ag_06_Au_07_BBP_config_384.xyz</t>
  </si>
  <si>
    <t>Ag_06_Au_07_BBP_config_549.xyz</t>
  </si>
  <si>
    <t>Ag_06_Au_07_BBP_config_735.xyz</t>
  </si>
  <si>
    <t>Ag_06_Au_07_BBP_config_673.xyz</t>
  </si>
  <si>
    <t>Ag_06_Au_07_BBP_config_532.xyz</t>
  </si>
  <si>
    <t>Ag_06_Au_07_BBP_config_382.xyz</t>
  </si>
  <si>
    <t>Ag_06_Au_07_BBP_config_540.xyz</t>
  </si>
  <si>
    <t>Ag_06_Au_07_BBP_config_511.xyz</t>
  </si>
  <si>
    <t>Ag_06_Au_07_BBP_config_533.xyz</t>
  </si>
  <si>
    <t>Ag_06_Au_07_BBP_config_527.xyz</t>
  </si>
  <si>
    <t>Ag_06_Au_07_BBP_config_699.xyz</t>
  </si>
  <si>
    <t>Ag_06_Au_07_BBP_config_586.xyz</t>
  </si>
  <si>
    <t>Ag_06_Au_07_BBP_config_319.xyz</t>
  </si>
  <si>
    <t>Ag_06_Au_07_BBP_config_574.xyz</t>
  </si>
  <si>
    <t>Ag_06_Au_07_BBP_config_457.xyz</t>
  </si>
  <si>
    <t>Ag_06_Au_07_BBP_config_539.xyz</t>
  </si>
  <si>
    <t>Ag_06_Au_07_BBP_config_560.xyz</t>
  </si>
  <si>
    <t>Ag_06_Au_07_BBP_config_556.xyz</t>
  </si>
  <si>
    <t>Ag_06_Au_07_BBP_config_515.xyz</t>
  </si>
  <si>
    <t>Ag_06_Au_07_BBP_config_614.xyz</t>
  </si>
  <si>
    <t>Ag_06_Au_07_BBP_config_711.xyz</t>
  </si>
  <si>
    <t>Ag_06_Au_07_BBP_config_700.xyz</t>
  </si>
  <si>
    <t>Ag_06_Au_07_BBP_config_616.xyz</t>
  </si>
  <si>
    <t>Ag_06_Au_07_BBP_config_713.xyz</t>
  </si>
  <si>
    <t>Ag_06_Au_07_BBP_config_530.xyz</t>
  </si>
  <si>
    <t>Ag_06_Au_07_BBP_config_594.xyz</t>
  </si>
  <si>
    <t>Ag_06_Au_07_BBP_config_537.xyz</t>
  </si>
  <si>
    <t>Ag_06_Au_07_BBP_config_737.xyz</t>
  </si>
  <si>
    <t>Ag_06_Au_07_BBP_config_534.xyz</t>
  </si>
  <si>
    <t>Ag_06_Au_07_BBP_config_506.xyz</t>
  </si>
  <si>
    <t>Ag_06_Au_07_BBP_config_583.xyz</t>
  </si>
  <si>
    <t>Ag_06_Au_07_BBP_config_580.xyz</t>
  </si>
  <si>
    <t>Ag_06_Au_07_BBP_config_360.xyz</t>
  </si>
  <si>
    <t>Ag_06_Au_07_BBP_config_570.xyz</t>
  </si>
  <si>
    <t>Ag_06_Au_07_BBP_config_626.xyz</t>
  </si>
  <si>
    <t>Ag_06_Au_07_BBP_config_467.xyz</t>
  </si>
  <si>
    <t>Ag_06_Au_07_BBP_config_615.xyz</t>
  </si>
  <si>
    <t>Ag_06_Au_07_BBP_config_726.xyz</t>
  </si>
  <si>
    <t>Ag_06_Au_07_BBP_config_669.xyz</t>
  </si>
  <si>
    <t>Ag_06_Au_07_BBP_config_705.xyz</t>
  </si>
  <si>
    <t>Ag_06_Au_07_BBP_config_581.xyz</t>
  </si>
  <si>
    <t>Ag_06_Au_07_BBP_config_585.xyz</t>
  </si>
  <si>
    <t>Ag_06_Au_07_BBP_config_702.xyz</t>
  </si>
  <si>
    <t>Ag_06_Au_07_BBP_config_479.xyz</t>
  </si>
  <si>
    <t>Ag_06_Au_07_BBP_config_391.xyz</t>
  </si>
  <si>
    <t>Ag_06_Au_07_BBP_config_624.xyz</t>
  </si>
  <si>
    <t>Ag_06_Au_07_BBP_config_734.xyz</t>
  </si>
  <si>
    <t>Ag_06_Au_07_BBP_config_589.xyz</t>
  </si>
  <si>
    <t>Ag_06_Au_07_BBP_config_621.xyz</t>
  </si>
  <si>
    <t>Ag_06_Au_07_BBP_config_508.xyz</t>
  </si>
  <si>
    <t>Ag_06_Au_07_BBP_config_729.xyz</t>
  </si>
  <si>
    <t>Ag_06_Au_07_BBP_config_620.xyz</t>
  </si>
  <si>
    <t>Ag_06_Au_07_BBP_config_488.xyz</t>
  </si>
  <si>
    <t>Ag_06_Au_07_BBP_config_629.xyz</t>
  </si>
  <si>
    <t>Ag_06_Au_07_BBP_config_571.xyz</t>
  </si>
  <si>
    <t>Ag_06_Au_07_BBP_config_590.xyz</t>
  </si>
  <si>
    <t>Ag_06_Au_07_BBP_config_551.xyz</t>
  </si>
  <si>
    <t>Ag_06_Au_07_BBP_config_504.xyz</t>
  </si>
  <si>
    <t>Ag_06_Au_07_BBP_config_526.xyz</t>
  </si>
  <si>
    <t>Ag_06_Au_07_BBP_config_630.xyz</t>
  </si>
  <si>
    <t>Ag_06_Au_07_BBP_config_584.xyz</t>
  </si>
  <si>
    <t>Ag_06_Au_07_BBP_config_402.xyz</t>
  </si>
  <si>
    <t>Ag_06_Au_07_BBP_config_670.xyz</t>
  </si>
  <si>
    <t>Ag_06_Au_07_BBP_config_642.xyz</t>
  </si>
  <si>
    <t>Ag_06_Au_07_BBP_config_456.xyz</t>
  </si>
  <si>
    <t>Ag_06_Au_07_BBP_config_322.xyz</t>
  </si>
  <si>
    <t>Ag_06_Au_07_BBP_config_638.xyz</t>
  </si>
  <si>
    <t>Ag_06_Au_07_BBP_config_409.xyz</t>
  </si>
  <si>
    <t>Ag_06_Au_07_BBP_config_394.xyz</t>
  </si>
  <si>
    <t>Ag_06_Au_07_BBP_config_619.xyz</t>
  </si>
  <si>
    <t>Ag_06_Au_07_BBP_config_659.xyz</t>
  </si>
  <si>
    <t>Ag_06_Au_07_BBP_config_480.xyz</t>
  </si>
  <si>
    <t>Ag_06_Au_07_BBP_config_535.xyz</t>
  </si>
  <si>
    <t>Ag_06_Au_07_BBP_config_476.xyz</t>
  </si>
  <si>
    <t>Ag_06_Au_07_BBP_config_715.xyz</t>
  </si>
  <si>
    <t>Ag_06_Au_07_BBP_config_588.xyz</t>
  </si>
  <si>
    <t>Ag_06_Au_07_BBP_config_497.xyz</t>
  </si>
  <si>
    <t>Ag_06_Au_07_BBP_config_666.xyz</t>
  </si>
  <si>
    <t>Ag_06_Au_07_BBP_config_458.xyz</t>
  </si>
  <si>
    <t>Ag_06_Au_07_BBP_config_612.xyz</t>
  </si>
  <si>
    <t>Ag_06_Au_07_BBP_config_610.xyz</t>
  </si>
  <si>
    <t>Ag_06_Au_07_BBP_config_462.xyz</t>
  </si>
  <si>
    <t>Ag_06_Au_07_BBP_config_474.xyz</t>
  </si>
  <si>
    <t>Ag_06_Au_07_BBP_config_447.xyz</t>
  </si>
  <si>
    <t>Ag_06_Au_07_BBP_config_723.xyz</t>
  </si>
  <si>
    <t>Ag_06_Au_07_BBP_config_611.xyz</t>
  </si>
  <si>
    <t>Ag_06_Au_07_BBP_config_649.xyz</t>
  </si>
  <si>
    <t>Ag_06_Au_07_BBP_config_695.xyz</t>
  </si>
  <si>
    <t>Ag_06_Au_07_BBP_config_478.xyz</t>
  </si>
  <si>
    <t>Ag_06_Au_07_BBP_config_587.xyz</t>
  </si>
  <si>
    <t>Ag_06_Au_07_BBP_config_412.xyz</t>
  </si>
  <si>
    <t>Ag_06_Au_07_BBP_config_520.xyz</t>
  </si>
  <si>
    <t>Ag_06_Au_07_BBP_config_512.xyz</t>
  </si>
  <si>
    <t>Ag_06_Au_07_BBP_config_717.xyz</t>
  </si>
  <si>
    <t>Ag_06_Au_07_BBP_config_509.xyz</t>
  </si>
  <si>
    <t>Ag_06_Au_07_BBP_config_569.xyz</t>
  </si>
  <si>
    <t>Ag_06_Au_07_BBP_config_313.xyz</t>
  </si>
  <si>
    <t>Ag_06_Au_07_BBP_config_637.xyz</t>
  </si>
  <si>
    <t>Ag_06_Au_07_BBP_config_432.xyz</t>
  </si>
  <si>
    <t>Ag_06_Au_07_BBP_config_392.xyz</t>
  </si>
  <si>
    <t>Ag_06_Au_07_BBP_config_596.xyz</t>
  </si>
  <si>
    <t>Ag_06_Au_07_BBP_config_582.xyz</t>
  </si>
  <si>
    <t>Ag_06_Au_07_BBP_config_741.xyz</t>
  </si>
  <si>
    <t>Ag_06_Au_07_BBP_config_518.xyz</t>
  </si>
  <si>
    <t>Ag_06_Au_07_BBP_config_648.xyz</t>
  </si>
  <si>
    <t>Ag_06_Au_07_BBP_config_660.xyz</t>
  </si>
  <si>
    <t>Ag_06_Au_07_BBP_config_349.xyz</t>
  </si>
  <si>
    <t>Ag_06_Au_07_BBP_config_477.xyz</t>
  </si>
  <si>
    <t>Ag_06_Au_07_BBP_config_553.xyz</t>
  </si>
  <si>
    <t>Ag_06_Au_07_BBP_config_675.xyz</t>
  </si>
  <si>
    <t>Ag_06_Au_07_BBP_config_454.xyz</t>
  </si>
  <si>
    <t>Ag_06_Au_07_BBP_config_407.xyz</t>
  </si>
  <si>
    <t>Ag_06_Au_07_BBP_config_704.xyz</t>
  </si>
  <si>
    <t>Ag_06_Au_07_BBP_config_679.xyz</t>
  </si>
  <si>
    <t>Ag_06_Au_07_BBP_config_635.xyz</t>
  </si>
  <si>
    <t>Ag_06_Au_07_BBP_config_617.xyz</t>
  </si>
  <si>
    <t>Ag_06_Au_07_BBP_config_682.xyz</t>
  </si>
  <si>
    <t>Ag_06_Au_07_BBP_config_523.xyz</t>
  </si>
  <si>
    <t>Ag_06_Au_07_BBP_config_685.xyz</t>
  </si>
  <si>
    <t>Ag_06_Au_07_BBP_config_708.xyz</t>
  </si>
  <si>
    <t>Ag_06_Au_07_BBP_config_725.xyz</t>
  </si>
  <si>
    <t>Ag_06_Au_07_BBP_config_732.xyz</t>
  </si>
  <si>
    <t>Ag_06_Au_07_BBP_config_687.xyz</t>
  </si>
  <si>
    <t>Ag_06_Au_07_BBP_config_662.xyz</t>
  </si>
  <si>
    <t>Ag_06_Au_07_BBP_config_487.xyz</t>
  </si>
  <si>
    <t>Ag_06_Au_07_BBP_config_681.xyz</t>
  </si>
  <si>
    <t>Ag_06_Au_07_BBP_config_499.xyz</t>
  </si>
  <si>
    <t>Ag_06_Au_07_BBP_config_332.xyz</t>
  </si>
  <si>
    <t>Ag_06_Au_07_BBP_config_680.xyz</t>
  </si>
  <si>
    <t>Ag_06_Au_07_BBP_config_485.xyz</t>
  </si>
  <si>
    <t>Ag_06_Au_07_BBP_config_422.xyz</t>
  </si>
  <si>
    <t>Ag_06_Au_07_BBP_config_449.xyz</t>
  </si>
  <si>
    <t>Ag_06_Au_07_BBP_config_753.xyz</t>
  </si>
  <si>
    <t>Ag_06_Au_07_BBP_config_632.xyz</t>
  </si>
  <si>
    <t>Ag_06_Au_07_BBP_config_686.xyz</t>
  </si>
  <si>
    <t>Ag_06_Au_07_BBP_config_576.xyz</t>
  </si>
  <si>
    <t>Ag_06_Au_07_BBP_config_557.xyz</t>
  </si>
  <si>
    <t>Ag_06_Au_07_BBP_config_502.xyz</t>
  </si>
  <si>
    <t>Ag_06_Au_07_BBP_config_578.xyz</t>
  </si>
  <si>
    <t>Ag_06_Au_07_BBP_config_514.xyz</t>
  </si>
  <si>
    <t>Ag_06_Au_07_BBP_config_408.xyz</t>
  </si>
  <si>
    <t>Ag_06_Au_07_BBP_config_696.xyz</t>
  </si>
  <si>
    <t>Ag_06_Au_07_BBP_config_746.xyz</t>
  </si>
  <si>
    <t>Ag_06_Au_07_BBP_config_645.xyz</t>
  </si>
  <si>
    <t>Ag_06_Au_07_BBP_config_413.xyz</t>
  </si>
  <si>
    <t>Ag_06_Au_07_BBP_config_368.xyz</t>
  </si>
  <si>
    <t>Ag_06_Au_07_BBP_config_684.xyz</t>
  </si>
  <si>
    <t>Ag_06_Au_07_BBP_config_577.xyz</t>
  </si>
  <si>
    <t>Ag_06_Au_07_BBP_config_503.xyz</t>
  </si>
  <si>
    <t>Ag_06_Au_07_BBP_config_712.xyz</t>
  </si>
  <si>
    <t>Ag_06_Au_07_BBP_config_688.xyz</t>
  </si>
  <si>
    <t>Ag_06_Au_07_BBP_config_484.xyz</t>
  </si>
  <si>
    <t>Ag_06_Au_07_BBP_config_554.xyz</t>
  </si>
  <si>
    <t>Ag_06_Au_07_BBP_config_510.xyz</t>
  </si>
  <si>
    <t>Ag_06_Au_07_BBP_config_393.xyz</t>
  </si>
  <si>
    <t>Ag_06_Au_07_BBP_config_359.xyz</t>
  </si>
  <si>
    <t>Ag_06_Au_07_BBP_config_733.xyz</t>
  </si>
  <si>
    <t>Ag_06_Au_07_BBP_config_490.xyz</t>
  </si>
  <si>
    <t>Ag_06_Au_07_BBP_config_640.xyz</t>
  </si>
  <si>
    <t>Ag_06_Au_07_BBP_config_324.xyz</t>
  </si>
  <si>
    <t>Ag_06_Au_07_BBP_config_353.xyz</t>
  </si>
  <si>
    <t>Ag_06_Au_07_BBP_config_443.xyz</t>
  </si>
  <si>
    <t>Ag_06_Au_07_BBP_config_450.xyz</t>
  </si>
  <si>
    <t>Ag_06_Au_07_BBP_config_603.xyz</t>
  </si>
  <si>
    <t>Ag_06_Au_07_BBP_config_379.xyz</t>
  </si>
  <si>
    <t>Ag_06_Au_07_BBP_config_482.xyz</t>
  </si>
  <si>
    <t>Ag_06_Au_07_BBP_config_521.xyz</t>
  </si>
  <si>
    <t>Ag_06_Au_07_BBP_config_547.xyz</t>
  </si>
  <si>
    <t>Ag_06_Au_07_BBP_config_701.xyz</t>
  </si>
  <si>
    <t>Ag_06_Au_07_BBP_config_337.xyz</t>
  </si>
  <si>
    <t>Ag_06_Au_07_BBP_config_644.xyz</t>
  </si>
  <si>
    <t>Ag_06_Au_07_BBP_config_323.xyz</t>
  </si>
  <si>
    <t>Ag_06_Au_07_BBP_config_426.xyz</t>
  </si>
  <si>
    <t>Ag_06_Au_07_BBP_config_597.xyz</t>
  </si>
  <si>
    <t>Ag_06_Au_07_BBP_config_579.xyz</t>
  </si>
  <si>
    <t>Ag_06_Au_07_BBP_config_628.xyz</t>
  </si>
  <si>
    <t>Ag_06_Au_07_BBP_config_420.xyz</t>
  </si>
  <si>
    <t>Ag_06_Au_07_BBP_config_728.xyz</t>
  </si>
  <si>
    <t>Ag_06_Au_07_BBP_config_536.xyz</t>
  </si>
  <si>
    <t>Ag_06_Au_07_BBP_config_606.xyz</t>
  </si>
  <si>
    <t>Ag_06_Au_07_BBP_config_401.xyz</t>
  </si>
  <si>
    <t>Ag_06_Au_07_BBP_config_555.xyz</t>
  </si>
  <si>
    <t>Ag_06_Au_07_BBP_config_395.xyz</t>
  </si>
  <si>
    <t>Ag_06_Au_07_BBP_config_417.xyz</t>
  </si>
  <si>
    <t>Ag_06_Au_07_BBP_config_646.xyz</t>
  </si>
  <si>
    <t>Ag_06_Au_07_BBP_config_605.xyz</t>
  </si>
  <si>
    <t>Ag_06_Au_07_BBP_config_742.xyz</t>
  </si>
  <si>
    <t>Ag_06_Au_07_BBP_config_541.xyz</t>
  </si>
  <si>
    <t>Ag_06_Au_07_BBP_config_731.xyz</t>
  </si>
  <si>
    <t>Ag_06_Au_07_BBP_config_559.xyz</t>
  </si>
  <si>
    <t>Ag_06_Au_07_BBP_config_528.xyz</t>
  </si>
  <si>
    <t>Ag_06_Au_07_BBP_config_329.xyz</t>
  </si>
  <si>
    <t>Ag_06_Au_07_BBP_config_451_LE.xyz</t>
  </si>
  <si>
    <t>Ag_06_Au_07_BBP_config_374.xyz</t>
  </si>
  <si>
    <t>Ag_06_Au_07_BBP_config_459.xyz</t>
  </si>
  <si>
    <t>Ag_06_Au_07_BBP_config_627.xyz</t>
  </si>
  <si>
    <t>Ag_06_Au_07_BBP_config_522.xyz</t>
  </si>
  <si>
    <t>Ag_06_Au_07_BBP_config_363.xyz</t>
  </si>
  <si>
    <t>Ag_06_Au_07_BBP_config_341.xyz</t>
  </si>
  <si>
    <t>Ag_06_Au_07_BBP_config_544.xyz</t>
  </si>
  <si>
    <t>Ag_06_Au_07_BBP_config_461.xyz</t>
  </si>
  <si>
    <t>Ag_06_Au_07_BBP_config_367.xyz</t>
  </si>
  <si>
    <t>Ag_06_Au_07_BBP_config_383.xyz</t>
  </si>
  <si>
    <t>Ag_06_Au_07_BBP_config_354.xyz</t>
  </si>
  <si>
    <t>Ag_06_Au_07_BBP_config_636.xyz</t>
  </si>
  <si>
    <t>Ag_06_Au_07_BBP_config_308.xyz</t>
  </si>
  <si>
    <t>Ag_06_Au_07_BBP_config_608.xyz</t>
  </si>
  <si>
    <t>Ag_06_Au_07_BBP_config_356.xyz</t>
  </si>
  <si>
    <t>Ag_06_Au_07_BBP_config_625.xyz</t>
  </si>
  <si>
    <t>Ag_06_Au_07_BBP_config_516.xyz</t>
  </si>
  <si>
    <t>Ag_06_Au_07_BBP_config_639.xyz</t>
  </si>
  <si>
    <t>Ag_06_Au_07_BBP_config_703.xyz</t>
  </si>
  <si>
    <t>Ag_06_Au_07_BBP_config_575.xyz</t>
  </si>
  <si>
    <t>Ag_06_Au_07_BBP_config_634.xyz</t>
  </si>
  <si>
    <t>Ag_06_Au_07_BBP_config_406.xyz</t>
  </si>
  <si>
    <t>Ag_06_Au_07_BBP_config_740.xyz</t>
  </si>
  <si>
    <t>Ag_06_Au_07_BBP_config_661.xyz</t>
  </si>
  <si>
    <t>Ag_06_Au_07_BBP_config_483.xyz</t>
  </si>
  <si>
    <t>Ag_06_Au_07_BBP_config_439.xyz</t>
  </si>
  <si>
    <t>Ag_06_Au_07_BBP_config_375.xyz</t>
  </si>
  <si>
    <t>Ag_06_Au_07_BBP_config_430.xyz</t>
  </si>
  <si>
    <t>Ag_06_Au_07_BBP_config_307.xyz</t>
  </si>
  <si>
    <t>Ag_06_Au_07_BBP_config_396.xyz</t>
  </si>
  <si>
    <t>Ag_06_Au_07_BBP_config_355.xyz</t>
  </si>
  <si>
    <t>Ag_06_Au_07_BBP_config_706.xyz</t>
  </si>
  <si>
    <t>Ag_06_Au_07_BBP_config_445.xyz</t>
  </si>
  <si>
    <t>Ag_06_Au_07_BBP_config_545.xyz</t>
  </si>
  <si>
    <t>Ag_06_Au_07_BBP_config_724.xyz</t>
  </si>
  <si>
    <t>Ag_06_Au_07_BBP_config_543.xyz</t>
  </si>
  <si>
    <t>Ag_06_Au_07_BBP_config_425.xyz</t>
  </si>
  <si>
    <t>Ag_06_Au_07_BBP_config_496.xyz</t>
  </si>
  <si>
    <t>Ag_06_Au_07_BBP_config_421.xyz</t>
  </si>
  <si>
    <t>Ag_06_Au_07_BBP_config_694.xyz</t>
  </si>
  <si>
    <t>Ag_06_Au_07_BBP_config_664.xyz</t>
  </si>
  <si>
    <t>Ag_06_Au_07_BBP_config_678.xyz</t>
  </si>
  <si>
    <t>Ag_06_Au_07_BBP_config_663.xyz</t>
  </si>
  <si>
    <t>Ag_06_Au_07_BBP_config_550.xyz</t>
  </si>
  <si>
    <t>Ag_06_Au_07_BBP_config_336.xyz</t>
  </si>
  <si>
    <t>Ag_06_Au_07_BBP_config_342.xyz</t>
  </si>
  <si>
    <t>Ag_06_Au_07_BBP_config_415.xyz</t>
  </si>
  <si>
    <t>Ag_06_Au_07_BBP_config_475.xyz</t>
  </si>
  <si>
    <t>Ag_06_Au_07_BBP_config_397.xyz</t>
  </si>
  <si>
    <t>Ag_06_Au_07_BBP_config_440.xyz</t>
  </si>
  <si>
    <t>Ag_06_Au_07_BBP_config_618.xyz</t>
  </si>
  <si>
    <t>Ag_06_Au_07_BBP_config_351.xyz</t>
  </si>
  <si>
    <t>Ag_06_Au_07_BBP_config_604.xyz</t>
  </si>
  <si>
    <t>Ag_06_Au_07_BBP_config_316.xyz</t>
  </si>
  <si>
    <t>Ag_06_Au_07_BBP_config_548.xyz</t>
  </si>
  <si>
    <t>Ag_06_Au_07_BBP_config_656.xyz</t>
  </si>
  <si>
    <t>Ag_06_Au_07_BBP_config_730.xyz</t>
  </si>
  <si>
    <t>Ag_06_Au_07_BBP_config_428.xyz</t>
  </si>
  <si>
    <t>Ag_06_Au_07_BBP_config_377.xyz</t>
  </si>
  <si>
    <t>Ag_06_Au_07_BBP_config_743.xyz</t>
  </si>
  <si>
    <t>Ag_06_Au_07_BBP_config_348.xyz</t>
  </si>
  <si>
    <t>Ag_06_Au_07_BBP_config_472.xyz</t>
  </si>
  <si>
    <t>Ag_06_Au_07_BBP_config_419.xyz</t>
  </si>
  <si>
    <t>Ag_06_Au_07_BBP_config_519.xyz</t>
  </si>
  <si>
    <t>Ag_06_Au_07_BBP_config_654.xyz</t>
  </si>
  <si>
    <t>Ag_06_Au_07_BBP_config_602.xyz</t>
  </si>
  <si>
    <t>Ag_06_Au_07_BBP_config_470.xyz</t>
  </si>
  <si>
    <t>Ag_06_Au_07_BBP_config_389.xyz</t>
  </si>
  <si>
    <t>Ag_06_Au_07_BBP_config_372.xyz</t>
  </si>
  <si>
    <t>Ag_06_Au_07_BBP_config_622.xyz</t>
  </si>
  <si>
    <t>Ag_06_Au_07_BBP_config_495.xyz</t>
  </si>
  <si>
    <t>Ag_06_Au_07_BBP_config_311.xyz</t>
  </si>
  <si>
    <t>Ag_06_Au_07_BBP_config_352.xyz</t>
  </si>
  <si>
    <t>Ag_06_Au_07_BBP_config_350.xyz</t>
  </si>
  <si>
    <t>Ag_06_Au_07_BBP_config_463.xyz</t>
  </si>
  <si>
    <t>Ag_06_Au_07_BBP_config_566.xyz</t>
  </si>
  <si>
    <t>Ag_06_Au_07_BBP_config_340.xyz</t>
  </si>
  <si>
    <t>Ag_06_Au_07_BBP_config_358.xyz</t>
  </si>
  <si>
    <t>Ag_06_Au_07_BBP_config_525.xyz</t>
  </si>
  <si>
    <t>Ag_06_Au_07_BBP_config_633.xyz</t>
  </si>
  <si>
    <t>Ag_06_Au_07_BBP_config_321.xyz</t>
  </si>
  <si>
    <t>Ag_06_Au_07_BBP_config_345.xyz</t>
  </si>
  <si>
    <t>Ag_06_Au_07_BBP_config_399.xyz</t>
  </si>
  <si>
    <t>Ag_06_Au_07_BBP_config_486.xyz</t>
  </si>
  <si>
    <t>Ag_06_Au_07_BBP_config_564.xyz</t>
  </si>
  <si>
    <t>Ag_06_Au_07_BBP_config_573.xyz</t>
  </si>
  <si>
    <t>Ag_06_Au_07_BBP_config_416.xyz</t>
  </si>
  <si>
    <t>Ag_06_Au_07_BBP_config_546.xyz</t>
  </si>
  <si>
    <t>Ag_06_Au_07_BBP_config_446.xyz</t>
  </si>
  <si>
    <t>Ag_06_Au_07_BBP_config_572.xyz</t>
  </si>
  <si>
    <t>Ag_06_Au_07_BBP_config_390.xyz</t>
  </si>
  <si>
    <t>Ag_06_Au_07_BBP_config_498.xyz</t>
  </si>
  <si>
    <t>Ag_06_Au_07_BBP_config_317.xyz</t>
  </si>
  <si>
    <t>Ag_06_Au_07_BBP_config_441.xyz</t>
  </si>
  <si>
    <t>Ag_06_Au_07_BBP_config_442.xyz</t>
  </si>
  <si>
    <t>Ag_06_Au_07_BBP_config_314.xyz</t>
  </si>
  <si>
    <t>Ag_06_Au_07_BBP_config_658.xyz</t>
  </si>
  <si>
    <t>Ag_06_Au_07_BBP_config_378.xyz</t>
  </si>
  <si>
    <t>Ag_06_Au_07_BBP_config_567.xyz</t>
  </si>
  <si>
    <t>Ag_06_Au_07_BBP_config_739.xyz</t>
  </si>
  <si>
    <t>Ag_06_Au_07_BBP_config_460.xyz</t>
  </si>
  <si>
    <t>Ag_06_Au_07_BBP_config_369.xyz</t>
  </si>
  <si>
    <t>Ag_06_Au_07_BBP_config_453.xyz</t>
  </si>
  <si>
    <t>Ag_06_Au_07_BBP_config_613.xyz</t>
  </si>
  <si>
    <t>Ag_06_Au_07_BBP_config_424.xyz</t>
  </si>
  <si>
    <t>Ag_06_Au_07_BBP_config_494.xyz</t>
  </si>
  <si>
    <t>Ag_06_Au_07_BBP_config_444.xyz</t>
  </si>
  <si>
    <t>Ag_06_Au_07_BBP_config_310.xyz</t>
  </si>
  <si>
    <t>Ag_06_Au_07_BBP_config_466.xyz</t>
  </si>
  <si>
    <t>Ag_06_Au_07_BBP_config_366.xyz</t>
  </si>
  <si>
    <t>Ag_06_Au_07_BBP_config_414.xyz</t>
  </si>
  <si>
    <t>Ag_06_Au_07_BBP_config_749.xyz</t>
  </si>
  <si>
    <t>Ag_06_Au_07_BBP_config_303.xyz</t>
  </si>
  <si>
    <t>Ag_06_Au_07_BBP_config_469.xyz</t>
  </si>
  <si>
    <t>Ag_06_Au_07_BBP_config_362.xyz</t>
  </si>
  <si>
    <t>Ag_06_Au_07_BBP_config_309.xyz</t>
  </si>
  <si>
    <t>Ag_06_Au_07_BBP_config_320.xyz</t>
  </si>
  <si>
    <t>Ag_06_Au_07_BBP_config_609.xyz</t>
  </si>
  <si>
    <t>Ag_06_Au_07_BBP_config_750.xyz</t>
  </si>
  <si>
    <t>Ag_06_Au_07_BBP_config_373.xyz</t>
  </si>
  <si>
    <t>Ag_06_Au_07_BBP_config_315.xyz</t>
  </si>
  <si>
    <t>Ag_06_Au_07_BBP_config_405.xyz</t>
  </si>
  <si>
    <t>Ag_06_Au_07_BBP_config_411.xyz</t>
  </si>
  <si>
    <t>Ag_06_Au_07_BBP_config_565.xyz</t>
  </si>
  <si>
    <t>Ag_06_Au_07_BBP_config_683.xyz</t>
  </si>
  <si>
    <t>Ag_06_Au_07_BBP_config_370.xyz</t>
  </si>
  <si>
    <t>Ag_06_Au_07_BBP_config_381.xyz</t>
  </si>
  <si>
    <t>Ag_06_Au_07_BBP_config_376.xyz</t>
  </si>
  <si>
    <t>Ag_06_Au_07_BBP_config_418.xyz</t>
  </si>
  <si>
    <t>Ag_06_Au_07_BBP_config_452.xyz</t>
  </si>
  <si>
    <t>Ag_06_Au_07_BBP_config_371.xyz</t>
  </si>
  <si>
    <t>Ag_06_Au_07_BBP_config_357.xyz</t>
  </si>
  <si>
    <t>Ag_06_Au_07_BBP_config_748.xyz</t>
  </si>
  <si>
    <t>Ag_06_Au_07_BBP_config_318.xyz</t>
  </si>
  <si>
    <t>Ag_06_Au_07_BBP_config_325.xyz</t>
  </si>
  <si>
    <t>Ag_06_Au_07_BBP_config_436.xyz</t>
  </si>
  <si>
    <t>Ag_06_Au_07_BBP_config_438.xyz</t>
  </si>
  <si>
    <t>Ag_06_Au_07_BBP_config_677.xyz</t>
  </si>
  <si>
    <t>Ag_06_Au_07_BBP_config_721.xyz</t>
  </si>
  <si>
    <t>Ag_06_Au_07_BBP_config_339.xyz</t>
  </si>
  <si>
    <t>Ag_06_Au_07_BBP_config_722.xyz</t>
  </si>
  <si>
    <t>Ag_06_Au_07_BBP_config_727.xyz</t>
  </si>
  <si>
    <t>Ag_06_Au_07_BBP_config_343.xyz</t>
  </si>
  <si>
    <t>Ag_06_Au_07_BBP_config_305.xyz</t>
  </si>
  <si>
    <t>Ag_06_Au_07_BBP_config_331.xyz</t>
  </si>
  <si>
    <t>Ag_06_Au_07_BBP_config_346.xyz</t>
  </si>
  <si>
    <t>Ag_06_Au_07_BBP_config_653.xyz</t>
  </si>
  <si>
    <t>Ag_06_Au_07_BBP_config_568.xyz</t>
  </si>
  <si>
    <t>Ag_06_Au_07_BBP_config_517.xyz</t>
  </si>
  <si>
    <t>Ag_06_Au_07_BBP_config_693.xyz</t>
  </si>
  <si>
    <t>Ag_06_Au_07_BBP_config_344.xyz</t>
  </si>
  <si>
    <t>Ag_06_Au_07_BBP_config_312.xyz</t>
  </si>
  <si>
    <t>Ag_06_Au_07_BBP_config_380.xyz</t>
  </si>
  <si>
    <t>Ag_06_Au_07_BBP_config_492.xyz</t>
  </si>
  <si>
    <t>Ag_06_Au_07_BBP_config_655.xyz</t>
  </si>
  <si>
    <t>Ag_06_Au_07_BBP_config_455.xyz</t>
  </si>
  <si>
    <t>Ag_06_Au_07_BBP_config_657.xyz</t>
  </si>
  <si>
    <t>Ag_06_Au_07_BBP_config_623.xyz</t>
  </si>
  <si>
    <t>Ag_06_Au_07_BBP_config_334.xyz</t>
  </si>
  <si>
    <t>Ag_06_Au_07_BBP_config_386.xyz</t>
  </si>
  <si>
    <t>Ag_06_Au_07_BBP_config_465.xyz</t>
  </si>
  <si>
    <t>Ag_06_Au_07_BBP_config_333.xyz</t>
  </si>
  <si>
    <t>Ag_06_Au_07_BBP_config_435.xyz</t>
  </si>
  <si>
    <t>Ag_06_Au_07_BBP_config_327.xyz</t>
  </si>
  <si>
    <t>Ag_06_Au_07_BBP_config_388.xyz</t>
  </si>
  <si>
    <t>Ag_06_Au_07_BBP_config_652.xyz</t>
  </si>
  <si>
    <t>Ag_06_Au_07_BBP_config_473.xyz</t>
  </si>
  <si>
    <t>Ag_06_Au_07_BBP_config_437.xyz</t>
  </si>
  <si>
    <t>Ag_06_Au_07_BBP_config_302.xyz</t>
  </si>
  <si>
    <t>Ag_06_Au_07_BBP_config_410.xyz</t>
  </si>
  <si>
    <t>Ag_06_Au_07_BBP_config_493.xyz</t>
  </si>
  <si>
    <t>Ag_06_Au_07_BBP_config_607.xyz</t>
  </si>
  <si>
    <t>Ag_06_Au_07_BBP_config_365.xyz</t>
  </si>
  <si>
    <t>Ag_06_Au_07_BBP_config_448.xyz</t>
  </si>
  <si>
    <t>Ag_06_Au_07_BBP_config_754.xyz</t>
  </si>
  <si>
    <t>Ag_06_Au_07_BBP_config_338.xyz</t>
  </si>
  <si>
    <t>Ag_06_Au_07_BBP_config_301.xyz</t>
  </si>
  <si>
    <t>Ag_06_Au_07_BBP_config_335.xyz</t>
  </si>
  <si>
    <t>Ag_06_Au_07_BBP_config_387.xyz</t>
  </si>
  <si>
    <t>Ag_06_Au_07_BBP_config_385.xyz</t>
  </si>
  <si>
    <t>Ag_06_Au_07_BBP_config_330.xyz</t>
  </si>
  <si>
    <t>Ag_06_Au_07_BBP_config_347.xyz</t>
  </si>
  <si>
    <t>Ag_06_Au_07_BBP_config_692.xyz</t>
  </si>
  <si>
    <t>Ag_06_Au_07_BBP_config_306.xyz</t>
  </si>
  <si>
    <t>Ag_06_Au_07_BBP_config_563.xyz</t>
  </si>
  <si>
    <t>Ag_06_Au_07_BBP_config_364.xyz</t>
  </si>
  <si>
    <t>Ag_06_Au_07_BBP_config_304.xyz</t>
  </si>
  <si>
    <t>Ag_06_Au_07_BBP_config_507.xyz</t>
  </si>
  <si>
    <t>Ag_06_Au_07_BBP_config_361.xyz</t>
  </si>
  <si>
    <t>Ag_06_Au_07_BBP_config_434.xyz</t>
  </si>
  <si>
    <t>Ag_06_Au_07_BBP_config_464.xyz</t>
  </si>
  <si>
    <t>Configs_7_of_13</t>
  </si>
  <si>
    <t>i</t>
  </si>
  <si>
    <t>Ag_07_Au_06_BBP_config_301.xyz</t>
  </si>
  <si>
    <t>Ag_07_Au_06_BBP_config_302.xyz</t>
  </si>
  <si>
    <t>Ag_07_Au_06_BBP_config_303.xyz</t>
  </si>
  <si>
    <t>Ag_07_Au_06_BBP_config_304.xyz</t>
  </si>
  <si>
    <t>Ag_07_Au_06_BBP_config_305.xyz</t>
  </si>
  <si>
    <t>Ag_07_Au_06_BBP_config_306.xyz</t>
  </si>
  <si>
    <t>Ag_07_Au_06_BBP_config_307.xyz</t>
  </si>
  <si>
    <t>Ag_07_Au_06_BBP_config_308.xyz</t>
  </si>
  <si>
    <t>Ag_07_Au_06_BBP_config_309.xyz</t>
  </si>
  <si>
    <t>Ag_07_Au_06_BBP_config_310.xyz</t>
  </si>
  <si>
    <t>Ag_07_Au_06_BBP_config_311.xyz</t>
  </si>
  <si>
    <t>Ag_07_Au_06_BBP_config_312.xyz</t>
  </si>
  <si>
    <t>Ag_07_Au_06_BBP_config_313.xyz</t>
  </si>
  <si>
    <t>Ag_07_Au_06_BBP_config_314.xyz</t>
  </si>
  <si>
    <t>Ag_07_Au_06_BBP_config_315.xyz</t>
  </si>
  <si>
    <t>Ag_07_Au_06_BBP_config_316.xyz</t>
  </si>
  <si>
    <t>Ag_07_Au_06_BBP_config_317.xyz</t>
  </si>
  <si>
    <t>Ag_07_Au_06_BBP_config_318.xyz</t>
  </si>
  <si>
    <t>Ag_07_Au_06_BBP_config_319.xyz</t>
  </si>
  <si>
    <t>Ag_07_Au_06_BBP_config_320.xyz</t>
  </si>
  <si>
    <t>Ag_07_Au_06_BBP_config_321.xyz</t>
  </si>
  <si>
    <t>Ag_07_Au_06_BBP_config_322.xyz</t>
  </si>
  <si>
    <t>Ag_07_Au_06_BBP_config_323.xyz</t>
  </si>
  <si>
    <t>Ag_07_Au_06_BBP_config_324.xyz</t>
  </si>
  <si>
    <t>Ag_07_Au_06_BBP_config_325.xyz</t>
  </si>
  <si>
    <t>Ag_07_Au_06_BBP_config_326.xyz</t>
  </si>
  <si>
    <t>Ag_07_Au_06_BBP_config_327.xyz</t>
  </si>
  <si>
    <t>Ag_07_Au_06_BBP_config_328.xyz</t>
  </si>
  <si>
    <t>Ag_07_Au_06_BBP_config_329.xyz</t>
  </si>
  <si>
    <t>Ag_07_Au_06_BBP_config_330.xyz</t>
  </si>
  <si>
    <t>Ag_07_Au_06_BBP_config_331.xyz</t>
  </si>
  <si>
    <t>Ag_07_Au_06_BBP_config_332.xyz</t>
  </si>
  <si>
    <t>Ag_07_Au_06_BBP_config_333.xyz</t>
  </si>
  <si>
    <t>Ag_07_Au_06_BBP_config_334.xyz</t>
  </si>
  <si>
    <t>Ag_07_Au_06_BBP_config_335.xyz</t>
  </si>
  <si>
    <t>Ag_07_Au_06_BBP_config_336.xyz</t>
  </si>
  <si>
    <t>Ag_07_Au_06_BBP_config_337.xyz</t>
  </si>
  <si>
    <t>Ag_07_Au_06_BBP_config_338.xyz</t>
  </si>
  <si>
    <t>Ag_07_Au_06_BBP_config_339.xyz</t>
  </si>
  <si>
    <t>Ag_07_Au_06_BBP_config_340.xyz</t>
  </si>
  <si>
    <t>Ag_07_Au_06_BBP_config_341.xyz</t>
  </si>
  <si>
    <t>Ag_07_Au_06_BBP_config_342.xyz</t>
  </si>
  <si>
    <t>Ag_07_Au_06_BBP_config_343.xyz</t>
  </si>
  <si>
    <t>Ag_07_Au_06_BBP_config_344.xyz</t>
  </si>
  <si>
    <t>Ag_07_Au_06_BBP_config_345.xyz</t>
  </si>
  <si>
    <t>Ag_07_Au_06_BBP_config_346.xyz</t>
  </si>
  <si>
    <t>Ag_07_Au_06_BBP_config_347.xyz</t>
  </si>
  <si>
    <t>Ag_07_Au_06_BBP_config_348.xyz</t>
  </si>
  <si>
    <t>Ag_07_Au_06_BBP_config_349.xyz</t>
  </si>
  <si>
    <t>Ag_07_Au_06_BBP_config_350.xyz</t>
  </si>
  <si>
    <t>Ag_07_Au_06_BBP_config_351.xyz</t>
  </si>
  <si>
    <t>Ag_07_Au_06_BBP_config_352.xyz</t>
  </si>
  <si>
    <t>Ag_07_Au_06_BBP_config_353.xyz</t>
  </si>
  <si>
    <t>Ag_07_Au_06_BBP_config_354.xyz</t>
  </si>
  <si>
    <t>Ag_07_Au_06_BBP_config_355.xyz</t>
  </si>
  <si>
    <t>Ag_07_Au_06_BBP_config_356.xyz</t>
  </si>
  <si>
    <t>Ag_07_Au_06_BBP_config_357.xyz</t>
  </si>
  <si>
    <t>Ag_07_Au_06_BBP_config_358.xyz</t>
  </si>
  <si>
    <t>Ag_07_Au_06_BBP_config_359.xyz</t>
  </si>
  <si>
    <t>Ag_07_Au_06_BBP_config_360.xyz</t>
  </si>
  <si>
    <t>Ag_07_Au_06_BBP_config_361.xyz</t>
  </si>
  <si>
    <t>Ag_07_Au_06_BBP_config_362.xyz</t>
  </si>
  <si>
    <t>Ag_07_Au_06_BBP_config_363.xyz</t>
  </si>
  <si>
    <t>Ag_07_Au_06_BBP_config_364.xyz</t>
  </si>
  <si>
    <t>Ag_07_Au_06_BBP_config_365.xyz</t>
  </si>
  <si>
    <t>Ag_07_Au_06_BBP_config_366.xyz</t>
  </si>
  <si>
    <t>Ag_07_Au_06_BBP_config_367.xyz</t>
  </si>
  <si>
    <t>Ag_07_Au_06_BBP_config_368.xyz</t>
  </si>
  <si>
    <t>Ag_07_Au_06_BBP_config_369.xyz</t>
  </si>
  <si>
    <t>Ag_07_Au_06_BBP_config_370.xyz</t>
  </si>
  <si>
    <t>Ag_07_Au_06_BBP_config_371.xyz</t>
  </si>
  <si>
    <t>Ag_07_Au_06_BBP_config_372.xyz</t>
  </si>
  <si>
    <t>Ag_07_Au_06_BBP_config_373.xyz</t>
  </si>
  <si>
    <t>Ag_07_Au_06_BBP_config_374.xyz</t>
  </si>
  <si>
    <t>Ag_07_Au_06_BBP_config_375.xyz</t>
  </si>
  <si>
    <t>Ag_07_Au_06_BBP_config_376.xyz</t>
  </si>
  <si>
    <t>Ag_07_Au_06_BBP_config_377.xyz</t>
  </si>
  <si>
    <t>Ag_07_Au_06_BBP_config_378.xyz</t>
  </si>
  <si>
    <t>Ag_07_Au_06_BBP_config_379.xyz</t>
  </si>
  <si>
    <t>Ag_07_Au_06_BBP_config_380.xyz</t>
  </si>
  <si>
    <t>Ag_07_Au_06_BBP_config_381.xyz</t>
  </si>
  <si>
    <t>Ag_07_Au_06_BBP_config_382.xyz</t>
  </si>
  <si>
    <t>Ag_07_Au_06_BBP_config_383.xyz</t>
  </si>
  <si>
    <t>Ag_07_Au_06_BBP_config_384.xyz</t>
  </si>
  <si>
    <t>Ag_07_Au_06_BBP_config_385.xyz</t>
  </si>
  <si>
    <t>Ag_07_Au_06_BBP_config_386.xyz</t>
  </si>
  <si>
    <t>Ag_07_Au_06_BBP_config_387.xyz</t>
  </si>
  <si>
    <t>Ag_07_Au_06_BBP_config_388.xyz</t>
  </si>
  <si>
    <t>Ag_07_Au_06_BBP_config_389.xyz</t>
  </si>
  <si>
    <t>Ag_07_Au_06_BBP_config_390.xyz</t>
  </si>
  <si>
    <t>Ag_07_Au_06_BBP_config_391.xyz</t>
  </si>
  <si>
    <t>Ag_07_Au_06_BBP_config_392.xyz</t>
  </si>
  <si>
    <t>Ag_07_Au_06_BBP_config_393.xyz</t>
  </si>
  <si>
    <t>Ag_07_Au_06_BBP_config_394.xyz</t>
  </si>
  <si>
    <t>Ag_07_Au_06_BBP_config_395.xyz</t>
  </si>
  <si>
    <t>Ag_07_Au_06_BBP_config_396.xyz</t>
  </si>
  <si>
    <t>Ag_07_Au_06_BBP_config_397.xyz</t>
  </si>
  <si>
    <t>Ag_07_Au_06_BBP_config_398.xyz</t>
  </si>
  <si>
    <t>Ag_07_Au_06_BBP_config_399.xyz</t>
  </si>
  <si>
    <t>Ag_07_Au_06_BBP_config_400.xyz</t>
  </si>
  <si>
    <t>Ag_07_Au_06_BBP_config_401.xyz</t>
  </si>
  <si>
    <t>Ag_07_Au_06_BBP_config_402.xyz</t>
  </si>
  <si>
    <t>Ag_07_Au_06_BBP_config_403.xyz</t>
  </si>
  <si>
    <t>Ag_07_Au_06_BBP_config_404.xyz</t>
  </si>
  <si>
    <t>Ag_07_Au_06_BBP_config_405.xyz</t>
  </si>
  <si>
    <t>Ag_07_Au_06_BBP_config_406.xyz</t>
  </si>
  <si>
    <t>Ag_07_Au_06_BBP_config_407.xyz</t>
  </si>
  <si>
    <t>Ag_07_Au_06_BBP_config_408.xyz</t>
  </si>
  <si>
    <t>Ag_07_Au_06_BBP_config_409.xyz</t>
  </si>
  <si>
    <t>Ag_07_Au_06_BBP_config_410.xyz</t>
  </si>
  <si>
    <t>Ag_07_Au_06_BBP_config_411.xyz</t>
  </si>
  <si>
    <t>Ag_07_Au_06_BBP_config_412.xyz</t>
  </si>
  <si>
    <t>Ag_07_Au_06_BBP_config_413.xyz</t>
  </si>
  <si>
    <t>Ag_07_Au_06_BBP_config_414.xyz</t>
  </si>
  <si>
    <t>Ag_07_Au_06_BBP_config_415.xyz</t>
  </si>
  <si>
    <t>Ag_07_Au_06_BBP_config_416.xyz</t>
  </si>
  <si>
    <t>Ag_07_Au_06_BBP_config_417.xyz</t>
  </si>
  <si>
    <t>Ag_07_Au_06_BBP_config_418.xyz</t>
  </si>
  <si>
    <t>Ag_07_Au_06_BBP_config_419.xyz</t>
  </si>
  <si>
    <t>Ag_07_Au_06_BBP_config_420.xyz</t>
  </si>
  <si>
    <t>Ag_07_Au_06_BBP_config_421.xyz</t>
  </si>
  <si>
    <t>Ag_07_Au_06_BBP_config_422.xyz</t>
  </si>
  <si>
    <t>Ag_07_Au_06_BBP_config_423.xyz</t>
  </si>
  <si>
    <t>Ag_07_Au_06_BBP_config_424.xyz</t>
  </si>
  <si>
    <t>Ag_07_Au_06_BBP_config_425.xyz</t>
  </si>
  <si>
    <t>Ag_07_Au_06_BBP_config_426.xyz</t>
  </si>
  <si>
    <t>Ag_07_Au_06_BBP_config_427.xyz</t>
  </si>
  <si>
    <t>Ag_07_Au_06_BBP_config_428.xyz</t>
  </si>
  <si>
    <t>Ag_07_Au_06_BBP_config_429.xyz</t>
  </si>
  <si>
    <t>Ag_07_Au_06_BBP_config_430.xyz</t>
  </si>
  <si>
    <t>Ag_07_Au_06_BBP_config_431.xyz</t>
  </si>
  <si>
    <t>Ag_07_Au_06_BBP_config_432.xyz</t>
  </si>
  <si>
    <t>Ag_07_Au_06_BBP_config_433.xyz</t>
  </si>
  <si>
    <t>Ag_07_Au_06_BBP_config_434.xyz</t>
  </si>
  <si>
    <t>Ag_07_Au_06_BBP_config_435.xyz</t>
  </si>
  <si>
    <t>Ag_07_Au_06_BBP_config_436.xyz</t>
  </si>
  <si>
    <t>Ag_07_Au_06_BBP_config_437.xyz</t>
  </si>
  <si>
    <t>Ag_07_Au_06_BBP_config_438.xyz</t>
  </si>
  <si>
    <t>Ag_07_Au_06_BBP_config_439.xyz</t>
  </si>
  <si>
    <t>Ag_07_Au_06_BBP_config_440.xyz</t>
  </si>
  <si>
    <t>Ag_07_Au_06_BBP_config_441.xyz</t>
  </si>
  <si>
    <t>Ag_07_Au_06_BBP_config_442.xyz</t>
  </si>
  <si>
    <t>Ag_07_Au_06_BBP_config_443.xyz</t>
  </si>
  <si>
    <t>Ag_07_Au_06_BBP_config_444.xyz</t>
  </si>
  <si>
    <t>Ag_07_Au_06_BBP_config_445.xyz</t>
  </si>
  <si>
    <t>Ag_07_Au_06_BBP_config_446.xyz</t>
  </si>
  <si>
    <t>Ag_07_Au_06_BBP_config_447.xyz</t>
  </si>
  <si>
    <t>Ag_07_Au_06_BBP_config_448.xyz</t>
  </si>
  <si>
    <t>Ag_07_Au_06_BBP_config_449.xyz</t>
  </si>
  <si>
    <t>Ag_07_Au_06_BBP_config_450.xyz</t>
  </si>
  <si>
    <t>Ag_07_Au_06_BBP_config_451.xyz</t>
  </si>
  <si>
    <t>Ag_07_Au_06_BBP_config_452.xyz</t>
  </si>
  <si>
    <t>Ag_07_Au_06_BBP_config_453.xyz</t>
  </si>
  <si>
    <t>Ag_07_Au_06_BBP_config_454.xyz</t>
  </si>
  <si>
    <t>Ag_07_Au_06_BBP_config_455.xyz</t>
  </si>
  <si>
    <t>Ag_07_Au_06_BBP_config_456.xyz</t>
  </si>
  <si>
    <t>Ag_07_Au_06_BBP_config_457.xyz</t>
  </si>
  <si>
    <t>Ag_07_Au_06_BBP_config_458.xyz</t>
  </si>
  <si>
    <t>Ag_07_Au_06_BBP_config_459.xyz</t>
  </si>
  <si>
    <t>Ag_07_Au_06_BBP_config_460.xyz</t>
  </si>
  <si>
    <t>Ag_07_Au_06_BBP_config_461.xyz</t>
  </si>
  <si>
    <t>Ag_07_Au_06_BBP_config_462.xyz</t>
  </si>
  <si>
    <t>Ag_07_Au_06_BBP_config_463.xyz</t>
  </si>
  <si>
    <t>Ag_07_Au_06_BBP_config_464.xyz</t>
  </si>
  <si>
    <t>Ag_07_Au_06_BBP_config_465.xyz</t>
  </si>
  <si>
    <t>Ag_07_Au_06_BBP_config_466.xyz</t>
  </si>
  <si>
    <t>Ag_07_Au_06_BBP_config_467.xyz</t>
  </si>
  <si>
    <t>Ag_07_Au_06_BBP_config_468.xyz</t>
  </si>
  <si>
    <t>Ag_07_Au_06_BBP_config_469.xyz</t>
  </si>
  <si>
    <t>Ag_07_Au_06_BBP_config_470.xyz</t>
  </si>
  <si>
    <t>Ag_07_Au_06_BBP_config_471.xyz</t>
  </si>
  <si>
    <t>Ag_07_Au_06_BBP_config_472.xyz</t>
  </si>
  <si>
    <t>Ag_07_Au_06_BBP_config_473.xyz</t>
  </si>
  <si>
    <t>Ag_07_Au_06_BBP_config_474.xyz</t>
  </si>
  <si>
    <t>Ag_07_Au_06_BBP_config_475.xyz</t>
  </si>
  <si>
    <t>Ag_07_Au_06_BBP_config_476.xyz</t>
  </si>
  <si>
    <t>Ag_07_Au_06_BBP_config_477.xyz</t>
  </si>
  <si>
    <t>Ag_07_Au_06_BBP_config_478.xyz</t>
  </si>
  <si>
    <t>Ag_07_Au_06_BBP_config_479.xyz</t>
  </si>
  <si>
    <t>Ag_07_Au_06_BBP_config_480.xyz</t>
  </si>
  <si>
    <t>Ag_07_Au_06_BBP_config_481.xyz</t>
  </si>
  <si>
    <t>Ag_07_Au_06_BBP_config_482.xyz</t>
  </si>
  <si>
    <t>Ag_07_Au_06_BBP_config_483.xyz</t>
  </si>
  <si>
    <t>Ag_07_Au_06_BBP_config_484.xyz</t>
  </si>
  <si>
    <t>Ag_07_Au_06_BBP_config_485.xyz</t>
  </si>
  <si>
    <t>Ag_07_Au_06_BBP_config_486.xyz</t>
  </si>
  <si>
    <t>Ag_07_Au_06_BBP_config_487.xyz</t>
  </si>
  <si>
    <t>Ag_07_Au_06_BBP_config_488.xyz</t>
  </si>
  <si>
    <t>Ag_07_Au_06_BBP_config_489.xyz</t>
  </si>
  <si>
    <t>Ag_07_Au_06_BBP_config_490.xyz</t>
  </si>
  <si>
    <t>Ag_07_Au_06_BBP_config_491.xyz</t>
  </si>
  <si>
    <t>Ag_07_Au_06_BBP_config_492.xyz</t>
  </si>
  <si>
    <t>Ag_07_Au_06_BBP_config_493.xyz</t>
  </si>
  <si>
    <t>Ag_07_Au_06_BBP_config_494.xyz</t>
  </si>
  <si>
    <t>Ag_07_Au_06_BBP_config_495.xyz</t>
  </si>
  <si>
    <t>Ag_07_Au_06_BBP_config_496.xyz</t>
  </si>
  <si>
    <t>Ag_07_Au_06_BBP_config_497.xyz</t>
  </si>
  <si>
    <t>Ag_07_Au_06_BBP_config_498.xyz</t>
  </si>
  <si>
    <t>Ag_07_Au_06_BBP_config_499.xyz</t>
  </si>
  <si>
    <t>Ag_07_Au_06_BBP_config_500.xyz</t>
  </si>
  <si>
    <t>Ag_07_Au_06_BBP_config_501.xyz</t>
  </si>
  <si>
    <t>Ag_07_Au_06_BBP_config_502.xyz</t>
  </si>
  <si>
    <t>Ag_07_Au_06_BBP_config_503.xyz</t>
  </si>
  <si>
    <t>Ag_07_Au_06_BBP_config_504.xyz</t>
  </si>
  <si>
    <t>Ag_07_Au_06_BBP_config_505.xyz</t>
  </si>
  <si>
    <t>Ag_07_Au_06_BBP_config_506.xyz</t>
  </si>
  <si>
    <t>Ag_07_Au_06_BBP_config_507.xyz</t>
  </si>
  <si>
    <t>Ag_07_Au_06_BBP_config_508.xyz</t>
  </si>
  <si>
    <t>Ag_07_Au_06_BBP_config_509.xyz</t>
  </si>
  <si>
    <t>Ag_07_Au_06_BBP_config_510.xyz</t>
  </si>
  <si>
    <t>Ag_07_Au_06_BBP_config_511.xyz</t>
  </si>
  <si>
    <t>Ag_07_Au_06_BBP_config_512.xyz</t>
  </si>
  <si>
    <t>Ag_07_Au_06_BBP_config_513.xyz</t>
  </si>
  <si>
    <t>Ag_07_Au_06_BBP_config_514.xyz</t>
  </si>
  <si>
    <t>Ag_07_Au_06_BBP_config_515.xyz</t>
  </si>
  <si>
    <t>Ag_07_Au_06_BBP_config_516.xyz</t>
  </si>
  <si>
    <t>Ag_07_Au_06_BBP_config_517.xyz</t>
  </si>
  <si>
    <t>Ag_07_Au_06_BBP_config_518.xyz</t>
  </si>
  <si>
    <t>Ag_07_Au_06_BBP_config_519.xyz</t>
  </si>
  <si>
    <t>Ag_07_Au_06_BBP_config_520.xyz</t>
  </si>
  <si>
    <t>Ag_07_Au_06_BBP_config_521.xyz</t>
  </si>
  <si>
    <t>Ag_07_Au_06_BBP_config_522.xyz</t>
  </si>
  <si>
    <t>Ag_07_Au_06_BBP_config_523.xyz</t>
  </si>
  <si>
    <t>Ag_07_Au_06_BBP_config_524.xyz</t>
  </si>
  <si>
    <t>Ag_07_Au_06_BBP_config_525.xyz</t>
  </si>
  <si>
    <t>Ag_07_Au_06_BBP_config_526.xyz</t>
  </si>
  <si>
    <t>Ag_07_Au_06_BBP_config_527.xyz</t>
  </si>
  <si>
    <t>Ag_07_Au_06_BBP_config_528.xyz</t>
  </si>
  <si>
    <t>Ag_07_Au_06_BBP_config_529.xyz</t>
  </si>
  <si>
    <t>Ag_07_Au_06_BBP_config_530.xyz</t>
  </si>
  <si>
    <t>Ag_07_Au_06_BBP_config_531.xyz</t>
  </si>
  <si>
    <t>Ag_07_Au_06_BBP_config_532.xyz</t>
  </si>
  <si>
    <t>Ag_07_Au_06_BBP_config_533.xyz</t>
  </si>
  <si>
    <t>Ag_07_Au_06_BBP_config_534.xyz</t>
  </si>
  <si>
    <t>Ag_07_Au_06_BBP_config_535.xyz</t>
  </si>
  <si>
    <t>Ag_07_Au_06_BBP_config_536.xyz</t>
  </si>
  <si>
    <t>Ag_07_Au_06_BBP_config_537.xyz</t>
  </si>
  <si>
    <t>Ag_07_Au_06_BBP_config_538.xyz</t>
  </si>
  <si>
    <t>Ag_07_Au_06_BBP_config_539.xyz</t>
  </si>
  <si>
    <t>Ag_07_Au_06_BBP_config_540.xyz</t>
  </si>
  <si>
    <t>Ag_07_Au_06_BBP_config_541.xyz</t>
  </si>
  <si>
    <t>Ag_07_Au_06_BBP_config_542_LE.xyz</t>
  </si>
  <si>
    <t>Ag_07_Au_06_BBP_config_543.xyz</t>
  </si>
  <si>
    <t>Ag_07_Au_06_BBP_config_544.xyz</t>
  </si>
  <si>
    <t>Ag_07_Au_06_BBP_config_545.xyz</t>
  </si>
  <si>
    <t>Ag_07_Au_06_BBP_config_546.xyz</t>
  </si>
  <si>
    <t>Ag_07_Au_06_BBP_config_547.xyz</t>
  </si>
  <si>
    <t>Ag_07_Au_06_BBP_config_548.xyz</t>
  </si>
  <si>
    <t>Ag_07_Au_06_BBP_config_549.xyz</t>
  </si>
  <si>
    <t>Ag_07_Au_06_BBP_config_550.xyz</t>
  </si>
  <si>
    <t>Ag_07_Au_06_BBP_config_551.xyz</t>
  </si>
  <si>
    <t>Ag_07_Au_06_BBP_config_552.xyz</t>
  </si>
  <si>
    <t>Ag_07_Au_06_BBP_config_553.xyz</t>
  </si>
  <si>
    <t>Ag_07_Au_06_BBP_config_554.xyz</t>
  </si>
  <si>
    <t>Ag_07_Au_06_BBP_config_555.xyz</t>
  </si>
  <si>
    <t>Ag_07_Au_06_BBP_config_556.xyz</t>
  </si>
  <si>
    <t>Ag_07_Au_06_BBP_config_557.xyz</t>
  </si>
  <si>
    <t>Ag_07_Au_06_BBP_config_558.xyz</t>
  </si>
  <si>
    <t>Ag_07_Au_06_BBP_config_559.xyz</t>
  </si>
  <si>
    <t>Ag_07_Au_06_BBP_config_560.xyz</t>
  </si>
  <si>
    <t>Ag_07_Au_06_BBP_config_561.xyz</t>
  </si>
  <si>
    <t>Ag_07_Au_06_BBP_config_562.xyz</t>
  </si>
  <si>
    <t>Ag_07_Au_06_BBP_config_563.xyz</t>
  </si>
  <si>
    <t>Ag_07_Au_06_BBP_config_564.xyz</t>
  </si>
  <si>
    <t>Ag_07_Au_06_BBP_config_565.xyz</t>
  </si>
  <si>
    <t>Ag_07_Au_06_BBP_config_566.xyz</t>
  </si>
  <si>
    <t>Ag_07_Au_06_BBP_config_567.xyz</t>
  </si>
  <si>
    <t>Ag_07_Au_06_BBP_config_568.xyz</t>
  </si>
  <si>
    <t>Ag_07_Au_06_BBP_config_569.xyz</t>
  </si>
  <si>
    <t>Ag_07_Au_06_BBP_config_570.xyz</t>
  </si>
  <si>
    <t>Ag_07_Au_06_BBP_config_571.xyz</t>
  </si>
  <si>
    <t>Ag_07_Au_06_BBP_config_572.xyz</t>
  </si>
  <si>
    <t>Ag_07_Au_06_BBP_config_573.xyz</t>
  </si>
  <si>
    <t>Ag_07_Au_06_BBP_config_574.xyz</t>
  </si>
  <si>
    <t>Ag_07_Au_06_BBP_config_575.xyz</t>
  </si>
  <si>
    <t>Ag_07_Au_06_BBP_config_576.xyz</t>
  </si>
  <si>
    <t>Ag_07_Au_06_BBP_config_577.xyz</t>
  </si>
  <si>
    <t>Ag_07_Au_06_BBP_config_578.xyz</t>
  </si>
  <si>
    <t>Ag_07_Au_06_BBP_config_579.xyz</t>
  </si>
  <si>
    <t>Ag_07_Au_06_BBP_config_580.xyz</t>
  </si>
  <si>
    <t>Ag_07_Au_06_BBP_config_581.xyz</t>
  </si>
  <si>
    <t>Ag_07_Au_06_BBP_config_582.xyz</t>
  </si>
  <si>
    <t>Ag_07_Au_06_BBP_config_583.xyz</t>
  </si>
  <si>
    <t>Ag_07_Au_06_BBP_config_584.xyz</t>
  </si>
  <si>
    <t>Ag_07_Au_06_BBP_config_585.xyz</t>
  </si>
  <si>
    <t>Ag_07_Au_06_BBP_config_586.xyz</t>
  </si>
  <si>
    <t>Ag_07_Au_06_BBP_config_587.xyz</t>
  </si>
  <si>
    <t>Ag_07_Au_06_BBP_config_588.xyz</t>
  </si>
  <si>
    <t>Ag_07_Au_06_BBP_config_589.xyz</t>
  </si>
  <si>
    <t>Ag_07_Au_06_BBP_config_590.xyz</t>
  </si>
  <si>
    <t>Ag_07_Au_06_BBP_config_591.xyz</t>
  </si>
  <si>
    <t>Ag_07_Au_06_BBP_config_592.xyz</t>
  </si>
  <si>
    <t>Ag_07_Au_06_BBP_config_593.xyz</t>
  </si>
  <si>
    <t>Ag_07_Au_06_BBP_config_594.xyz</t>
  </si>
  <si>
    <t>Ag_07_Au_06_BBP_config_595.xyz</t>
  </si>
  <si>
    <t>Ag_07_Au_06_BBP_config_596.xyz</t>
  </si>
  <si>
    <t>Ag_07_Au_06_BBP_config_597.xyz</t>
  </si>
  <si>
    <t>Ag_07_Au_06_BBP_config_598.xyz</t>
  </si>
  <si>
    <t>Ag_07_Au_06_BBP_config_599.xyz</t>
  </si>
  <si>
    <t>Ag_07_Au_06_BBP_config_600.xyz</t>
  </si>
  <si>
    <t>Ag_07_Au_06_BBP_config_601.xyz</t>
  </si>
  <si>
    <t>Ag_07_Au_06_BBP_config_602.xyz</t>
  </si>
  <si>
    <t>Ag_07_Au_06_BBP_config_603.xyz</t>
  </si>
  <si>
    <t>Ag_07_Au_06_BBP_config_604.xyz</t>
  </si>
  <si>
    <t>Ag_07_Au_06_BBP_config_605.xyz</t>
  </si>
  <si>
    <t>Ag_07_Au_06_BBP_config_606.xyz</t>
  </si>
  <si>
    <t>Ag_07_Au_06_BBP_config_607.xyz</t>
  </si>
  <si>
    <t>Ag_07_Au_06_BBP_config_608.xyz</t>
  </si>
  <si>
    <t>Ag_07_Au_06_BBP_config_609.xyz</t>
  </si>
  <si>
    <t>Ag_07_Au_06_BBP_config_610.xyz</t>
  </si>
  <si>
    <t>Ag_07_Au_06_BBP_config_611.xyz</t>
  </si>
  <si>
    <t>Ag_07_Au_06_BBP_config_612.xyz</t>
  </si>
  <si>
    <t>Ag_07_Au_06_BBP_config_613.xyz</t>
  </si>
  <si>
    <t>Ag_07_Au_06_BBP_config_614.xyz</t>
  </si>
  <si>
    <t>Ag_07_Au_06_BBP_config_615.xyz</t>
  </si>
  <si>
    <t>Ag_07_Au_06_BBP_config_616.xyz</t>
  </si>
  <si>
    <t>Ag_07_Au_06_BBP_config_617.xyz</t>
  </si>
  <si>
    <t>Ag_07_Au_06_BBP_config_618.xyz</t>
  </si>
  <si>
    <t>Ag_07_Au_06_BBP_config_619.xyz</t>
  </si>
  <si>
    <t>Ag_07_Au_06_BBP_config_620.xyz</t>
  </si>
  <si>
    <t>Ag_07_Au_06_BBP_config_621.xyz</t>
  </si>
  <si>
    <t>Ag_07_Au_06_BBP_config_622.xyz</t>
  </si>
  <si>
    <t>Ag_07_Au_06_BBP_config_623.xyz</t>
  </si>
  <si>
    <t>Ag_07_Au_06_BBP_config_624.xyz</t>
  </si>
  <si>
    <t>Ag_07_Au_06_BBP_config_625.xyz</t>
  </si>
  <si>
    <t>Ag_07_Au_06_BBP_config_626.xyz</t>
  </si>
  <si>
    <t>Ag_07_Au_06_BBP_config_627.xyz</t>
  </si>
  <si>
    <t>Ag_07_Au_06_BBP_config_628.xyz</t>
  </si>
  <si>
    <t>Ag_07_Au_06_BBP_config_629.xyz</t>
  </si>
  <si>
    <t>Ag_07_Au_06_BBP_config_630.xyz</t>
  </si>
  <si>
    <t>Ag_07_Au_06_BBP_config_631.xyz</t>
  </si>
  <si>
    <t>Ag_07_Au_06_BBP_config_632.xyz</t>
  </si>
  <si>
    <t>Ag_07_Au_06_BBP_config_633.xyz</t>
  </si>
  <si>
    <t>Ag_07_Au_06_BBP_config_634.xyz</t>
  </si>
  <si>
    <t>Ag_07_Au_06_BBP_config_635.xyz</t>
  </si>
  <si>
    <t>Ag_07_Au_06_BBP_config_636.xyz</t>
  </si>
  <si>
    <t>Ag_07_Au_06_BBP_config_637.xyz</t>
  </si>
  <si>
    <t>Ag_07_Au_06_BBP_config_638.xyz</t>
  </si>
  <si>
    <t>Ag_07_Au_06_BBP_config_639.xyz</t>
  </si>
  <si>
    <t>Ag_07_Au_06_BBP_config_640.xyz</t>
  </si>
  <si>
    <t>Ag_07_Au_06_BBP_config_641.xyz</t>
  </si>
  <si>
    <t>Ag_07_Au_06_BBP_config_642.xyz</t>
  </si>
  <si>
    <t>Ag_07_Au_06_BBP_config_643.xyz</t>
  </si>
  <si>
    <t>Ag_07_Au_06_BBP_config_644.xyz</t>
  </si>
  <si>
    <t>Ag_07_Au_06_BBP_config_645.xyz</t>
  </si>
  <si>
    <t>Ag_07_Au_06_BBP_config_646.xyz</t>
  </si>
  <si>
    <t>Ag_07_Au_06_BBP_config_647.xyz</t>
  </si>
  <si>
    <t>Ag_07_Au_06_BBP_config_648.xyz</t>
  </si>
  <si>
    <t>Ag_07_Au_06_BBP_config_649.xyz</t>
  </si>
  <si>
    <t>Ag_07_Au_06_BBP_config_650.xyz</t>
  </si>
  <si>
    <t>Ag_07_Au_06_BBP_config_651.xyz</t>
  </si>
  <si>
    <t>Ag_07_Au_06_BBP_config_652.xyz</t>
  </si>
  <si>
    <t>Ag_07_Au_06_BBP_config_653.xyz</t>
  </si>
  <si>
    <t>Ag_07_Au_06_BBP_config_654.xyz</t>
  </si>
  <si>
    <t>Ag_07_Au_06_BBP_config_655.xyz</t>
  </si>
  <si>
    <t>Ag_07_Au_06_BBP_config_656.xyz</t>
  </si>
  <si>
    <t>Ag_07_Au_06_BBP_config_657.xyz</t>
  </si>
  <si>
    <t>Ag_07_Au_06_BBP_config_658.xyz</t>
  </si>
  <si>
    <t>Ag_07_Au_06_BBP_config_659.xyz</t>
  </si>
  <si>
    <t>Ag_07_Au_06_BBP_config_660.xyz</t>
  </si>
  <si>
    <t>Ag_07_Au_06_BBP_config_661.xyz</t>
  </si>
  <si>
    <t>Ag_07_Au_06_BBP_config_662.xyz</t>
  </si>
  <si>
    <t>Ag_07_Au_06_BBP_config_663.xyz</t>
  </si>
  <si>
    <t>Ag_07_Au_06_BBP_config_664.xyz</t>
  </si>
  <si>
    <t>Ag_07_Au_06_BBP_config_665.xyz</t>
  </si>
  <si>
    <t>Ag_07_Au_06_BBP_config_666.xyz</t>
  </si>
  <si>
    <t>Ag_07_Au_06_BBP_config_667.xyz</t>
  </si>
  <si>
    <t>Ag_07_Au_06_BBP_config_668.xyz</t>
  </si>
  <si>
    <t>Ag_07_Au_06_BBP_config_669.xyz</t>
  </si>
  <si>
    <t>Ag_07_Au_06_BBP_config_670.xyz</t>
  </si>
  <si>
    <t>Ag_07_Au_06_BBP_config_671.xyz</t>
  </si>
  <si>
    <t>Ag_07_Au_06_BBP_config_672.xyz</t>
  </si>
  <si>
    <t>Ag_07_Au_06_BBP_config_673.xyz</t>
  </si>
  <si>
    <t>Ag_07_Au_06_BBP_config_674.xyz</t>
  </si>
  <si>
    <t>Ag_07_Au_06_BBP_config_675.xyz</t>
  </si>
  <si>
    <t>Ag_07_Au_06_BBP_config_676.xyz</t>
  </si>
  <si>
    <t>Ag_07_Au_06_BBP_config_677.xyz</t>
  </si>
  <si>
    <t>Ag_07_Au_06_BBP_config_678.xyz</t>
  </si>
  <si>
    <t>Ag_07_Au_06_BBP_config_679.xyz</t>
  </si>
  <si>
    <t>Ag_07_Au_06_BBP_config_680.xyz</t>
  </si>
  <si>
    <t>Ag_07_Au_06_BBP_config_681.xyz</t>
  </si>
  <si>
    <t>Ag_07_Au_06_BBP_config_682.xyz</t>
  </si>
  <si>
    <t>Ag_07_Au_06_BBP_config_683.xyz</t>
  </si>
  <si>
    <t>Ag_07_Au_06_BBP_config_684.xyz</t>
  </si>
  <si>
    <t>Ag_07_Au_06_BBP_config_685.xyz</t>
  </si>
  <si>
    <t>Ag_07_Au_06_BBP_config_686.xyz</t>
  </si>
  <si>
    <t>Ag_07_Au_06_BBP_config_687.xyz</t>
  </si>
  <si>
    <t>Ag_07_Au_06_BBP_config_688.xyz</t>
  </si>
  <si>
    <t>Ag_07_Au_06_BBP_config_689.xyz</t>
  </si>
  <si>
    <t>Ag_07_Au_06_BBP_config_690.xyz</t>
  </si>
  <si>
    <t>Ag_07_Au_06_BBP_config_691.xyz</t>
  </si>
  <si>
    <t>Ag_07_Au_06_BBP_config_692.xyz</t>
  </si>
  <si>
    <t>Ag_07_Au_06_BBP_config_693.xyz</t>
  </si>
  <si>
    <t>Ag_07_Au_06_BBP_config_694.xyz</t>
  </si>
  <si>
    <t>Ag_07_Au_06_BBP_config_695.xyz</t>
  </si>
  <si>
    <t>Ag_07_Au_06_BBP_config_696.xyz</t>
  </si>
  <si>
    <t>Ag_07_Au_06_BBP_config_697.xyz</t>
  </si>
  <si>
    <t>Ag_07_Au_06_BBP_config_698.xyz</t>
  </si>
  <si>
    <t>Ag_07_Au_06_BBP_config_699.xyz</t>
  </si>
  <si>
    <t>Ag_07_Au_06_BBP_config_700.xyz</t>
  </si>
  <si>
    <t>Ag_07_Au_06_BBP_config_701.xyz</t>
  </si>
  <si>
    <t>Ag_07_Au_06_BBP_config_702.xyz</t>
  </si>
  <si>
    <t>Ag_07_Au_06_BBP_config_703.xyz</t>
  </si>
  <si>
    <t>Ag_07_Au_06_BBP_config_704.xyz</t>
  </si>
  <si>
    <t>Ag_07_Au_06_BBP_config_705.xyz</t>
  </si>
  <si>
    <t>Ag_07_Au_06_BBP_config_706.xyz</t>
  </si>
  <si>
    <t>Ag_07_Au_06_BBP_config_707.xyz</t>
  </si>
  <si>
    <t>Ag_07_Au_06_BBP_config_708.xyz</t>
  </si>
  <si>
    <t>Ag_07_Au_06_BBP_config_709.xyz</t>
  </si>
  <si>
    <t>Ag_07_Au_06_BBP_config_710.xyz</t>
  </si>
  <si>
    <t>Ag_07_Au_06_BBP_config_711.xyz</t>
  </si>
  <si>
    <t>Ag_07_Au_06_BBP_config_712.xyz</t>
  </si>
  <si>
    <t>Ag_07_Au_06_BBP_config_713.xyz</t>
  </si>
  <si>
    <t>Ag_07_Au_06_BBP_config_714.xyz</t>
  </si>
  <si>
    <t>Ag_07_Au_06_BBP_config_715.xyz</t>
  </si>
  <si>
    <t>Ag_07_Au_06_BBP_config_716.xyz</t>
  </si>
  <si>
    <t>Ag_07_Au_06_BBP_config_717.xyz</t>
  </si>
  <si>
    <t>Ag_07_Au_06_BBP_config_718.xyz</t>
  </si>
  <si>
    <t>Ag_07_Au_06_BBP_config_719.xyz</t>
  </si>
  <si>
    <t>Ag_07_Au_06_BBP_config_720.xyz</t>
  </si>
  <si>
    <t>Ag_07_Au_06_BBP_config_721.xyz</t>
  </si>
  <si>
    <t>Ag_07_Au_06_BBP_config_722.xyz</t>
  </si>
  <si>
    <t>Ag_07_Au_06_BBP_config_723.xyz</t>
  </si>
  <si>
    <t>Ag_07_Au_06_BBP_config_724.xyz</t>
  </si>
  <si>
    <t>Ag_07_Au_06_BBP_config_725.xyz</t>
  </si>
  <si>
    <t>Ag_07_Au_06_BBP_config_726.xyz</t>
  </si>
  <si>
    <t>Ag_07_Au_06_BBP_config_727.xyz</t>
  </si>
  <si>
    <t>Ag_07_Au_06_BBP_config_728.xyz</t>
  </si>
  <si>
    <t>Ag_07_Au_06_BBP_config_729.xyz</t>
  </si>
  <si>
    <t>Ag_07_Au_06_BBP_config_730.xyz</t>
  </si>
  <si>
    <t>Ag_07_Au_06_BBP_config_731.xyz</t>
  </si>
  <si>
    <t>Ag_07_Au_06_BBP_config_732.xyz</t>
  </si>
  <si>
    <t>Ag_07_Au_06_BBP_config_733.xyz</t>
  </si>
  <si>
    <t>Ag_07_Au_06_BBP_config_734.xyz</t>
  </si>
  <si>
    <t>Ag_07_Au_06_BBP_config_735.xyz</t>
  </si>
  <si>
    <t>Ag_07_Au_06_BBP_config_736.xyz</t>
  </si>
  <si>
    <t>Ag_07_Au_06_BBP_config_737.xyz</t>
  </si>
  <si>
    <t>Ag_07_Au_06_BBP_config_738.xyz</t>
  </si>
  <si>
    <t>Ag_07_Au_06_BBP_config_739.xyz</t>
  </si>
  <si>
    <t>Ag_07_Au_06_BBP_config_740.xyz</t>
  </si>
  <si>
    <t>Ag_07_Au_06_BBP_config_741.xyz</t>
  </si>
  <si>
    <t>Ag_07_Au_06_BBP_config_742.xyz</t>
  </si>
  <si>
    <t>Ag_07_Au_06_BBP_config_743.xyz</t>
  </si>
  <si>
    <t>Ag_07_Au_06_BBP_config_744.xyz</t>
  </si>
  <si>
    <t>Ag_07_Au_06_BBP_config_745.xyz</t>
  </si>
  <si>
    <t>Ag_07_Au_06_BBP_config_746.xyz</t>
  </si>
  <si>
    <t>Ag_07_Au_06_BBP_config_747.xyz</t>
  </si>
  <si>
    <t>Ag_07_Au_06_BBP_config_748.xyz</t>
  </si>
  <si>
    <t>Ag_07_Au_06_BBP_config_749.xyz</t>
  </si>
  <si>
    <t>Ag_07_Au_06_BBP_config_750.xyz</t>
  </si>
  <si>
    <t>Ag_07_Au_06_BBP_config_751.xyz</t>
  </si>
  <si>
    <t>Ag_07_Au_06_BBP_config_752.xyz</t>
  </si>
  <si>
    <t>Ag_07_Au_06_BBP_config_753.xyz</t>
  </si>
  <si>
    <t>Ag_07_Au_06_BBP_config_754.xyz</t>
  </si>
  <si>
    <t>Configs_8_of_13</t>
  </si>
  <si>
    <t>Ag_08_Au_05_BBP_config_301.xyz</t>
  </si>
  <si>
    <t>Ag_08_Au_05_BBP_config_302.xyz</t>
  </si>
  <si>
    <t>Ag_08_Au_05_BBP_config_303.xyz</t>
  </si>
  <si>
    <t>Ag_08_Au_05_BBP_config_304.xyz</t>
  </si>
  <si>
    <t>Ag_08_Au_05_BBP_config_305.xyz</t>
  </si>
  <si>
    <t>Ag_08_Au_05_BBP_config_306.xyz</t>
  </si>
  <si>
    <t>Ag_08_Au_05_BBP_config_307.xyz</t>
  </si>
  <si>
    <t>Ag_08_Au_05_BBP_config_308.xyz</t>
  </si>
  <si>
    <t>Ag_08_Au_05_BBP_config_309.xyz</t>
  </si>
  <si>
    <t>Ag_08_Au_05_BBP_config_310.xyz</t>
  </si>
  <si>
    <t>Ag_08_Au_05_BBP_config_311.xyz</t>
  </si>
  <si>
    <t>Ag_08_Au_05_BBP_config_312.xyz</t>
  </si>
  <si>
    <t>Ag_08_Au_05_BBP_config_313.xyz</t>
  </si>
  <si>
    <t>Ag_08_Au_05_BBP_config_314.xyz</t>
  </si>
  <si>
    <t>Ag_08_Au_05_BBP_config_315.xyz</t>
  </si>
  <si>
    <t>Ag_08_Au_05_BBP_config_316.xyz</t>
  </si>
  <si>
    <t>Ag_08_Au_05_BBP_config_317.xyz</t>
  </si>
  <si>
    <t>Ag_08_Au_05_BBP_config_318.xyz</t>
  </si>
  <si>
    <t>Ag_08_Au_05_BBP_config_319.xyz</t>
  </si>
  <si>
    <t>Ag_08_Au_05_BBP_config_320.xyz</t>
  </si>
  <si>
    <t>Ag_08_Au_05_BBP_config_321.xyz</t>
  </si>
  <si>
    <t>Ag_08_Au_05_BBP_config_322.xyz</t>
  </si>
  <si>
    <t>Ag_08_Au_05_BBP_config_323.xyz</t>
  </si>
  <si>
    <t>Ag_08_Au_05_BBP_config_324.xyz</t>
  </si>
  <si>
    <t>Ag_08_Au_05_BBP_config_325.xyz</t>
  </si>
  <si>
    <t>Ag_08_Au_05_BBP_config_326.xyz</t>
  </si>
  <si>
    <t>Ag_08_Au_05_BBP_config_327.xyz</t>
  </si>
  <si>
    <t>Ag_08_Au_05_BBP_config_328.xyz</t>
  </si>
  <si>
    <t>Ag_08_Au_05_BBP_config_329.xyz</t>
  </si>
  <si>
    <t>Ag_08_Au_05_BBP_config_330.xyz</t>
  </si>
  <si>
    <t>Ag_08_Au_05_BBP_config_331.xyz</t>
  </si>
  <si>
    <t>Ag_08_Au_05_BBP_config_332.xyz</t>
  </si>
  <si>
    <t>Ag_08_Au_05_BBP_config_333.xyz</t>
  </si>
  <si>
    <t>Ag_08_Au_05_BBP_config_334.xyz</t>
  </si>
  <si>
    <t>Ag_08_Au_05_BBP_config_335.xyz</t>
  </si>
  <si>
    <t>Ag_08_Au_05_BBP_config_336.xyz</t>
  </si>
  <si>
    <t>Ag_08_Au_05_BBP_config_337.xyz</t>
  </si>
  <si>
    <t>Ag_08_Au_05_BBP_config_338.xyz</t>
  </si>
  <si>
    <t>Ag_08_Au_05_BBP_config_339.xyz</t>
  </si>
  <si>
    <t>Ag_08_Au_05_BBP_config_340.xyz</t>
  </si>
  <si>
    <t>Ag_08_Au_05_BBP_config_341.xyz</t>
  </si>
  <si>
    <t>Ag_08_Au_05_BBP_config_342.xyz</t>
  </si>
  <si>
    <t>Ag_08_Au_05_BBP_config_343.xyz</t>
  </si>
  <si>
    <t>Ag_08_Au_05_BBP_config_344.xyz</t>
  </si>
  <si>
    <t>Ag_08_Au_05_BBP_config_345.xyz</t>
  </si>
  <si>
    <t>Ag_08_Au_05_BBP_config_346.xyz</t>
  </si>
  <si>
    <t>Ag_08_Au_05_BBP_config_347.xyz</t>
  </si>
  <si>
    <t>Ag_08_Au_05_BBP_config_348.xyz</t>
  </si>
  <si>
    <t>Ag_08_Au_05_BBP_config_349.xyz</t>
  </si>
  <si>
    <t>Ag_08_Au_05_BBP_config_350.xyz</t>
  </si>
  <si>
    <t>Ag_08_Au_05_BBP_config_351.xyz</t>
  </si>
  <si>
    <t>Ag_08_Au_05_BBP_config_352.xyz</t>
  </si>
  <si>
    <t>Ag_08_Au_05_BBP_config_353.xyz</t>
  </si>
  <si>
    <t>Ag_08_Au_05_BBP_config_354.xyz</t>
  </si>
  <si>
    <t>Ag_08_Au_05_BBP_config_355.xyz</t>
  </si>
  <si>
    <t>Ag_08_Au_05_BBP_config_356.xyz</t>
  </si>
  <si>
    <t>Ag_08_Au_05_BBP_config_357.xyz</t>
  </si>
  <si>
    <t>Ag_08_Au_05_BBP_config_358.xyz</t>
  </si>
  <si>
    <t>Ag_08_Au_05_BBP_config_359.xyz</t>
  </si>
  <si>
    <t>Ag_08_Au_05_BBP_config_360.xyz</t>
  </si>
  <si>
    <t>Ag_08_Au_05_BBP_config_361.xyz</t>
  </si>
  <si>
    <t>Ag_08_Au_05_BBP_config_362.xyz</t>
  </si>
  <si>
    <t>Ag_08_Au_05_BBP_config_363.xyz</t>
  </si>
  <si>
    <t>Ag_08_Au_05_BBP_config_364.xyz</t>
  </si>
  <si>
    <t>Ag_08_Au_05_BBP_config_365.xyz</t>
  </si>
  <si>
    <t>Ag_08_Au_05_BBP_config_366.xyz</t>
  </si>
  <si>
    <t>Ag_08_Au_05_BBP_config_367.xyz</t>
  </si>
  <si>
    <t>Ag_08_Au_05_BBP_config_368.xyz</t>
  </si>
  <si>
    <t>Ag_08_Au_05_BBP_config_369.xyz</t>
  </si>
  <si>
    <t>Ag_08_Au_05_BBP_config_370.xyz</t>
  </si>
  <si>
    <t>Ag_08_Au_05_BBP_config_371.xyz</t>
  </si>
  <si>
    <t>Ag_08_Au_05_BBP_config_372.xyz</t>
  </si>
  <si>
    <t>Ag_08_Au_05_BBP_config_373.xyz</t>
  </si>
  <si>
    <t>Ag_08_Au_05_BBP_config_374.xyz</t>
  </si>
  <si>
    <t>Ag_08_Au_05_BBP_config_375.xyz</t>
  </si>
  <si>
    <t>Ag_08_Au_05_BBP_config_376.xyz</t>
  </si>
  <si>
    <t>Ag_08_Au_05_BBP_config_377.xyz</t>
  </si>
  <si>
    <t>Ag_08_Au_05_BBP_config_378.xyz</t>
  </si>
  <si>
    <t>Ag_08_Au_05_BBP_config_379.xyz</t>
  </si>
  <si>
    <t>Ag_08_Au_05_BBP_config_380.xyz</t>
  </si>
  <si>
    <t>Ag_08_Au_05_BBP_config_381.xyz</t>
  </si>
  <si>
    <t>Ag_08_Au_05_BBP_config_382.xyz</t>
  </si>
  <si>
    <t>Ag_08_Au_05_BBP_config_383.xyz</t>
  </si>
  <si>
    <t>Ag_08_Au_05_BBP_config_384.xyz</t>
  </si>
  <si>
    <t>Ag_08_Au_05_BBP_config_385.xyz</t>
  </si>
  <si>
    <t>Ag_08_Au_05_BBP_config_386.xyz</t>
  </si>
  <si>
    <t>Ag_08_Au_05_BBP_config_387.xyz</t>
  </si>
  <si>
    <t>Ag_08_Au_05_BBP_config_388.xyz</t>
  </si>
  <si>
    <t>Ag_08_Au_05_BBP_config_389.xyz</t>
  </si>
  <si>
    <t>Ag_08_Au_05_BBP_config_390.xyz</t>
  </si>
  <si>
    <t>Ag_08_Au_05_BBP_config_391.xyz</t>
  </si>
  <si>
    <t>Ag_08_Au_05_BBP_config_392.xyz</t>
  </si>
  <si>
    <t>Ag_08_Au_05_BBP_config_393.xyz</t>
  </si>
  <si>
    <t>Ag_08_Au_05_BBP_config_394.xyz</t>
  </si>
  <si>
    <t>Ag_08_Au_05_BBP_config_395.xyz</t>
  </si>
  <si>
    <t>Ag_08_Au_05_BBP_config_396.xyz</t>
  </si>
  <si>
    <t>Ag_08_Au_05_BBP_config_397.xyz</t>
  </si>
  <si>
    <t>Ag_08_Au_05_BBP_config_398.xyz</t>
  </si>
  <si>
    <t>Ag_08_Au_05_BBP_config_399.xyz</t>
  </si>
  <si>
    <t>Ag_08_Au_05_BBP_config_400.xyz</t>
  </si>
  <si>
    <t>Ag_08_Au_05_BBP_config_401.xyz</t>
  </si>
  <si>
    <t>Ag_08_Au_05_BBP_config_402.xyz</t>
  </si>
  <si>
    <t>Ag_08_Au_05_BBP_config_403.xyz</t>
  </si>
  <si>
    <t>Ag_08_Au_05_BBP_config_404.xyz</t>
  </si>
  <si>
    <t>Ag_08_Au_05_BBP_config_405.xyz</t>
  </si>
  <si>
    <t>Ag_08_Au_05_BBP_config_406.xyz</t>
  </si>
  <si>
    <t>Ag_08_Au_05_BBP_config_407.xyz</t>
  </si>
  <si>
    <t>Ag_08_Au_05_BBP_config_408.xyz</t>
  </si>
  <si>
    <t>Ag_08_Au_05_BBP_config_409.xyz</t>
  </si>
  <si>
    <t>Ag_08_Au_05_BBP_config_410.xyz</t>
  </si>
  <si>
    <t>Ag_08_Au_05_BBP_config_411.xyz</t>
  </si>
  <si>
    <t>Ag_08_Au_05_BBP_config_412.xyz</t>
  </si>
  <si>
    <t>Ag_08_Au_05_BBP_config_413.xyz</t>
  </si>
  <si>
    <t>Ag_08_Au_05_BBP_config_414.xyz</t>
  </si>
  <si>
    <t>Ag_08_Au_05_BBP_config_415.xyz</t>
  </si>
  <si>
    <t>Ag_08_Au_05_BBP_config_416.xyz</t>
  </si>
  <si>
    <t>Ag_08_Au_05_BBP_config_417.xyz</t>
  </si>
  <si>
    <t>Ag_08_Au_05_BBP_config_418.xyz</t>
  </si>
  <si>
    <t>Ag_08_Au_05_BBP_config_419.xyz</t>
  </si>
  <si>
    <t>Ag_08_Au_05_BBP_config_420.xyz</t>
  </si>
  <si>
    <t>Ag_08_Au_05_BBP_config_421.xyz</t>
  </si>
  <si>
    <t>Ag_08_Au_05_BBP_config_422.xyz</t>
  </si>
  <si>
    <t>Ag_08_Au_05_BBP_config_423.xyz</t>
  </si>
  <si>
    <t>Ag_08_Au_05_BBP_config_424.xyz</t>
  </si>
  <si>
    <t>Ag_08_Au_05_BBP_config_425.xyz</t>
  </si>
  <si>
    <t>Ag_08_Au_05_BBP_config_426.xyz</t>
  </si>
  <si>
    <t>Ag_08_Au_05_BBP_config_427.xyz</t>
  </si>
  <si>
    <t>Ag_08_Au_05_BBP_config_428.xyz</t>
  </si>
  <si>
    <t>Ag_08_Au_05_BBP_config_429.xyz</t>
  </si>
  <si>
    <t>Ag_08_Au_05_BBP_config_430.xyz</t>
  </si>
  <si>
    <t>Ag_08_Au_05_BBP_config_431.xyz</t>
  </si>
  <si>
    <t>Ag_08_Au_05_BBP_config_432.xyz</t>
  </si>
  <si>
    <t>Ag_08_Au_05_BBP_config_433.xyz</t>
  </si>
  <si>
    <t>Ag_08_Au_05_BBP_config_434.xyz</t>
  </si>
  <si>
    <t>Ag_08_Au_05_BBP_config_435.xyz</t>
  </si>
  <si>
    <t>Ag_08_Au_05_BBP_config_436.xyz</t>
  </si>
  <si>
    <t>Ag_08_Au_05_BBP_config_437.xyz</t>
  </si>
  <si>
    <t>Ag_08_Au_05_BBP_config_438.xyz</t>
  </si>
  <si>
    <t>Ag_08_Au_05_BBP_config_439.xyz</t>
  </si>
  <si>
    <t>Ag_08_Au_05_BBP_config_440.xyz</t>
  </si>
  <si>
    <t>Ag_08_Au_05_BBP_config_441.xyz</t>
  </si>
  <si>
    <t>Ag_08_Au_05_BBP_config_442.xyz</t>
  </si>
  <si>
    <t>Ag_08_Au_05_BBP_config_443.xyz</t>
  </si>
  <si>
    <t>Ag_08_Au_05_BBP_config_444.xyz</t>
  </si>
  <si>
    <t>Ag_08_Au_05_BBP_config_445.xyz</t>
  </si>
  <si>
    <t>Ag_08_Au_05_BBP_config_446.xyz</t>
  </si>
  <si>
    <t>Ag_08_Au_05_BBP_config_447.xyz</t>
  </si>
  <si>
    <t>Ag_08_Au_05_BBP_config_448.xyz</t>
  </si>
  <si>
    <t>Ag_08_Au_05_BBP_config_449.xyz</t>
  </si>
  <si>
    <t>Ag_08_Au_05_BBP_config_450.xyz</t>
  </si>
  <si>
    <t>Ag_08_Au_05_BBP_config_451.xyz</t>
  </si>
  <si>
    <t>Ag_08_Au_05_BBP_config_452.xyz</t>
  </si>
  <si>
    <t>Ag_08_Au_05_BBP_config_453.xyz</t>
  </si>
  <si>
    <t>Ag_08_Au_05_BBP_config_454.xyz</t>
  </si>
  <si>
    <t>Ag_08_Au_05_BBP_config_455.xyz</t>
  </si>
  <si>
    <t>Ag_08_Au_05_BBP_config_456.xyz</t>
  </si>
  <si>
    <t>Ag_08_Au_05_BBP_config_457.xyz</t>
  </si>
  <si>
    <t>Ag_08_Au_05_BBP_config_458.xyz</t>
  </si>
  <si>
    <t>Ag_08_Au_05_BBP_config_459.xyz</t>
  </si>
  <si>
    <t>Ag_08_Au_05_BBP_config_460.xyz</t>
  </si>
  <si>
    <t>Ag_08_Au_05_BBP_config_461.xyz</t>
  </si>
  <si>
    <t>Ag_08_Au_05_BBP_config_462.xyz</t>
  </si>
  <si>
    <t>Ag_08_Au_05_BBP_config_463.xyz</t>
  </si>
  <si>
    <t>Ag_08_Au_05_BBP_config_464.xyz</t>
  </si>
  <si>
    <t>Ag_08_Au_05_BBP_config_465.xyz</t>
  </si>
  <si>
    <t>Ag_08_Au_05_BBP_config_466.xyz</t>
  </si>
  <si>
    <t>Ag_08_Au_05_BBP_config_467.xyz</t>
  </si>
  <si>
    <t>Ag_08_Au_05_BBP_config_468.xyz</t>
  </si>
  <si>
    <t>Ag_08_Au_05_BBP_config_469.xyz</t>
  </si>
  <si>
    <t>Ag_08_Au_05_BBP_config_470.xyz</t>
  </si>
  <si>
    <t>Ag_08_Au_05_BBP_config_471.xyz</t>
  </si>
  <si>
    <t>Ag_08_Au_05_BBP_config_472.xyz</t>
  </si>
  <si>
    <t>Ag_08_Au_05_BBP_config_473.xyz</t>
  </si>
  <si>
    <t>Ag_08_Au_05_BBP_config_474.xyz</t>
  </si>
  <si>
    <t>Ag_08_Au_05_BBP_config_475.xyz</t>
  </si>
  <si>
    <t>Ag_08_Au_05_BBP_config_476.xyz</t>
  </si>
  <si>
    <t>Ag_08_Au_05_BBP_config_477.xyz</t>
  </si>
  <si>
    <t>Ag_08_Au_05_BBP_config_478.xyz</t>
  </si>
  <si>
    <t>Ag_08_Au_05_BBP_config_479.xyz</t>
  </si>
  <si>
    <t>Ag_08_Au_05_BBP_config_480.xyz</t>
  </si>
  <si>
    <t>Ag_08_Au_05_BBP_config_481.xyz</t>
  </si>
  <si>
    <t>Ag_08_Au_05_BBP_config_482.xyz</t>
  </si>
  <si>
    <t>Ag_08_Au_05_BBP_config_483.xyz</t>
  </si>
  <si>
    <t>Ag_08_Au_05_BBP_config_484.xyz</t>
  </si>
  <si>
    <t>Ag_08_Au_05_BBP_config_485.xyz</t>
  </si>
  <si>
    <t>Ag_08_Au_05_BBP_config_486.xyz</t>
  </si>
  <si>
    <t>Ag_08_Au_05_BBP_config_487.xyz</t>
  </si>
  <si>
    <t>Ag_08_Au_05_BBP_config_488.xyz</t>
  </si>
  <si>
    <t>Ag_08_Au_05_BBP_config_489.xyz</t>
  </si>
  <si>
    <t>Ag_08_Au_05_BBP_config_490.xyz</t>
  </si>
  <si>
    <t>Ag_08_Au_05_BBP_config_491.xyz</t>
  </si>
  <si>
    <t>Ag_08_Au_05_BBP_config_492.xyz</t>
  </si>
  <si>
    <t>Ag_08_Au_05_BBP_config_493.xyz</t>
  </si>
  <si>
    <t>Ag_08_Au_05_BBP_config_494.xyz</t>
  </si>
  <si>
    <t>Ag_08_Au_05_BBP_config_495.xyz</t>
  </si>
  <si>
    <t>Ag_08_Au_05_BBP_config_496.xyz</t>
  </si>
  <si>
    <t>Ag_08_Au_05_BBP_config_497.xyz</t>
  </si>
  <si>
    <t>Ag_08_Au_05_BBP_config_498.xyz</t>
  </si>
  <si>
    <t>Ag_08_Au_05_BBP_config_499.xyz</t>
  </si>
  <si>
    <t>Ag_08_Au_05_BBP_config_500.xyz</t>
  </si>
  <si>
    <t>Ag_08_Au_05_BBP_config_501.xyz</t>
  </si>
  <si>
    <t>Ag_08_Au_05_BBP_config_502.xyz</t>
  </si>
  <si>
    <t>Ag_08_Au_05_BBP_config_503.xyz</t>
  </si>
  <si>
    <t>Ag_08_Au_05_BBP_config_504.xyz</t>
  </si>
  <si>
    <t>Ag_08_Au_05_BBP_config_505.xyz</t>
  </si>
  <si>
    <t>Ag_08_Au_05_BBP_config_506.xyz</t>
  </si>
  <si>
    <t>Ag_08_Au_05_BBP_config_507.xyz</t>
  </si>
  <si>
    <t>Ag_08_Au_05_BBP_config_508.xyz</t>
  </si>
  <si>
    <t>Ag_08_Au_05_BBP_config_509.xyz</t>
  </si>
  <si>
    <t>Ag_08_Au_05_BBP_config_510.xyz</t>
  </si>
  <si>
    <t>Ag_08_Au_05_BBP_config_511.xyz</t>
  </si>
  <si>
    <t>Ag_08_Au_05_BBP_config_512.xyz</t>
  </si>
  <si>
    <t>Ag_08_Au_05_BBP_config_513.xyz</t>
  </si>
  <si>
    <t>Ag_08_Au_05_BBP_config_514.xyz</t>
  </si>
  <si>
    <t>Ag_08_Au_05_BBP_config_515.xyz</t>
  </si>
  <si>
    <t>Ag_08_Au_05_BBP_config_516.xyz</t>
  </si>
  <si>
    <t>Ag_08_Au_05_BBP_config_517.xyz</t>
  </si>
  <si>
    <t>Ag_08_Au_05_BBP_config_518.xyz</t>
  </si>
  <si>
    <t>Ag_08_Au_05_BBP_config_519.xyz</t>
  </si>
  <si>
    <t>Ag_08_Au_05_BBP_config_520.xyz</t>
  </si>
  <si>
    <t>Ag_08_Au_05_BBP_config_521.xyz</t>
  </si>
  <si>
    <t>Ag_08_Au_05_BBP_config_522.xyz</t>
  </si>
  <si>
    <t>Ag_08_Au_05_BBP_config_523.xyz</t>
  </si>
  <si>
    <t>Ag_08_Au_05_BBP_config_524.xyz</t>
  </si>
  <si>
    <t>Ag_08_Au_05_BBP_config_525.xyz</t>
  </si>
  <si>
    <t>Ag_08_Au_05_BBP_config_526.xyz</t>
  </si>
  <si>
    <t>Ag_08_Au_05_BBP_config_527.xyz</t>
  </si>
  <si>
    <t>Ag_08_Au_05_BBP_config_528.xyz</t>
  </si>
  <si>
    <t>Ag_08_Au_05_BBP_config_529.xyz</t>
  </si>
  <si>
    <t>Ag_08_Au_05_BBP_config_530.xyz</t>
  </si>
  <si>
    <t>Ag_08_Au_05_BBP_config_531.xyz</t>
  </si>
  <si>
    <t>Ag_08_Au_05_BBP_config_532.xyz</t>
  </si>
  <si>
    <t>Ag_08_Au_05_BBP_config_533.xyz</t>
  </si>
  <si>
    <t>Ag_08_Au_05_BBP_config_534.xyz</t>
  </si>
  <si>
    <t>Ag_08_Au_05_BBP_config_535.xyz</t>
  </si>
  <si>
    <t>Ag_08_Au_05_BBP_config_536.xyz</t>
  </si>
  <si>
    <t>Ag_08_Au_05_BBP_config_537.xyz</t>
  </si>
  <si>
    <t>Ag_08_Au_05_BBP_config_538.xyz</t>
  </si>
  <si>
    <t>Ag_08_Au_05_BBP_config_539.xyz</t>
  </si>
  <si>
    <t>Ag_08_Au_05_BBP_config_540.xyz</t>
  </si>
  <si>
    <t>Ag_08_Au_05_BBP_config_541.xyz</t>
  </si>
  <si>
    <t>Ag_08_Au_05_BBP_config_542.xyz</t>
  </si>
  <si>
    <t>Ag_08_Au_05_BBP_config_543.xyz</t>
  </si>
  <si>
    <t>Ag_08_Au_05_BBP_config_544.xyz</t>
  </si>
  <si>
    <t>Ag_08_Au_05_BBP_config_545.xyz</t>
  </si>
  <si>
    <t>Ag_08_Au_05_BBP_config_546.xyz</t>
  </si>
  <si>
    <t>Ag_08_Au_05_BBP_config_547.xyz</t>
  </si>
  <si>
    <t>Ag_08_Au_05_BBP_config_548.xyz</t>
  </si>
  <si>
    <t>Ag_08_Au_05_BBP_config_549.xyz</t>
  </si>
  <si>
    <t>Ag_08_Au_05_BBP_config_550.xyz</t>
  </si>
  <si>
    <t>Ag_08_Au_05_BBP_config_551.xyz</t>
  </si>
  <si>
    <t>Ag_08_Au_05_BBP_config_552.xyz</t>
  </si>
  <si>
    <t>Ag_08_Au_05_BBP_config_553.xyz</t>
  </si>
  <si>
    <t>Ag_08_Au_05_BBP_config_554.xyz</t>
  </si>
  <si>
    <t>Ag_08_Au_05_BBP_config_555.xyz</t>
  </si>
  <si>
    <t>Ag_08_Au_05_BBP_config_556.xyz</t>
  </si>
  <si>
    <t>Ag_08_Au_05_BBP_config_557.xyz</t>
  </si>
  <si>
    <t>Ag_08_Au_05_BBP_config_558.xyz</t>
  </si>
  <si>
    <t>Ag_08_Au_05_BBP_config_559.xyz</t>
  </si>
  <si>
    <t>Ag_08_Au_05_BBP_config_560.xyz</t>
  </si>
  <si>
    <t>Ag_08_Au_05_BBP_config_561.xyz</t>
  </si>
  <si>
    <t>Ag_08_Au_05_BBP_config_562.xyz</t>
  </si>
  <si>
    <t>Ag_08_Au_05_BBP_config_563.xyz</t>
  </si>
  <si>
    <t>Ag_08_Au_05_BBP_config_564.xyz</t>
  </si>
  <si>
    <t>Ag_08_Au_05_BBP_config_565.xyz</t>
  </si>
  <si>
    <t>Ag_08_Au_05_BBP_config_566.xyz</t>
  </si>
  <si>
    <t>Ag_08_Au_05_BBP_config_567.xyz</t>
  </si>
  <si>
    <t>Ag_08_Au_05_BBP_config_568_LE.xyz</t>
  </si>
  <si>
    <t>Ag_08_Au_05_BBP_config_569.xyz</t>
  </si>
  <si>
    <t>Ag_08_Au_05_BBP_config_570.xyz</t>
  </si>
  <si>
    <t>Ag_08_Au_05_BBP_config_571.xyz</t>
  </si>
  <si>
    <t>Ag_08_Au_05_BBP_config_572.xyz</t>
  </si>
  <si>
    <t>Ag_08_Au_05_BBP_config_573.xyz</t>
  </si>
  <si>
    <t>Ag_08_Au_05_BBP_config_574.xyz</t>
  </si>
  <si>
    <t>Ag_08_Au_05_BBP_config_575.xyz</t>
  </si>
  <si>
    <t>Ag_08_Au_05_BBP_config_576.xyz</t>
  </si>
  <si>
    <t>Ag_08_Au_05_BBP_config_577.xyz</t>
  </si>
  <si>
    <t>Ag_08_Au_05_BBP_config_578.xyz</t>
  </si>
  <si>
    <t>Ag_08_Au_05_BBP_config_579.xyz</t>
  </si>
  <si>
    <t>Ag_08_Au_05_BBP_config_580.xyz</t>
  </si>
  <si>
    <t>Ag_08_Au_05_BBP_config_581.xyz</t>
  </si>
  <si>
    <t>Ag_08_Au_05_BBP_config_582.xyz</t>
  </si>
  <si>
    <t>comprobado</t>
  </si>
  <si>
    <t>Ag_08_Au_05_BBP_config_583.xyz</t>
  </si>
  <si>
    <t>Ag_08_Au_05_BBP_config_584.xyz</t>
  </si>
  <si>
    <t>Ag_08_Au_05_BBP_config_585.xyz</t>
  </si>
  <si>
    <t>Ag_08_Au_05_BBP_config_586.xyz</t>
  </si>
  <si>
    <t>Ag_08_Au_05_BBP_config_587.xyz</t>
  </si>
  <si>
    <t>Ag_08_Au_05_BBP_config_588.xyz</t>
  </si>
  <si>
    <t>Ag_08_Au_05_BBP_config_589.xyz</t>
  </si>
  <si>
    <t>Ag_08_Au_05_BBP_config_590.xyz</t>
  </si>
  <si>
    <t>Ag_08_Au_05_BBP_config_591.xyz</t>
  </si>
  <si>
    <t>Ag_08_Au_05_BBP_config_592.xyz</t>
  </si>
  <si>
    <t>Ag_08_Au_05_BBP_config_593.xyz</t>
  </si>
  <si>
    <t>Ag_08_Au_05_BBP_config_594.xyz</t>
  </si>
  <si>
    <t>Ag_08_Au_05_BBP_config_595.xyz</t>
  </si>
  <si>
    <t>Ag_08_Au_05_BBP_config_596.xyz</t>
  </si>
  <si>
    <t>Ag_08_Au_05_BBP_config_597.xyz</t>
  </si>
  <si>
    <t>Ag_08_Au_05_BBP_config_598.xyz</t>
  </si>
  <si>
    <t>Ag_08_Au_05_BBP_config_599.xyz</t>
  </si>
  <si>
    <t>Ag_08_Au_05_BBP_config_600.xyz</t>
  </si>
  <si>
    <t>Ag_08_Au_05_BBP_config_601.xyz</t>
  </si>
  <si>
    <t>Ag_08_Au_05_BBP_config_602.xyz</t>
  </si>
  <si>
    <t>Ag_08_Au_05_BBP_config_603.xyz</t>
  </si>
  <si>
    <t>Ag_08_Au_05_BBP_config_604.xyz</t>
  </si>
  <si>
    <t>Ag_08_Au_05_BBP_config_605.xyz</t>
  </si>
  <si>
    <t>Ag_08_Au_05_BBP_config_606.xyz</t>
  </si>
  <si>
    <t>Ag_08_Au_05_BBP_config_607.xyz</t>
  </si>
  <si>
    <t>Ag_08_Au_05_BBP_config_608.xyz</t>
  </si>
  <si>
    <t>Ag_08_Au_05_BBP_config_609.xyz</t>
  </si>
  <si>
    <t>Ag_08_Au_05_BBP_config_610.xyz</t>
  </si>
  <si>
    <t>Ag_08_Au_05_BBP_config_611.xyz</t>
  </si>
  <si>
    <t>Ag_08_Au_05_BBP_config_612.xyz</t>
  </si>
  <si>
    <t>Ag_08_Au_05_BBP_config_613.xyz</t>
  </si>
  <si>
    <t>Ag_08_Au_05_BBP_config_614.xyz</t>
  </si>
  <si>
    <t>Ag_08_Au_05_BBP_config_615.xyz</t>
  </si>
  <si>
    <t>Ag_08_Au_05_BBP_config_616.xyz</t>
  </si>
  <si>
    <t>Ag_08_Au_05_BBP_config_617.xyz</t>
  </si>
  <si>
    <t>Ag_08_Au_05_BBP_config_618.xyz</t>
  </si>
  <si>
    <t>Ag_08_Au_05_BBP_config_619.xyz</t>
  </si>
  <si>
    <t>Ag_08_Au_05_BBP_config_620.xyz</t>
  </si>
  <si>
    <t>Ag_08_Au_05_BBP_config_621.xyz</t>
  </si>
  <si>
    <t>Ag_08_Au_05_BBP_config_622.xyz</t>
  </si>
  <si>
    <t>Ag_08_Au_05_BBP_config_623.xyz</t>
  </si>
  <si>
    <t>Ag_08_Au_05_BBP_config_624.xyz</t>
  </si>
  <si>
    <t>Ag_08_Au_05_BBP_config_625.xyz</t>
  </si>
  <si>
    <t>Ag_08_Au_05_BBP_config_626.xyz</t>
  </si>
  <si>
    <t>Ag_08_Au_05_BBP_config_627.xyz</t>
  </si>
  <si>
    <t>Ag_08_Au_05_BBP_config_628.xyz</t>
  </si>
  <si>
    <t>Ag_08_Au_05_BBP_config_629.xyz</t>
  </si>
  <si>
    <t>Ag_08_Au_05_BBP_config_630.xyz</t>
  </si>
  <si>
    <t>Ag_08_Au_05_BBP_config_631.xyz</t>
  </si>
  <si>
    <t>Ag_08_Au_05_BBP_config_632.xyz</t>
  </si>
  <si>
    <t>Ag_08_Au_05_BBP_config_633.xyz</t>
  </si>
  <si>
    <t>Ag_08_Au_05_BBP_config_634.xyz</t>
  </si>
  <si>
    <t>Ag_08_Au_05_BBP_config_635.xyz</t>
  </si>
  <si>
    <t>Ag_08_Au_05_BBP_config_636.xyz</t>
  </si>
  <si>
    <t>Ag_08_Au_05_BBP_config_637.xyz</t>
  </si>
  <si>
    <t>Ag_08_Au_05_BBP_config_638.xyz</t>
  </si>
  <si>
    <t>Ag_08_Au_05_BBP_config_639.xyz</t>
  </si>
  <si>
    <t>Ag_08_Au_05_BBP_config_640.xyz</t>
  </si>
  <si>
    <t>Ag_08_Au_05_BBP_config_641.xyz</t>
  </si>
  <si>
    <t>Ag_08_Au_05_BBP_config_642.xyz</t>
  </si>
  <si>
    <t>Ag_08_Au_05_BBP_config_643.xyz</t>
  </si>
  <si>
    <t>Configs_9_of_13</t>
  </si>
  <si>
    <t>Ag_09_Au_04_BBP_config_301.xyz</t>
  </si>
  <si>
    <t>Ag_09_Au_04_BBP_config_302.xyz</t>
  </si>
  <si>
    <t>Ag_09_Au_04_BBP_config_303.xyz</t>
  </si>
  <si>
    <t>Ag_09_Au_04_BBP_config_304.xyz</t>
  </si>
  <si>
    <t>Ag_09_Au_04_BBP_config_305.xyz</t>
  </si>
  <si>
    <t>Ag_09_Au_04_BBP_config_306.xyz</t>
  </si>
  <si>
    <t>Ag_09_Au_04_BBP_config_307.xyz</t>
  </si>
  <si>
    <t>Ag_09_Au_04_BBP_config_308.xyz</t>
  </si>
  <si>
    <t>Ag_09_Au_04_BBP_config_309.xyz</t>
  </si>
  <si>
    <t>Ag_09_Au_04_BBP_config_310.xyz</t>
  </si>
  <si>
    <t>Ag_09_Au_04_BBP_config_311.xyz</t>
  </si>
  <si>
    <t>Ag_09_Au_04_BBP_config_312.xyz</t>
  </si>
  <si>
    <t>Ag_09_Au_04_BBP_config_313.xyz</t>
  </si>
  <si>
    <t>Ag_09_Au_04_BBP_config_314.xyz</t>
  </si>
  <si>
    <t>Ag_09_Au_04_BBP_config_315.xyz</t>
  </si>
  <si>
    <t>Ag_09_Au_04_BBP_config_316.xyz</t>
  </si>
  <si>
    <t>Ag_09_Au_04_BBP_config_317.xyz</t>
  </si>
  <si>
    <t>Ag_09_Au_04_BBP_config_318.xyz</t>
  </si>
  <si>
    <t>Ag_09_Au_04_BBP_config_319.xyz</t>
  </si>
  <si>
    <t>Ag_09_Au_04_BBP_config_320.xyz</t>
  </si>
  <si>
    <t>Ag_09_Au_04_BBP_config_321.xyz</t>
  </si>
  <si>
    <t>Ag_09_Au_04_BBP_config_322.xyz</t>
  </si>
  <si>
    <t>Ag_09_Au_04_BBP_config_323.xyz</t>
  </si>
  <si>
    <t>Ag_09_Au_04_BBP_config_324.xyz</t>
  </si>
  <si>
    <t>Ag_09_Au_04_BBP_config_325.xyz</t>
  </si>
  <si>
    <t>Ag_09_Au_04_BBP_config_326.xyz</t>
  </si>
  <si>
    <t>Ag_09_Au_04_BBP_config_327.xyz</t>
  </si>
  <si>
    <t>Ag_09_Au_04_BBP_config_328.xyz</t>
  </si>
  <si>
    <t>Ag_09_Au_04_BBP_config_329.xyz</t>
  </si>
  <si>
    <t>Ag_09_Au_04_BBP_config_330.xyz</t>
  </si>
  <si>
    <t>Ag_09_Au_04_BBP_config_331.xyz</t>
  </si>
  <si>
    <t>Ag_09_Au_04_BBP_config_332.xyz</t>
  </si>
  <si>
    <t>Ag_09_Au_04_BBP_config_333.xyz</t>
  </si>
  <si>
    <t>Ag_09_Au_04_BBP_config_334.xyz</t>
  </si>
  <si>
    <t>Ag_09_Au_04_BBP_config_335.xyz</t>
  </si>
  <si>
    <t>Ag_09_Au_04_BBP_config_336.xyz</t>
  </si>
  <si>
    <t>Ag_09_Au_04_BBP_config_337.xyz</t>
  </si>
  <si>
    <t>Ag_09_Au_04_BBP_config_338.xyz</t>
  </si>
  <si>
    <t>Ag_09_Au_04_BBP_config_339.xyz</t>
  </si>
  <si>
    <t>Ag_09_Au_04_BBP_config_340.xyz</t>
  </si>
  <si>
    <t>Ag_09_Au_04_BBP_config_341.xyz</t>
  </si>
  <si>
    <t>Ag_09_Au_04_BBP_config_342.xyz</t>
  </si>
  <si>
    <t>Ag_09_Au_04_BBP_config_343.xyz</t>
  </si>
  <si>
    <t>Ag_09_Au_04_BBP_config_344.xyz</t>
  </si>
  <si>
    <t>Ag_09_Au_04_BBP_config_345.xyz</t>
  </si>
  <si>
    <t>Ag_09_Au_04_BBP_config_346.xyz</t>
  </si>
  <si>
    <t>Ag_09_Au_04_BBP_config_347.xyz</t>
  </si>
  <si>
    <t>Ag_09_Au_04_BBP_config_348.xyz</t>
  </si>
  <si>
    <t>Ag_09_Au_04_BBP_config_349.xyz</t>
  </si>
  <si>
    <t>Ag_09_Au_04_BBP_config_350.xyz</t>
  </si>
  <si>
    <t>Ag_09_Au_04_BBP_config_351.xyz</t>
  </si>
  <si>
    <t>Ag_09_Au_04_BBP_config_352.xyz</t>
  </si>
  <si>
    <t>Ag_09_Au_04_BBP_config_353.xyz</t>
  </si>
  <si>
    <t>Ag_09_Au_04_BBP_config_354.xyz</t>
  </si>
  <si>
    <t>Ag_09_Au_04_BBP_config_355.xyz</t>
  </si>
  <si>
    <t>Ag_09_Au_04_BBP_config_356.xyz</t>
  </si>
  <si>
    <t>Ag_09_Au_04_BBP_config_357.xyz</t>
  </si>
  <si>
    <t>Ag_09_Au_04_BBP_config_358.xyz</t>
  </si>
  <si>
    <t>Ag_09_Au_04_BBP_config_359.xyz</t>
  </si>
  <si>
    <t>Ag_09_Au_04_BBP_config_360.xyz</t>
  </si>
  <si>
    <t>Ag_09_Au_04_BBP_config_361.xyz</t>
  </si>
  <si>
    <t>Ag_09_Au_04_BBP_config_362.xyz</t>
  </si>
  <si>
    <t>Ag_09_Au_04_BBP_config_363.xyz</t>
  </si>
  <si>
    <t>Ag_09_Au_04_BBP_config_364.xyz</t>
  </si>
  <si>
    <t>Ag_09_Au_04_BBP_config_365.xyz</t>
  </si>
  <si>
    <t>Ag_09_Au_04_BBP_config_366.xyz</t>
  </si>
  <si>
    <t>Ag_09_Au_04_BBP_config_367.xyz</t>
  </si>
  <si>
    <t>Ag_09_Au_04_BBP_config_368.xyz</t>
  </si>
  <si>
    <t>Ag_09_Au_04_BBP_config_369.xyz</t>
  </si>
  <si>
    <t>Ag_09_Au_04_BBP_config_370.xyz</t>
  </si>
  <si>
    <t>Ag_09_Au_04_BBP_config_371.xyz</t>
  </si>
  <si>
    <t>Ag_09_Au_04_BBP_config_372.xyz</t>
  </si>
  <si>
    <t>Ag_09_Au_04_BBP_config_373.xyz</t>
  </si>
  <si>
    <t>Ag_09_Au_04_BBP_config_374.xyz</t>
  </si>
  <si>
    <t>Ag_09_Au_04_BBP_config_375.xyz</t>
  </si>
  <si>
    <t>Ag_09_Au_04_BBP_config_376.xyz</t>
  </si>
  <si>
    <t>Ag_09_Au_04_BBP_config_377.xyz</t>
  </si>
  <si>
    <t>Ag_09_Au_04_BBP_config_378.xyz</t>
  </si>
  <si>
    <t>Ag_09_Au_04_BBP_config_379.xyz</t>
  </si>
  <si>
    <t>Ag_09_Au_04_BBP_config_380.xyz</t>
  </si>
  <si>
    <t>Ag_09_Au_04_BBP_config_381.xyz</t>
  </si>
  <si>
    <t>Ag_09_Au_04_BBP_config_382.xyz</t>
  </si>
  <si>
    <t>Ag_09_Au_04_BBP_config_383.xyz</t>
  </si>
  <si>
    <t>Ag_09_Au_04_BBP_config_384.xyz</t>
  </si>
  <si>
    <t>Ag_09_Au_04_BBP_config_385.xyz</t>
  </si>
  <si>
    <t>Ag_09_Au_04_BBP_config_386.xyz</t>
  </si>
  <si>
    <t>Ag_09_Au_04_BBP_config_387.xyz</t>
  </si>
  <si>
    <t>Ag_09_Au_04_BBP_config_388.xyz</t>
  </si>
  <si>
    <t>Ag_09_Au_04_BBP_config_389.xyz</t>
  </si>
  <si>
    <t>Ag_09_Au_04_BBP_config_390.xyz</t>
  </si>
  <si>
    <t>Ag_09_Au_04_BBP_config_391.xyz</t>
  </si>
  <si>
    <t>Ag_09_Au_04_BBP_config_392.xyz</t>
  </si>
  <si>
    <t>Ag_09_Au_04_BBP_config_393.xyz</t>
  </si>
  <si>
    <t>Ag_09_Au_04_BBP_config_394.xyz</t>
  </si>
  <si>
    <t>Ag_09_Au_04_BBP_config_395.xyz</t>
  </si>
  <si>
    <t>Ag_09_Au_04_BBP_config_396.xyz</t>
  </si>
  <si>
    <t>Ag_09_Au_04_BBP_config_397.xyz</t>
  </si>
  <si>
    <t>Ag_09_Au_04_BBP_config_398.xyz</t>
  </si>
  <si>
    <t>Ag_09_Au_04_BBP_config_399.xyz</t>
  </si>
  <si>
    <t>Ag_09_Au_04_BBP_config_400.xyz</t>
  </si>
  <si>
    <t>Ag_09_Au_04_BBP_config_401.xyz</t>
  </si>
  <si>
    <t>Ag_09_Au_04_BBP_config_402.xyz</t>
  </si>
  <si>
    <t>Ag_09_Au_04_BBP_config_403.xyz</t>
  </si>
  <si>
    <t>Ag_09_Au_04_BBP_config_404.xyz</t>
  </si>
  <si>
    <t>Ag_09_Au_04_BBP_config_405.xyz</t>
  </si>
  <si>
    <t>Ag_09_Au_04_BBP_config_406.xyz</t>
  </si>
  <si>
    <t>Ag_09_Au_04_BBP_config_407.xyz</t>
  </si>
  <si>
    <t>Ag_09_Au_04_BBP_config_408.xyz</t>
  </si>
  <si>
    <t>Ag_09_Au_04_BBP_config_409.xyz</t>
  </si>
  <si>
    <t>Ag_09_Au_04_BBP_config_410.xyz</t>
  </si>
  <si>
    <t>Ag_09_Au_04_BBP_config_411.xyz</t>
  </si>
  <si>
    <t>Ag_09_Au_04_BBP_config_412.xyz</t>
  </si>
  <si>
    <t>Ag_09_Au_04_BBP_config_413.xyz</t>
  </si>
  <si>
    <t>Ag_09_Au_04_BBP_config_414.xyz</t>
  </si>
  <si>
    <t>Ag_09_Au_04_BBP_config_415.xyz</t>
  </si>
  <si>
    <t>Ag_09_Au_04_BBP_config_416.xyz</t>
  </si>
  <si>
    <t>Ag_09_Au_04_BBP_config_417.xyz</t>
  </si>
  <si>
    <t>Ag_09_Au_04_BBP_config_418.xyz</t>
  </si>
  <si>
    <t>Ag_09_Au_04_BBP_config_419.xyz</t>
  </si>
  <si>
    <t>Ag_09_Au_04_BBP_config_420.xyz</t>
  </si>
  <si>
    <t>Ag_09_Au_04_BBP_config_421.xyz</t>
  </si>
  <si>
    <t>Ag_09_Au_04_BBP_config_422.xyz</t>
  </si>
  <si>
    <t>Ag_09_Au_04_BBP_config_423.xyz</t>
  </si>
  <si>
    <t>Ag_09_Au_04_BBP_config_424.xyz</t>
  </si>
  <si>
    <t>Ag_09_Au_04_BBP_config_425.xyz</t>
  </si>
  <si>
    <t>Ag_09_Au_04_BBP_config_426.xyz</t>
  </si>
  <si>
    <t>Ag_09_Au_04_BBP_config_427.xyz</t>
  </si>
  <si>
    <t>Ag_09_Au_04_BBP_config_428.xyz</t>
  </si>
  <si>
    <t>Ag_09_Au_04_BBP_config_429.xyz</t>
  </si>
  <si>
    <t>Ag_09_Au_04_BBP_config_430.xyz</t>
  </si>
  <si>
    <t>Ag_09_Au_04_BBP_config_431.xyz</t>
  </si>
  <si>
    <t>Ag_09_Au_04_BBP_config_432.xyz</t>
  </si>
  <si>
    <t>Ag_09_Au_04_BBP_config_433.xyz</t>
  </si>
  <si>
    <t>Ag_09_Au_04_BBP_config_434.xyz</t>
  </si>
  <si>
    <t>Ag_09_Au_04_BBP_config_435.xyz</t>
  </si>
  <si>
    <t>Ag_09_Au_04_BBP_config_436.xyz</t>
  </si>
  <si>
    <t>Ag_09_Au_04_BBP_config_437.xyz</t>
  </si>
  <si>
    <t>Ag_09_Au_04_BBP_config_438.xyz</t>
  </si>
  <si>
    <t>Ag_09_Au_04_BBP_config_439.xyz</t>
  </si>
  <si>
    <t>Ag_09_Au_04_BBP_config_440.xyz</t>
  </si>
  <si>
    <t>Ag_09_Au_04_BBP_config_441.xyz</t>
  </si>
  <si>
    <t>Ag_09_Au_04_BBP_config_442.xyz</t>
  </si>
  <si>
    <t>Ag_09_Au_04_BBP_config_443.xyz</t>
  </si>
  <si>
    <t>Ag_09_Au_04_BBP_config_444.xyz</t>
  </si>
  <si>
    <t>Ag_09_Au_04_BBP_config_445.xyz</t>
  </si>
  <si>
    <t>Ag_09_Au_04_BBP_config_446.xyz</t>
  </si>
  <si>
    <t>Ag_09_Au_04_BBP_config_447.xyz</t>
  </si>
  <si>
    <t>Ag_09_Au_04_BBP_config_448.xyz</t>
  </si>
  <si>
    <t>Ag_09_Au_04_BBP_config_449.xyz</t>
  </si>
  <si>
    <t>Ag_09_Au_04_BBP_config_450.xyz</t>
  </si>
  <si>
    <t>Ag_09_Au_04_BBP_config_451.xyz</t>
  </si>
  <si>
    <t>Ag_09_Au_04_BBP_config_452.xyz</t>
  </si>
  <si>
    <t>Ag_09_Au_04_BBP_config_453.xyz</t>
  </si>
  <si>
    <t>Ag_09_Au_04_BBP_config_454.xyz</t>
  </si>
  <si>
    <t>Ag_09_Au_04_BBP_config_455.xyz</t>
  </si>
  <si>
    <t>Ag_09_Au_04_BBP_config_456.xyz</t>
  </si>
  <si>
    <t>Ag_09_Au_04_BBP_config_457.xyz</t>
  </si>
  <si>
    <t>Ag_09_Au_04_BBP_config_458.xyz</t>
  </si>
  <si>
    <t>Ag_09_Au_04_BBP_config_459.xyz</t>
  </si>
  <si>
    <t>Ag_09_Au_04_BBP_config_460.xyz</t>
  </si>
  <si>
    <t>Ag_09_Au_04_BBP_config_461.xyz</t>
  </si>
  <si>
    <t>Ag_09_Au_04_BBP_config_462.xyz</t>
  </si>
  <si>
    <t>Ag_09_Au_04_BBP_config_463.xyz</t>
  </si>
  <si>
    <t>Ag_09_Au_04_BBP_config_464.xyz</t>
  </si>
  <si>
    <t>Ag_09_Au_04_BBP_config_465.xyz</t>
  </si>
  <si>
    <t>Ag_09_Au_04_BBP_config_466.xyz</t>
  </si>
  <si>
    <t>Ag_09_Au_04_BBP_config_467.xyz</t>
  </si>
  <si>
    <t>Ag_09_Au_04_BBP_config_468.xyz</t>
  </si>
  <si>
    <t>Ag_09_Au_04_BBP_config_469.xyz</t>
  </si>
  <si>
    <t>Ag_09_Au_04_BBP_config_470.xyz</t>
  </si>
  <si>
    <t>Ag_09_Au_04_BBP_config_471.xyz</t>
  </si>
  <si>
    <t>Ag_09_Au_04_BBP_config_472.xyz</t>
  </si>
  <si>
    <t>Ag_09_Au_04_BBP_config_473.xyz</t>
  </si>
  <si>
    <t>Ag_09_Au_04_BBP_config_474.xyz</t>
  </si>
  <si>
    <t>Ag_09_Au_04_BBP_config_475.xyz</t>
  </si>
  <si>
    <t>Ag_09_Au_04_BBP_config_476.xyz</t>
  </si>
  <si>
    <t>Ag_09_Au_04_BBP_config_477.xyz</t>
  </si>
  <si>
    <t>Ag_09_Au_04_BBP_config_478.xyz</t>
  </si>
  <si>
    <t>Ag_09_Au_04_BBP_config_479.xyz</t>
  </si>
  <si>
    <t>Ag_09_Au_04_BBP_config_480.xyz</t>
  </si>
  <si>
    <t>Ag_09_Au_04_BBP_config_481.xyz</t>
  </si>
  <si>
    <t>Ag_09_Au_04_BBP_config_482.xyz</t>
  </si>
  <si>
    <t>Ag_09_Au_04_BBP_config_483.xyz</t>
  </si>
  <si>
    <t>Ag_09_Au_04_BBP_config_484.xyz</t>
  </si>
  <si>
    <t>Ag_09_Au_04_BBP_config_485_LE.xyz</t>
  </si>
  <si>
    <t>Ag_09_Au_04_BBP_config_486.xyz</t>
  </si>
  <si>
    <t>Ag_09_Au_04_BBP_config_487.xyz</t>
  </si>
  <si>
    <t>Ag_09_Au_04_BBP_config_488.xyz</t>
  </si>
  <si>
    <t>Ag_09_Au_04_BBP_config_489.xyz</t>
  </si>
  <si>
    <t>Ag_09_Au_04_BBP_config_490.xyz</t>
  </si>
  <si>
    <t>Ag_09_Au_04_BBP_config_491.xyz</t>
  </si>
  <si>
    <t>Ag_09_Au_04_BBP_config_492.xyz</t>
  </si>
  <si>
    <t>Ag_09_Au_04_BBP_config_493.xyz</t>
  </si>
  <si>
    <t>Ag_09_Au_04_BBP_config_494.xyz</t>
  </si>
  <si>
    <t>Ag_09_Au_04_BBP_config_495.xyz</t>
  </si>
  <si>
    <t>Configs_10_of_13</t>
  </si>
  <si>
    <t>Ag_10_Au_03_BBP_config_301.xyz</t>
  </si>
  <si>
    <t>Ag_10_Au_03_BBP_config_302.xyz</t>
  </si>
  <si>
    <t>Ag_10_Au_03_BBP_config_303.xyz</t>
  </si>
  <si>
    <t>Ag_10_Au_03_BBP_config_304.xyz</t>
  </si>
  <si>
    <t>Ag_10_Au_03_BBP_config_305.xyz</t>
  </si>
  <si>
    <t>Ag_10_Au_03_BBP_config_306.xyz</t>
  </si>
  <si>
    <t>Ag_10_Au_03_BBP_config_307.xyz</t>
  </si>
  <si>
    <t>Ag_10_Au_03_BBP_config_308.xyz</t>
  </si>
  <si>
    <t>Ag_10_Au_03_BBP_config_309.xyz</t>
  </si>
  <si>
    <t>Ag_10_Au_03_BBP_config_310.xyz</t>
  </si>
  <si>
    <t>Ag_10_Au_03_BBP_config_311.xyz</t>
  </si>
  <si>
    <t>Ag_10_Au_03_BBP_config_312.xyz</t>
  </si>
  <si>
    <t>Ag_10_Au_03_BBP_config_313.xyz</t>
  </si>
  <si>
    <t>Ag_10_Au_03_BBP_config_314.xyz</t>
  </si>
  <si>
    <t>Ag_10_Au_03_BBP_config_315.xyz</t>
  </si>
  <si>
    <t>Ag_10_Au_03_BBP_config_316.xyz</t>
  </si>
  <si>
    <t>Ag_10_Au_03_BBP_config_317.xyz</t>
  </si>
  <si>
    <t>Ag_10_Au_03_BBP_config_318.xyz</t>
  </si>
  <si>
    <t>Ag_10_Au_03_BBP_config_319.xyz</t>
  </si>
  <si>
    <t>Ag_10_Au_03_BBP_config_320.xyz</t>
  </si>
  <si>
    <t>Ag_10_Au_03_BBP_config_321.xyz</t>
  </si>
  <si>
    <t>Ag_10_Au_03_BBP_config_322.xyz</t>
  </si>
  <si>
    <t>Ag_10_Au_03_BBP_config_323.xyz</t>
  </si>
  <si>
    <t>Ag_10_Au_03_BBP_config_324.xyz</t>
  </si>
  <si>
    <t>Ag_10_Au_03_BBP_config_325.xyz</t>
  </si>
  <si>
    <t>Ag_10_Au_03_BBP_config_326.xyz</t>
  </si>
  <si>
    <t>Ag_10_Au_03_BBP_config_327.xyz</t>
  </si>
  <si>
    <t>Ag_10_Au_03_BBP_config_328.xyz</t>
  </si>
  <si>
    <t>Ag_10_Au_03_BBP_config_329.xyz</t>
  </si>
  <si>
    <t>Ag_10_Au_03_BBP_config_330.xyz</t>
  </si>
  <si>
    <t>Ag_10_Au_03_BBP_config_331.xyz</t>
  </si>
  <si>
    <t>Ag_10_Au_03_BBP_config_332.xyz</t>
  </si>
  <si>
    <t>Ag_10_Au_03_BBP_config_333.xyz</t>
  </si>
  <si>
    <t>Ag_10_Au_03_BBP_config_334.xyz</t>
  </si>
  <si>
    <t>Ag_10_Au_03_BBP_config_335.xyz</t>
  </si>
  <si>
    <t>Ag_10_Au_03_BBP_config_336.xyz</t>
  </si>
  <si>
    <t>Ag_10_Au_03_BBP_config_337.xyz</t>
  </si>
  <si>
    <t>Ag_10_Au_03_BBP_config_338.xyz</t>
  </si>
  <si>
    <t>Ag_10_Au_03_BBP_config_339.xyz</t>
  </si>
  <si>
    <t>Ag_10_Au_03_BBP_config_340.xyz</t>
  </si>
  <si>
    <t>Ag_10_Au_03_BBP_config_341.xyz</t>
  </si>
  <si>
    <t>Ag_10_Au_03_BBP_config_342.xyz</t>
  </si>
  <si>
    <t>Ag_10_Au_03_BBP_config_343.xyz</t>
  </si>
  <si>
    <t>Ag_10_Au_03_BBP_config_344.xyz</t>
  </si>
  <si>
    <t>Ag_10_Au_03_BBP_config_345.xyz</t>
  </si>
  <si>
    <t>Ag_10_Au_03_BBP_config_346.xyz</t>
  </si>
  <si>
    <t>Ag_10_Au_03_BBP_config_347.xyz</t>
  </si>
  <si>
    <t>Ag_10_Au_03_BBP_config_348.xyz</t>
  </si>
  <si>
    <t>Ag_10_Au_03_BBP_config_349.xyz</t>
  </si>
  <si>
    <t>Ag_10_Au_03_BBP_config_350.xyz</t>
  </si>
  <si>
    <t>Ag_10_Au_03_BBP_config_351.xyz</t>
  </si>
  <si>
    <t>Ag_10_Au_03_BBP_config_352.xyz</t>
  </si>
  <si>
    <t>Ag_10_Au_03_BBP_config_353.xyz</t>
  </si>
  <si>
    <t>Ag_10_Au_03_BBP_config_354.xyz</t>
  </si>
  <si>
    <t>Ag_10_Au_03_BBP_config_355.xyz</t>
  </si>
  <si>
    <t>Ag_10_Au_03_BBP_config_356.xyz</t>
  </si>
  <si>
    <t>Ag_10_Au_03_BBP_config_357.xyz</t>
  </si>
  <si>
    <t>Ag_10_Au_03_BBP_config_358.xyz</t>
  </si>
  <si>
    <t>Ag_10_Au_03_BBP_config_359.xyz</t>
  </si>
  <si>
    <t>Ag_10_Au_03_BBP_config_360.xyz</t>
  </si>
  <si>
    <t>Ag_10_Au_03_BBP_config_361.xyz</t>
  </si>
  <si>
    <t>Ag_10_Au_03_BBP_config_362.xyz</t>
  </si>
  <si>
    <t>Ag_10_Au_03_BBP_config_363.xyz</t>
  </si>
  <si>
    <t>Ag_10_Au_03_BBP_config_364.xyz</t>
  </si>
  <si>
    <t>Ag_10_Au_03_BBP_config_365.xyz</t>
  </si>
  <si>
    <t>Ag_10_Au_03_BBP_config_366.xyz</t>
  </si>
  <si>
    <t>Ag_10_Au_03_BBP_config_367.xyz</t>
  </si>
  <si>
    <t>Ag_10_Au_03_BBP_config_368_LE.xyz</t>
  </si>
  <si>
    <t>Ag_10_Au_03_BBP_config_369.xyz</t>
  </si>
  <si>
    <t>Ag_10_Au_03_BBP_config_370.xyz</t>
  </si>
  <si>
    <t>Ag_10_Au_03_BBP_config_371.xyz</t>
  </si>
  <si>
    <t>Ag_10_Au_03_BBP_config_372.xyz</t>
  </si>
  <si>
    <t>Ag_10_Au_03_BBP_config_373.xyz</t>
  </si>
  <si>
    <t>Ag_10_Au_03_BBP_config_374.xyz</t>
  </si>
  <si>
    <t>Ag_10_Au_03_BBP_config_375.xyz</t>
  </si>
  <si>
    <t>Ag_10_Au_03_BBP_config_376.xyz</t>
  </si>
  <si>
    <t>Ag_10_Au_03_BBP_config_377.xyz</t>
  </si>
  <si>
    <t>Ag_10_Au_03_BBP_config_378.xyz</t>
  </si>
  <si>
    <t>Ag_10_Au_03_BBP_config_379.xyz</t>
  </si>
  <si>
    <t>Ag_10_Au_03_BBP_config_380.xyz</t>
  </si>
  <si>
    <t>Ag_10_Au_03_BBP_config_381.xyz</t>
  </si>
  <si>
    <t>Configs_11_of_13</t>
  </si>
  <si>
    <t>Ag_11_Au_02_BBP_config_301.xyz</t>
  </si>
  <si>
    <t>Ag_11_Au_02_BBP_config_302.xyz</t>
  </si>
  <si>
    <t>Ag_11_Au_02_BBP_config_303.xyz</t>
  </si>
  <si>
    <t>Ag_11_Au_02_BBP_config_304.xyz</t>
  </si>
  <si>
    <t>Ag_11_Au_02_BBP_config_305.xyz</t>
  </si>
  <si>
    <t>Ag_11_Au_02_BBP_config_306.xyz</t>
  </si>
  <si>
    <t>Ag_11_Au_02_BBP_config_307.xyz</t>
  </si>
  <si>
    <t>Ag_11_Au_02_BBP_config_308.xyz</t>
  </si>
  <si>
    <t>Ag_11_Au_02_BBP_config_309.xyz</t>
  </si>
  <si>
    <t>Ag_11_Au_02_BBP_config_310.xyz</t>
  </si>
  <si>
    <t>Ag_11_Au_02_BBP_config_311.xyz</t>
  </si>
  <si>
    <t>Ag_11_Au_02_BBP_config_312_LE.xyz</t>
  </si>
  <si>
    <t>Ag_11_Au_02_BBP_config_313.xyz</t>
  </si>
  <si>
    <t>Ag_11_Au_02_BBP_config_314.xyz</t>
  </si>
  <si>
    <t>Ag_11_Au_02_BBP_config_315.xyz</t>
  </si>
  <si>
    <t>Ag_11_Au_02_BBP_config_316.xyz</t>
  </si>
  <si>
    <t>Ag_11_Au_02_BBP_config_317.xyz</t>
  </si>
  <si>
    <t>Ag_11_Au_02_BBP_config_318.xyz</t>
  </si>
  <si>
    <t>Ag_11_Au_02_BBP_config_319.xyz</t>
  </si>
  <si>
    <t>Ag_11_Au_02_BBP_config_320.xyz</t>
  </si>
  <si>
    <t>Ag_11_Au_02_BBP_config_321.xyz</t>
  </si>
  <si>
    <t>Ag_11_Au_02_BBP_config_322.xyz</t>
  </si>
  <si>
    <t>Ag_11_Au_02_BBP_config_323.xyz</t>
  </si>
  <si>
    <t>Ag_11_Au_02_BBP_config_324.xyz</t>
  </si>
  <si>
    <t>Ag_11_Au_02_BBP_config_325.xyz</t>
  </si>
  <si>
    <t>Configs_12_of_13</t>
  </si>
  <si>
    <t>Ag_12_Au_01_BBP_config_301.xyz</t>
  </si>
  <si>
    <t>Ag_12_Au_01_BBP_config_302.xyz</t>
  </si>
  <si>
    <t>Ag_12_Au_01_BBP_config_303_LE.xyz</t>
  </si>
  <si>
    <t>Ag_12_Au_01_BBP_config_304.xyz</t>
  </si>
  <si>
    <t>Ag_12_Au_01_BBP_config_305.xyz</t>
  </si>
  <si>
    <t>Configs_13_of_13</t>
  </si>
  <si>
    <t>Ag_13_Au_00_BBP_config_301_LE.xyz</t>
  </si>
  <si>
    <t>BBP</t>
  </si>
  <si>
    <t>E</t>
  </si>
  <si>
    <t>E_1</t>
  </si>
  <si>
    <t>N_Isomers</t>
  </si>
  <si>
    <t>ExcessEnergy</t>
  </si>
  <si>
    <t>ExcessEnergy/Atom</t>
  </si>
  <si>
    <t>Ag</t>
  </si>
  <si>
    <t>Au</t>
  </si>
  <si>
    <t>AAAAAD+tP4k=</t>
  </si>
  <si>
    <t>Excess(1)</t>
  </si>
  <si>
    <t>Excess</t>
  </si>
  <si>
    <t>*</t>
  </si>
  <si>
    <t>mins(E_Free)</t>
  </si>
  <si>
    <t>Excess(Bulk)</t>
  </si>
  <si>
    <r>
      <t>E</t>
    </r>
    <r>
      <rPr>
        <vertAlign val="subscript"/>
        <sz val="11"/>
        <color rgb="FF000000"/>
        <rFont val="Calibri"/>
        <family val="2"/>
        <charset val="1"/>
      </rPr>
      <t>Bulk</t>
    </r>
  </si>
  <si>
    <t>mins(E_KS(1))</t>
  </si>
  <si>
    <t>E_Bulk</t>
  </si>
  <si>
    <t>EE_Bulk</t>
  </si>
  <si>
    <t>E_0</t>
  </si>
  <si>
    <t>Diff</t>
  </si>
  <si>
    <t>E_Bulk+E0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</si>
</sst>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00"/>
    <numFmt numFmtId="165" formatCode="0.000000"/>
    <numFmt numFmtId="166" formatCode="0.000"/>
    <numFmt numFmtId="167" formatCode="0.0000"/>
    <numFmt numFmtId="168" formatCode="0.0"/>
    <numFmt numFmtId="169" formatCode="0.00000000"/>
    <numFmt numFmtId="172" formatCode="0.0000000"/>
  </numFmts>
  <fonts count="11" x14ac:knownFonts="1">
    <font>
      <sz val="11"/>
      <color rgb="FF000000"/>
      <name val="Calibri"/>
      <family val="2"/>
      <charset val="1"/>
    </font>
    <font>
      <b/>
      <sz val="11"/>
      <color rgb="FFC0504D"/>
      <name val="Calibri"/>
      <family val="2"/>
      <charset val="1"/>
    </font>
    <font>
      <b/>
      <sz val="11"/>
      <color rgb="FF1F497D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sz val="11"/>
      <color rgb="FF1F497D"/>
      <name val="Calibri"/>
      <family val="2"/>
      <charset val="1"/>
    </font>
    <font>
      <sz val="11"/>
      <color rgb="FFFF0000"/>
      <name val="Calibri"/>
      <family val="2"/>
      <charset val="1"/>
    </font>
    <font>
      <b/>
      <sz val="11"/>
      <name val="Calibri"/>
      <family val="2"/>
      <charset val="1"/>
    </font>
    <font>
      <b/>
      <sz val="11"/>
      <color rgb="FFFF0000"/>
      <name val="Calibri"/>
      <family val="2"/>
      <charset val="1"/>
    </font>
    <font>
      <sz val="11"/>
      <color rgb="FFC0504D"/>
      <name val="Calibri"/>
      <family val="2"/>
      <charset val="1"/>
    </font>
    <font>
      <vertAlign val="subscript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7" fontId="1" fillId="0" borderId="0" xfId="0" applyNumberFormat="1" applyFont="1"/>
    <xf numFmtId="0" fontId="2" fillId="0" borderId="0" xfId="0" applyFont="1"/>
    <xf numFmtId="0" fontId="3" fillId="0" borderId="0" xfId="0" applyFont="1"/>
    <xf numFmtId="167" fontId="0" fillId="0" borderId="0" xfId="0" applyNumberFormat="1" applyFont="1"/>
    <xf numFmtId="167" fontId="2" fillId="0" borderId="0" xfId="0" applyNumberFormat="1" applyFont="1"/>
    <xf numFmtId="0" fontId="1" fillId="0" borderId="0" xfId="0" applyFont="1"/>
    <xf numFmtId="2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4" fillId="0" borderId="0" xfId="0" applyFont="1"/>
    <xf numFmtId="167" fontId="4" fillId="0" borderId="0" xfId="0" applyNumberFormat="1" applyFont="1"/>
    <xf numFmtId="165" fontId="4" fillId="0" borderId="0" xfId="0" applyNumberFormat="1" applyFont="1"/>
    <xf numFmtId="168" fontId="4" fillId="0" borderId="0" xfId="0" applyNumberFormat="1" applyFont="1"/>
    <xf numFmtId="169" fontId="4" fillId="0" borderId="0" xfId="0" applyNumberFormat="1" applyFont="1"/>
    <xf numFmtId="167" fontId="3" fillId="0" borderId="0" xfId="0" applyNumberFormat="1" applyFont="1"/>
    <xf numFmtId="165" fontId="2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165" fontId="3" fillId="0" borderId="0" xfId="0" applyNumberFormat="1" applyFont="1"/>
    <xf numFmtId="165" fontId="5" fillId="0" borderId="0" xfId="0" applyNumberFormat="1" applyFont="1"/>
    <xf numFmtId="167" fontId="6" fillId="0" borderId="0" xfId="0" applyNumberFormat="1" applyFont="1"/>
    <xf numFmtId="1" fontId="7" fillId="0" borderId="0" xfId="0" applyNumberFormat="1" applyFont="1"/>
    <xf numFmtId="164" fontId="7" fillId="0" borderId="0" xfId="0" applyNumberFormat="1" applyFont="1"/>
    <xf numFmtId="165" fontId="1" fillId="0" borderId="0" xfId="0" applyNumberFormat="1" applyFont="1"/>
    <xf numFmtId="166" fontId="7" fillId="0" borderId="0" xfId="0" applyNumberFormat="1" applyFont="1"/>
    <xf numFmtId="165" fontId="7" fillId="0" borderId="0" xfId="0" applyNumberFormat="1" applyFont="1"/>
    <xf numFmtId="0" fontId="7" fillId="0" borderId="0" xfId="0" applyFont="1"/>
    <xf numFmtId="1" fontId="0" fillId="0" borderId="0" xfId="0" applyNumberFormat="1"/>
    <xf numFmtId="164" fontId="2" fillId="0" borderId="0" xfId="0" applyNumberFormat="1" applyFont="1"/>
    <xf numFmtId="166" fontId="3" fillId="0" borderId="0" xfId="0" applyNumberFormat="1" applyFont="1"/>
    <xf numFmtId="0" fontId="0" fillId="0" borderId="0" xfId="0" applyFont="1" applyAlignment="1">
      <alignment horizontal="center"/>
    </xf>
    <xf numFmtId="164" fontId="4" fillId="0" borderId="0" xfId="0" applyNumberFormat="1" applyFont="1"/>
    <xf numFmtId="166" fontId="4" fillId="0" borderId="0" xfId="0" applyNumberFormat="1" applyFont="1"/>
    <xf numFmtId="164" fontId="1" fillId="0" borderId="0" xfId="0" applyNumberFormat="1" applyFont="1"/>
    <xf numFmtId="1" fontId="3" fillId="0" borderId="0" xfId="0" applyNumberFormat="1" applyFont="1"/>
    <xf numFmtId="0" fontId="0" fillId="0" borderId="0" xfId="0"/>
    <xf numFmtId="165" fontId="0" fillId="0" borderId="0" xfId="0" applyNumberFormat="1"/>
    <xf numFmtId="166" fontId="0" fillId="0" borderId="0" xfId="0" applyNumberFormat="1"/>
    <xf numFmtId="0" fontId="0" fillId="0" borderId="0" xfId="0" applyFont="1"/>
    <xf numFmtId="0" fontId="0" fillId="0" borderId="0" xfId="0" applyFont="1"/>
    <xf numFmtId="0" fontId="3" fillId="2" borderId="0" xfId="0" applyFont="1" applyFill="1"/>
    <xf numFmtId="167" fontId="3" fillId="2" borderId="0" xfId="0" applyNumberFormat="1" applyFont="1" applyFill="1"/>
    <xf numFmtId="165" fontId="0" fillId="2" borderId="0" xfId="0" applyNumberFormat="1" applyFill="1"/>
    <xf numFmtId="0" fontId="0" fillId="2" borderId="0" xfId="0" applyFill="1"/>
    <xf numFmtId="166" fontId="0" fillId="2" borderId="0" xfId="0" applyNumberFormat="1" applyFill="1"/>
    <xf numFmtId="164" fontId="0" fillId="2" borderId="0" xfId="0" applyNumberFormat="1" applyFill="1"/>
    <xf numFmtId="164" fontId="3" fillId="0" borderId="0" xfId="0" applyNumberFormat="1" applyFont="1"/>
    <xf numFmtId="167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7" fontId="0" fillId="0" borderId="0" xfId="0" applyNumberFormat="1"/>
    <xf numFmtId="0" fontId="0" fillId="0" borderId="0" xfId="0" applyAlignment="1">
      <alignment horizontal="left"/>
    </xf>
    <xf numFmtId="0" fontId="8" fillId="0" borderId="0" xfId="0" applyFont="1"/>
    <xf numFmtId="0" fontId="8" fillId="0" borderId="0" xfId="0" applyFont="1" applyAlignment="1">
      <alignment horizontal="left"/>
    </xf>
    <xf numFmtId="165" fontId="8" fillId="0" borderId="0" xfId="0" applyNumberFormat="1" applyFont="1"/>
    <xf numFmtId="0" fontId="0" fillId="0" borderId="0" xfId="0"/>
    <xf numFmtId="2" fontId="3" fillId="0" borderId="0" xfId="0" applyNumberFormat="1" applyFont="1"/>
    <xf numFmtId="2" fontId="7" fillId="0" borderId="0" xfId="0" applyNumberFormat="1" applyFont="1"/>
    <xf numFmtId="167" fontId="7" fillId="0" borderId="0" xfId="0" applyNumberFormat="1" applyFont="1"/>
    <xf numFmtId="164" fontId="9" fillId="0" borderId="0" xfId="0" applyNumberFormat="1" applyFont="1"/>
    <xf numFmtId="2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C0504D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1F497D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xVal>
            <c:numRef>
              <c:f>'BBP complete'!$Z$13:$Z$37</c:f>
              <c:numCache>
                <c:formatCode>0.0000</c:formatCode>
                <c:ptCount val="25"/>
                <c:pt idx="0">
                  <c:v>0.6470588235294118</c:v>
                </c:pt>
                <c:pt idx="1">
                  <c:v>0.65714285714285714</c:v>
                </c:pt>
                <c:pt idx="2">
                  <c:v>0.6</c:v>
                </c:pt>
                <c:pt idx="3">
                  <c:v>0.61111111111111116</c:v>
                </c:pt>
                <c:pt idx="4">
                  <c:v>0.6875</c:v>
                </c:pt>
                <c:pt idx="5">
                  <c:v>0.6875</c:v>
                </c:pt>
                <c:pt idx="6">
                  <c:v>0.67647058823529416</c:v>
                </c:pt>
                <c:pt idx="7">
                  <c:v>0.67647058823529416</c:v>
                </c:pt>
                <c:pt idx="8">
                  <c:v>0.63636363636363635</c:v>
                </c:pt>
                <c:pt idx="9">
                  <c:v>0.73529411764705888</c:v>
                </c:pt>
                <c:pt idx="10">
                  <c:v>0.71875</c:v>
                </c:pt>
                <c:pt idx="11">
                  <c:v>0.625</c:v>
                </c:pt>
                <c:pt idx="12">
                  <c:v>0.69696969696969702</c:v>
                </c:pt>
                <c:pt idx="13">
                  <c:v>0.66666666666666663</c:v>
                </c:pt>
                <c:pt idx="14">
                  <c:v>0.65714285714285714</c:v>
                </c:pt>
                <c:pt idx="15">
                  <c:v>0.6470588235294118</c:v>
                </c:pt>
                <c:pt idx="16">
                  <c:v>0.60606060606060608</c:v>
                </c:pt>
                <c:pt idx="17">
                  <c:v>0.76470588235294112</c:v>
                </c:pt>
                <c:pt idx="18">
                  <c:v>0.73529411764705888</c:v>
                </c:pt>
                <c:pt idx="19">
                  <c:v>0.71875</c:v>
                </c:pt>
                <c:pt idx="20">
                  <c:v>0.67647058823529416</c:v>
                </c:pt>
                <c:pt idx="21">
                  <c:v>0.7142857142857143</c:v>
                </c:pt>
                <c:pt idx="22">
                  <c:v>0.70588235294117652</c:v>
                </c:pt>
                <c:pt idx="23">
                  <c:v>0.67647058823529416</c:v>
                </c:pt>
                <c:pt idx="24">
                  <c:v>0.75</c:v>
                </c:pt>
              </c:numCache>
            </c:numRef>
          </c:xVal>
          <c:yVal>
            <c:numRef>
              <c:f>'BBP complete'!$M$13:$M$37</c:f>
              <c:numCache>
                <c:formatCode>0.0000</c:formatCode>
                <c:ptCount val="25"/>
                <c:pt idx="0">
                  <c:v>-2.0384384615681483E-2</c:v>
                </c:pt>
                <c:pt idx="1">
                  <c:v>-0.26228638461543596</c:v>
                </c:pt>
                <c:pt idx="2">
                  <c:v>-0.42747038461493503</c:v>
                </c:pt>
                <c:pt idx="3">
                  <c:v>-0.19616738461445493</c:v>
                </c:pt>
                <c:pt idx="4">
                  <c:v>-0.39732538461430522</c:v>
                </c:pt>
                <c:pt idx="5">
                  <c:v>-0.48544438461431128</c:v>
                </c:pt>
                <c:pt idx="6">
                  <c:v>-0.57740638461473281</c:v>
                </c:pt>
                <c:pt idx="7">
                  <c:v>-0.379375384614832</c:v>
                </c:pt>
                <c:pt idx="8">
                  <c:v>-0.58671038461579883</c:v>
                </c:pt>
                <c:pt idx="9">
                  <c:v>-0.45240938461574842</c:v>
                </c:pt>
                <c:pt idx="10">
                  <c:v>-0.58358638461504597</c:v>
                </c:pt>
                <c:pt idx="11">
                  <c:v>-0.76925538461546239</c:v>
                </c:pt>
                <c:pt idx="12">
                  <c:v>-0.6298363846144639</c:v>
                </c:pt>
                <c:pt idx="13">
                  <c:v>-0.46287638461581082</c:v>
                </c:pt>
                <c:pt idx="14">
                  <c:v>-0.5407833846147696</c:v>
                </c:pt>
                <c:pt idx="15">
                  <c:v>-0.55766638461500406</c:v>
                </c:pt>
                <c:pt idx="16">
                  <c:v>-0.66606538461564924</c:v>
                </c:pt>
                <c:pt idx="17">
                  <c:v>-0.59151338461560954</c:v>
                </c:pt>
                <c:pt idx="18">
                  <c:v>-0.67204238461454224</c:v>
                </c:pt>
                <c:pt idx="19">
                  <c:v>-0.43218938461541256</c:v>
                </c:pt>
                <c:pt idx="20">
                  <c:v>-0.38089738461530942</c:v>
                </c:pt>
                <c:pt idx="21">
                  <c:v>-0.51373938461438229</c:v>
                </c:pt>
                <c:pt idx="22">
                  <c:v>-0.42387338461594481</c:v>
                </c:pt>
                <c:pt idx="23">
                  <c:v>-0.52171438461482467</c:v>
                </c:pt>
                <c:pt idx="24">
                  <c:v>-0.57985638461468625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04288"/>
        <c:axId val="176303168"/>
      </c:scatterChart>
      <c:valAx>
        <c:axId val="176304288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176303168"/>
        <c:crosses val="autoZero"/>
        <c:crossBetween val="midCat"/>
      </c:valAx>
      <c:valAx>
        <c:axId val="176303168"/>
        <c:scaling>
          <c:orientation val="minMax"/>
        </c:scaling>
        <c:delete val="1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00" sourceLinked="1"/>
        <c:majorTickMark val="out"/>
        <c:minorTickMark val="none"/>
        <c:tickLblPos val="nextTo"/>
        <c:crossAx val="176304288"/>
        <c:crosses val="autoZero"/>
        <c:crossBetween val="midCat"/>
      </c:valAx>
      <c:spPr>
        <a:ln>
          <a:solidFill>
            <a:srgbClr val="B3B3B3"/>
          </a:solidFill>
        </a:ln>
      </c:spPr>
    </c:plotArea>
    <c:legend>
      <c:legendPos val="r"/>
      <c:layout/>
      <c:overlay val="1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xVal>
            <c:numRef>
              <c:f>'BBP complete'!$Z$40:$Z$120</c:f>
              <c:numCache>
                <c:formatCode>0.0000</c:formatCode>
                <c:ptCount val="81"/>
                <c:pt idx="0">
                  <c:v>0.55882352941176472</c:v>
                </c:pt>
                <c:pt idx="1">
                  <c:v>0.55882352941176472</c:v>
                </c:pt>
                <c:pt idx="2">
                  <c:v>0.61764705882352944</c:v>
                </c:pt>
                <c:pt idx="3">
                  <c:v>0.6470588235294118</c:v>
                </c:pt>
                <c:pt idx="4">
                  <c:v>0.45714285714285713</c:v>
                </c:pt>
                <c:pt idx="5">
                  <c:v>0.46875</c:v>
                </c:pt>
                <c:pt idx="6">
                  <c:v>0.59375</c:v>
                </c:pt>
                <c:pt idx="7">
                  <c:v>0.52777777777777779</c:v>
                </c:pt>
                <c:pt idx="8">
                  <c:v>0.5714285714285714</c:v>
                </c:pt>
                <c:pt idx="9">
                  <c:v>0.58823529411764708</c:v>
                </c:pt>
                <c:pt idx="10">
                  <c:v>0.55882352941176472</c:v>
                </c:pt>
                <c:pt idx="11">
                  <c:v>0.55882352941176472</c:v>
                </c:pt>
                <c:pt idx="12">
                  <c:v>0.52941176470588236</c:v>
                </c:pt>
                <c:pt idx="13">
                  <c:v>0.58823529411764708</c:v>
                </c:pt>
                <c:pt idx="14">
                  <c:v>0.58823529411764708</c:v>
                </c:pt>
                <c:pt idx="15">
                  <c:v>0.58823529411764708</c:v>
                </c:pt>
                <c:pt idx="16">
                  <c:v>0.54545454545454541</c:v>
                </c:pt>
                <c:pt idx="17">
                  <c:v>0.5</c:v>
                </c:pt>
                <c:pt idx="18">
                  <c:v>0.5</c:v>
                </c:pt>
                <c:pt idx="19">
                  <c:v>0.48571428571428571</c:v>
                </c:pt>
                <c:pt idx="20">
                  <c:v>0.48484848484848486</c:v>
                </c:pt>
                <c:pt idx="21">
                  <c:v>0.52777777777777779</c:v>
                </c:pt>
                <c:pt idx="22">
                  <c:v>0.5625</c:v>
                </c:pt>
                <c:pt idx="23">
                  <c:v>0.61764705882352944</c:v>
                </c:pt>
                <c:pt idx="24">
                  <c:v>0.55882352941176472</c:v>
                </c:pt>
                <c:pt idx="25">
                  <c:v>0.45454545454545453</c:v>
                </c:pt>
                <c:pt idx="26">
                  <c:v>0.54285714285714282</c:v>
                </c:pt>
                <c:pt idx="27">
                  <c:v>0.51428571428571423</c:v>
                </c:pt>
                <c:pt idx="28">
                  <c:v>0.48484848484848486</c:v>
                </c:pt>
                <c:pt idx="29">
                  <c:v>0.54545454545454541</c:v>
                </c:pt>
                <c:pt idx="30">
                  <c:v>0.58823529411764708</c:v>
                </c:pt>
                <c:pt idx="31">
                  <c:v>0.58823529411764708</c:v>
                </c:pt>
                <c:pt idx="32">
                  <c:v>0.52941176470588236</c:v>
                </c:pt>
                <c:pt idx="33">
                  <c:v>0.5757575757575758</c:v>
                </c:pt>
                <c:pt idx="34">
                  <c:v>0.61111111111111116</c:v>
                </c:pt>
                <c:pt idx="35">
                  <c:v>0.53125</c:v>
                </c:pt>
                <c:pt idx="36">
                  <c:v>0.59375</c:v>
                </c:pt>
                <c:pt idx="37">
                  <c:v>0.55555555555555558</c:v>
                </c:pt>
                <c:pt idx="38">
                  <c:v>0.55882352941176472</c:v>
                </c:pt>
                <c:pt idx="39">
                  <c:v>0.53125</c:v>
                </c:pt>
                <c:pt idx="40">
                  <c:v>0.48484848484848486</c:v>
                </c:pt>
                <c:pt idx="41">
                  <c:v>0.5757575757575758</c:v>
                </c:pt>
                <c:pt idx="42">
                  <c:v>0.52941176470588236</c:v>
                </c:pt>
                <c:pt idx="43">
                  <c:v>0.52941176470588236</c:v>
                </c:pt>
                <c:pt idx="44">
                  <c:v>0.58823529411764708</c:v>
                </c:pt>
                <c:pt idx="45">
                  <c:v>0.5757575757575758</c:v>
                </c:pt>
                <c:pt idx="46">
                  <c:v>0.65625</c:v>
                </c:pt>
                <c:pt idx="47">
                  <c:v>0.58823529411764708</c:v>
                </c:pt>
                <c:pt idx="48">
                  <c:v>0.58823529411764708</c:v>
                </c:pt>
                <c:pt idx="49">
                  <c:v>0.52941176470588236</c:v>
                </c:pt>
                <c:pt idx="50">
                  <c:v>0.5625</c:v>
                </c:pt>
                <c:pt idx="51">
                  <c:v>0.55882352941176472</c:v>
                </c:pt>
                <c:pt idx="52">
                  <c:v>0.5625</c:v>
                </c:pt>
                <c:pt idx="53">
                  <c:v>0.58823529411764708</c:v>
                </c:pt>
                <c:pt idx="54">
                  <c:v>0.48571428571428571</c:v>
                </c:pt>
                <c:pt idx="55">
                  <c:v>0.5625</c:v>
                </c:pt>
                <c:pt idx="56">
                  <c:v>0.52941176470588236</c:v>
                </c:pt>
                <c:pt idx="57">
                  <c:v>0.48571428571428571</c:v>
                </c:pt>
                <c:pt idx="58">
                  <c:v>0.55882352941176472</c:v>
                </c:pt>
                <c:pt idx="59">
                  <c:v>0.52941176470588236</c:v>
                </c:pt>
                <c:pt idx="60">
                  <c:v>0.47222222222222221</c:v>
                </c:pt>
                <c:pt idx="61">
                  <c:v>0.5</c:v>
                </c:pt>
                <c:pt idx="62">
                  <c:v>0.54285714285714282</c:v>
                </c:pt>
                <c:pt idx="63">
                  <c:v>0.6470588235294118</c:v>
                </c:pt>
                <c:pt idx="64">
                  <c:v>0.54285714285714282</c:v>
                </c:pt>
                <c:pt idx="65">
                  <c:v>0.54285714285714282</c:v>
                </c:pt>
                <c:pt idx="66">
                  <c:v>0.54285714285714282</c:v>
                </c:pt>
                <c:pt idx="67">
                  <c:v>0.5</c:v>
                </c:pt>
                <c:pt idx="68">
                  <c:v>0.58823529411764708</c:v>
                </c:pt>
                <c:pt idx="69">
                  <c:v>0.48571428571428571</c:v>
                </c:pt>
                <c:pt idx="70">
                  <c:v>0.62857142857142856</c:v>
                </c:pt>
                <c:pt idx="71">
                  <c:v>0.51428571428571423</c:v>
                </c:pt>
                <c:pt idx="72">
                  <c:v>0.55882352941176472</c:v>
                </c:pt>
                <c:pt idx="73">
                  <c:v>0.48571428571428571</c:v>
                </c:pt>
                <c:pt idx="74">
                  <c:v>0.52777777777777779</c:v>
                </c:pt>
                <c:pt idx="75">
                  <c:v>0.5</c:v>
                </c:pt>
                <c:pt idx="76">
                  <c:v>0.47222222222222221</c:v>
                </c:pt>
                <c:pt idx="77">
                  <c:v>0.52941176470588236</c:v>
                </c:pt>
                <c:pt idx="78">
                  <c:v>0.52777777777777779</c:v>
                </c:pt>
                <c:pt idx="79">
                  <c:v>0.47222222222222221</c:v>
                </c:pt>
                <c:pt idx="80">
                  <c:v>0.5</c:v>
                </c:pt>
              </c:numCache>
            </c:numRef>
          </c:xVal>
          <c:yVal>
            <c:numRef>
              <c:f>'BBP complete'!$M$40:$M$120</c:f>
              <c:numCache>
                <c:formatCode>0.0000</c:formatCode>
                <c:ptCount val="81"/>
                <c:pt idx="0">
                  <c:v>-1.087165076922247</c:v>
                </c:pt>
                <c:pt idx="1">
                  <c:v>-0.92991807692305883</c:v>
                </c:pt>
                <c:pt idx="2">
                  <c:v>-0.92516707692266209</c:v>
                </c:pt>
                <c:pt idx="3">
                  <c:v>-0.92500507692238898</c:v>
                </c:pt>
                <c:pt idx="4">
                  <c:v>-0.91686907692383102</c:v>
                </c:pt>
                <c:pt idx="5">
                  <c:v>-0.91472007692391344</c:v>
                </c:pt>
                <c:pt idx="6">
                  <c:v>-0.91404407692243694</c:v>
                </c:pt>
                <c:pt idx="7">
                  <c:v>-0.90558307692299422</c:v>
                </c:pt>
                <c:pt idx="8">
                  <c:v>-0.88382707692289841</c:v>
                </c:pt>
                <c:pt idx="9">
                  <c:v>-0.87452207692331285</c:v>
                </c:pt>
                <c:pt idx="10">
                  <c:v>-0.86542107692366699</c:v>
                </c:pt>
                <c:pt idx="11">
                  <c:v>-0.85964907692323322</c:v>
                </c:pt>
                <c:pt idx="12">
                  <c:v>-0.85425007692356303</c:v>
                </c:pt>
                <c:pt idx="13">
                  <c:v>-0.84954907692372217</c:v>
                </c:pt>
                <c:pt idx="14">
                  <c:v>-0.84327407692398992</c:v>
                </c:pt>
                <c:pt idx="15">
                  <c:v>-0.8300840769225033</c:v>
                </c:pt>
                <c:pt idx="16">
                  <c:v>-0.82038507692232088</c:v>
                </c:pt>
                <c:pt idx="17">
                  <c:v>-0.81268707692288444</c:v>
                </c:pt>
                <c:pt idx="18">
                  <c:v>-0.80712007692272891</c:v>
                </c:pt>
                <c:pt idx="19">
                  <c:v>-0.80557407692322158</c:v>
                </c:pt>
                <c:pt idx="20">
                  <c:v>-0.8048640769229678</c:v>
                </c:pt>
                <c:pt idx="21">
                  <c:v>-0.78537707692339609</c:v>
                </c:pt>
                <c:pt idx="22">
                  <c:v>-0.78475407692349108</c:v>
                </c:pt>
                <c:pt idx="23">
                  <c:v>-0.78265707692298747</c:v>
                </c:pt>
                <c:pt idx="24">
                  <c:v>-0.77801907692264649</c:v>
                </c:pt>
                <c:pt idx="25">
                  <c:v>-0.77214407692372333</c:v>
                </c:pt>
                <c:pt idx="26">
                  <c:v>-0.77008807692254777</c:v>
                </c:pt>
                <c:pt idx="27">
                  <c:v>-0.76082707692330587</c:v>
                </c:pt>
                <c:pt idx="28">
                  <c:v>-0.7558660769227572</c:v>
                </c:pt>
                <c:pt idx="29">
                  <c:v>-0.75500707692299329</c:v>
                </c:pt>
                <c:pt idx="30">
                  <c:v>-0.75475507692317478</c:v>
                </c:pt>
                <c:pt idx="31">
                  <c:v>-0.75039107692282414</c:v>
                </c:pt>
                <c:pt idx="32">
                  <c:v>-0.74682007692354091</c:v>
                </c:pt>
                <c:pt idx="33">
                  <c:v>-0.74078107692366757</c:v>
                </c:pt>
                <c:pt idx="34">
                  <c:v>-0.72789407692289387</c:v>
                </c:pt>
                <c:pt idx="35">
                  <c:v>-0.72146607692229736</c:v>
                </c:pt>
                <c:pt idx="36">
                  <c:v>-0.71742607692249294</c:v>
                </c:pt>
                <c:pt idx="37">
                  <c:v>-0.71529907692274719</c:v>
                </c:pt>
                <c:pt idx="38">
                  <c:v>-0.69506707692380587</c:v>
                </c:pt>
                <c:pt idx="39">
                  <c:v>-0.69312007692315092</c:v>
                </c:pt>
                <c:pt idx="40">
                  <c:v>-0.68657307692228642</c:v>
                </c:pt>
                <c:pt idx="41">
                  <c:v>-0.680320076922726</c:v>
                </c:pt>
                <c:pt idx="42">
                  <c:v>-0.67863307692277886</c:v>
                </c:pt>
                <c:pt idx="43">
                  <c:v>-0.67857407692281413</c:v>
                </c:pt>
                <c:pt idx="44">
                  <c:v>-0.67201007692347048</c:v>
                </c:pt>
                <c:pt idx="45">
                  <c:v>-0.65786707692313939</c:v>
                </c:pt>
                <c:pt idx="46">
                  <c:v>-0.65297907692365698</c:v>
                </c:pt>
                <c:pt idx="47">
                  <c:v>-0.64903807692280679</c:v>
                </c:pt>
                <c:pt idx="48">
                  <c:v>-0.64821107692296209</c:v>
                </c:pt>
                <c:pt idx="49">
                  <c:v>-0.64050007692276267</c:v>
                </c:pt>
                <c:pt idx="50">
                  <c:v>-0.62845307692259667</c:v>
                </c:pt>
                <c:pt idx="51">
                  <c:v>-0.62707907692310982</c:v>
                </c:pt>
                <c:pt idx="52">
                  <c:v>-0.62488407692399051</c:v>
                </c:pt>
                <c:pt idx="53">
                  <c:v>-0.61227407692240376</c:v>
                </c:pt>
                <c:pt idx="54">
                  <c:v>-0.60526507692338782</c:v>
                </c:pt>
                <c:pt idx="55">
                  <c:v>-0.59894107692343823</c:v>
                </c:pt>
                <c:pt idx="56">
                  <c:v>-0.59433207692381984</c:v>
                </c:pt>
                <c:pt idx="57">
                  <c:v>-0.58546707692403288</c:v>
                </c:pt>
                <c:pt idx="58">
                  <c:v>-0.58444207692264172</c:v>
                </c:pt>
                <c:pt idx="59">
                  <c:v>-0.57323707692376047</c:v>
                </c:pt>
                <c:pt idx="60">
                  <c:v>-0.57143307692240342</c:v>
                </c:pt>
                <c:pt idx="61">
                  <c:v>-0.56842507692272193</c:v>
                </c:pt>
                <c:pt idx="62">
                  <c:v>-0.56779807692328177</c:v>
                </c:pt>
                <c:pt idx="63">
                  <c:v>-0.56124007692233135</c:v>
                </c:pt>
                <c:pt idx="64">
                  <c:v>-0.55964907692396082</c:v>
                </c:pt>
                <c:pt idx="65">
                  <c:v>-0.53612607692230085</c:v>
                </c:pt>
                <c:pt idx="66">
                  <c:v>-0.51470507692283718</c:v>
                </c:pt>
                <c:pt idx="67">
                  <c:v>-0.509174076923955</c:v>
                </c:pt>
                <c:pt idx="68">
                  <c:v>-0.48215607692327467</c:v>
                </c:pt>
                <c:pt idx="69">
                  <c:v>-0.4803120769229281</c:v>
                </c:pt>
                <c:pt idx="70">
                  <c:v>-0.46825407692267618</c:v>
                </c:pt>
                <c:pt idx="71">
                  <c:v>-0.4595450769229501</c:v>
                </c:pt>
                <c:pt idx="72">
                  <c:v>-0.45157107692284626</c:v>
                </c:pt>
                <c:pt idx="73">
                  <c:v>-0.43861807692337607</c:v>
                </c:pt>
                <c:pt idx="74">
                  <c:v>-0.41797607692387828</c:v>
                </c:pt>
                <c:pt idx="75">
                  <c:v>-0.39831507692360901</c:v>
                </c:pt>
                <c:pt idx="76">
                  <c:v>-0.38884907692226989</c:v>
                </c:pt>
                <c:pt idx="77">
                  <c:v>-0.37079807692316535</c:v>
                </c:pt>
                <c:pt idx="78">
                  <c:v>-0.26810407692391891</c:v>
                </c:pt>
                <c:pt idx="79">
                  <c:v>-0.26671007692311832</c:v>
                </c:pt>
                <c:pt idx="80">
                  <c:v>-0.16662407692274428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00928"/>
        <c:axId val="176299808"/>
      </c:scatterChart>
      <c:valAx>
        <c:axId val="176300928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176299808"/>
        <c:crosses val="autoZero"/>
        <c:crossBetween val="midCat"/>
      </c:valAx>
      <c:valAx>
        <c:axId val="176299808"/>
        <c:scaling>
          <c:orientation val="minMax"/>
        </c:scaling>
        <c:delete val="1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00" sourceLinked="1"/>
        <c:majorTickMark val="out"/>
        <c:minorTickMark val="none"/>
        <c:tickLblPos val="nextTo"/>
        <c:crossAx val="176300928"/>
        <c:crosses val="autoZero"/>
        <c:crossBetween val="midCat"/>
      </c:valAx>
      <c:spPr>
        <a:ln>
          <a:solidFill>
            <a:srgbClr val="B3B3B3"/>
          </a:solidFill>
        </a:ln>
      </c:spPr>
    </c:plotArea>
    <c:legend>
      <c:legendPos val="r"/>
      <c:overlay val="1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tx>
            <c:strRef>
              <c:f>'BBP complete'!$S$2</c:f>
              <c:strCache>
                <c:ptCount val="1"/>
                <c:pt idx="0">
                  <c:v>NAGAGBONDS</c:v>
                </c:pt>
              </c:strCache>
            </c:strRef>
          </c:tx>
          <c:xVal>
            <c:numRef>
              <c:f>'BBP complete'!$M$665:$M$1118</c:f>
              <c:numCache>
                <c:formatCode>0.0000</c:formatCode>
                <c:ptCount val="454"/>
                <c:pt idx="0">
                  <c:v>-1.8192431538445817</c:v>
                </c:pt>
                <c:pt idx="1">
                  <c:v>-1.6112081538449274</c:v>
                </c:pt>
                <c:pt idx="2">
                  <c:v>-1.5798151538456295</c:v>
                </c:pt>
                <c:pt idx="3">
                  <c:v>-1.5655051538451517</c:v>
                </c:pt>
                <c:pt idx="4">
                  <c:v>-1.5437191538458137</c:v>
                </c:pt>
                <c:pt idx="5">
                  <c:v>-1.5426781538444629</c:v>
                </c:pt>
                <c:pt idx="6">
                  <c:v>-1.5303901538445643</c:v>
                </c:pt>
                <c:pt idx="7">
                  <c:v>-1.5279581538452476</c:v>
                </c:pt>
                <c:pt idx="8">
                  <c:v>-1.5077561538455484</c:v>
                </c:pt>
                <c:pt idx="9">
                  <c:v>-1.4748431538446312</c:v>
                </c:pt>
                <c:pt idx="10">
                  <c:v>-1.454881153846145</c:v>
                </c:pt>
                <c:pt idx="11">
                  <c:v>-1.4404641538458236</c:v>
                </c:pt>
                <c:pt idx="12">
                  <c:v>-1.4366851538452465</c:v>
                </c:pt>
                <c:pt idx="13">
                  <c:v>-1.4348701538456226</c:v>
                </c:pt>
                <c:pt idx="14">
                  <c:v>-1.4302621538445237</c:v>
                </c:pt>
                <c:pt idx="15">
                  <c:v>-1.4298631538458721</c:v>
                </c:pt>
                <c:pt idx="16">
                  <c:v>-1.4295861538448662</c:v>
                </c:pt>
                <c:pt idx="17">
                  <c:v>-1.4291121538444713</c:v>
                </c:pt>
                <c:pt idx="18">
                  <c:v>-1.42446615384506</c:v>
                </c:pt>
                <c:pt idx="19">
                  <c:v>-1.4179331538452971</c:v>
                </c:pt>
                <c:pt idx="20">
                  <c:v>-1.4176821538458171</c:v>
                </c:pt>
                <c:pt idx="21">
                  <c:v>-1.4167441538447747</c:v>
                </c:pt>
                <c:pt idx="22">
                  <c:v>-1.4166081538460276</c:v>
                </c:pt>
                <c:pt idx="23">
                  <c:v>-1.4156081538458238</c:v>
                </c:pt>
                <c:pt idx="24">
                  <c:v>-1.4137191538447951</c:v>
                </c:pt>
                <c:pt idx="25">
                  <c:v>-1.406044153845869</c:v>
                </c:pt>
                <c:pt idx="26">
                  <c:v>-1.4050131538460846</c:v>
                </c:pt>
                <c:pt idx="27">
                  <c:v>-1.4014791538447753</c:v>
                </c:pt>
                <c:pt idx="28">
                  <c:v>-1.3958951538461406</c:v>
                </c:pt>
                <c:pt idx="29">
                  <c:v>-1.3756491538460978</c:v>
                </c:pt>
                <c:pt idx="30">
                  <c:v>-1.3714621538456413</c:v>
                </c:pt>
                <c:pt idx="31">
                  <c:v>-1.3684781538449897</c:v>
                </c:pt>
                <c:pt idx="32">
                  <c:v>-1.3637071538450982</c:v>
                </c:pt>
                <c:pt idx="33">
                  <c:v>-1.3609221538445126</c:v>
                </c:pt>
                <c:pt idx="34">
                  <c:v>-1.3536741538446222</c:v>
                </c:pt>
                <c:pt idx="35">
                  <c:v>-1.3513441538452753</c:v>
                </c:pt>
                <c:pt idx="36">
                  <c:v>-1.3487981538455642</c:v>
                </c:pt>
                <c:pt idx="37">
                  <c:v>-1.3453861538455385</c:v>
                </c:pt>
                <c:pt idx="38">
                  <c:v>-1.3415261538448249</c:v>
                </c:pt>
                <c:pt idx="39">
                  <c:v>-1.3369121538453328</c:v>
                </c:pt>
                <c:pt idx="40">
                  <c:v>-1.3356671538458613</c:v>
                </c:pt>
                <c:pt idx="41">
                  <c:v>-1.3260981538460328</c:v>
                </c:pt>
                <c:pt idx="42">
                  <c:v>-1.3255581538451224</c:v>
                </c:pt>
                <c:pt idx="43">
                  <c:v>-1.3241001538444834</c:v>
                </c:pt>
                <c:pt idx="44">
                  <c:v>-1.3233341538452805</c:v>
                </c:pt>
                <c:pt idx="45">
                  <c:v>-1.3226181538448145</c:v>
                </c:pt>
                <c:pt idx="46">
                  <c:v>-1.320391153845776</c:v>
                </c:pt>
                <c:pt idx="47">
                  <c:v>-1.3176501538455341</c:v>
                </c:pt>
                <c:pt idx="48">
                  <c:v>-1.3173131538460439</c:v>
                </c:pt>
                <c:pt idx="49">
                  <c:v>-1.315513153846041</c:v>
                </c:pt>
                <c:pt idx="50">
                  <c:v>-1.3151271538445144</c:v>
                </c:pt>
                <c:pt idx="51">
                  <c:v>-1.3132461538461939</c:v>
                </c:pt>
                <c:pt idx="52">
                  <c:v>-1.3096921538453898</c:v>
                </c:pt>
                <c:pt idx="53">
                  <c:v>-1.3054631538452668</c:v>
                </c:pt>
                <c:pt idx="54">
                  <c:v>-1.3042841538444918</c:v>
                </c:pt>
                <c:pt idx="55">
                  <c:v>-1.3022451538454334</c:v>
                </c:pt>
                <c:pt idx="56">
                  <c:v>-1.3011021538459318</c:v>
                </c:pt>
                <c:pt idx="57">
                  <c:v>-1.2993691538449639</c:v>
                </c:pt>
                <c:pt idx="58">
                  <c:v>-1.2993431538452569</c:v>
                </c:pt>
                <c:pt idx="59">
                  <c:v>-1.2972951538449706</c:v>
                </c:pt>
                <c:pt idx="60">
                  <c:v>-1.2964521538451663</c:v>
                </c:pt>
                <c:pt idx="61">
                  <c:v>-1.2934771538457426</c:v>
                </c:pt>
                <c:pt idx="62">
                  <c:v>-1.293277153845338</c:v>
                </c:pt>
                <c:pt idx="63">
                  <c:v>-1.2932611538453784</c:v>
                </c:pt>
                <c:pt idx="64">
                  <c:v>-1.2865491538450442</c:v>
                </c:pt>
                <c:pt idx="65">
                  <c:v>-1.2827321538461547</c:v>
                </c:pt>
                <c:pt idx="66">
                  <c:v>-1.2819801538462343</c:v>
                </c:pt>
                <c:pt idx="67">
                  <c:v>-1.277360153844711</c:v>
                </c:pt>
                <c:pt idx="68">
                  <c:v>-1.2763061538462352</c:v>
                </c:pt>
                <c:pt idx="69">
                  <c:v>-1.275982153845689</c:v>
                </c:pt>
                <c:pt idx="70">
                  <c:v>-1.2755601538447081</c:v>
                </c:pt>
                <c:pt idx="71">
                  <c:v>-1.274788153845293</c:v>
                </c:pt>
                <c:pt idx="72">
                  <c:v>-1.2728771538459114</c:v>
                </c:pt>
                <c:pt idx="73">
                  <c:v>-1.2711331538448576</c:v>
                </c:pt>
                <c:pt idx="74">
                  <c:v>-1.2686411538452376</c:v>
                </c:pt>
                <c:pt idx="75">
                  <c:v>-1.2676201538452005</c:v>
                </c:pt>
                <c:pt idx="76">
                  <c:v>-1.2669541538452904</c:v>
                </c:pt>
                <c:pt idx="77">
                  <c:v>-1.2652451538451714</c:v>
                </c:pt>
                <c:pt idx="78">
                  <c:v>-1.2649461538458127</c:v>
                </c:pt>
                <c:pt idx="79">
                  <c:v>-1.2624821538447577</c:v>
                </c:pt>
                <c:pt idx="80">
                  <c:v>-1.2546491538450937</c:v>
                </c:pt>
                <c:pt idx="81">
                  <c:v>-1.2488351538449933</c:v>
                </c:pt>
                <c:pt idx="82">
                  <c:v>-1.2481851538450428</c:v>
                </c:pt>
                <c:pt idx="83">
                  <c:v>-1.2473091538449808</c:v>
                </c:pt>
                <c:pt idx="84">
                  <c:v>-1.2445941538462648</c:v>
                </c:pt>
                <c:pt idx="85">
                  <c:v>-1.2432191538446205</c:v>
                </c:pt>
                <c:pt idx="86">
                  <c:v>-1.2425201538462716</c:v>
                </c:pt>
                <c:pt idx="87">
                  <c:v>-1.2421461538451695</c:v>
                </c:pt>
                <c:pt idx="88">
                  <c:v>-1.2334101538453979</c:v>
                </c:pt>
                <c:pt idx="89">
                  <c:v>-1.2321441538460931</c:v>
                </c:pt>
                <c:pt idx="90">
                  <c:v>-1.2280361538450961</c:v>
                </c:pt>
                <c:pt idx="91">
                  <c:v>-1.2211591538452922</c:v>
                </c:pt>
                <c:pt idx="92">
                  <c:v>-1.2209021538456</c:v>
                </c:pt>
                <c:pt idx="93">
                  <c:v>-1.2203291538462508</c:v>
                </c:pt>
                <c:pt idx="94">
                  <c:v>-1.2202451538450987</c:v>
                </c:pt>
                <c:pt idx="95">
                  <c:v>-1.2193641538451629</c:v>
                </c:pt>
                <c:pt idx="96">
                  <c:v>-1.2171571538456192</c:v>
                </c:pt>
                <c:pt idx="97">
                  <c:v>-1.2167481538454012</c:v>
                </c:pt>
                <c:pt idx="98">
                  <c:v>-1.2139391538457858</c:v>
                </c:pt>
                <c:pt idx="99">
                  <c:v>-1.2114541538448975</c:v>
                </c:pt>
                <c:pt idx="100">
                  <c:v>-1.2110981538462511</c:v>
                </c:pt>
                <c:pt idx="101">
                  <c:v>-1.2106171538453054</c:v>
                </c:pt>
                <c:pt idx="102">
                  <c:v>-1.2105011538460531</c:v>
                </c:pt>
                <c:pt idx="103">
                  <c:v>-1.2069311538452894</c:v>
                </c:pt>
                <c:pt idx="104">
                  <c:v>-1.2008541538452846</c:v>
                </c:pt>
                <c:pt idx="105">
                  <c:v>-1.1981701538461493</c:v>
                </c:pt>
                <c:pt idx="106">
                  <c:v>-1.1978141538456839</c:v>
                </c:pt>
                <c:pt idx="107">
                  <c:v>-1.1973281538448646</c:v>
                </c:pt>
                <c:pt idx="108">
                  <c:v>-1.1966901538453385</c:v>
                </c:pt>
                <c:pt idx="109">
                  <c:v>-1.1955461538454983</c:v>
                </c:pt>
                <c:pt idx="110">
                  <c:v>-1.195140153844477</c:v>
                </c:pt>
                <c:pt idx="111">
                  <c:v>-1.1945211538459262</c:v>
                </c:pt>
                <c:pt idx="112">
                  <c:v>-1.1924161538445333</c:v>
                </c:pt>
                <c:pt idx="113">
                  <c:v>-1.1912551538462139</c:v>
                </c:pt>
                <c:pt idx="114">
                  <c:v>-1.1895451538457564</c:v>
                </c:pt>
                <c:pt idx="115">
                  <c:v>-1.1891621538452455</c:v>
                </c:pt>
                <c:pt idx="116">
                  <c:v>-1.1880431538447738</c:v>
                </c:pt>
                <c:pt idx="117">
                  <c:v>-1.1830911538454529</c:v>
                </c:pt>
                <c:pt idx="118">
                  <c:v>-1.1817981538461027</c:v>
                </c:pt>
                <c:pt idx="119">
                  <c:v>-1.1816701538446068</c:v>
                </c:pt>
                <c:pt idx="120">
                  <c:v>-1.1812321538454853</c:v>
                </c:pt>
                <c:pt idx="121">
                  <c:v>-1.1809001538458688</c:v>
                </c:pt>
                <c:pt idx="122">
                  <c:v>-1.1806221538445243</c:v>
                </c:pt>
                <c:pt idx="123">
                  <c:v>-1.1803721538453829</c:v>
                </c:pt>
                <c:pt idx="124">
                  <c:v>-1.1795161538448156</c:v>
                </c:pt>
                <c:pt idx="125">
                  <c:v>-1.1794591538455279</c:v>
                </c:pt>
                <c:pt idx="126">
                  <c:v>-1.1789611538461031</c:v>
                </c:pt>
                <c:pt idx="127">
                  <c:v>-1.178494153846259</c:v>
                </c:pt>
                <c:pt idx="128">
                  <c:v>-1.1779541538453486</c:v>
                </c:pt>
                <c:pt idx="129">
                  <c:v>-1.1772791538460297</c:v>
                </c:pt>
                <c:pt idx="130">
                  <c:v>-1.1766941538462561</c:v>
                </c:pt>
                <c:pt idx="131">
                  <c:v>-1.1746791538462276</c:v>
                </c:pt>
                <c:pt idx="132">
                  <c:v>-1.1738721538458776</c:v>
                </c:pt>
                <c:pt idx="133">
                  <c:v>-1.1725071538457996</c:v>
                </c:pt>
                <c:pt idx="134">
                  <c:v>-1.1689051538451167</c:v>
                </c:pt>
                <c:pt idx="135">
                  <c:v>-1.1688241538449802</c:v>
                </c:pt>
                <c:pt idx="136">
                  <c:v>-1.1677921538448572</c:v>
                </c:pt>
                <c:pt idx="137">
                  <c:v>-1.1663381538455724</c:v>
                </c:pt>
                <c:pt idx="138">
                  <c:v>-1.166023153846254</c:v>
                </c:pt>
                <c:pt idx="139">
                  <c:v>-1.1654151538459701</c:v>
                </c:pt>
                <c:pt idx="140">
                  <c:v>-1.1636251538457145</c:v>
                </c:pt>
                <c:pt idx="141">
                  <c:v>-1.1631321538461634</c:v>
                </c:pt>
                <c:pt idx="142">
                  <c:v>-1.161980153845434</c:v>
                </c:pt>
                <c:pt idx="143">
                  <c:v>-1.1616461538451404</c:v>
                </c:pt>
                <c:pt idx="144">
                  <c:v>-1.1529111538457073</c:v>
                </c:pt>
                <c:pt idx="145">
                  <c:v>-1.1522991538458882</c:v>
                </c:pt>
                <c:pt idx="146">
                  <c:v>-1.151313153844967</c:v>
                </c:pt>
                <c:pt idx="147">
                  <c:v>-1.1483361538448662</c:v>
                </c:pt>
                <c:pt idx="148">
                  <c:v>-1.1477411538453453</c:v>
                </c:pt>
                <c:pt idx="149">
                  <c:v>-1.1475181538462493</c:v>
                </c:pt>
                <c:pt idx="150">
                  <c:v>-1.1470271538455563</c:v>
                </c:pt>
                <c:pt idx="151">
                  <c:v>-1.1462071538462624</c:v>
                </c:pt>
                <c:pt idx="152">
                  <c:v>-1.1452711538458971</c:v>
                </c:pt>
                <c:pt idx="153">
                  <c:v>-1.1437601538455056</c:v>
                </c:pt>
                <c:pt idx="154">
                  <c:v>-1.1429831538462167</c:v>
                </c:pt>
                <c:pt idx="155">
                  <c:v>-1.1425381538447255</c:v>
                </c:pt>
                <c:pt idx="156">
                  <c:v>-1.1422371538446896</c:v>
                </c:pt>
                <c:pt idx="157">
                  <c:v>-1.1413421538454713</c:v>
                </c:pt>
                <c:pt idx="158">
                  <c:v>-1.1411341538459965</c:v>
                </c:pt>
                <c:pt idx="159">
                  <c:v>-1.1404291538456164</c:v>
                </c:pt>
                <c:pt idx="160">
                  <c:v>-1.1401581538448227</c:v>
                </c:pt>
                <c:pt idx="161">
                  <c:v>-1.1394571538457967</c:v>
                </c:pt>
                <c:pt idx="162">
                  <c:v>-1.1370171538455907</c:v>
                </c:pt>
                <c:pt idx="163">
                  <c:v>-1.1365061538454029</c:v>
                </c:pt>
                <c:pt idx="164">
                  <c:v>-1.1364091538453067</c:v>
                </c:pt>
                <c:pt idx="165">
                  <c:v>-1.1362521538449073</c:v>
                </c:pt>
                <c:pt idx="166">
                  <c:v>-1.1341301538450352</c:v>
                </c:pt>
                <c:pt idx="167">
                  <c:v>-1.1333721538449026</c:v>
                </c:pt>
                <c:pt idx="168">
                  <c:v>-1.1320261538457999</c:v>
                </c:pt>
                <c:pt idx="169">
                  <c:v>-1.1317151538460166</c:v>
                </c:pt>
                <c:pt idx="170">
                  <c:v>-1.130916153844737</c:v>
                </c:pt>
                <c:pt idx="171">
                  <c:v>-1.1303911538452667</c:v>
                </c:pt>
                <c:pt idx="172">
                  <c:v>-1.1261491538461996</c:v>
                </c:pt>
                <c:pt idx="173">
                  <c:v>-1.1255041538461228</c:v>
                </c:pt>
                <c:pt idx="174">
                  <c:v>-1.1253421538458497</c:v>
                </c:pt>
                <c:pt idx="175">
                  <c:v>-1.1247931538455305</c:v>
                </c:pt>
                <c:pt idx="176">
                  <c:v>-1.1226801538450673</c:v>
                </c:pt>
                <c:pt idx="177">
                  <c:v>-1.1221901538447128</c:v>
                </c:pt>
                <c:pt idx="178">
                  <c:v>-1.1205531538453215</c:v>
                </c:pt>
                <c:pt idx="179">
                  <c:v>-1.116591153844638</c:v>
                </c:pt>
                <c:pt idx="180">
                  <c:v>-1.1155111538446363</c:v>
                </c:pt>
                <c:pt idx="181">
                  <c:v>-1.1141431538453617</c:v>
                </c:pt>
                <c:pt idx="182">
                  <c:v>-1.1126041538445861</c:v>
                </c:pt>
                <c:pt idx="183">
                  <c:v>-1.1125941538448387</c:v>
                </c:pt>
                <c:pt idx="184">
                  <c:v>-1.112509153845167</c:v>
                </c:pt>
                <c:pt idx="185">
                  <c:v>-1.1094131538447982</c:v>
                </c:pt>
                <c:pt idx="186">
                  <c:v>-1.1089601538460556</c:v>
                </c:pt>
                <c:pt idx="187">
                  <c:v>-1.1086291538449586</c:v>
                </c:pt>
                <c:pt idx="188">
                  <c:v>-1.1076931538445933</c:v>
                </c:pt>
                <c:pt idx="189">
                  <c:v>-1.1068591538460169</c:v>
                </c:pt>
                <c:pt idx="190">
                  <c:v>-1.1065271538445813</c:v>
                </c:pt>
                <c:pt idx="191">
                  <c:v>-1.1064641538450815</c:v>
                </c:pt>
                <c:pt idx="192">
                  <c:v>-1.1054281538454234</c:v>
                </c:pt>
                <c:pt idx="193">
                  <c:v>-1.1015121538457606</c:v>
                </c:pt>
                <c:pt idx="194">
                  <c:v>-1.0983911538460234</c:v>
                </c:pt>
                <c:pt idx="195">
                  <c:v>-1.0980681538458157</c:v>
                </c:pt>
                <c:pt idx="196">
                  <c:v>-1.0972971538449201</c:v>
                </c:pt>
                <c:pt idx="197">
                  <c:v>-1.0947941538452142</c:v>
                </c:pt>
                <c:pt idx="198">
                  <c:v>-1.0943091538447334</c:v>
                </c:pt>
                <c:pt idx="199">
                  <c:v>-1.0900611538454541</c:v>
                </c:pt>
                <c:pt idx="200">
                  <c:v>-1.0872131538453687</c:v>
                </c:pt>
                <c:pt idx="201">
                  <c:v>-1.0856681538461999</c:v>
                </c:pt>
                <c:pt idx="202">
                  <c:v>-1.0854381538447342</c:v>
                </c:pt>
                <c:pt idx="203">
                  <c:v>-1.0833241538457514</c:v>
                </c:pt>
                <c:pt idx="204">
                  <c:v>-1.0818431538446021</c:v>
                </c:pt>
                <c:pt idx="205">
                  <c:v>-1.0817211538451375</c:v>
                </c:pt>
                <c:pt idx="206">
                  <c:v>-1.0816621538451727</c:v>
                </c:pt>
                <c:pt idx="207">
                  <c:v>-1.0812011538455408</c:v>
                </c:pt>
                <c:pt idx="208">
                  <c:v>-1.0805481538445747</c:v>
                </c:pt>
                <c:pt idx="209">
                  <c:v>-1.080370153846161</c:v>
                </c:pt>
                <c:pt idx="210">
                  <c:v>-1.0801811538458423</c:v>
                </c:pt>
                <c:pt idx="211">
                  <c:v>-1.0788001538458047</c:v>
                </c:pt>
                <c:pt idx="212">
                  <c:v>-1.0766261538446997</c:v>
                </c:pt>
                <c:pt idx="213">
                  <c:v>-1.0752441538461426</c:v>
                </c:pt>
                <c:pt idx="214">
                  <c:v>-1.0745771538458939</c:v>
                </c:pt>
                <c:pt idx="215">
                  <c:v>-1.0720271538448287</c:v>
                </c:pt>
                <c:pt idx="216">
                  <c:v>-1.0685231538445805</c:v>
                </c:pt>
                <c:pt idx="217">
                  <c:v>-1.0654991538449394</c:v>
                </c:pt>
                <c:pt idx="218">
                  <c:v>-1.0642011538457155</c:v>
                </c:pt>
                <c:pt idx="219">
                  <c:v>-1.0634901538451231</c:v>
                </c:pt>
                <c:pt idx="220">
                  <c:v>-1.0632081538460625</c:v>
                </c:pt>
                <c:pt idx="221">
                  <c:v>-1.0583871538456151</c:v>
                </c:pt>
                <c:pt idx="222">
                  <c:v>-1.0578521538445784</c:v>
                </c:pt>
                <c:pt idx="223">
                  <c:v>-1.0572261538454768</c:v>
                </c:pt>
                <c:pt idx="224">
                  <c:v>-1.0563361538461322</c:v>
                </c:pt>
                <c:pt idx="225">
                  <c:v>-1.0539901538450067</c:v>
                </c:pt>
                <c:pt idx="226">
                  <c:v>-1.0529091538446664</c:v>
                </c:pt>
                <c:pt idx="227">
                  <c:v>-1.0524221538453276</c:v>
                </c:pt>
                <c:pt idx="228">
                  <c:v>-1.0512121538449719</c:v>
                </c:pt>
                <c:pt idx="229">
                  <c:v>-1.047450153844693</c:v>
                </c:pt>
                <c:pt idx="230">
                  <c:v>-1.0451931538445933</c:v>
                </c:pt>
                <c:pt idx="231">
                  <c:v>-1.0448331538445927</c:v>
                </c:pt>
                <c:pt idx="232">
                  <c:v>-1.0435041538457881</c:v>
                </c:pt>
                <c:pt idx="233">
                  <c:v>-1.0430701538462017</c:v>
                </c:pt>
                <c:pt idx="234">
                  <c:v>-1.0427051538445085</c:v>
                </c:pt>
                <c:pt idx="235">
                  <c:v>-1.0383461538458505</c:v>
                </c:pt>
                <c:pt idx="236">
                  <c:v>-1.0380851538448042</c:v>
                </c:pt>
                <c:pt idx="237">
                  <c:v>-1.0374761538460007</c:v>
                </c:pt>
                <c:pt idx="238">
                  <c:v>-1.0347591538447887</c:v>
                </c:pt>
                <c:pt idx="239">
                  <c:v>-1.0325601538461342</c:v>
                </c:pt>
                <c:pt idx="240">
                  <c:v>-1.0322061538445269</c:v>
                </c:pt>
                <c:pt idx="241">
                  <c:v>-1.031269153845642</c:v>
                </c:pt>
                <c:pt idx="242">
                  <c:v>-1.0312371538457228</c:v>
                </c:pt>
                <c:pt idx="243">
                  <c:v>-1.0300921538455441</c:v>
                </c:pt>
                <c:pt idx="244">
                  <c:v>-1.0278211538461619</c:v>
                </c:pt>
                <c:pt idx="245">
                  <c:v>-1.025530153845466</c:v>
                </c:pt>
                <c:pt idx="246">
                  <c:v>-1.0226591538448702</c:v>
                </c:pt>
                <c:pt idx="247">
                  <c:v>-1.0222531538456678</c:v>
                </c:pt>
                <c:pt idx="248">
                  <c:v>-1.0221301538458647</c:v>
                </c:pt>
                <c:pt idx="249">
                  <c:v>-1.0173361538454628</c:v>
                </c:pt>
                <c:pt idx="250">
                  <c:v>-1.0171961538453616</c:v>
                </c:pt>
                <c:pt idx="251">
                  <c:v>-1.0163011538461433</c:v>
                </c:pt>
                <c:pt idx="252">
                  <c:v>-1.0144421538461756</c:v>
                </c:pt>
                <c:pt idx="253">
                  <c:v>-1.0140061538459122</c:v>
                </c:pt>
                <c:pt idx="254">
                  <c:v>-1.0139141538456897</c:v>
                </c:pt>
                <c:pt idx="255">
                  <c:v>-1.0119741538455855</c:v>
                </c:pt>
                <c:pt idx="256">
                  <c:v>-1.0084691538449988</c:v>
                </c:pt>
                <c:pt idx="257">
                  <c:v>-1.0066361538447381</c:v>
                </c:pt>
                <c:pt idx="258">
                  <c:v>-1.0032351538447983</c:v>
                </c:pt>
                <c:pt idx="259">
                  <c:v>-1.001875153844594</c:v>
                </c:pt>
                <c:pt idx="260">
                  <c:v>-1.0017701538454276</c:v>
                </c:pt>
                <c:pt idx="261">
                  <c:v>-1.0007141538444557</c:v>
                </c:pt>
                <c:pt idx="262">
                  <c:v>-0.99927915384614607</c:v>
                </c:pt>
                <c:pt idx="263">
                  <c:v>-0.99914915384579217</c:v>
                </c:pt>
                <c:pt idx="264">
                  <c:v>-0.99873315384502348</c:v>
                </c:pt>
                <c:pt idx="265">
                  <c:v>-0.99835815384540183</c:v>
                </c:pt>
                <c:pt idx="266">
                  <c:v>-0.99735915384553664</c:v>
                </c:pt>
                <c:pt idx="267">
                  <c:v>-0.99404215384493</c:v>
                </c:pt>
                <c:pt idx="268">
                  <c:v>-0.99318715384470124</c:v>
                </c:pt>
                <c:pt idx="269">
                  <c:v>-0.99182015384576516</c:v>
                </c:pt>
                <c:pt idx="270">
                  <c:v>-0.99086415384590509</c:v>
                </c:pt>
                <c:pt idx="271">
                  <c:v>-0.99071515384457598</c:v>
                </c:pt>
                <c:pt idx="272">
                  <c:v>-0.98745515384507598</c:v>
                </c:pt>
                <c:pt idx="273">
                  <c:v>-0.98326915384495805</c:v>
                </c:pt>
                <c:pt idx="274">
                  <c:v>-0.98279315384570509</c:v>
                </c:pt>
                <c:pt idx="275">
                  <c:v>-0.98194315384535003</c:v>
                </c:pt>
                <c:pt idx="276">
                  <c:v>-0.9806251538448123</c:v>
                </c:pt>
                <c:pt idx="277">
                  <c:v>-0.9805031538453477</c:v>
                </c:pt>
                <c:pt idx="278">
                  <c:v>-0.97993915384540742</c:v>
                </c:pt>
                <c:pt idx="279">
                  <c:v>-0.97800915384505061</c:v>
                </c:pt>
                <c:pt idx="280">
                  <c:v>-0.97617715384512849</c:v>
                </c:pt>
                <c:pt idx="281">
                  <c:v>-0.97601015384498169</c:v>
                </c:pt>
                <c:pt idx="282">
                  <c:v>-0.97212315384604153</c:v>
                </c:pt>
                <c:pt idx="283">
                  <c:v>-0.97163115384500998</c:v>
                </c:pt>
                <c:pt idx="284">
                  <c:v>-0.97067615384548844</c:v>
                </c:pt>
                <c:pt idx="285">
                  <c:v>-0.96998415384587133</c:v>
                </c:pt>
                <c:pt idx="286">
                  <c:v>-0.96687015384486585</c:v>
                </c:pt>
                <c:pt idx="287">
                  <c:v>-0.96262215384558658</c:v>
                </c:pt>
                <c:pt idx="288">
                  <c:v>-0.95911215384512616</c:v>
                </c:pt>
                <c:pt idx="289">
                  <c:v>-0.95858115384544362</c:v>
                </c:pt>
                <c:pt idx="290">
                  <c:v>-0.95755415384519438</c:v>
                </c:pt>
                <c:pt idx="291">
                  <c:v>-0.95750115384544188</c:v>
                </c:pt>
                <c:pt idx="292">
                  <c:v>-0.95645315384535934</c:v>
                </c:pt>
                <c:pt idx="293">
                  <c:v>-0.95496715384615527</c:v>
                </c:pt>
                <c:pt idx="294">
                  <c:v>-0.95474015384570521</c:v>
                </c:pt>
                <c:pt idx="295">
                  <c:v>-0.95395715384620416</c:v>
                </c:pt>
                <c:pt idx="296">
                  <c:v>-0.95169415384589229</c:v>
                </c:pt>
                <c:pt idx="297">
                  <c:v>-0.95115815384451707</c:v>
                </c:pt>
                <c:pt idx="298">
                  <c:v>-0.95087615384545643</c:v>
                </c:pt>
                <c:pt idx="299">
                  <c:v>-0.94911915384545864</c:v>
                </c:pt>
                <c:pt idx="300">
                  <c:v>-0.94811115384618461</c:v>
                </c:pt>
                <c:pt idx="301">
                  <c:v>-0.94477215384540614</c:v>
                </c:pt>
                <c:pt idx="302">
                  <c:v>-0.94367415384476772</c:v>
                </c:pt>
                <c:pt idx="303">
                  <c:v>-0.94194515384515398</c:v>
                </c:pt>
                <c:pt idx="304">
                  <c:v>-0.94184615384619974</c:v>
                </c:pt>
                <c:pt idx="305">
                  <c:v>-0.9417681538452598</c:v>
                </c:pt>
                <c:pt idx="306">
                  <c:v>-0.94163915384524444</c:v>
                </c:pt>
                <c:pt idx="307">
                  <c:v>-0.93889415384546737</c:v>
                </c:pt>
                <c:pt idx="308">
                  <c:v>-0.93886215384554816</c:v>
                </c:pt>
                <c:pt idx="309">
                  <c:v>-0.9376281538461626</c:v>
                </c:pt>
                <c:pt idx="310">
                  <c:v>-0.93650915384569089</c:v>
                </c:pt>
                <c:pt idx="311">
                  <c:v>-0.93595715384617506</c:v>
                </c:pt>
                <c:pt idx="312">
                  <c:v>-0.93582515384514409</c:v>
                </c:pt>
                <c:pt idx="313">
                  <c:v>-0.93505715384526411</c:v>
                </c:pt>
                <c:pt idx="314">
                  <c:v>-0.9332041538455087</c:v>
                </c:pt>
                <c:pt idx="315">
                  <c:v>-0.93220515384564351</c:v>
                </c:pt>
                <c:pt idx="316">
                  <c:v>-0.93211115384474397</c:v>
                </c:pt>
                <c:pt idx="317">
                  <c:v>-0.93182415384580963</c:v>
                </c:pt>
                <c:pt idx="318">
                  <c:v>-0.93027915384482185</c:v>
                </c:pt>
                <c:pt idx="319">
                  <c:v>-0.92933515384538623</c:v>
                </c:pt>
                <c:pt idx="320">
                  <c:v>-0.92893815384559275</c:v>
                </c:pt>
                <c:pt idx="321">
                  <c:v>-0.92804915384476772</c:v>
                </c:pt>
                <c:pt idx="322">
                  <c:v>-0.92804115384569741</c:v>
                </c:pt>
                <c:pt idx="323">
                  <c:v>-0.92537215384618321</c:v>
                </c:pt>
                <c:pt idx="324">
                  <c:v>-0.92411415384594875</c:v>
                </c:pt>
                <c:pt idx="325">
                  <c:v>-0.92311215384506795</c:v>
                </c:pt>
                <c:pt idx="326">
                  <c:v>-0.92202315384565736</c:v>
                </c:pt>
                <c:pt idx="327">
                  <c:v>-0.92073615384470031</c:v>
                </c:pt>
                <c:pt idx="328">
                  <c:v>-0.92030015384625585</c:v>
                </c:pt>
                <c:pt idx="329">
                  <c:v>-0.91994415384579042</c:v>
                </c:pt>
                <c:pt idx="330">
                  <c:v>-0.9196651538459264</c:v>
                </c:pt>
                <c:pt idx="331">
                  <c:v>-0.91946815384471847</c:v>
                </c:pt>
                <c:pt idx="332">
                  <c:v>-0.91628115384446573</c:v>
                </c:pt>
                <c:pt idx="333">
                  <c:v>-0.91510415384618682</c:v>
                </c:pt>
                <c:pt idx="334">
                  <c:v>-0.91500215384621697</c:v>
                </c:pt>
                <c:pt idx="335">
                  <c:v>-0.9135741538448201</c:v>
                </c:pt>
                <c:pt idx="336">
                  <c:v>-0.91182015384583792</c:v>
                </c:pt>
                <c:pt idx="337">
                  <c:v>-0.91178415384456457</c:v>
                </c:pt>
                <c:pt idx="338">
                  <c:v>-0.91156415384466527</c:v>
                </c:pt>
                <c:pt idx="339">
                  <c:v>-0.91099315384599322</c:v>
                </c:pt>
                <c:pt idx="340">
                  <c:v>-0.90895115384591918</c:v>
                </c:pt>
                <c:pt idx="341">
                  <c:v>-0.9049811538461654</c:v>
                </c:pt>
                <c:pt idx="342">
                  <c:v>-0.90338615384462173</c:v>
                </c:pt>
                <c:pt idx="343">
                  <c:v>-0.90302715384495968</c:v>
                </c:pt>
                <c:pt idx="344">
                  <c:v>-0.90102815384489077</c:v>
                </c:pt>
                <c:pt idx="345">
                  <c:v>-0.89805615384466364</c:v>
                </c:pt>
                <c:pt idx="346">
                  <c:v>-0.89634315384500951</c:v>
                </c:pt>
                <c:pt idx="347">
                  <c:v>-0.8962581538453378</c:v>
                </c:pt>
                <c:pt idx="348">
                  <c:v>-0.89603615384476143</c:v>
                </c:pt>
                <c:pt idx="349">
                  <c:v>-0.89511815384503279</c:v>
                </c:pt>
                <c:pt idx="350">
                  <c:v>-0.8937771538458037</c:v>
                </c:pt>
                <c:pt idx="351">
                  <c:v>-0.89292615384511009</c:v>
                </c:pt>
                <c:pt idx="352">
                  <c:v>-0.89285315384586283</c:v>
                </c:pt>
                <c:pt idx="353">
                  <c:v>-0.88940015384469007</c:v>
                </c:pt>
                <c:pt idx="354">
                  <c:v>-0.88911515384461381</c:v>
                </c:pt>
                <c:pt idx="355">
                  <c:v>-0.88806215384465759</c:v>
                </c:pt>
                <c:pt idx="356">
                  <c:v>-0.8838561538450449</c:v>
                </c:pt>
                <c:pt idx="357">
                  <c:v>-0.88036915384509484</c:v>
                </c:pt>
                <c:pt idx="358">
                  <c:v>-0.87969315384543734</c:v>
                </c:pt>
                <c:pt idx="359">
                  <c:v>-0.87896515384454688</c:v>
                </c:pt>
                <c:pt idx="360">
                  <c:v>-0.87810815384546004</c:v>
                </c:pt>
                <c:pt idx="361">
                  <c:v>-0.87719715384446317</c:v>
                </c:pt>
                <c:pt idx="362">
                  <c:v>-0.87351515384580125</c:v>
                </c:pt>
                <c:pt idx="363">
                  <c:v>-0.87274815384625981</c:v>
                </c:pt>
                <c:pt idx="364">
                  <c:v>-0.8710541538457619</c:v>
                </c:pt>
                <c:pt idx="365">
                  <c:v>-0.86929615384542558</c:v>
                </c:pt>
                <c:pt idx="366">
                  <c:v>-0.86551415384565189</c:v>
                </c:pt>
                <c:pt idx="367">
                  <c:v>-0.86468315384627203</c:v>
                </c:pt>
                <c:pt idx="368">
                  <c:v>-0.86455615384511475</c:v>
                </c:pt>
                <c:pt idx="369">
                  <c:v>-0.86374915384476481</c:v>
                </c:pt>
                <c:pt idx="370">
                  <c:v>-0.8609421538458264</c:v>
                </c:pt>
                <c:pt idx="371">
                  <c:v>-0.85761215384445677</c:v>
                </c:pt>
                <c:pt idx="372">
                  <c:v>-0.854040153844835</c:v>
                </c:pt>
                <c:pt idx="373">
                  <c:v>-0.85363615384449076</c:v>
                </c:pt>
                <c:pt idx="374">
                  <c:v>-0.851946153845347</c:v>
                </c:pt>
                <c:pt idx="375">
                  <c:v>-0.85063115384582488</c:v>
                </c:pt>
                <c:pt idx="376">
                  <c:v>-0.84428715384456154</c:v>
                </c:pt>
                <c:pt idx="377">
                  <c:v>-0.84100515384488972</c:v>
                </c:pt>
                <c:pt idx="378">
                  <c:v>-0.83436115384574805</c:v>
                </c:pt>
                <c:pt idx="379">
                  <c:v>-0.83432915384582884</c:v>
                </c:pt>
                <c:pt idx="380">
                  <c:v>-0.83423615384526784</c:v>
                </c:pt>
                <c:pt idx="381">
                  <c:v>-0.83201115384508739</c:v>
                </c:pt>
                <c:pt idx="382">
                  <c:v>-0.83150415384625376</c:v>
                </c:pt>
                <c:pt idx="383">
                  <c:v>-0.83000115384493256</c:v>
                </c:pt>
                <c:pt idx="384">
                  <c:v>-0.82370715384604409</c:v>
                </c:pt>
                <c:pt idx="385">
                  <c:v>-0.82236115384512232</c:v>
                </c:pt>
                <c:pt idx="386">
                  <c:v>-0.81651915384463791</c:v>
                </c:pt>
                <c:pt idx="387">
                  <c:v>-0.81644815384606773</c:v>
                </c:pt>
                <c:pt idx="388">
                  <c:v>-0.81486115384541336</c:v>
                </c:pt>
                <c:pt idx="389">
                  <c:v>-0.81485215384600451</c:v>
                </c:pt>
                <c:pt idx="390">
                  <c:v>-0.81482915384549415</c:v>
                </c:pt>
                <c:pt idx="391">
                  <c:v>-0.80897715384526236</c:v>
                </c:pt>
                <c:pt idx="392">
                  <c:v>-0.80840415384591324</c:v>
                </c:pt>
                <c:pt idx="393">
                  <c:v>-0.80524615384456411</c:v>
                </c:pt>
                <c:pt idx="394">
                  <c:v>-0.80501415384605934</c:v>
                </c:pt>
                <c:pt idx="395">
                  <c:v>-0.80212215384563024</c:v>
                </c:pt>
                <c:pt idx="396">
                  <c:v>-0.80184115384508914</c:v>
                </c:pt>
                <c:pt idx="397">
                  <c:v>-0.80115515384568425</c:v>
                </c:pt>
                <c:pt idx="398">
                  <c:v>-0.79962715384499461</c:v>
                </c:pt>
                <c:pt idx="399">
                  <c:v>-0.79902115384538774</c:v>
                </c:pt>
                <c:pt idx="400">
                  <c:v>-0.79670215384612675</c:v>
                </c:pt>
                <c:pt idx="401">
                  <c:v>-0.79354115384558099</c:v>
                </c:pt>
                <c:pt idx="402">
                  <c:v>-0.78815515384485479</c:v>
                </c:pt>
                <c:pt idx="403">
                  <c:v>-0.78333715384542302</c:v>
                </c:pt>
                <c:pt idx="404">
                  <c:v>-0.78003215384524083</c:v>
                </c:pt>
                <c:pt idx="405">
                  <c:v>-0.77800715384546493</c:v>
                </c:pt>
                <c:pt idx="406">
                  <c:v>-0.77707315384577669</c:v>
                </c:pt>
                <c:pt idx="407">
                  <c:v>-0.77574515384549159</c:v>
                </c:pt>
                <c:pt idx="408">
                  <c:v>-0.77507415384570777</c:v>
                </c:pt>
                <c:pt idx="409">
                  <c:v>-0.76945015384626458</c:v>
                </c:pt>
                <c:pt idx="410">
                  <c:v>-0.7647561538451555</c:v>
                </c:pt>
                <c:pt idx="411">
                  <c:v>-0.75916715384482814</c:v>
                </c:pt>
                <c:pt idx="412">
                  <c:v>-0.75408015384527971</c:v>
                </c:pt>
                <c:pt idx="413">
                  <c:v>-0.75118315384497691</c:v>
                </c:pt>
                <c:pt idx="414">
                  <c:v>-0.74943115384485282</c:v>
                </c:pt>
                <c:pt idx="415">
                  <c:v>-0.7489511538460647</c:v>
                </c:pt>
                <c:pt idx="416">
                  <c:v>-0.74653415384455002</c:v>
                </c:pt>
                <c:pt idx="417">
                  <c:v>-0.74540615384466946</c:v>
                </c:pt>
                <c:pt idx="418">
                  <c:v>-0.74195215384497715</c:v>
                </c:pt>
                <c:pt idx="419">
                  <c:v>-0.73651315384449845</c:v>
                </c:pt>
                <c:pt idx="420">
                  <c:v>-0.73284815384613466</c:v>
                </c:pt>
                <c:pt idx="421">
                  <c:v>-0.72147715384562616</c:v>
                </c:pt>
                <c:pt idx="422">
                  <c:v>-0.7158961538461881</c:v>
                </c:pt>
                <c:pt idx="423">
                  <c:v>-0.71272815384509158</c:v>
                </c:pt>
                <c:pt idx="424">
                  <c:v>-0.71075315384587157</c:v>
                </c:pt>
                <c:pt idx="425">
                  <c:v>-0.70532215384446317</c:v>
                </c:pt>
                <c:pt idx="426">
                  <c:v>-0.70104915384581545</c:v>
                </c:pt>
                <c:pt idx="427">
                  <c:v>-0.69641515384500963</c:v>
                </c:pt>
                <c:pt idx="428">
                  <c:v>-0.69465215384479961</c:v>
                </c:pt>
                <c:pt idx="429">
                  <c:v>-0.69438115384582488</c:v>
                </c:pt>
                <c:pt idx="430">
                  <c:v>-0.68177315384491521</c:v>
                </c:pt>
                <c:pt idx="431">
                  <c:v>-0.67369815384518006</c:v>
                </c:pt>
                <c:pt idx="432">
                  <c:v>-0.67180515384461614</c:v>
                </c:pt>
                <c:pt idx="433">
                  <c:v>-0.67045415384563967</c:v>
                </c:pt>
                <c:pt idx="434">
                  <c:v>-0.65865615384609555</c:v>
                </c:pt>
                <c:pt idx="435">
                  <c:v>-0.65818915384625143</c:v>
                </c:pt>
                <c:pt idx="436">
                  <c:v>-0.65808915384513966</c:v>
                </c:pt>
                <c:pt idx="437">
                  <c:v>-0.64896115384544828</c:v>
                </c:pt>
                <c:pt idx="438">
                  <c:v>-0.64730115384554665</c:v>
                </c:pt>
                <c:pt idx="439">
                  <c:v>-0.64517215384512383</c:v>
                </c:pt>
                <c:pt idx="440">
                  <c:v>-0.62385315384563</c:v>
                </c:pt>
                <c:pt idx="441">
                  <c:v>-0.61833815384488844</c:v>
                </c:pt>
                <c:pt idx="442">
                  <c:v>-0.61691515384518425</c:v>
                </c:pt>
                <c:pt idx="443">
                  <c:v>-0.6149921538453782</c:v>
                </c:pt>
                <c:pt idx="444">
                  <c:v>-0.60749815384588146</c:v>
                </c:pt>
                <c:pt idx="445">
                  <c:v>-0.60508115384618577</c:v>
                </c:pt>
                <c:pt idx="446">
                  <c:v>-0.58542815384498681</c:v>
                </c:pt>
                <c:pt idx="447">
                  <c:v>-0.57268315384499147</c:v>
                </c:pt>
                <c:pt idx="448">
                  <c:v>-0.53589215384454292</c:v>
                </c:pt>
                <c:pt idx="449">
                  <c:v>-0.46530115384484816</c:v>
                </c:pt>
                <c:pt idx="450">
                  <c:v>-0.46320915384603722</c:v>
                </c:pt>
                <c:pt idx="451">
                  <c:v>-0.36382715384570474</c:v>
                </c:pt>
                <c:pt idx="452">
                  <c:v>-0.30441815384619986</c:v>
                </c:pt>
                <c:pt idx="453">
                  <c:v>-0.2852371538447187</c:v>
                </c:pt>
              </c:numCache>
            </c:numRef>
          </c:xVal>
          <c:yVal>
            <c:numRef>
              <c:f>'BBP complete'!$T$665:$T$1118</c:f>
              <c:numCache>
                <c:formatCode>0.0000</c:formatCode>
                <c:ptCount val="454"/>
                <c:pt idx="0">
                  <c:v>0.11428571428571428</c:v>
                </c:pt>
                <c:pt idx="1">
                  <c:v>0.14285714285714285</c:v>
                </c:pt>
                <c:pt idx="2">
                  <c:v>0.11764705882352941</c:v>
                </c:pt>
                <c:pt idx="3">
                  <c:v>0.14285714285714285</c:v>
                </c:pt>
                <c:pt idx="4">
                  <c:v>0.16666666666666666</c:v>
                </c:pt>
                <c:pt idx="5">
                  <c:v>0.15625</c:v>
                </c:pt>
                <c:pt idx="6">
                  <c:v>0.17142857142857143</c:v>
                </c:pt>
                <c:pt idx="7">
                  <c:v>0.17142857142857143</c:v>
                </c:pt>
                <c:pt idx="8">
                  <c:v>0.11764705882352941</c:v>
                </c:pt>
                <c:pt idx="9">
                  <c:v>0.17647058823529413</c:v>
                </c:pt>
                <c:pt idx="10">
                  <c:v>0.17142857142857143</c:v>
                </c:pt>
                <c:pt idx="11">
                  <c:v>0.1388888888888889</c:v>
                </c:pt>
                <c:pt idx="12">
                  <c:v>0.14705882352941177</c:v>
                </c:pt>
                <c:pt idx="13">
                  <c:v>0.11764705882352941</c:v>
                </c:pt>
                <c:pt idx="14">
                  <c:v>0.2</c:v>
                </c:pt>
                <c:pt idx="15">
                  <c:v>0.17647058823529413</c:v>
                </c:pt>
                <c:pt idx="16">
                  <c:v>0.1388888888888889</c:v>
                </c:pt>
                <c:pt idx="17">
                  <c:v>0.17647058823529413</c:v>
                </c:pt>
                <c:pt idx="18">
                  <c:v>0.14705882352941177</c:v>
                </c:pt>
                <c:pt idx="19">
                  <c:v>0.14285714285714285</c:v>
                </c:pt>
                <c:pt idx="20">
                  <c:v>0.14705882352941177</c:v>
                </c:pt>
                <c:pt idx="21">
                  <c:v>0.17142857142857143</c:v>
                </c:pt>
                <c:pt idx="22">
                  <c:v>0.19444444444444445</c:v>
                </c:pt>
                <c:pt idx="23">
                  <c:v>0.19444444444444445</c:v>
                </c:pt>
                <c:pt idx="24">
                  <c:v>0.12121212121212122</c:v>
                </c:pt>
                <c:pt idx="25">
                  <c:v>0.14705882352941177</c:v>
                </c:pt>
                <c:pt idx="26">
                  <c:v>0.14705882352941177</c:v>
                </c:pt>
                <c:pt idx="27">
                  <c:v>0.14705882352941177</c:v>
                </c:pt>
                <c:pt idx="28">
                  <c:v>0.20588235294117646</c:v>
                </c:pt>
                <c:pt idx="29">
                  <c:v>0.11764705882352941</c:v>
                </c:pt>
                <c:pt idx="30">
                  <c:v>0.17647058823529413</c:v>
                </c:pt>
                <c:pt idx="31">
                  <c:v>0.17647058823529413</c:v>
                </c:pt>
                <c:pt idx="32">
                  <c:v>0.19444444444444445</c:v>
                </c:pt>
                <c:pt idx="33">
                  <c:v>0.14705882352941177</c:v>
                </c:pt>
                <c:pt idx="34">
                  <c:v>0.14705882352941177</c:v>
                </c:pt>
                <c:pt idx="35">
                  <c:v>0.15151515151515152</c:v>
                </c:pt>
                <c:pt idx="36">
                  <c:v>0.22222222222222221</c:v>
                </c:pt>
                <c:pt idx="37">
                  <c:v>0.17142857142857143</c:v>
                </c:pt>
                <c:pt idx="38">
                  <c:v>0.17647058823529413</c:v>
                </c:pt>
                <c:pt idx="39">
                  <c:v>0.22857142857142856</c:v>
                </c:pt>
                <c:pt idx="40">
                  <c:v>0.14705882352941177</c:v>
                </c:pt>
                <c:pt idx="41">
                  <c:v>0.17142857142857143</c:v>
                </c:pt>
                <c:pt idx="42">
                  <c:v>0.22857142857142856</c:v>
                </c:pt>
                <c:pt idx="43">
                  <c:v>0.14705882352941177</c:v>
                </c:pt>
                <c:pt idx="44">
                  <c:v>0.17647058823529413</c:v>
                </c:pt>
                <c:pt idx="45">
                  <c:v>0.17142857142857143</c:v>
                </c:pt>
                <c:pt idx="46">
                  <c:v>0.15151515151515152</c:v>
                </c:pt>
                <c:pt idx="47">
                  <c:v>0.17142857142857143</c:v>
                </c:pt>
                <c:pt idx="48">
                  <c:v>0.125</c:v>
                </c:pt>
                <c:pt idx="49">
                  <c:v>0.14705882352941177</c:v>
                </c:pt>
                <c:pt idx="50">
                  <c:v>0.17647058823529413</c:v>
                </c:pt>
                <c:pt idx="51">
                  <c:v>0.23529411764705882</c:v>
                </c:pt>
                <c:pt idx="52">
                  <c:v>0.17647058823529413</c:v>
                </c:pt>
                <c:pt idx="53">
                  <c:v>0.17647058823529413</c:v>
                </c:pt>
                <c:pt idx="54">
                  <c:v>0.14705882352941177</c:v>
                </c:pt>
                <c:pt idx="55">
                  <c:v>0.2</c:v>
                </c:pt>
                <c:pt idx="56">
                  <c:v>0.14705882352941177</c:v>
                </c:pt>
                <c:pt idx="57">
                  <c:v>0.15151515151515152</c:v>
                </c:pt>
                <c:pt idx="58">
                  <c:v>0.14705882352941177</c:v>
                </c:pt>
                <c:pt idx="59">
                  <c:v>0.17142857142857143</c:v>
                </c:pt>
                <c:pt idx="60">
                  <c:v>0.17647058823529413</c:v>
                </c:pt>
                <c:pt idx="61">
                  <c:v>0.14705882352941177</c:v>
                </c:pt>
                <c:pt idx="62">
                  <c:v>0.17647058823529413</c:v>
                </c:pt>
                <c:pt idx="63">
                  <c:v>0.22222222222222221</c:v>
                </c:pt>
                <c:pt idx="64">
                  <c:v>0.15625</c:v>
                </c:pt>
                <c:pt idx="65">
                  <c:v>0.14705882352941177</c:v>
                </c:pt>
                <c:pt idx="66">
                  <c:v>0.17647058823529413</c:v>
                </c:pt>
                <c:pt idx="67">
                  <c:v>0.14705882352941177</c:v>
                </c:pt>
                <c:pt idx="68">
                  <c:v>0.17142857142857143</c:v>
                </c:pt>
                <c:pt idx="69">
                  <c:v>0.14705882352941177</c:v>
                </c:pt>
                <c:pt idx="70">
                  <c:v>0.16666666666666666</c:v>
                </c:pt>
                <c:pt idx="71">
                  <c:v>0.14705882352941177</c:v>
                </c:pt>
                <c:pt idx="72">
                  <c:v>0.2</c:v>
                </c:pt>
                <c:pt idx="73">
                  <c:v>0.14705882352941177</c:v>
                </c:pt>
                <c:pt idx="74">
                  <c:v>0.14285714285714285</c:v>
                </c:pt>
                <c:pt idx="75">
                  <c:v>0.19444444444444445</c:v>
                </c:pt>
                <c:pt idx="76">
                  <c:v>0.11764705882352941</c:v>
                </c:pt>
                <c:pt idx="77">
                  <c:v>0.17142857142857143</c:v>
                </c:pt>
                <c:pt idx="78">
                  <c:v>0.125</c:v>
                </c:pt>
                <c:pt idx="79">
                  <c:v>0.2</c:v>
                </c:pt>
                <c:pt idx="80">
                  <c:v>0.17142857142857143</c:v>
                </c:pt>
                <c:pt idx="81">
                  <c:v>0.17647058823529413</c:v>
                </c:pt>
                <c:pt idx="82">
                  <c:v>0.19444444444444445</c:v>
                </c:pt>
                <c:pt idx="83">
                  <c:v>0.18181818181818182</c:v>
                </c:pt>
                <c:pt idx="84">
                  <c:v>0.2</c:v>
                </c:pt>
                <c:pt idx="85">
                  <c:v>0.12121212121212122</c:v>
                </c:pt>
                <c:pt idx="86">
                  <c:v>0.14705882352941177</c:v>
                </c:pt>
                <c:pt idx="87">
                  <c:v>0.15151515151515152</c:v>
                </c:pt>
                <c:pt idx="88">
                  <c:v>0.14705882352941177</c:v>
                </c:pt>
                <c:pt idx="89">
                  <c:v>0.17647058823529413</c:v>
                </c:pt>
                <c:pt idx="90">
                  <c:v>0.17647058823529413</c:v>
                </c:pt>
                <c:pt idx="91">
                  <c:v>0.1875</c:v>
                </c:pt>
                <c:pt idx="92">
                  <c:v>0.17142857142857143</c:v>
                </c:pt>
                <c:pt idx="93">
                  <c:v>0.17647058823529413</c:v>
                </c:pt>
                <c:pt idx="94">
                  <c:v>0.15625</c:v>
                </c:pt>
                <c:pt idx="95">
                  <c:v>0.14705882352941177</c:v>
                </c:pt>
                <c:pt idx="96">
                  <c:v>0.17647058823529413</c:v>
                </c:pt>
                <c:pt idx="97">
                  <c:v>0.17647058823529413</c:v>
                </c:pt>
                <c:pt idx="98">
                  <c:v>0.18181818181818182</c:v>
                </c:pt>
                <c:pt idx="99">
                  <c:v>0.19444444444444445</c:v>
                </c:pt>
                <c:pt idx="100">
                  <c:v>0.17142857142857143</c:v>
                </c:pt>
                <c:pt idx="101">
                  <c:v>0.2</c:v>
                </c:pt>
                <c:pt idx="102">
                  <c:v>0.19444444444444445</c:v>
                </c:pt>
                <c:pt idx="103">
                  <c:v>0.22222222222222221</c:v>
                </c:pt>
                <c:pt idx="104">
                  <c:v>0.19444444444444445</c:v>
                </c:pt>
                <c:pt idx="105">
                  <c:v>0.22857142857142856</c:v>
                </c:pt>
                <c:pt idx="106">
                  <c:v>0.17647058823529413</c:v>
                </c:pt>
                <c:pt idx="107">
                  <c:v>0.20588235294117646</c:v>
                </c:pt>
                <c:pt idx="108">
                  <c:v>0.14705882352941177</c:v>
                </c:pt>
                <c:pt idx="109">
                  <c:v>0.17647058823529413</c:v>
                </c:pt>
                <c:pt idx="110">
                  <c:v>0.2</c:v>
                </c:pt>
                <c:pt idx="111">
                  <c:v>0.17142857142857143</c:v>
                </c:pt>
                <c:pt idx="112">
                  <c:v>0.17647058823529413</c:v>
                </c:pt>
                <c:pt idx="113">
                  <c:v>0.2</c:v>
                </c:pt>
                <c:pt idx="114">
                  <c:v>0.22222222222222221</c:v>
                </c:pt>
                <c:pt idx="115">
                  <c:v>0.17647058823529413</c:v>
                </c:pt>
                <c:pt idx="116">
                  <c:v>0.17647058823529413</c:v>
                </c:pt>
                <c:pt idx="117">
                  <c:v>0.2</c:v>
                </c:pt>
                <c:pt idx="118">
                  <c:v>0.14705882352941177</c:v>
                </c:pt>
                <c:pt idx="119">
                  <c:v>0.22222222222222221</c:v>
                </c:pt>
                <c:pt idx="120">
                  <c:v>0.17647058823529413</c:v>
                </c:pt>
                <c:pt idx="121">
                  <c:v>0.2</c:v>
                </c:pt>
                <c:pt idx="122">
                  <c:v>0.22222222222222221</c:v>
                </c:pt>
                <c:pt idx="123">
                  <c:v>0.2</c:v>
                </c:pt>
                <c:pt idx="124">
                  <c:v>0.17647058823529413</c:v>
                </c:pt>
                <c:pt idx="125">
                  <c:v>0.20588235294117646</c:v>
                </c:pt>
                <c:pt idx="126">
                  <c:v>0.17647058823529413</c:v>
                </c:pt>
                <c:pt idx="127">
                  <c:v>0.2</c:v>
                </c:pt>
                <c:pt idx="128">
                  <c:v>0.2</c:v>
                </c:pt>
                <c:pt idx="129">
                  <c:v>0.14705882352941177</c:v>
                </c:pt>
                <c:pt idx="130">
                  <c:v>0.17647058823529413</c:v>
                </c:pt>
                <c:pt idx="131">
                  <c:v>0.19444444444444445</c:v>
                </c:pt>
                <c:pt idx="132">
                  <c:v>0.17647058823529413</c:v>
                </c:pt>
                <c:pt idx="133">
                  <c:v>0.17647058823529413</c:v>
                </c:pt>
                <c:pt idx="134">
                  <c:v>0.2</c:v>
                </c:pt>
                <c:pt idx="135">
                  <c:v>0.22857142857142856</c:v>
                </c:pt>
                <c:pt idx="136">
                  <c:v>0.17647058823529413</c:v>
                </c:pt>
                <c:pt idx="137">
                  <c:v>0.17142857142857143</c:v>
                </c:pt>
                <c:pt idx="138">
                  <c:v>0.22857142857142856</c:v>
                </c:pt>
                <c:pt idx="139">
                  <c:v>0.14705882352941177</c:v>
                </c:pt>
                <c:pt idx="140">
                  <c:v>0.20588235294117646</c:v>
                </c:pt>
                <c:pt idx="141">
                  <c:v>0.17142857142857143</c:v>
                </c:pt>
                <c:pt idx="142">
                  <c:v>0.20588235294117646</c:v>
                </c:pt>
                <c:pt idx="143">
                  <c:v>0.17142857142857143</c:v>
                </c:pt>
                <c:pt idx="144">
                  <c:v>0.17647058823529413</c:v>
                </c:pt>
                <c:pt idx="145">
                  <c:v>0.2</c:v>
                </c:pt>
                <c:pt idx="146">
                  <c:v>0.22222222222222221</c:v>
                </c:pt>
                <c:pt idx="147">
                  <c:v>0.14705882352941177</c:v>
                </c:pt>
                <c:pt idx="148">
                  <c:v>0.2</c:v>
                </c:pt>
                <c:pt idx="149">
                  <c:v>0.20588235294117646</c:v>
                </c:pt>
                <c:pt idx="150">
                  <c:v>0.17647058823529413</c:v>
                </c:pt>
                <c:pt idx="151">
                  <c:v>0.26470588235294118</c:v>
                </c:pt>
                <c:pt idx="152">
                  <c:v>0.17647058823529413</c:v>
                </c:pt>
                <c:pt idx="153">
                  <c:v>0.17142857142857143</c:v>
                </c:pt>
                <c:pt idx="154">
                  <c:v>0.17647058823529413</c:v>
                </c:pt>
                <c:pt idx="155">
                  <c:v>0.20588235294117646</c:v>
                </c:pt>
                <c:pt idx="156">
                  <c:v>0.14285714285714285</c:v>
                </c:pt>
                <c:pt idx="157">
                  <c:v>0.15625</c:v>
                </c:pt>
                <c:pt idx="158">
                  <c:v>0.19444444444444445</c:v>
                </c:pt>
                <c:pt idx="159">
                  <c:v>0.20588235294117646</c:v>
                </c:pt>
                <c:pt idx="160">
                  <c:v>0.17142857142857143</c:v>
                </c:pt>
                <c:pt idx="161">
                  <c:v>0.14705882352941177</c:v>
                </c:pt>
                <c:pt idx="162">
                  <c:v>0.2</c:v>
                </c:pt>
                <c:pt idx="163">
                  <c:v>0.17647058823529413</c:v>
                </c:pt>
                <c:pt idx="164">
                  <c:v>0.1875</c:v>
                </c:pt>
                <c:pt idx="165">
                  <c:v>0.17647058823529413</c:v>
                </c:pt>
                <c:pt idx="166">
                  <c:v>0.25714285714285712</c:v>
                </c:pt>
                <c:pt idx="167">
                  <c:v>0.20588235294117646</c:v>
                </c:pt>
                <c:pt idx="168">
                  <c:v>0.17142857142857143</c:v>
                </c:pt>
                <c:pt idx="169">
                  <c:v>0.25</c:v>
                </c:pt>
                <c:pt idx="170">
                  <c:v>0.14705882352941177</c:v>
                </c:pt>
                <c:pt idx="171">
                  <c:v>0.23529411764705882</c:v>
                </c:pt>
                <c:pt idx="172">
                  <c:v>0.17142857142857143</c:v>
                </c:pt>
                <c:pt idx="173">
                  <c:v>0.20588235294117646</c:v>
                </c:pt>
                <c:pt idx="174">
                  <c:v>0.14705882352941177</c:v>
                </c:pt>
                <c:pt idx="175">
                  <c:v>0.20588235294117646</c:v>
                </c:pt>
                <c:pt idx="176">
                  <c:v>0.3235294117647059</c:v>
                </c:pt>
                <c:pt idx="177">
                  <c:v>0.22857142857142856</c:v>
                </c:pt>
                <c:pt idx="178">
                  <c:v>0.17647058823529413</c:v>
                </c:pt>
                <c:pt idx="179">
                  <c:v>0.14705882352941177</c:v>
                </c:pt>
                <c:pt idx="180">
                  <c:v>0.2</c:v>
                </c:pt>
                <c:pt idx="181">
                  <c:v>0.19444444444444445</c:v>
                </c:pt>
                <c:pt idx="182">
                  <c:v>0.19444444444444445</c:v>
                </c:pt>
                <c:pt idx="183">
                  <c:v>0.20588235294117646</c:v>
                </c:pt>
                <c:pt idx="184">
                  <c:v>0.20588235294117646</c:v>
                </c:pt>
                <c:pt idx="185">
                  <c:v>0.17647058823529413</c:v>
                </c:pt>
                <c:pt idx="186">
                  <c:v>0.17647058823529413</c:v>
                </c:pt>
                <c:pt idx="187">
                  <c:v>0.14705882352941177</c:v>
                </c:pt>
                <c:pt idx="188">
                  <c:v>0.17647058823529413</c:v>
                </c:pt>
                <c:pt idx="189">
                  <c:v>0.20588235294117646</c:v>
                </c:pt>
                <c:pt idx="190">
                  <c:v>0.18181818181818182</c:v>
                </c:pt>
                <c:pt idx="191">
                  <c:v>0.17647058823529413</c:v>
                </c:pt>
                <c:pt idx="192">
                  <c:v>0.17142857142857143</c:v>
                </c:pt>
                <c:pt idx="193">
                  <c:v>0.20588235294117646</c:v>
                </c:pt>
                <c:pt idx="194">
                  <c:v>0.17142857142857143</c:v>
                </c:pt>
                <c:pt idx="195">
                  <c:v>0.17142857142857143</c:v>
                </c:pt>
                <c:pt idx="196">
                  <c:v>0.22222222222222221</c:v>
                </c:pt>
                <c:pt idx="197">
                  <c:v>0.14285714285714285</c:v>
                </c:pt>
                <c:pt idx="198">
                  <c:v>0.20588235294117646</c:v>
                </c:pt>
                <c:pt idx="199">
                  <c:v>0.2</c:v>
                </c:pt>
                <c:pt idx="200">
                  <c:v>0.2</c:v>
                </c:pt>
                <c:pt idx="201">
                  <c:v>0.20588235294117646</c:v>
                </c:pt>
                <c:pt idx="202">
                  <c:v>0.2</c:v>
                </c:pt>
                <c:pt idx="203">
                  <c:v>0.20588235294117646</c:v>
                </c:pt>
                <c:pt idx="204">
                  <c:v>0.14705882352941177</c:v>
                </c:pt>
                <c:pt idx="205">
                  <c:v>0.17647058823529413</c:v>
                </c:pt>
                <c:pt idx="206">
                  <c:v>0.17647058823529413</c:v>
                </c:pt>
                <c:pt idx="207">
                  <c:v>0.22857142857142856</c:v>
                </c:pt>
                <c:pt idx="208">
                  <c:v>0.2</c:v>
                </c:pt>
                <c:pt idx="209">
                  <c:v>0.17647058823529413</c:v>
                </c:pt>
                <c:pt idx="210">
                  <c:v>0.2</c:v>
                </c:pt>
                <c:pt idx="211">
                  <c:v>0.15625</c:v>
                </c:pt>
                <c:pt idx="212">
                  <c:v>0.21212121212121213</c:v>
                </c:pt>
                <c:pt idx="213">
                  <c:v>0.17647058823529413</c:v>
                </c:pt>
                <c:pt idx="214">
                  <c:v>0.1388888888888889</c:v>
                </c:pt>
                <c:pt idx="215">
                  <c:v>0.2</c:v>
                </c:pt>
                <c:pt idx="216">
                  <c:v>0.14705882352941177</c:v>
                </c:pt>
                <c:pt idx="217">
                  <c:v>0.20588235294117646</c:v>
                </c:pt>
                <c:pt idx="218">
                  <c:v>0.17142857142857143</c:v>
                </c:pt>
                <c:pt idx="219">
                  <c:v>0.22222222222222221</c:v>
                </c:pt>
                <c:pt idx="220">
                  <c:v>0.17142857142857143</c:v>
                </c:pt>
                <c:pt idx="221">
                  <c:v>0.22222222222222221</c:v>
                </c:pt>
                <c:pt idx="222">
                  <c:v>0.17647058823529413</c:v>
                </c:pt>
                <c:pt idx="223">
                  <c:v>0.25714285714285712</c:v>
                </c:pt>
                <c:pt idx="224">
                  <c:v>0.22222222222222221</c:v>
                </c:pt>
                <c:pt idx="225">
                  <c:v>0.2</c:v>
                </c:pt>
                <c:pt idx="226">
                  <c:v>0.19444444444444445</c:v>
                </c:pt>
                <c:pt idx="227">
                  <c:v>0.2</c:v>
                </c:pt>
                <c:pt idx="228">
                  <c:v>0.20588235294117646</c:v>
                </c:pt>
                <c:pt idx="229">
                  <c:v>0.2</c:v>
                </c:pt>
                <c:pt idx="230">
                  <c:v>0.22857142857142856</c:v>
                </c:pt>
                <c:pt idx="231">
                  <c:v>0.20588235294117646</c:v>
                </c:pt>
                <c:pt idx="232">
                  <c:v>0.17647058823529413</c:v>
                </c:pt>
                <c:pt idx="233">
                  <c:v>0.23529411764705882</c:v>
                </c:pt>
                <c:pt idx="234">
                  <c:v>0.22222222222222221</c:v>
                </c:pt>
                <c:pt idx="235">
                  <c:v>0.22857142857142856</c:v>
                </c:pt>
                <c:pt idx="236">
                  <c:v>0.1875</c:v>
                </c:pt>
                <c:pt idx="237">
                  <c:v>0.26470588235294118</c:v>
                </c:pt>
                <c:pt idx="238">
                  <c:v>0.17647058823529413</c:v>
                </c:pt>
                <c:pt idx="239">
                  <c:v>0.22857142857142856</c:v>
                </c:pt>
                <c:pt idx="240">
                  <c:v>0.14705882352941177</c:v>
                </c:pt>
                <c:pt idx="241">
                  <c:v>0.16666666666666666</c:v>
                </c:pt>
                <c:pt idx="242">
                  <c:v>0.19444444444444445</c:v>
                </c:pt>
                <c:pt idx="243">
                  <c:v>0.18181818181818182</c:v>
                </c:pt>
                <c:pt idx="244">
                  <c:v>0.20588235294117646</c:v>
                </c:pt>
                <c:pt idx="245">
                  <c:v>0.20588235294117646</c:v>
                </c:pt>
                <c:pt idx="246">
                  <c:v>0.17142857142857143</c:v>
                </c:pt>
                <c:pt idx="247">
                  <c:v>0.20588235294117646</c:v>
                </c:pt>
                <c:pt idx="248">
                  <c:v>0.21212121212121213</c:v>
                </c:pt>
                <c:pt idx="249">
                  <c:v>0.20588235294117646</c:v>
                </c:pt>
                <c:pt idx="250">
                  <c:v>0.22222222222222221</c:v>
                </c:pt>
                <c:pt idx="251">
                  <c:v>0.14705882352941177</c:v>
                </c:pt>
                <c:pt idx="252">
                  <c:v>0.25</c:v>
                </c:pt>
                <c:pt idx="253">
                  <c:v>0.2</c:v>
                </c:pt>
                <c:pt idx="254">
                  <c:v>0.20588235294117646</c:v>
                </c:pt>
                <c:pt idx="255">
                  <c:v>0.21212121212121213</c:v>
                </c:pt>
                <c:pt idx="256">
                  <c:v>0.23529411764705882</c:v>
                </c:pt>
                <c:pt idx="257">
                  <c:v>0.14705882352941177</c:v>
                </c:pt>
                <c:pt idx="258">
                  <c:v>0.20588235294117646</c:v>
                </c:pt>
                <c:pt idx="259">
                  <c:v>0.1875</c:v>
                </c:pt>
                <c:pt idx="260">
                  <c:v>0.17647058823529413</c:v>
                </c:pt>
                <c:pt idx="261">
                  <c:v>0.25</c:v>
                </c:pt>
                <c:pt idx="262">
                  <c:v>0.22222222222222221</c:v>
                </c:pt>
                <c:pt idx="263">
                  <c:v>0.22222222222222221</c:v>
                </c:pt>
                <c:pt idx="264">
                  <c:v>0.2</c:v>
                </c:pt>
                <c:pt idx="265">
                  <c:v>0.23529411764705882</c:v>
                </c:pt>
                <c:pt idx="266">
                  <c:v>0.17142857142857143</c:v>
                </c:pt>
                <c:pt idx="267">
                  <c:v>0.25</c:v>
                </c:pt>
                <c:pt idx="268">
                  <c:v>0.22857142857142856</c:v>
                </c:pt>
                <c:pt idx="269">
                  <c:v>0.20588235294117646</c:v>
                </c:pt>
                <c:pt idx="270">
                  <c:v>0.25714285714285712</c:v>
                </c:pt>
                <c:pt idx="271">
                  <c:v>0.22857142857142856</c:v>
                </c:pt>
                <c:pt idx="272">
                  <c:v>0.22222222222222221</c:v>
                </c:pt>
                <c:pt idx="273">
                  <c:v>0.22857142857142856</c:v>
                </c:pt>
                <c:pt idx="274">
                  <c:v>0.21212121212121213</c:v>
                </c:pt>
                <c:pt idx="275">
                  <c:v>0.19444444444444445</c:v>
                </c:pt>
                <c:pt idx="276">
                  <c:v>0.17647058823529413</c:v>
                </c:pt>
                <c:pt idx="277">
                  <c:v>0.27777777777777779</c:v>
                </c:pt>
                <c:pt idx="278">
                  <c:v>0.23529411764705882</c:v>
                </c:pt>
                <c:pt idx="279">
                  <c:v>0.23529411764705882</c:v>
                </c:pt>
                <c:pt idx="280">
                  <c:v>0.20588235294117646</c:v>
                </c:pt>
                <c:pt idx="281">
                  <c:v>0.20588235294117646</c:v>
                </c:pt>
                <c:pt idx="282">
                  <c:v>0.23529411764705882</c:v>
                </c:pt>
                <c:pt idx="283">
                  <c:v>0.20588235294117646</c:v>
                </c:pt>
                <c:pt idx="284">
                  <c:v>0.2</c:v>
                </c:pt>
                <c:pt idx="285">
                  <c:v>0.1875</c:v>
                </c:pt>
                <c:pt idx="286">
                  <c:v>0.21212121212121213</c:v>
                </c:pt>
                <c:pt idx="287">
                  <c:v>0.21212121212121213</c:v>
                </c:pt>
                <c:pt idx="288">
                  <c:v>0.22222222222222221</c:v>
                </c:pt>
                <c:pt idx="289">
                  <c:v>0.17647058823529413</c:v>
                </c:pt>
                <c:pt idx="290">
                  <c:v>0.22222222222222221</c:v>
                </c:pt>
                <c:pt idx="291">
                  <c:v>0.22222222222222221</c:v>
                </c:pt>
                <c:pt idx="292">
                  <c:v>0.22222222222222221</c:v>
                </c:pt>
                <c:pt idx="293">
                  <c:v>0.25</c:v>
                </c:pt>
                <c:pt idx="294">
                  <c:v>0.22857142857142856</c:v>
                </c:pt>
                <c:pt idx="295">
                  <c:v>0.25</c:v>
                </c:pt>
                <c:pt idx="296">
                  <c:v>0.20588235294117646</c:v>
                </c:pt>
                <c:pt idx="297">
                  <c:v>0.25714285714285712</c:v>
                </c:pt>
                <c:pt idx="298">
                  <c:v>0.23529411764705882</c:v>
                </c:pt>
                <c:pt idx="299">
                  <c:v>0.22222222222222221</c:v>
                </c:pt>
                <c:pt idx="300">
                  <c:v>0.20588235294117646</c:v>
                </c:pt>
                <c:pt idx="301">
                  <c:v>0.19444444444444445</c:v>
                </c:pt>
                <c:pt idx="302">
                  <c:v>0.20588235294117646</c:v>
                </c:pt>
                <c:pt idx="303">
                  <c:v>0.17647058823529413</c:v>
                </c:pt>
                <c:pt idx="304">
                  <c:v>0.23529411764705882</c:v>
                </c:pt>
                <c:pt idx="305">
                  <c:v>0.18181818181818182</c:v>
                </c:pt>
                <c:pt idx="306">
                  <c:v>0.21875</c:v>
                </c:pt>
                <c:pt idx="307">
                  <c:v>0.25</c:v>
                </c:pt>
                <c:pt idx="308">
                  <c:v>0.20588235294117646</c:v>
                </c:pt>
                <c:pt idx="309">
                  <c:v>0.25</c:v>
                </c:pt>
                <c:pt idx="310">
                  <c:v>0.22857142857142856</c:v>
                </c:pt>
                <c:pt idx="311">
                  <c:v>0.23529411764705882</c:v>
                </c:pt>
                <c:pt idx="312">
                  <c:v>0.17142857142857143</c:v>
                </c:pt>
                <c:pt idx="313">
                  <c:v>0.20588235294117646</c:v>
                </c:pt>
                <c:pt idx="314">
                  <c:v>0.23529411764705882</c:v>
                </c:pt>
                <c:pt idx="315">
                  <c:v>0.27272727272727271</c:v>
                </c:pt>
                <c:pt idx="316">
                  <c:v>0.19444444444444445</c:v>
                </c:pt>
                <c:pt idx="317">
                  <c:v>0.24242424242424243</c:v>
                </c:pt>
                <c:pt idx="318">
                  <c:v>0.22222222222222221</c:v>
                </c:pt>
                <c:pt idx="319">
                  <c:v>0.17647058823529413</c:v>
                </c:pt>
                <c:pt idx="320">
                  <c:v>0.22222222222222221</c:v>
                </c:pt>
                <c:pt idx="321">
                  <c:v>0.2</c:v>
                </c:pt>
                <c:pt idx="322">
                  <c:v>0.20588235294117646</c:v>
                </c:pt>
                <c:pt idx="323">
                  <c:v>0.25714285714285712</c:v>
                </c:pt>
                <c:pt idx="324">
                  <c:v>0.2</c:v>
                </c:pt>
                <c:pt idx="325">
                  <c:v>0.25714285714285712</c:v>
                </c:pt>
                <c:pt idx="326">
                  <c:v>0.23529411764705882</c:v>
                </c:pt>
                <c:pt idx="327">
                  <c:v>0.22857142857142856</c:v>
                </c:pt>
                <c:pt idx="328">
                  <c:v>0.24242424242424243</c:v>
                </c:pt>
                <c:pt idx="329">
                  <c:v>0.22222222222222221</c:v>
                </c:pt>
                <c:pt idx="330">
                  <c:v>0.22857142857142856</c:v>
                </c:pt>
                <c:pt idx="331">
                  <c:v>0.25714285714285712</c:v>
                </c:pt>
                <c:pt idx="332">
                  <c:v>0.23529411764705882</c:v>
                </c:pt>
                <c:pt idx="333">
                  <c:v>0.2</c:v>
                </c:pt>
                <c:pt idx="334">
                  <c:v>0.19444444444444445</c:v>
                </c:pt>
                <c:pt idx="335">
                  <c:v>0.25714285714285712</c:v>
                </c:pt>
                <c:pt idx="336">
                  <c:v>0.22857142857142856</c:v>
                </c:pt>
                <c:pt idx="337">
                  <c:v>0.22222222222222221</c:v>
                </c:pt>
                <c:pt idx="338">
                  <c:v>0.14705882352941177</c:v>
                </c:pt>
                <c:pt idx="339">
                  <c:v>0.29411764705882354</c:v>
                </c:pt>
                <c:pt idx="340">
                  <c:v>0.22857142857142856</c:v>
                </c:pt>
                <c:pt idx="341">
                  <c:v>0.21875</c:v>
                </c:pt>
                <c:pt idx="342">
                  <c:v>0.25714285714285712</c:v>
                </c:pt>
                <c:pt idx="343">
                  <c:v>0.25</c:v>
                </c:pt>
                <c:pt idx="344">
                  <c:v>0.2</c:v>
                </c:pt>
                <c:pt idx="345">
                  <c:v>0.25714285714285712</c:v>
                </c:pt>
                <c:pt idx="346">
                  <c:v>0.25714285714285712</c:v>
                </c:pt>
                <c:pt idx="347">
                  <c:v>0.20588235294117646</c:v>
                </c:pt>
                <c:pt idx="348">
                  <c:v>0.20588235294117646</c:v>
                </c:pt>
                <c:pt idx="349">
                  <c:v>0.22857142857142856</c:v>
                </c:pt>
                <c:pt idx="350">
                  <c:v>0.17647058823529413</c:v>
                </c:pt>
                <c:pt idx="351">
                  <c:v>0.25714285714285712</c:v>
                </c:pt>
                <c:pt idx="352">
                  <c:v>0.23529411764705882</c:v>
                </c:pt>
                <c:pt idx="353">
                  <c:v>0.2857142857142857</c:v>
                </c:pt>
                <c:pt idx="354">
                  <c:v>0.22857142857142856</c:v>
                </c:pt>
                <c:pt idx="355">
                  <c:v>0.2</c:v>
                </c:pt>
                <c:pt idx="356">
                  <c:v>0.2</c:v>
                </c:pt>
                <c:pt idx="357">
                  <c:v>0.16666666666666666</c:v>
                </c:pt>
                <c:pt idx="358">
                  <c:v>0.22857142857142856</c:v>
                </c:pt>
                <c:pt idx="359">
                  <c:v>0.27272727272727271</c:v>
                </c:pt>
                <c:pt idx="360">
                  <c:v>0.23529411764705882</c:v>
                </c:pt>
                <c:pt idx="361">
                  <c:v>0.14705882352941177</c:v>
                </c:pt>
                <c:pt idx="362">
                  <c:v>0.27272727272727271</c:v>
                </c:pt>
                <c:pt idx="363">
                  <c:v>0.23529411764705882</c:v>
                </c:pt>
                <c:pt idx="364">
                  <c:v>0.19444444444444445</c:v>
                </c:pt>
                <c:pt idx="365">
                  <c:v>0.22857142857142856</c:v>
                </c:pt>
                <c:pt idx="366">
                  <c:v>0.23529411764705882</c:v>
                </c:pt>
                <c:pt idx="367">
                  <c:v>0.2</c:v>
                </c:pt>
                <c:pt idx="368">
                  <c:v>0.22222222222222221</c:v>
                </c:pt>
                <c:pt idx="369">
                  <c:v>0.22222222222222221</c:v>
                </c:pt>
                <c:pt idx="370">
                  <c:v>0.21212121212121213</c:v>
                </c:pt>
                <c:pt idx="371">
                  <c:v>0.25</c:v>
                </c:pt>
                <c:pt idx="372">
                  <c:v>0.22222222222222221</c:v>
                </c:pt>
                <c:pt idx="373">
                  <c:v>0.22857142857142856</c:v>
                </c:pt>
                <c:pt idx="374">
                  <c:v>0.19444444444444445</c:v>
                </c:pt>
                <c:pt idx="375">
                  <c:v>0.25</c:v>
                </c:pt>
                <c:pt idx="376">
                  <c:v>0.22222222222222221</c:v>
                </c:pt>
                <c:pt idx="377">
                  <c:v>0.26470588235294118</c:v>
                </c:pt>
                <c:pt idx="378">
                  <c:v>0.26470588235294118</c:v>
                </c:pt>
                <c:pt idx="379">
                  <c:v>0.2</c:v>
                </c:pt>
                <c:pt idx="380">
                  <c:v>0.23529411764705882</c:v>
                </c:pt>
                <c:pt idx="381">
                  <c:v>0.22857142857142856</c:v>
                </c:pt>
                <c:pt idx="382">
                  <c:v>0.25714285714285712</c:v>
                </c:pt>
                <c:pt idx="383">
                  <c:v>0.25714285714285712</c:v>
                </c:pt>
                <c:pt idx="384">
                  <c:v>0.22222222222222221</c:v>
                </c:pt>
                <c:pt idx="385">
                  <c:v>0.2</c:v>
                </c:pt>
                <c:pt idx="386">
                  <c:v>0.16666666666666666</c:v>
                </c:pt>
                <c:pt idx="387">
                  <c:v>0.20588235294117646</c:v>
                </c:pt>
                <c:pt idx="388">
                  <c:v>0.31428571428571428</c:v>
                </c:pt>
                <c:pt idx="389">
                  <c:v>0.17647058823529413</c:v>
                </c:pt>
                <c:pt idx="390">
                  <c:v>0.23529411764705882</c:v>
                </c:pt>
                <c:pt idx="391">
                  <c:v>0.18181818181818182</c:v>
                </c:pt>
                <c:pt idx="392">
                  <c:v>0.22222222222222221</c:v>
                </c:pt>
                <c:pt idx="393">
                  <c:v>0.21212121212121213</c:v>
                </c:pt>
                <c:pt idx="394">
                  <c:v>0.2</c:v>
                </c:pt>
                <c:pt idx="395">
                  <c:v>0.22222222222222221</c:v>
                </c:pt>
                <c:pt idx="396">
                  <c:v>0.22857142857142856</c:v>
                </c:pt>
                <c:pt idx="397">
                  <c:v>0.19444444444444445</c:v>
                </c:pt>
                <c:pt idx="398">
                  <c:v>0.25</c:v>
                </c:pt>
                <c:pt idx="399">
                  <c:v>0.25</c:v>
                </c:pt>
                <c:pt idx="400">
                  <c:v>0.20588235294117646</c:v>
                </c:pt>
                <c:pt idx="401">
                  <c:v>0.2</c:v>
                </c:pt>
                <c:pt idx="402">
                  <c:v>0.22857142857142856</c:v>
                </c:pt>
                <c:pt idx="403">
                  <c:v>0.26470588235294118</c:v>
                </c:pt>
                <c:pt idx="404">
                  <c:v>0.22222222222222221</c:v>
                </c:pt>
                <c:pt idx="405">
                  <c:v>0.19444444444444445</c:v>
                </c:pt>
                <c:pt idx="406">
                  <c:v>0.19444444444444445</c:v>
                </c:pt>
                <c:pt idx="407">
                  <c:v>0.19444444444444445</c:v>
                </c:pt>
                <c:pt idx="408">
                  <c:v>0.29411764705882354</c:v>
                </c:pt>
                <c:pt idx="409">
                  <c:v>0.25714285714285712</c:v>
                </c:pt>
                <c:pt idx="410">
                  <c:v>0.14285714285714285</c:v>
                </c:pt>
                <c:pt idx="411">
                  <c:v>0.23529411764705882</c:v>
                </c:pt>
                <c:pt idx="412">
                  <c:v>0.23529411764705882</c:v>
                </c:pt>
                <c:pt idx="413">
                  <c:v>0.22857142857142856</c:v>
                </c:pt>
                <c:pt idx="414">
                  <c:v>0.27777777777777779</c:v>
                </c:pt>
                <c:pt idx="415">
                  <c:v>0.17142857142857143</c:v>
                </c:pt>
                <c:pt idx="416">
                  <c:v>0.27777777777777779</c:v>
                </c:pt>
                <c:pt idx="417">
                  <c:v>0.22222222222222221</c:v>
                </c:pt>
                <c:pt idx="418">
                  <c:v>0.25714285714285712</c:v>
                </c:pt>
                <c:pt idx="419">
                  <c:v>0.23529411764705882</c:v>
                </c:pt>
                <c:pt idx="420">
                  <c:v>0.26470588235294118</c:v>
                </c:pt>
                <c:pt idx="421">
                  <c:v>0.29411764705882354</c:v>
                </c:pt>
                <c:pt idx="422">
                  <c:v>0.25714285714285712</c:v>
                </c:pt>
                <c:pt idx="423">
                  <c:v>0.22222222222222221</c:v>
                </c:pt>
                <c:pt idx="424">
                  <c:v>0.25</c:v>
                </c:pt>
                <c:pt idx="425">
                  <c:v>0.22857142857142856</c:v>
                </c:pt>
                <c:pt idx="426">
                  <c:v>0.22857142857142856</c:v>
                </c:pt>
                <c:pt idx="427">
                  <c:v>0.25714285714285712</c:v>
                </c:pt>
                <c:pt idx="428">
                  <c:v>0.24242424242424243</c:v>
                </c:pt>
                <c:pt idx="429">
                  <c:v>0.25</c:v>
                </c:pt>
                <c:pt idx="430">
                  <c:v>0.22222222222222221</c:v>
                </c:pt>
                <c:pt idx="431">
                  <c:v>0.29411764705882354</c:v>
                </c:pt>
                <c:pt idx="432">
                  <c:v>0.17647058823529413</c:v>
                </c:pt>
                <c:pt idx="433">
                  <c:v>0.27777777777777779</c:v>
                </c:pt>
                <c:pt idx="434">
                  <c:v>0.29411764705882354</c:v>
                </c:pt>
                <c:pt idx="435">
                  <c:v>0.25714285714285712</c:v>
                </c:pt>
                <c:pt idx="436">
                  <c:v>0.25714285714285712</c:v>
                </c:pt>
                <c:pt idx="437">
                  <c:v>0.22222222222222221</c:v>
                </c:pt>
                <c:pt idx="438">
                  <c:v>0.25</c:v>
                </c:pt>
                <c:pt idx="439">
                  <c:v>0.25714285714285712</c:v>
                </c:pt>
                <c:pt idx="440">
                  <c:v>0.2857142857142857</c:v>
                </c:pt>
                <c:pt idx="441">
                  <c:v>0.30555555555555558</c:v>
                </c:pt>
                <c:pt idx="442">
                  <c:v>0.25714285714285712</c:v>
                </c:pt>
                <c:pt idx="443">
                  <c:v>0.19444444444444445</c:v>
                </c:pt>
                <c:pt idx="444">
                  <c:v>0.30555555555555558</c:v>
                </c:pt>
                <c:pt idx="445">
                  <c:v>0.22222222222222221</c:v>
                </c:pt>
                <c:pt idx="446">
                  <c:v>0.22857142857142856</c:v>
                </c:pt>
                <c:pt idx="447">
                  <c:v>0.22222222222222221</c:v>
                </c:pt>
                <c:pt idx="448">
                  <c:v>0.2857142857142857</c:v>
                </c:pt>
                <c:pt idx="449">
                  <c:v>0.25</c:v>
                </c:pt>
                <c:pt idx="450">
                  <c:v>0.27777777777777779</c:v>
                </c:pt>
                <c:pt idx="451">
                  <c:v>0.33333333333333331</c:v>
                </c:pt>
                <c:pt idx="452">
                  <c:v>0.30555555555555558</c:v>
                </c:pt>
                <c:pt idx="453">
                  <c:v>0.33333333333333331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'BBP complete'!$V$2</c:f>
              <c:strCache>
                <c:ptCount val="1"/>
                <c:pt idx="0">
                  <c:v>NAGAUBONDS</c:v>
                </c:pt>
              </c:strCache>
            </c:strRef>
          </c:tx>
          <c:xVal>
            <c:numRef>
              <c:f>'BBP complete'!$M$665:$M$1118</c:f>
              <c:numCache>
                <c:formatCode>0.0000</c:formatCode>
                <c:ptCount val="454"/>
                <c:pt idx="0">
                  <c:v>-1.8192431538445817</c:v>
                </c:pt>
                <c:pt idx="1">
                  <c:v>-1.6112081538449274</c:v>
                </c:pt>
                <c:pt idx="2">
                  <c:v>-1.5798151538456295</c:v>
                </c:pt>
                <c:pt idx="3">
                  <c:v>-1.5655051538451517</c:v>
                </c:pt>
                <c:pt idx="4">
                  <c:v>-1.5437191538458137</c:v>
                </c:pt>
                <c:pt idx="5">
                  <c:v>-1.5426781538444629</c:v>
                </c:pt>
                <c:pt idx="6">
                  <c:v>-1.5303901538445643</c:v>
                </c:pt>
                <c:pt idx="7">
                  <c:v>-1.5279581538452476</c:v>
                </c:pt>
                <c:pt idx="8">
                  <c:v>-1.5077561538455484</c:v>
                </c:pt>
                <c:pt idx="9">
                  <c:v>-1.4748431538446312</c:v>
                </c:pt>
                <c:pt idx="10">
                  <c:v>-1.454881153846145</c:v>
                </c:pt>
                <c:pt idx="11">
                  <c:v>-1.4404641538458236</c:v>
                </c:pt>
                <c:pt idx="12">
                  <c:v>-1.4366851538452465</c:v>
                </c:pt>
                <c:pt idx="13">
                  <c:v>-1.4348701538456226</c:v>
                </c:pt>
                <c:pt idx="14">
                  <c:v>-1.4302621538445237</c:v>
                </c:pt>
                <c:pt idx="15">
                  <c:v>-1.4298631538458721</c:v>
                </c:pt>
                <c:pt idx="16">
                  <c:v>-1.4295861538448662</c:v>
                </c:pt>
                <c:pt idx="17">
                  <c:v>-1.4291121538444713</c:v>
                </c:pt>
                <c:pt idx="18">
                  <c:v>-1.42446615384506</c:v>
                </c:pt>
                <c:pt idx="19">
                  <c:v>-1.4179331538452971</c:v>
                </c:pt>
                <c:pt idx="20">
                  <c:v>-1.4176821538458171</c:v>
                </c:pt>
                <c:pt idx="21">
                  <c:v>-1.4167441538447747</c:v>
                </c:pt>
                <c:pt idx="22">
                  <c:v>-1.4166081538460276</c:v>
                </c:pt>
                <c:pt idx="23">
                  <c:v>-1.4156081538458238</c:v>
                </c:pt>
                <c:pt idx="24">
                  <c:v>-1.4137191538447951</c:v>
                </c:pt>
                <c:pt idx="25">
                  <c:v>-1.406044153845869</c:v>
                </c:pt>
                <c:pt idx="26">
                  <c:v>-1.4050131538460846</c:v>
                </c:pt>
                <c:pt idx="27">
                  <c:v>-1.4014791538447753</c:v>
                </c:pt>
                <c:pt idx="28">
                  <c:v>-1.3958951538461406</c:v>
                </c:pt>
                <c:pt idx="29">
                  <c:v>-1.3756491538460978</c:v>
                </c:pt>
                <c:pt idx="30">
                  <c:v>-1.3714621538456413</c:v>
                </c:pt>
                <c:pt idx="31">
                  <c:v>-1.3684781538449897</c:v>
                </c:pt>
                <c:pt idx="32">
                  <c:v>-1.3637071538450982</c:v>
                </c:pt>
                <c:pt idx="33">
                  <c:v>-1.3609221538445126</c:v>
                </c:pt>
                <c:pt idx="34">
                  <c:v>-1.3536741538446222</c:v>
                </c:pt>
                <c:pt idx="35">
                  <c:v>-1.3513441538452753</c:v>
                </c:pt>
                <c:pt idx="36">
                  <c:v>-1.3487981538455642</c:v>
                </c:pt>
                <c:pt idx="37">
                  <c:v>-1.3453861538455385</c:v>
                </c:pt>
                <c:pt idx="38">
                  <c:v>-1.3415261538448249</c:v>
                </c:pt>
                <c:pt idx="39">
                  <c:v>-1.3369121538453328</c:v>
                </c:pt>
                <c:pt idx="40">
                  <c:v>-1.3356671538458613</c:v>
                </c:pt>
                <c:pt idx="41">
                  <c:v>-1.3260981538460328</c:v>
                </c:pt>
                <c:pt idx="42">
                  <c:v>-1.3255581538451224</c:v>
                </c:pt>
                <c:pt idx="43">
                  <c:v>-1.3241001538444834</c:v>
                </c:pt>
                <c:pt idx="44">
                  <c:v>-1.3233341538452805</c:v>
                </c:pt>
                <c:pt idx="45">
                  <c:v>-1.3226181538448145</c:v>
                </c:pt>
                <c:pt idx="46">
                  <c:v>-1.320391153845776</c:v>
                </c:pt>
                <c:pt idx="47">
                  <c:v>-1.3176501538455341</c:v>
                </c:pt>
                <c:pt idx="48">
                  <c:v>-1.3173131538460439</c:v>
                </c:pt>
                <c:pt idx="49">
                  <c:v>-1.315513153846041</c:v>
                </c:pt>
                <c:pt idx="50">
                  <c:v>-1.3151271538445144</c:v>
                </c:pt>
                <c:pt idx="51">
                  <c:v>-1.3132461538461939</c:v>
                </c:pt>
                <c:pt idx="52">
                  <c:v>-1.3096921538453898</c:v>
                </c:pt>
                <c:pt idx="53">
                  <c:v>-1.3054631538452668</c:v>
                </c:pt>
                <c:pt idx="54">
                  <c:v>-1.3042841538444918</c:v>
                </c:pt>
                <c:pt idx="55">
                  <c:v>-1.3022451538454334</c:v>
                </c:pt>
                <c:pt idx="56">
                  <c:v>-1.3011021538459318</c:v>
                </c:pt>
                <c:pt idx="57">
                  <c:v>-1.2993691538449639</c:v>
                </c:pt>
                <c:pt idx="58">
                  <c:v>-1.2993431538452569</c:v>
                </c:pt>
                <c:pt idx="59">
                  <c:v>-1.2972951538449706</c:v>
                </c:pt>
                <c:pt idx="60">
                  <c:v>-1.2964521538451663</c:v>
                </c:pt>
                <c:pt idx="61">
                  <c:v>-1.2934771538457426</c:v>
                </c:pt>
                <c:pt idx="62">
                  <c:v>-1.293277153845338</c:v>
                </c:pt>
                <c:pt idx="63">
                  <c:v>-1.2932611538453784</c:v>
                </c:pt>
                <c:pt idx="64">
                  <c:v>-1.2865491538450442</c:v>
                </c:pt>
                <c:pt idx="65">
                  <c:v>-1.2827321538461547</c:v>
                </c:pt>
                <c:pt idx="66">
                  <c:v>-1.2819801538462343</c:v>
                </c:pt>
                <c:pt idx="67">
                  <c:v>-1.277360153844711</c:v>
                </c:pt>
                <c:pt idx="68">
                  <c:v>-1.2763061538462352</c:v>
                </c:pt>
                <c:pt idx="69">
                  <c:v>-1.275982153845689</c:v>
                </c:pt>
                <c:pt idx="70">
                  <c:v>-1.2755601538447081</c:v>
                </c:pt>
                <c:pt idx="71">
                  <c:v>-1.274788153845293</c:v>
                </c:pt>
                <c:pt idx="72">
                  <c:v>-1.2728771538459114</c:v>
                </c:pt>
                <c:pt idx="73">
                  <c:v>-1.2711331538448576</c:v>
                </c:pt>
                <c:pt idx="74">
                  <c:v>-1.2686411538452376</c:v>
                </c:pt>
                <c:pt idx="75">
                  <c:v>-1.2676201538452005</c:v>
                </c:pt>
                <c:pt idx="76">
                  <c:v>-1.2669541538452904</c:v>
                </c:pt>
                <c:pt idx="77">
                  <c:v>-1.2652451538451714</c:v>
                </c:pt>
                <c:pt idx="78">
                  <c:v>-1.2649461538458127</c:v>
                </c:pt>
                <c:pt idx="79">
                  <c:v>-1.2624821538447577</c:v>
                </c:pt>
                <c:pt idx="80">
                  <c:v>-1.2546491538450937</c:v>
                </c:pt>
                <c:pt idx="81">
                  <c:v>-1.2488351538449933</c:v>
                </c:pt>
                <c:pt idx="82">
                  <c:v>-1.2481851538450428</c:v>
                </c:pt>
                <c:pt idx="83">
                  <c:v>-1.2473091538449808</c:v>
                </c:pt>
                <c:pt idx="84">
                  <c:v>-1.2445941538462648</c:v>
                </c:pt>
                <c:pt idx="85">
                  <c:v>-1.2432191538446205</c:v>
                </c:pt>
                <c:pt idx="86">
                  <c:v>-1.2425201538462716</c:v>
                </c:pt>
                <c:pt idx="87">
                  <c:v>-1.2421461538451695</c:v>
                </c:pt>
                <c:pt idx="88">
                  <c:v>-1.2334101538453979</c:v>
                </c:pt>
                <c:pt idx="89">
                  <c:v>-1.2321441538460931</c:v>
                </c:pt>
                <c:pt idx="90">
                  <c:v>-1.2280361538450961</c:v>
                </c:pt>
                <c:pt idx="91">
                  <c:v>-1.2211591538452922</c:v>
                </c:pt>
                <c:pt idx="92">
                  <c:v>-1.2209021538456</c:v>
                </c:pt>
                <c:pt idx="93">
                  <c:v>-1.2203291538462508</c:v>
                </c:pt>
                <c:pt idx="94">
                  <c:v>-1.2202451538450987</c:v>
                </c:pt>
                <c:pt idx="95">
                  <c:v>-1.2193641538451629</c:v>
                </c:pt>
                <c:pt idx="96">
                  <c:v>-1.2171571538456192</c:v>
                </c:pt>
                <c:pt idx="97">
                  <c:v>-1.2167481538454012</c:v>
                </c:pt>
                <c:pt idx="98">
                  <c:v>-1.2139391538457858</c:v>
                </c:pt>
                <c:pt idx="99">
                  <c:v>-1.2114541538448975</c:v>
                </c:pt>
                <c:pt idx="100">
                  <c:v>-1.2110981538462511</c:v>
                </c:pt>
                <c:pt idx="101">
                  <c:v>-1.2106171538453054</c:v>
                </c:pt>
                <c:pt idx="102">
                  <c:v>-1.2105011538460531</c:v>
                </c:pt>
                <c:pt idx="103">
                  <c:v>-1.2069311538452894</c:v>
                </c:pt>
                <c:pt idx="104">
                  <c:v>-1.2008541538452846</c:v>
                </c:pt>
                <c:pt idx="105">
                  <c:v>-1.1981701538461493</c:v>
                </c:pt>
                <c:pt idx="106">
                  <c:v>-1.1978141538456839</c:v>
                </c:pt>
                <c:pt idx="107">
                  <c:v>-1.1973281538448646</c:v>
                </c:pt>
                <c:pt idx="108">
                  <c:v>-1.1966901538453385</c:v>
                </c:pt>
                <c:pt idx="109">
                  <c:v>-1.1955461538454983</c:v>
                </c:pt>
                <c:pt idx="110">
                  <c:v>-1.195140153844477</c:v>
                </c:pt>
                <c:pt idx="111">
                  <c:v>-1.1945211538459262</c:v>
                </c:pt>
                <c:pt idx="112">
                  <c:v>-1.1924161538445333</c:v>
                </c:pt>
                <c:pt idx="113">
                  <c:v>-1.1912551538462139</c:v>
                </c:pt>
                <c:pt idx="114">
                  <c:v>-1.1895451538457564</c:v>
                </c:pt>
                <c:pt idx="115">
                  <c:v>-1.1891621538452455</c:v>
                </c:pt>
                <c:pt idx="116">
                  <c:v>-1.1880431538447738</c:v>
                </c:pt>
                <c:pt idx="117">
                  <c:v>-1.1830911538454529</c:v>
                </c:pt>
                <c:pt idx="118">
                  <c:v>-1.1817981538461027</c:v>
                </c:pt>
                <c:pt idx="119">
                  <c:v>-1.1816701538446068</c:v>
                </c:pt>
                <c:pt idx="120">
                  <c:v>-1.1812321538454853</c:v>
                </c:pt>
                <c:pt idx="121">
                  <c:v>-1.1809001538458688</c:v>
                </c:pt>
                <c:pt idx="122">
                  <c:v>-1.1806221538445243</c:v>
                </c:pt>
                <c:pt idx="123">
                  <c:v>-1.1803721538453829</c:v>
                </c:pt>
                <c:pt idx="124">
                  <c:v>-1.1795161538448156</c:v>
                </c:pt>
                <c:pt idx="125">
                  <c:v>-1.1794591538455279</c:v>
                </c:pt>
                <c:pt idx="126">
                  <c:v>-1.1789611538461031</c:v>
                </c:pt>
                <c:pt idx="127">
                  <c:v>-1.178494153846259</c:v>
                </c:pt>
                <c:pt idx="128">
                  <c:v>-1.1779541538453486</c:v>
                </c:pt>
                <c:pt idx="129">
                  <c:v>-1.1772791538460297</c:v>
                </c:pt>
                <c:pt idx="130">
                  <c:v>-1.1766941538462561</c:v>
                </c:pt>
                <c:pt idx="131">
                  <c:v>-1.1746791538462276</c:v>
                </c:pt>
                <c:pt idx="132">
                  <c:v>-1.1738721538458776</c:v>
                </c:pt>
                <c:pt idx="133">
                  <c:v>-1.1725071538457996</c:v>
                </c:pt>
                <c:pt idx="134">
                  <c:v>-1.1689051538451167</c:v>
                </c:pt>
                <c:pt idx="135">
                  <c:v>-1.1688241538449802</c:v>
                </c:pt>
                <c:pt idx="136">
                  <c:v>-1.1677921538448572</c:v>
                </c:pt>
                <c:pt idx="137">
                  <c:v>-1.1663381538455724</c:v>
                </c:pt>
                <c:pt idx="138">
                  <c:v>-1.166023153846254</c:v>
                </c:pt>
                <c:pt idx="139">
                  <c:v>-1.1654151538459701</c:v>
                </c:pt>
                <c:pt idx="140">
                  <c:v>-1.1636251538457145</c:v>
                </c:pt>
                <c:pt idx="141">
                  <c:v>-1.1631321538461634</c:v>
                </c:pt>
                <c:pt idx="142">
                  <c:v>-1.161980153845434</c:v>
                </c:pt>
                <c:pt idx="143">
                  <c:v>-1.1616461538451404</c:v>
                </c:pt>
                <c:pt idx="144">
                  <c:v>-1.1529111538457073</c:v>
                </c:pt>
                <c:pt idx="145">
                  <c:v>-1.1522991538458882</c:v>
                </c:pt>
                <c:pt idx="146">
                  <c:v>-1.151313153844967</c:v>
                </c:pt>
                <c:pt idx="147">
                  <c:v>-1.1483361538448662</c:v>
                </c:pt>
                <c:pt idx="148">
                  <c:v>-1.1477411538453453</c:v>
                </c:pt>
                <c:pt idx="149">
                  <c:v>-1.1475181538462493</c:v>
                </c:pt>
                <c:pt idx="150">
                  <c:v>-1.1470271538455563</c:v>
                </c:pt>
                <c:pt idx="151">
                  <c:v>-1.1462071538462624</c:v>
                </c:pt>
                <c:pt idx="152">
                  <c:v>-1.1452711538458971</c:v>
                </c:pt>
                <c:pt idx="153">
                  <c:v>-1.1437601538455056</c:v>
                </c:pt>
                <c:pt idx="154">
                  <c:v>-1.1429831538462167</c:v>
                </c:pt>
                <c:pt idx="155">
                  <c:v>-1.1425381538447255</c:v>
                </c:pt>
                <c:pt idx="156">
                  <c:v>-1.1422371538446896</c:v>
                </c:pt>
                <c:pt idx="157">
                  <c:v>-1.1413421538454713</c:v>
                </c:pt>
                <c:pt idx="158">
                  <c:v>-1.1411341538459965</c:v>
                </c:pt>
                <c:pt idx="159">
                  <c:v>-1.1404291538456164</c:v>
                </c:pt>
                <c:pt idx="160">
                  <c:v>-1.1401581538448227</c:v>
                </c:pt>
                <c:pt idx="161">
                  <c:v>-1.1394571538457967</c:v>
                </c:pt>
                <c:pt idx="162">
                  <c:v>-1.1370171538455907</c:v>
                </c:pt>
                <c:pt idx="163">
                  <c:v>-1.1365061538454029</c:v>
                </c:pt>
                <c:pt idx="164">
                  <c:v>-1.1364091538453067</c:v>
                </c:pt>
                <c:pt idx="165">
                  <c:v>-1.1362521538449073</c:v>
                </c:pt>
                <c:pt idx="166">
                  <c:v>-1.1341301538450352</c:v>
                </c:pt>
                <c:pt idx="167">
                  <c:v>-1.1333721538449026</c:v>
                </c:pt>
                <c:pt idx="168">
                  <c:v>-1.1320261538457999</c:v>
                </c:pt>
                <c:pt idx="169">
                  <c:v>-1.1317151538460166</c:v>
                </c:pt>
                <c:pt idx="170">
                  <c:v>-1.130916153844737</c:v>
                </c:pt>
                <c:pt idx="171">
                  <c:v>-1.1303911538452667</c:v>
                </c:pt>
                <c:pt idx="172">
                  <c:v>-1.1261491538461996</c:v>
                </c:pt>
                <c:pt idx="173">
                  <c:v>-1.1255041538461228</c:v>
                </c:pt>
                <c:pt idx="174">
                  <c:v>-1.1253421538458497</c:v>
                </c:pt>
                <c:pt idx="175">
                  <c:v>-1.1247931538455305</c:v>
                </c:pt>
                <c:pt idx="176">
                  <c:v>-1.1226801538450673</c:v>
                </c:pt>
                <c:pt idx="177">
                  <c:v>-1.1221901538447128</c:v>
                </c:pt>
                <c:pt idx="178">
                  <c:v>-1.1205531538453215</c:v>
                </c:pt>
                <c:pt idx="179">
                  <c:v>-1.116591153844638</c:v>
                </c:pt>
                <c:pt idx="180">
                  <c:v>-1.1155111538446363</c:v>
                </c:pt>
                <c:pt idx="181">
                  <c:v>-1.1141431538453617</c:v>
                </c:pt>
                <c:pt idx="182">
                  <c:v>-1.1126041538445861</c:v>
                </c:pt>
                <c:pt idx="183">
                  <c:v>-1.1125941538448387</c:v>
                </c:pt>
                <c:pt idx="184">
                  <c:v>-1.112509153845167</c:v>
                </c:pt>
                <c:pt idx="185">
                  <c:v>-1.1094131538447982</c:v>
                </c:pt>
                <c:pt idx="186">
                  <c:v>-1.1089601538460556</c:v>
                </c:pt>
                <c:pt idx="187">
                  <c:v>-1.1086291538449586</c:v>
                </c:pt>
                <c:pt idx="188">
                  <c:v>-1.1076931538445933</c:v>
                </c:pt>
                <c:pt idx="189">
                  <c:v>-1.1068591538460169</c:v>
                </c:pt>
                <c:pt idx="190">
                  <c:v>-1.1065271538445813</c:v>
                </c:pt>
                <c:pt idx="191">
                  <c:v>-1.1064641538450815</c:v>
                </c:pt>
                <c:pt idx="192">
                  <c:v>-1.1054281538454234</c:v>
                </c:pt>
                <c:pt idx="193">
                  <c:v>-1.1015121538457606</c:v>
                </c:pt>
                <c:pt idx="194">
                  <c:v>-1.0983911538460234</c:v>
                </c:pt>
                <c:pt idx="195">
                  <c:v>-1.0980681538458157</c:v>
                </c:pt>
                <c:pt idx="196">
                  <c:v>-1.0972971538449201</c:v>
                </c:pt>
                <c:pt idx="197">
                  <c:v>-1.0947941538452142</c:v>
                </c:pt>
                <c:pt idx="198">
                  <c:v>-1.0943091538447334</c:v>
                </c:pt>
                <c:pt idx="199">
                  <c:v>-1.0900611538454541</c:v>
                </c:pt>
                <c:pt idx="200">
                  <c:v>-1.0872131538453687</c:v>
                </c:pt>
                <c:pt idx="201">
                  <c:v>-1.0856681538461999</c:v>
                </c:pt>
                <c:pt idx="202">
                  <c:v>-1.0854381538447342</c:v>
                </c:pt>
                <c:pt idx="203">
                  <c:v>-1.0833241538457514</c:v>
                </c:pt>
                <c:pt idx="204">
                  <c:v>-1.0818431538446021</c:v>
                </c:pt>
                <c:pt idx="205">
                  <c:v>-1.0817211538451375</c:v>
                </c:pt>
                <c:pt idx="206">
                  <c:v>-1.0816621538451727</c:v>
                </c:pt>
                <c:pt idx="207">
                  <c:v>-1.0812011538455408</c:v>
                </c:pt>
                <c:pt idx="208">
                  <c:v>-1.0805481538445747</c:v>
                </c:pt>
                <c:pt idx="209">
                  <c:v>-1.080370153846161</c:v>
                </c:pt>
                <c:pt idx="210">
                  <c:v>-1.0801811538458423</c:v>
                </c:pt>
                <c:pt idx="211">
                  <c:v>-1.0788001538458047</c:v>
                </c:pt>
                <c:pt idx="212">
                  <c:v>-1.0766261538446997</c:v>
                </c:pt>
                <c:pt idx="213">
                  <c:v>-1.0752441538461426</c:v>
                </c:pt>
                <c:pt idx="214">
                  <c:v>-1.0745771538458939</c:v>
                </c:pt>
                <c:pt idx="215">
                  <c:v>-1.0720271538448287</c:v>
                </c:pt>
                <c:pt idx="216">
                  <c:v>-1.0685231538445805</c:v>
                </c:pt>
                <c:pt idx="217">
                  <c:v>-1.0654991538449394</c:v>
                </c:pt>
                <c:pt idx="218">
                  <c:v>-1.0642011538457155</c:v>
                </c:pt>
                <c:pt idx="219">
                  <c:v>-1.0634901538451231</c:v>
                </c:pt>
                <c:pt idx="220">
                  <c:v>-1.0632081538460625</c:v>
                </c:pt>
                <c:pt idx="221">
                  <c:v>-1.0583871538456151</c:v>
                </c:pt>
                <c:pt idx="222">
                  <c:v>-1.0578521538445784</c:v>
                </c:pt>
                <c:pt idx="223">
                  <c:v>-1.0572261538454768</c:v>
                </c:pt>
                <c:pt idx="224">
                  <c:v>-1.0563361538461322</c:v>
                </c:pt>
                <c:pt idx="225">
                  <c:v>-1.0539901538450067</c:v>
                </c:pt>
                <c:pt idx="226">
                  <c:v>-1.0529091538446664</c:v>
                </c:pt>
                <c:pt idx="227">
                  <c:v>-1.0524221538453276</c:v>
                </c:pt>
                <c:pt idx="228">
                  <c:v>-1.0512121538449719</c:v>
                </c:pt>
                <c:pt idx="229">
                  <c:v>-1.047450153844693</c:v>
                </c:pt>
                <c:pt idx="230">
                  <c:v>-1.0451931538445933</c:v>
                </c:pt>
                <c:pt idx="231">
                  <c:v>-1.0448331538445927</c:v>
                </c:pt>
                <c:pt idx="232">
                  <c:v>-1.0435041538457881</c:v>
                </c:pt>
                <c:pt idx="233">
                  <c:v>-1.0430701538462017</c:v>
                </c:pt>
                <c:pt idx="234">
                  <c:v>-1.0427051538445085</c:v>
                </c:pt>
                <c:pt idx="235">
                  <c:v>-1.0383461538458505</c:v>
                </c:pt>
                <c:pt idx="236">
                  <c:v>-1.0380851538448042</c:v>
                </c:pt>
                <c:pt idx="237">
                  <c:v>-1.0374761538460007</c:v>
                </c:pt>
                <c:pt idx="238">
                  <c:v>-1.0347591538447887</c:v>
                </c:pt>
                <c:pt idx="239">
                  <c:v>-1.0325601538461342</c:v>
                </c:pt>
                <c:pt idx="240">
                  <c:v>-1.0322061538445269</c:v>
                </c:pt>
                <c:pt idx="241">
                  <c:v>-1.031269153845642</c:v>
                </c:pt>
                <c:pt idx="242">
                  <c:v>-1.0312371538457228</c:v>
                </c:pt>
                <c:pt idx="243">
                  <c:v>-1.0300921538455441</c:v>
                </c:pt>
                <c:pt idx="244">
                  <c:v>-1.0278211538461619</c:v>
                </c:pt>
                <c:pt idx="245">
                  <c:v>-1.025530153845466</c:v>
                </c:pt>
                <c:pt idx="246">
                  <c:v>-1.0226591538448702</c:v>
                </c:pt>
                <c:pt idx="247">
                  <c:v>-1.0222531538456678</c:v>
                </c:pt>
                <c:pt idx="248">
                  <c:v>-1.0221301538458647</c:v>
                </c:pt>
                <c:pt idx="249">
                  <c:v>-1.0173361538454628</c:v>
                </c:pt>
                <c:pt idx="250">
                  <c:v>-1.0171961538453616</c:v>
                </c:pt>
                <c:pt idx="251">
                  <c:v>-1.0163011538461433</c:v>
                </c:pt>
                <c:pt idx="252">
                  <c:v>-1.0144421538461756</c:v>
                </c:pt>
                <c:pt idx="253">
                  <c:v>-1.0140061538459122</c:v>
                </c:pt>
                <c:pt idx="254">
                  <c:v>-1.0139141538456897</c:v>
                </c:pt>
                <c:pt idx="255">
                  <c:v>-1.0119741538455855</c:v>
                </c:pt>
                <c:pt idx="256">
                  <c:v>-1.0084691538449988</c:v>
                </c:pt>
                <c:pt idx="257">
                  <c:v>-1.0066361538447381</c:v>
                </c:pt>
                <c:pt idx="258">
                  <c:v>-1.0032351538447983</c:v>
                </c:pt>
                <c:pt idx="259">
                  <c:v>-1.001875153844594</c:v>
                </c:pt>
                <c:pt idx="260">
                  <c:v>-1.0017701538454276</c:v>
                </c:pt>
                <c:pt idx="261">
                  <c:v>-1.0007141538444557</c:v>
                </c:pt>
                <c:pt idx="262">
                  <c:v>-0.99927915384614607</c:v>
                </c:pt>
                <c:pt idx="263">
                  <c:v>-0.99914915384579217</c:v>
                </c:pt>
                <c:pt idx="264">
                  <c:v>-0.99873315384502348</c:v>
                </c:pt>
                <c:pt idx="265">
                  <c:v>-0.99835815384540183</c:v>
                </c:pt>
                <c:pt idx="266">
                  <c:v>-0.99735915384553664</c:v>
                </c:pt>
                <c:pt idx="267">
                  <c:v>-0.99404215384493</c:v>
                </c:pt>
                <c:pt idx="268">
                  <c:v>-0.99318715384470124</c:v>
                </c:pt>
                <c:pt idx="269">
                  <c:v>-0.99182015384576516</c:v>
                </c:pt>
                <c:pt idx="270">
                  <c:v>-0.99086415384590509</c:v>
                </c:pt>
                <c:pt idx="271">
                  <c:v>-0.99071515384457598</c:v>
                </c:pt>
                <c:pt idx="272">
                  <c:v>-0.98745515384507598</c:v>
                </c:pt>
                <c:pt idx="273">
                  <c:v>-0.98326915384495805</c:v>
                </c:pt>
                <c:pt idx="274">
                  <c:v>-0.98279315384570509</c:v>
                </c:pt>
                <c:pt idx="275">
                  <c:v>-0.98194315384535003</c:v>
                </c:pt>
                <c:pt idx="276">
                  <c:v>-0.9806251538448123</c:v>
                </c:pt>
                <c:pt idx="277">
                  <c:v>-0.9805031538453477</c:v>
                </c:pt>
                <c:pt idx="278">
                  <c:v>-0.97993915384540742</c:v>
                </c:pt>
                <c:pt idx="279">
                  <c:v>-0.97800915384505061</c:v>
                </c:pt>
                <c:pt idx="280">
                  <c:v>-0.97617715384512849</c:v>
                </c:pt>
                <c:pt idx="281">
                  <c:v>-0.97601015384498169</c:v>
                </c:pt>
                <c:pt idx="282">
                  <c:v>-0.97212315384604153</c:v>
                </c:pt>
                <c:pt idx="283">
                  <c:v>-0.97163115384500998</c:v>
                </c:pt>
                <c:pt idx="284">
                  <c:v>-0.97067615384548844</c:v>
                </c:pt>
                <c:pt idx="285">
                  <c:v>-0.96998415384587133</c:v>
                </c:pt>
                <c:pt idx="286">
                  <c:v>-0.96687015384486585</c:v>
                </c:pt>
                <c:pt idx="287">
                  <c:v>-0.96262215384558658</c:v>
                </c:pt>
                <c:pt idx="288">
                  <c:v>-0.95911215384512616</c:v>
                </c:pt>
                <c:pt idx="289">
                  <c:v>-0.95858115384544362</c:v>
                </c:pt>
                <c:pt idx="290">
                  <c:v>-0.95755415384519438</c:v>
                </c:pt>
                <c:pt idx="291">
                  <c:v>-0.95750115384544188</c:v>
                </c:pt>
                <c:pt idx="292">
                  <c:v>-0.95645315384535934</c:v>
                </c:pt>
                <c:pt idx="293">
                  <c:v>-0.95496715384615527</c:v>
                </c:pt>
                <c:pt idx="294">
                  <c:v>-0.95474015384570521</c:v>
                </c:pt>
                <c:pt idx="295">
                  <c:v>-0.95395715384620416</c:v>
                </c:pt>
                <c:pt idx="296">
                  <c:v>-0.95169415384589229</c:v>
                </c:pt>
                <c:pt idx="297">
                  <c:v>-0.95115815384451707</c:v>
                </c:pt>
                <c:pt idx="298">
                  <c:v>-0.95087615384545643</c:v>
                </c:pt>
                <c:pt idx="299">
                  <c:v>-0.94911915384545864</c:v>
                </c:pt>
                <c:pt idx="300">
                  <c:v>-0.94811115384618461</c:v>
                </c:pt>
                <c:pt idx="301">
                  <c:v>-0.94477215384540614</c:v>
                </c:pt>
                <c:pt idx="302">
                  <c:v>-0.94367415384476772</c:v>
                </c:pt>
                <c:pt idx="303">
                  <c:v>-0.94194515384515398</c:v>
                </c:pt>
                <c:pt idx="304">
                  <c:v>-0.94184615384619974</c:v>
                </c:pt>
                <c:pt idx="305">
                  <c:v>-0.9417681538452598</c:v>
                </c:pt>
                <c:pt idx="306">
                  <c:v>-0.94163915384524444</c:v>
                </c:pt>
                <c:pt idx="307">
                  <c:v>-0.93889415384546737</c:v>
                </c:pt>
                <c:pt idx="308">
                  <c:v>-0.93886215384554816</c:v>
                </c:pt>
                <c:pt idx="309">
                  <c:v>-0.9376281538461626</c:v>
                </c:pt>
                <c:pt idx="310">
                  <c:v>-0.93650915384569089</c:v>
                </c:pt>
                <c:pt idx="311">
                  <c:v>-0.93595715384617506</c:v>
                </c:pt>
                <c:pt idx="312">
                  <c:v>-0.93582515384514409</c:v>
                </c:pt>
                <c:pt idx="313">
                  <c:v>-0.93505715384526411</c:v>
                </c:pt>
                <c:pt idx="314">
                  <c:v>-0.9332041538455087</c:v>
                </c:pt>
                <c:pt idx="315">
                  <c:v>-0.93220515384564351</c:v>
                </c:pt>
                <c:pt idx="316">
                  <c:v>-0.93211115384474397</c:v>
                </c:pt>
                <c:pt idx="317">
                  <c:v>-0.93182415384580963</c:v>
                </c:pt>
                <c:pt idx="318">
                  <c:v>-0.93027915384482185</c:v>
                </c:pt>
                <c:pt idx="319">
                  <c:v>-0.92933515384538623</c:v>
                </c:pt>
                <c:pt idx="320">
                  <c:v>-0.92893815384559275</c:v>
                </c:pt>
                <c:pt idx="321">
                  <c:v>-0.92804915384476772</c:v>
                </c:pt>
                <c:pt idx="322">
                  <c:v>-0.92804115384569741</c:v>
                </c:pt>
                <c:pt idx="323">
                  <c:v>-0.92537215384618321</c:v>
                </c:pt>
                <c:pt idx="324">
                  <c:v>-0.92411415384594875</c:v>
                </c:pt>
                <c:pt idx="325">
                  <c:v>-0.92311215384506795</c:v>
                </c:pt>
                <c:pt idx="326">
                  <c:v>-0.92202315384565736</c:v>
                </c:pt>
                <c:pt idx="327">
                  <c:v>-0.92073615384470031</c:v>
                </c:pt>
                <c:pt idx="328">
                  <c:v>-0.92030015384625585</c:v>
                </c:pt>
                <c:pt idx="329">
                  <c:v>-0.91994415384579042</c:v>
                </c:pt>
                <c:pt idx="330">
                  <c:v>-0.9196651538459264</c:v>
                </c:pt>
                <c:pt idx="331">
                  <c:v>-0.91946815384471847</c:v>
                </c:pt>
                <c:pt idx="332">
                  <c:v>-0.91628115384446573</c:v>
                </c:pt>
                <c:pt idx="333">
                  <c:v>-0.91510415384618682</c:v>
                </c:pt>
                <c:pt idx="334">
                  <c:v>-0.91500215384621697</c:v>
                </c:pt>
                <c:pt idx="335">
                  <c:v>-0.9135741538448201</c:v>
                </c:pt>
                <c:pt idx="336">
                  <c:v>-0.91182015384583792</c:v>
                </c:pt>
                <c:pt idx="337">
                  <c:v>-0.91178415384456457</c:v>
                </c:pt>
                <c:pt idx="338">
                  <c:v>-0.91156415384466527</c:v>
                </c:pt>
                <c:pt idx="339">
                  <c:v>-0.91099315384599322</c:v>
                </c:pt>
                <c:pt idx="340">
                  <c:v>-0.90895115384591918</c:v>
                </c:pt>
                <c:pt idx="341">
                  <c:v>-0.9049811538461654</c:v>
                </c:pt>
                <c:pt idx="342">
                  <c:v>-0.90338615384462173</c:v>
                </c:pt>
                <c:pt idx="343">
                  <c:v>-0.90302715384495968</c:v>
                </c:pt>
                <c:pt idx="344">
                  <c:v>-0.90102815384489077</c:v>
                </c:pt>
                <c:pt idx="345">
                  <c:v>-0.89805615384466364</c:v>
                </c:pt>
                <c:pt idx="346">
                  <c:v>-0.89634315384500951</c:v>
                </c:pt>
                <c:pt idx="347">
                  <c:v>-0.8962581538453378</c:v>
                </c:pt>
                <c:pt idx="348">
                  <c:v>-0.89603615384476143</c:v>
                </c:pt>
                <c:pt idx="349">
                  <c:v>-0.89511815384503279</c:v>
                </c:pt>
                <c:pt idx="350">
                  <c:v>-0.8937771538458037</c:v>
                </c:pt>
                <c:pt idx="351">
                  <c:v>-0.89292615384511009</c:v>
                </c:pt>
                <c:pt idx="352">
                  <c:v>-0.89285315384586283</c:v>
                </c:pt>
                <c:pt idx="353">
                  <c:v>-0.88940015384469007</c:v>
                </c:pt>
                <c:pt idx="354">
                  <c:v>-0.88911515384461381</c:v>
                </c:pt>
                <c:pt idx="355">
                  <c:v>-0.88806215384465759</c:v>
                </c:pt>
                <c:pt idx="356">
                  <c:v>-0.8838561538450449</c:v>
                </c:pt>
                <c:pt idx="357">
                  <c:v>-0.88036915384509484</c:v>
                </c:pt>
                <c:pt idx="358">
                  <c:v>-0.87969315384543734</c:v>
                </c:pt>
                <c:pt idx="359">
                  <c:v>-0.87896515384454688</c:v>
                </c:pt>
                <c:pt idx="360">
                  <c:v>-0.87810815384546004</c:v>
                </c:pt>
                <c:pt idx="361">
                  <c:v>-0.87719715384446317</c:v>
                </c:pt>
                <c:pt idx="362">
                  <c:v>-0.87351515384580125</c:v>
                </c:pt>
                <c:pt idx="363">
                  <c:v>-0.87274815384625981</c:v>
                </c:pt>
                <c:pt idx="364">
                  <c:v>-0.8710541538457619</c:v>
                </c:pt>
                <c:pt idx="365">
                  <c:v>-0.86929615384542558</c:v>
                </c:pt>
                <c:pt idx="366">
                  <c:v>-0.86551415384565189</c:v>
                </c:pt>
                <c:pt idx="367">
                  <c:v>-0.86468315384627203</c:v>
                </c:pt>
                <c:pt idx="368">
                  <c:v>-0.86455615384511475</c:v>
                </c:pt>
                <c:pt idx="369">
                  <c:v>-0.86374915384476481</c:v>
                </c:pt>
                <c:pt idx="370">
                  <c:v>-0.8609421538458264</c:v>
                </c:pt>
                <c:pt idx="371">
                  <c:v>-0.85761215384445677</c:v>
                </c:pt>
                <c:pt idx="372">
                  <c:v>-0.854040153844835</c:v>
                </c:pt>
                <c:pt idx="373">
                  <c:v>-0.85363615384449076</c:v>
                </c:pt>
                <c:pt idx="374">
                  <c:v>-0.851946153845347</c:v>
                </c:pt>
                <c:pt idx="375">
                  <c:v>-0.85063115384582488</c:v>
                </c:pt>
                <c:pt idx="376">
                  <c:v>-0.84428715384456154</c:v>
                </c:pt>
                <c:pt idx="377">
                  <c:v>-0.84100515384488972</c:v>
                </c:pt>
                <c:pt idx="378">
                  <c:v>-0.83436115384574805</c:v>
                </c:pt>
                <c:pt idx="379">
                  <c:v>-0.83432915384582884</c:v>
                </c:pt>
                <c:pt idx="380">
                  <c:v>-0.83423615384526784</c:v>
                </c:pt>
                <c:pt idx="381">
                  <c:v>-0.83201115384508739</c:v>
                </c:pt>
                <c:pt idx="382">
                  <c:v>-0.83150415384625376</c:v>
                </c:pt>
                <c:pt idx="383">
                  <c:v>-0.83000115384493256</c:v>
                </c:pt>
                <c:pt idx="384">
                  <c:v>-0.82370715384604409</c:v>
                </c:pt>
                <c:pt idx="385">
                  <c:v>-0.82236115384512232</c:v>
                </c:pt>
                <c:pt idx="386">
                  <c:v>-0.81651915384463791</c:v>
                </c:pt>
                <c:pt idx="387">
                  <c:v>-0.81644815384606773</c:v>
                </c:pt>
                <c:pt idx="388">
                  <c:v>-0.81486115384541336</c:v>
                </c:pt>
                <c:pt idx="389">
                  <c:v>-0.81485215384600451</c:v>
                </c:pt>
                <c:pt idx="390">
                  <c:v>-0.81482915384549415</c:v>
                </c:pt>
                <c:pt idx="391">
                  <c:v>-0.80897715384526236</c:v>
                </c:pt>
                <c:pt idx="392">
                  <c:v>-0.80840415384591324</c:v>
                </c:pt>
                <c:pt idx="393">
                  <c:v>-0.80524615384456411</c:v>
                </c:pt>
                <c:pt idx="394">
                  <c:v>-0.80501415384605934</c:v>
                </c:pt>
                <c:pt idx="395">
                  <c:v>-0.80212215384563024</c:v>
                </c:pt>
                <c:pt idx="396">
                  <c:v>-0.80184115384508914</c:v>
                </c:pt>
                <c:pt idx="397">
                  <c:v>-0.80115515384568425</c:v>
                </c:pt>
                <c:pt idx="398">
                  <c:v>-0.79962715384499461</c:v>
                </c:pt>
                <c:pt idx="399">
                  <c:v>-0.79902115384538774</c:v>
                </c:pt>
                <c:pt idx="400">
                  <c:v>-0.79670215384612675</c:v>
                </c:pt>
                <c:pt idx="401">
                  <c:v>-0.79354115384558099</c:v>
                </c:pt>
                <c:pt idx="402">
                  <c:v>-0.78815515384485479</c:v>
                </c:pt>
                <c:pt idx="403">
                  <c:v>-0.78333715384542302</c:v>
                </c:pt>
                <c:pt idx="404">
                  <c:v>-0.78003215384524083</c:v>
                </c:pt>
                <c:pt idx="405">
                  <c:v>-0.77800715384546493</c:v>
                </c:pt>
                <c:pt idx="406">
                  <c:v>-0.77707315384577669</c:v>
                </c:pt>
                <c:pt idx="407">
                  <c:v>-0.77574515384549159</c:v>
                </c:pt>
                <c:pt idx="408">
                  <c:v>-0.77507415384570777</c:v>
                </c:pt>
                <c:pt idx="409">
                  <c:v>-0.76945015384626458</c:v>
                </c:pt>
                <c:pt idx="410">
                  <c:v>-0.7647561538451555</c:v>
                </c:pt>
                <c:pt idx="411">
                  <c:v>-0.75916715384482814</c:v>
                </c:pt>
                <c:pt idx="412">
                  <c:v>-0.75408015384527971</c:v>
                </c:pt>
                <c:pt idx="413">
                  <c:v>-0.75118315384497691</c:v>
                </c:pt>
                <c:pt idx="414">
                  <c:v>-0.74943115384485282</c:v>
                </c:pt>
                <c:pt idx="415">
                  <c:v>-0.7489511538460647</c:v>
                </c:pt>
                <c:pt idx="416">
                  <c:v>-0.74653415384455002</c:v>
                </c:pt>
                <c:pt idx="417">
                  <c:v>-0.74540615384466946</c:v>
                </c:pt>
                <c:pt idx="418">
                  <c:v>-0.74195215384497715</c:v>
                </c:pt>
                <c:pt idx="419">
                  <c:v>-0.73651315384449845</c:v>
                </c:pt>
                <c:pt idx="420">
                  <c:v>-0.73284815384613466</c:v>
                </c:pt>
                <c:pt idx="421">
                  <c:v>-0.72147715384562616</c:v>
                </c:pt>
                <c:pt idx="422">
                  <c:v>-0.7158961538461881</c:v>
                </c:pt>
                <c:pt idx="423">
                  <c:v>-0.71272815384509158</c:v>
                </c:pt>
                <c:pt idx="424">
                  <c:v>-0.71075315384587157</c:v>
                </c:pt>
                <c:pt idx="425">
                  <c:v>-0.70532215384446317</c:v>
                </c:pt>
                <c:pt idx="426">
                  <c:v>-0.70104915384581545</c:v>
                </c:pt>
                <c:pt idx="427">
                  <c:v>-0.69641515384500963</c:v>
                </c:pt>
                <c:pt idx="428">
                  <c:v>-0.69465215384479961</c:v>
                </c:pt>
                <c:pt idx="429">
                  <c:v>-0.69438115384582488</c:v>
                </c:pt>
                <c:pt idx="430">
                  <c:v>-0.68177315384491521</c:v>
                </c:pt>
                <c:pt idx="431">
                  <c:v>-0.67369815384518006</c:v>
                </c:pt>
                <c:pt idx="432">
                  <c:v>-0.67180515384461614</c:v>
                </c:pt>
                <c:pt idx="433">
                  <c:v>-0.67045415384563967</c:v>
                </c:pt>
                <c:pt idx="434">
                  <c:v>-0.65865615384609555</c:v>
                </c:pt>
                <c:pt idx="435">
                  <c:v>-0.65818915384625143</c:v>
                </c:pt>
                <c:pt idx="436">
                  <c:v>-0.65808915384513966</c:v>
                </c:pt>
                <c:pt idx="437">
                  <c:v>-0.64896115384544828</c:v>
                </c:pt>
                <c:pt idx="438">
                  <c:v>-0.64730115384554665</c:v>
                </c:pt>
                <c:pt idx="439">
                  <c:v>-0.64517215384512383</c:v>
                </c:pt>
                <c:pt idx="440">
                  <c:v>-0.62385315384563</c:v>
                </c:pt>
                <c:pt idx="441">
                  <c:v>-0.61833815384488844</c:v>
                </c:pt>
                <c:pt idx="442">
                  <c:v>-0.61691515384518425</c:v>
                </c:pt>
                <c:pt idx="443">
                  <c:v>-0.6149921538453782</c:v>
                </c:pt>
                <c:pt idx="444">
                  <c:v>-0.60749815384588146</c:v>
                </c:pt>
                <c:pt idx="445">
                  <c:v>-0.60508115384618577</c:v>
                </c:pt>
                <c:pt idx="446">
                  <c:v>-0.58542815384498681</c:v>
                </c:pt>
                <c:pt idx="447">
                  <c:v>-0.57268315384499147</c:v>
                </c:pt>
                <c:pt idx="448">
                  <c:v>-0.53589215384454292</c:v>
                </c:pt>
                <c:pt idx="449">
                  <c:v>-0.46530115384484816</c:v>
                </c:pt>
                <c:pt idx="450">
                  <c:v>-0.46320915384603722</c:v>
                </c:pt>
                <c:pt idx="451">
                  <c:v>-0.36382715384570474</c:v>
                </c:pt>
                <c:pt idx="452">
                  <c:v>-0.30441815384619986</c:v>
                </c:pt>
                <c:pt idx="453">
                  <c:v>-0.2852371538447187</c:v>
                </c:pt>
              </c:numCache>
            </c:numRef>
          </c:xVal>
          <c:yVal>
            <c:numRef>
              <c:f>'BBP complete'!$W$665:$W$1118</c:f>
              <c:numCache>
                <c:formatCode>0.0000</c:formatCode>
                <c:ptCount val="454"/>
                <c:pt idx="0">
                  <c:v>0.5714285714285714</c:v>
                </c:pt>
                <c:pt idx="1">
                  <c:v>0.5714285714285714</c:v>
                </c:pt>
                <c:pt idx="2">
                  <c:v>0.6470588235294118</c:v>
                </c:pt>
                <c:pt idx="3">
                  <c:v>0.62857142857142856</c:v>
                </c:pt>
                <c:pt idx="4">
                  <c:v>0.61111111111111116</c:v>
                </c:pt>
                <c:pt idx="5">
                  <c:v>0.5625</c:v>
                </c:pt>
                <c:pt idx="6">
                  <c:v>0.6</c:v>
                </c:pt>
                <c:pt idx="7">
                  <c:v>0.51428571428571423</c:v>
                </c:pt>
                <c:pt idx="8">
                  <c:v>0.61764705882352944</c:v>
                </c:pt>
                <c:pt idx="9">
                  <c:v>0.55882352941176472</c:v>
                </c:pt>
                <c:pt idx="10">
                  <c:v>0.6</c:v>
                </c:pt>
                <c:pt idx="11">
                  <c:v>0.66666666666666663</c:v>
                </c:pt>
                <c:pt idx="12">
                  <c:v>0.58823529411764708</c:v>
                </c:pt>
                <c:pt idx="13">
                  <c:v>0.6470588235294118</c:v>
                </c:pt>
                <c:pt idx="14">
                  <c:v>0.54285714285714282</c:v>
                </c:pt>
                <c:pt idx="15">
                  <c:v>0.5</c:v>
                </c:pt>
                <c:pt idx="16">
                  <c:v>0.63888888888888884</c:v>
                </c:pt>
                <c:pt idx="17">
                  <c:v>0.52941176470588236</c:v>
                </c:pt>
                <c:pt idx="18">
                  <c:v>0.61764705882352944</c:v>
                </c:pt>
                <c:pt idx="19">
                  <c:v>0.6</c:v>
                </c:pt>
                <c:pt idx="20">
                  <c:v>0.61764705882352944</c:v>
                </c:pt>
                <c:pt idx="21">
                  <c:v>0.6</c:v>
                </c:pt>
                <c:pt idx="22">
                  <c:v>0.58333333333333337</c:v>
                </c:pt>
                <c:pt idx="23">
                  <c:v>0.61111111111111116</c:v>
                </c:pt>
                <c:pt idx="24">
                  <c:v>0.66666666666666663</c:v>
                </c:pt>
                <c:pt idx="25">
                  <c:v>0.61764705882352944</c:v>
                </c:pt>
                <c:pt idx="26">
                  <c:v>0.58823529411764708</c:v>
                </c:pt>
                <c:pt idx="27">
                  <c:v>0.6470588235294118</c:v>
                </c:pt>
                <c:pt idx="28">
                  <c:v>0.55882352941176472</c:v>
                </c:pt>
                <c:pt idx="29">
                  <c:v>0.6470588235294118</c:v>
                </c:pt>
                <c:pt idx="30">
                  <c:v>0.52941176470588236</c:v>
                </c:pt>
                <c:pt idx="31">
                  <c:v>0.58823529411764708</c:v>
                </c:pt>
                <c:pt idx="32">
                  <c:v>0.55555555555555558</c:v>
                </c:pt>
                <c:pt idx="33">
                  <c:v>0.61764705882352944</c:v>
                </c:pt>
                <c:pt idx="34">
                  <c:v>0.61764705882352944</c:v>
                </c:pt>
                <c:pt idx="35">
                  <c:v>0.60606060606060608</c:v>
                </c:pt>
                <c:pt idx="36">
                  <c:v>0.55555555555555558</c:v>
                </c:pt>
                <c:pt idx="37">
                  <c:v>0.51428571428571423</c:v>
                </c:pt>
                <c:pt idx="38">
                  <c:v>0.67647058823529416</c:v>
                </c:pt>
                <c:pt idx="39">
                  <c:v>0.48571428571428571</c:v>
                </c:pt>
                <c:pt idx="40">
                  <c:v>0.6470588235294118</c:v>
                </c:pt>
                <c:pt idx="41">
                  <c:v>0.6</c:v>
                </c:pt>
                <c:pt idx="42">
                  <c:v>0.45714285714285713</c:v>
                </c:pt>
                <c:pt idx="43">
                  <c:v>0.61764705882352944</c:v>
                </c:pt>
                <c:pt idx="44">
                  <c:v>0.58823529411764708</c:v>
                </c:pt>
                <c:pt idx="45">
                  <c:v>0.6</c:v>
                </c:pt>
                <c:pt idx="46">
                  <c:v>0.5757575757575758</c:v>
                </c:pt>
                <c:pt idx="47">
                  <c:v>0.62857142857142856</c:v>
                </c:pt>
                <c:pt idx="48">
                  <c:v>0.6875</c:v>
                </c:pt>
                <c:pt idx="49">
                  <c:v>0.58823529411764708</c:v>
                </c:pt>
                <c:pt idx="50">
                  <c:v>0.61764705882352944</c:v>
                </c:pt>
                <c:pt idx="51">
                  <c:v>0.44117647058823528</c:v>
                </c:pt>
                <c:pt idx="52">
                  <c:v>0.52941176470588236</c:v>
                </c:pt>
                <c:pt idx="53">
                  <c:v>0.52941176470588236</c:v>
                </c:pt>
                <c:pt idx="54">
                  <c:v>0.52941176470588236</c:v>
                </c:pt>
                <c:pt idx="55">
                  <c:v>0.54285714285714282</c:v>
                </c:pt>
                <c:pt idx="56">
                  <c:v>0.61764705882352944</c:v>
                </c:pt>
                <c:pt idx="57">
                  <c:v>0.60606060606060608</c:v>
                </c:pt>
                <c:pt idx="58">
                  <c:v>0.6470588235294118</c:v>
                </c:pt>
                <c:pt idx="59">
                  <c:v>0.6</c:v>
                </c:pt>
                <c:pt idx="60">
                  <c:v>0.52941176470588236</c:v>
                </c:pt>
                <c:pt idx="61">
                  <c:v>0.61764705882352944</c:v>
                </c:pt>
                <c:pt idx="62">
                  <c:v>0.55882352941176472</c:v>
                </c:pt>
                <c:pt idx="63">
                  <c:v>0.55555555555555558</c:v>
                </c:pt>
                <c:pt idx="64">
                  <c:v>0.5625</c:v>
                </c:pt>
                <c:pt idx="65">
                  <c:v>0.6470588235294118</c:v>
                </c:pt>
                <c:pt idx="66">
                  <c:v>0.61764705882352944</c:v>
                </c:pt>
                <c:pt idx="67">
                  <c:v>0.55882352941176472</c:v>
                </c:pt>
                <c:pt idx="68">
                  <c:v>0.6</c:v>
                </c:pt>
                <c:pt idx="69">
                  <c:v>0.61764705882352944</c:v>
                </c:pt>
                <c:pt idx="70">
                  <c:v>0.58333333333333337</c:v>
                </c:pt>
                <c:pt idx="71">
                  <c:v>0.58823529411764708</c:v>
                </c:pt>
                <c:pt idx="72">
                  <c:v>0.6</c:v>
                </c:pt>
                <c:pt idx="73">
                  <c:v>0.6470588235294118</c:v>
                </c:pt>
                <c:pt idx="74">
                  <c:v>0.65714285714285714</c:v>
                </c:pt>
                <c:pt idx="75">
                  <c:v>0.58333333333333337</c:v>
                </c:pt>
                <c:pt idx="76">
                  <c:v>0.61764705882352944</c:v>
                </c:pt>
                <c:pt idx="77">
                  <c:v>0.6</c:v>
                </c:pt>
                <c:pt idx="78">
                  <c:v>0.625</c:v>
                </c:pt>
                <c:pt idx="79">
                  <c:v>0.62857142857142856</c:v>
                </c:pt>
                <c:pt idx="80">
                  <c:v>0.6</c:v>
                </c:pt>
                <c:pt idx="81">
                  <c:v>0.47058823529411764</c:v>
                </c:pt>
                <c:pt idx="82">
                  <c:v>0.58333333333333337</c:v>
                </c:pt>
                <c:pt idx="83">
                  <c:v>0.63636363636363635</c:v>
                </c:pt>
                <c:pt idx="84">
                  <c:v>0.5714285714285714</c:v>
                </c:pt>
                <c:pt idx="85">
                  <c:v>0.66666666666666663</c:v>
                </c:pt>
                <c:pt idx="86">
                  <c:v>0.61764705882352944</c:v>
                </c:pt>
                <c:pt idx="87">
                  <c:v>0.60606060606060608</c:v>
                </c:pt>
                <c:pt idx="88">
                  <c:v>0.55882352941176472</c:v>
                </c:pt>
                <c:pt idx="89">
                  <c:v>0.58823529411764708</c:v>
                </c:pt>
                <c:pt idx="90">
                  <c:v>0.6470588235294118</c:v>
                </c:pt>
                <c:pt idx="91">
                  <c:v>0.5</c:v>
                </c:pt>
                <c:pt idx="92">
                  <c:v>0.54285714285714282</c:v>
                </c:pt>
                <c:pt idx="93">
                  <c:v>0.58823529411764708</c:v>
                </c:pt>
                <c:pt idx="94">
                  <c:v>0.625</c:v>
                </c:pt>
                <c:pt idx="95">
                  <c:v>0.61764705882352944</c:v>
                </c:pt>
                <c:pt idx="96">
                  <c:v>0.58823529411764708</c:v>
                </c:pt>
                <c:pt idx="97">
                  <c:v>0.55882352941176472</c:v>
                </c:pt>
                <c:pt idx="98">
                  <c:v>0.60606060606060608</c:v>
                </c:pt>
                <c:pt idx="99">
                  <c:v>0.58333333333333337</c:v>
                </c:pt>
                <c:pt idx="100">
                  <c:v>0.6</c:v>
                </c:pt>
                <c:pt idx="101">
                  <c:v>0.48571428571428571</c:v>
                </c:pt>
                <c:pt idx="102">
                  <c:v>0.52777777777777779</c:v>
                </c:pt>
                <c:pt idx="103">
                  <c:v>0.61111111111111116</c:v>
                </c:pt>
                <c:pt idx="104">
                  <c:v>0.55555555555555558</c:v>
                </c:pt>
                <c:pt idx="105">
                  <c:v>0.5714285714285714</c:v>
                </c:pt>
                <c:pt idx="106">
                  <c:v>0.52941176470588236</c:v>
                </c:pt>
                <c:pt idx="107">
                  <c:v>0.47058823529411764</c:v>
                </c:pt>
                <c:pt idx="108">
                  <c:v>0.61764705882352944</c:v>
                </c:pt>
                <c:pt idx="109">
                  <c:v>0.6470588235294118</c:v>
                </c:pt>
                <c:pt idx="110">
                  <c:v>0.62857142857142856</c:v>
                </c:pt>
                <c:pt idx="111">
                  <c:v>0.6</c:v>
                </c:pt>
                <c:pt idx="112">
                  <c:v>0.61764705882352944</c:v>
                </c:pt>
                <c:pt idx="113">
                  <c:v>0.54285714285714282</c:v>
                </c:pt>
                <c:pt idx="114">
                  <c:v>0.55555555555555558</c:v>
                </c:pt>
                <c:pt idx="115">
                  <c:v>0.58823529411764708</c:v>
                </c:pt>
                <c:pt idx="116">
                  <c:v>0.55882352941176472</c:v>
                </c:pt>
                <c:pt idx="117">
                  <c:v>0.62857142857142856</c:v>
                </c:pt>
                <c:pt idx="118">
                  <c:v>0.58823529411764708</c:v>
                </c:pt>
                <c:pt idx="119">
                  <c:v>0.55555555555555558</c:v>
                </c:pt>
                <c:pt idx="120">
                  <c:v>0.52941176470588236</c:v>
                </c:pt>
                <c:pt idx="121">
                  <c:v>0.51428571428571423</c:v>
                </c:pt>
                <c:pt idx="122">
                  <c:v>0.55555555555555558</c:v>
                </c:pt>
                <c:pt idx="123">
                  <c:v>0.45714285714285713</c:v>
                </c:pt>
                <c:pt idx="124">
                  <c:v>0.5</c:v>
                </c:pt>
                <c:pt idx="125">
                  <c:v>0.5</c:v>
                </c:pt>
                <c:pt idx="126">
                  <c:v>0.58823529411764708</c:v>
                </c:pt>
                <c:pt idx="127">
                  <c:v>0.6</c:v>
                </c:pt>
                <c:pt idx="128">
                  <c:v>0.5714285714285714</c:v>
                </c:pt>
                <c:pt idx="129">
                  <c:v>0.61764705882352944</c:v>
                </c:pt>
                <c:pt idx="130">
                  <c:v>0.61764705882352944</c:v>
                </c:pt>
                <c:pt idx="131">
                  <c:v>0.61111111111111116</c:v>
                </c:pt>
                <c:pt idx="132">
                  <c:v>0.55882352941176472</c:v>
                </c:pt>
                <c:pt idx="133">
                  <c:v>0.6470588235294118</c:v>
                </c:pt>
                <c:pt idx="134">
                  <c:v>0.5714285714285714</c:v>
                </c:pt>
                <c:pt idx="135">
                  <c:v>0.51428571428571423</c:v>
                </c:pt>
                <c:pt idx="136">
                  <c:v>0.58823529411764708</c:v>
                </c:pt>
                <c:pt idx="137">
                  <c:v>0.62857142857142856</c:v>
                </c:pt>
                <c:pt idx="138">
                  <c:v>0.48571428571428571</c:v>
                </c:pt>
                <c:pt idx="139">
                  <c:v>0.61764705882352944</c:v>
                </c:pt>
                <c:pt idx="140">
                  <c:v>0.52941176470588236</c:v>
                </c:pt>
                <c:pt idx="141">
                  <c:v>0.62857142857142856</c:v>
                </c:pt>
                <c:pt idx="142">
                  <c:v>0.55882352941176472</c:v>
                </c:pt>
                <c:pt idx="143">
                  <c:v>0.62857142857142856</c:v>
                </c:pt>
                <c:pt idx="144">
                  <c:v>0.52941176470588236</c:v>
                </c:pt>
                <c:pt idx="145">
                  <c:v>0.6</c:v>
                </c:pt>
                <c:pt idx="146">
                  <c:v>0.52777777777777779</c:v>
                </c:pt>
                <c:pt idx="147">
                  <c:v>0.61764705882352944</c:v>
                </c:pt>
                <c:pt idx="148">
                  <c:v>0.5714285714285714</c:v>
                </c:pt>
                <c:pt idx="149">
                  <c:v>0.58823529411764708</c:v>
                </c:pt>
                <c:pt idx="150">
                  <c:v>0.58823529411764708</c:v>
                </c:pt>
                <c:pt idx="151">
                  <c:v>0.44117647058823528</c:v>
                </c:pt>
                <c:pt idx="152">
                  <c:v>0.6470588235294118</c:v>
                </c:pt>
                <c:pt idx="153">
                  <c:v>0.65714285714285714</c:v>
                </c:pt>
                <c:pt idx="154">
                  <c:v>0.55882352941176472</c:v>
                </c:pt>
                <c:pt idx="155">
                  <c:v>0.47058823529411764</c:v>
                </c:pt>
                <c:pt idx="156">
                  <c:v>0.62857142857142856</c:v>
                </c:pt>
                <c:pt idx="157">
                  <c:v>0.625</c:v>
                </c:pt>
                <c:pt idx="158">
                  <c:v>0.61111111111111116</c:v>
                </c:pt>
                <c:pt idx="159">
                  <c:v>0.58823529411764708</c:v>
                </c:pt>
                <c:pt idx="160">
                  <c:v>0.62857142857142856</c:v>
                </c:pt>
                <c:pt idx="161">
                  <c:v>0.61764705882352944</c:v>
                </c:pt>
                <c:pt idx="162">
                  <c:v>0.6</c:v>
                </c:pt>
                <c:pt idx="163">
                  <c:v>0.55882352941176472</c:v>
                </c:pt>
                <c:pt idx="164">
                  <c:v>0.5625</c:v>
                </c:pt>
                <c:pt idx="165">
                  <c:v>0.58823529411764708</c:v>
                </c:pt>
                <c:pt idx="166">
                  <c:v>0.48571428571428571</c:v>
                </c:pt>
                <c:pt idx="167">
                  <c:v>0.47058823529411764</c:v>
                </c:pt>
                <c:pt idx="168">
                  <c:v>0.6</c:v>
                </c:pt>
                <c:pt idx="169">
                  <c:v>0.5</c:v>
                </c:pt>
                <c:pt idx="170">
                  <c:v>0.6470588235294118</c:v>
                </c:pt>
                <c:pt idx="171">
                  <c:v>0.52941176470588236</c:v>
                </c:pt>
                <c:pt idx="172">
                  <c:v>0.6</c:v>
                </c:pt>
                <c:pt idx="173">
                  <c:v>0.55882352941176472</c:v>
                </c:pt>
                <c:pt idx="174">
                  <c:v>0.61764705882352944</c:v>
                </c:pt>
                <c:pt idx="175">
                  <c:v>0.44117647058823528</c:v>
                </c:pt>
                <c:pt idx="176">
                  <c:v>0.3235294117647059</c:v>
                </c:pt>
                <c:pt idx="177">
                  <c:v>0.5714285714285714</c:v>
                </c:pt>
                <c:pt idx="178">
                  <c:v>0.58823529411764708</c:v>
                </c:pt>
                <c:pt idx="179">
                  <c:v>0.58823529411764708</c:v>
                </c:pt>
                <c:pt idx="180">
                  <c:v>0.6</c:v>
                </c:pt>
                <c:pt idx="181">
                  <c:v>0.63888888888888884</c:v>
                </c:pt>
                <c:pt idx="182">
                  <c:v>0.58333333333333337</c:v>
                </c:pt>
                <c:pt idx="183">
                  <c:v>0.52941176470588236</c:v>
                </c:pt>
                <c:pt idx="184">
                  <c:v>0.5</c:v>
                </c:pt>
                <c:pt idx="185">
                  <c:v>0.52941176470588236</c:v>
                </c:pt>
                <c:pt idx="186">
                  <c:v>0.52941176470588236</c:v>
                </c:pt>
                <c:pt idx="187">
                  <c:v>0.61764705882352944</c:v>
                </c:pt>
                <c:pt idx="188">
                  <c:v>0.5</c:v>
                </c:pt>
                <c:pt idx="189">
                  <c:v>0.58823529411764708</c:v>
                </c:pt>
                <c:pt idx="190">
                  <c:v>0.54545454545454541</c:v>
                </c:pt>
                <c:pt idx="191">
                  <c:v>0.52941176470588236</c:v>
                </c:pt>
                <c:pt idx="192">
                  <c:v>0.54285714285714282</c:v>
                </c:pt>
                <c:pt idx="193">
                  <c:v>0.52941176470588236</c:v>
                </c:pt>
                <c:pt idx="194">
                  <c:v>0.62857142857142856</c:v>
                </c:pt>
                <c:pt idx="195">
                  <c:v>0.5714285714285714</c:v>
                </c:pt>
                <c:pt idx="196">
                  <c:v>0.58333333333333337</c:v>
                </c:pt>
                <c:pt idx="197">
                  <c:v>0.65714285714285714</c:v>
                </c:pt>
                <c:pt idx="198">
                  <c:v>0.52941176470588236</c:v>
                </c:pt>
                <c:pt idx="199">
                  <c:v>0.5714285714285714</c:v>
                </c:pt>
                <c:pt idx="200">
                  <c:v>0.62857142857142856</c:v>
                </c:pt>
                <c:pt idx="201">
                  <c:v>0.58823529411764708</c:v>
                </c:pt>
                <c:pt idx="202">
                  <c:v>0.51428571428571423</c:v>
                </c:pt>
                <c:pt idx="203">
                  <c:v>0.58823529411764708</c:v>
                </c:pt>
                <c:pt idx="204">
                  <c:v>0.61764705882352944</c:v>
                </c:pt>
                <c:pt idx="205">
                  <c:v>0.55882352941176472</c:v>
                </c:pt>
                <c:pt idx="206">
                  <c:v>0.52941176470588236</c:v>
                </c:pt>
                <c:pt idx="207">
                  <c:v>0.5714285714285714</c:v>
                </c:pt>
                <c:pt idx="208">
                  <c:v>0.5714285714285714</c:v>
                </c:pt>
                <c:pt idx="209">
                  <c:v>0.5</c:v>
                </c:pt>
                <c:pt idx="210">
                  <c:v>0.5714285714285714</c:v>
                </c:pt>
                <c:pt idx="211">
                  <c:v>0.625</c:v>
                </c:pt>
                <c:pt idx="212">
                  <c:v>0.48484848484848486</c:v>
                </c:pt>
                <c:pt idx="213">
                  <c:v>0.58823529411764708</c:v>
                </c:pt>
                <c:pt idx="214">
                  <c:v>0.63888888888888884</c:v>
                </c:pt>
                <c:pt idx="215">
                  <c:v>0.5714285714285714</c:v>
                </c:pt>
                <c:pt idx="216">
                  <c:v>0.58823529411764708</c:v>
                </c:pt>
                <c:pt idx="217">
                  <c:v>0.58823529411764708</c:v>
                </c:pt>
                <c:pt idx="218">
                  <c:v>0.62857142857142856</c:v>
                </c:pt>
                <c:pt idx="219">
                  <c:v>0.52777777777777779</c:v>
                </c:pt>
                <c:pt idx="220">
                  <c:v>0.54285714285714282</c:v>
                </c:pt>
                <c:pt idx="221">
                  <c:v>0.55555555555555558</c:v>
                </c:pt>
                <c:pt idx="222">
                  <c:v>0.58823529411764708</c:v>
                </c:pt>
                <c:pt idx="223">
                  <c:v>0.6</c:v>
                </c:pt>
                <c:pt idx="224">
                  <c:v>0.55555555555555558</c:v>
                </c:pt>
                <c:pt idx="225">
                  <c:v>0.5714285714285714</c:v>
                </c:pt>
                <c:pt idx="226">
                  <c:v>0.44444444444444442</c:v>
                </c:pt>
                <c:pt idx="227">
                  <c:v>0.62857142857142856</c:v>
                </c:pt>
                <c:pt idx="228">
                  <c:v>0.52941176470588236</c:v>
                </c:pt>
                <c:pt idx="229">
                  <c:v>0.5714285714285714</c:v>
                </c:pt>
                <c:pt idx="230">
                  <c:v>0.45714285714285713</c:v>
                </c:pt>
                <c:pt idx="231">
                  <c:v>0.55882352941176472</c:v>
                </c:pt>
                <c:pt idx="232">
                  <c:v>0.61764705882352944</c:v>
                </c:pt>
                <c:pt idx="233">
                  <c:v>0.52941176470588236</c:v>
                </c:pt>
                <c:pt idx="234">
                  <c:v>0.58333333333333337</c:v>
                </c:pt>
                <c:pt idx="235">
                  <c:v>0.6</c:v>
                </c:pt>
                <c:pt idx="236">
                  <c:v>0.5625</c:v>
                </c:pt>
                <c:pt idx="237">
                  <c:v>0.5</c:v>
                </c:pt>
                <c:pt idx="238">
                  <c:v>0.6470588235294118</c:v>
                </c:pt>
                <c:pt idx="239">
                  <c:v>0.54285714285714282</c:v>
                </c:pt>
                <c:pt idx="240">
                  <c:v>0.6470588235294118</c:v>
                </c:pt>
                <c:pt idx="241">
                  <c:v>0.63888888888888884</c:v>
                </c:pt>
                <c:pt idx="242">
                  <c:v>0.61111111111111116</c:v>
                </c:pt>
                <c:pt idx="243">
                  <c:v>0.54545454545454541</c:v>
                </c:pt>
                <c:pt idx="244">
                  <c:v>0.47058823529411764</c:v>
                </c:pt>
                <c:pt idx="245">
                  <c:v>0.52941176470588236</c:v>
                </c:pt>
                <c:pt idx="246">
                  <c:v>0.62857142857142856</c:v>
                </c:pt>
                <c:pt idx="247">
                  <c:v>0.5</c:v>
                </c:pt>
                <c:pt idx="248">
                  <c:v>0.54545454545454541</c:v>
                </c:pt>
                <c:pt idx="249">
                  <c:v>0.55882352941176472</c:v>
                </c:pt>
                <c:pt idx="250">
                  <c:v>0.55555555555555558</c:v>
                </c:pt>
                <c:pt idx="251">
                  <c:v>0.6470588235294118</c:v>
                </c:pt>
                <c:pt idx="252">
                  <c:v>0.55555555555555558</c:v>
                </c:pt>
                <c:pt idx="253">
                  <c:v>0.5714285714285714</c:v>
                </c:pt>
                <c:pt idx="254">
                  <c:v>0.47058823529411764</c:v>
                </c:pt>
                <c:pt idx="255">
                  <c:v>0.48484848484848486</c:v>
                </c:pt>
                <c:pt idx="256">
                  <c:v>0.52941176470588236</c:v>
                </c:pt>
                <c:pt idx="257">
                  <c:v>0.55882352941176472</c:v>
                </c:pt>
                <c:pt idx="258">
                  <c:v>0.47058823529411764</c:v>
                </c:pt>
                <c:pt idx="259">
                  <c:v>0.53125</c:v>
                </c:pt>
                <c:pt idx="260">
                  <c:v>0.55882352941176472</c:v>
                </c:pt>
                <c:pt idx="261">
                  <c:v>0.5</c:v>
                </c:pt>
                <c:pt idx="262">
                  <c:v>0.61111111111111116</c:v>
                </c:pt>
                <c:pt idx="263">
                  <c:v>0.52777777777777779</c:v>
                </c:pt>
                <c:pt idx="264">
                  <c:v>0.48571428571428571</c:v>
                </c:pt>
                <c:pt idx="265">
                  <c:v>0.52941176470588236</c:v>
                </c:pt>
                <c:pt idx="266">
                  <c:v>0.5714285714285714</c:v>
                </c:pt>
                <c:pt idx="267">
                  <c:v>0.52777777777777779</c:v>
                </c:pt>
                <c:pt idx="268">
                  <c:v>0.54285714285714282</c:v>
                </c:pt>
                <c:pt idx="269">
                  <c:v>0.5</c:v>
                </c:pt>
                <c:pt idx="270">
                  <c:v>0.54285714285714282</c:v>
                </c:pt>
                <c:pt idx="271">
                  <c:v>0.51428571428571423</c:v>
                </c:pt>
                <c:pt idx="272">
                  <c:v>0.52777777777777779</c:v>
                </c:pt>
                <c:pt idx="273">
                  <c:v>0.51428571428571423</c:v>
                </c:pt>
                <c:pt idx="274">
                  <c:v>0.5757575757575758</c:v>
                </c:pt>
                <c:pt idx="275">
                  <c:v>0.55555555555555558</c:v>
                </c:pt>
                <c:pt idx="276">
                  <c:v>0.52941176470588236</c:v>
                </c:pt>
                <c:pt idx="277">
                  <c:v>0.41666666666666669</c:v>
                </c:pt>
                <c:pt idx="278">
                  <c:v>0.5</c:v>
                </c:pt>
                <c:pt idx="279">
                  <c:v>0.55882352941176472</c:v>
                </c:pt>
                <c:pt idx="280">
                  <c:v>0.52941176470588236</c:v>
                </c:pt>
                <c:pt idx="281">
                  <c:v>0.5</c:v>
                </c:pt>
                <c:pt idx="282">
                  <c:v>0.44117647058823528</c:v>
                </c:pt>
                <c:pt idx="283">
                  <c:v>0.5</c:v>
                </c:pt>
                <c:pt idx="284">
                  <c:v>0.6</c:v>
                </c:pt>
                <c:pt idx="285">
                  <c:v>0.53125</c:v>
                </c:pt>
                <c:pt idx="286">
                  <c:v>0.51515151515151514</c:v>
                </c:pt>
                <c:pt idx="287">
                  <c:v>0.60606060606060608</c:v>
                </c:pt>
                <c:pt idx="288">
                  <c:v>0.58333333333333337</c:v>
                </c:pt>
                <c:pt idx="289">
                  <c:v>0.6470588235294118</c:v>
                </c:pt>
                <c:pt idx="290">
                  <c:v>0.55555555555555558</c:v>
                </c:pt>
                <c:pt idx="291">
                  <c:v>0.55555555555555558</c:v>
                </c:pt>
                <c:pt idx="292">
                  <c:v>0.55555555555555558</c:v>
                </c:pt>
                <c:pt idx="293">
                  <c:v>0.52777777777777779</c:v>
                </c:pt>
                <c:pt idx="294">
                  <c:v>0.45714285714285713</c:v>
                </c:pt>
                <c:pt idx="295">
                  <c:v>0.52777777777777779</c:v>
                </c:pt>
                <c:pt idx="296">
                  <c:v>0.52941176470588236</c:v>
                </c:pt>
                <c:pt idx="297">
                  <c:v>0.48571428571428571</c:v>
                </c:pt>
                <c:pt idx="298">
                  <c:v>0.5</c:v>
                </c:pt>
                <c:pt idx="299">
                  <c:v>0.55555555555555558</c:v>
                </c:pt>
                <c:pt idx="300">
                  <c:v>0.58823529411764708</c:v>
                </c:pt>
                <c:pt idx="301">
                  <c:v>0.61111111111111116</c:v>
                </c:pt>
                <c:pt idx="302">
                  <c:v>0.5</c:v>
                </c:pt>
                <c:pt idx="303">
                  <c:v>0.55882352941176472</c:v>
                </c:pt>
                <c:pt idx="304">
                  <c:v>0.44117647058823528</c:v>
                </c:pt>
                <c:pt idx="305">
                  <c:v>0.54545454545454541</c:v>
                </c:pt>
                <c:pt idx="306">
                  <c:v>0.53125</c:v>
                </c:pt>
                <c:pt idx="307">
                  <c:v>0.5</c:v>
                </c:pt>
                <c:pt idx="308">
                  <c:v>0.55882352941176472</c:v>
                </c:pt>
                <c:pt idx="309">
                  <c:v>0.55555555555555558</c:v>
                </c:pt>
                <c:pt idx="310">
                  <c:v>0.51428571428571423</c:v>
                </c:pt>
                <c:pt idx="311">
                  <c:v>0.55882352941176472</c:v>
                </c:pt>
                <c:pt idx="312">
                  <c:v>0.6</c:v>
                </c:pt>
                <c:pt idx="313">
                  <c:v>0.52941176470588236</c:v>
                </c:pt>
                <c:pt idx="314">
                  <c:v>0.55882352941176472</c:v>
                </c:pt>
                <c:pt idx="315">
                  <c:v>0.42424242424242425</c:v>
                </c:pt>
                <c:pt idx="316">
                  <c:v>0.58333333333333337</c:v>
                </c:pt>
                <c:pt idx="317">
                  <c:v>0.42424242424242425</c:v>
                </c:pt>
                <c:pt idx="318">
                  <c:v>0.44444444444444442</c:v>
                </c:pt>
                <c:pt idx="319">
                  <c:v>0.58823529411764708</c:v>
                </c:pt>
                <c:pt idx="320">
                  <c:v>0.55555555555555558</c:v>
                </c:pt>
                <c:pt idx="321">
                  <c:v>0.5714285714285714</c:v>
                </c:pt>
                <c:pt idx="322">
                  <c:v>0.5</c:v>
                </c:pt>
                <c:pt idx="323">
                  <c:v>0.51428571428571423</c:v>
                </c:pt>
                <c:pt idx="324">
                  <c:v>0.6</c:v>
                </c:pt>
                <c:pt idx="325">
                  <c:v>0.45714285714285713</c:v>
                </c:pt>
                <c:pt idx="326">
                  <c:v>0.44117647058823528</c:v>
                </c:pt>
                <c:pt idx="327">
                  <c:v>0.48571428571428571</c:v>
                </c:pt>
                <c:pt idx="328">
                  <c:v>0.51515151515151514</c:v>
                </c:pt>
                <c:pt idx="329">
                  <c:v>0.55555555555555558</c:v>
                </c:pt>
                <c:pt idx="330">
                  <c:v>0.54285714285714282</c:v>
                </c:pt>
                <c:pt idx="331">
                  <c:v>0.54285714285714282</c:v>
                </c:pt>
                <c:pt idx="332">
                  <c:v>0.44117647058823528</c:v>
                </c:pt>
                <c:pt idx="333">
                  <c:v>0.5714285714285714</c:v>
                </c:pt>
                <c:pt idx="334">
                  <c:v>0.55555555555555558</c:v>
                </c:pt>
                <c:pt idx="335">
                  <c:v>0.51428571428571423</c:v>
                </c:pt>
                <c:pt idx="336">
                  <c:v>0.51428571428571423</c:v>
                </c:pt>
                <c:pt idx="337">
                  <c:v>0.55555555555555558</c:v>
                </c:pt>
                <c:pt idx="338">
                  <c:v>0.58823529411764708</c:v>
                </c:pt>
                <c:pt idx="339">
                  <c:v>0.47058823529411764</c:v>
                </c:pt>
                <c:pt idx="340">
                  <c:v>0.51428571428571423</c:v>
                </c:pt>
                <c:pt idx="341">
                  <c:v>0.5</c:v>
                </c:pt>
                <c:pt idx="342">
                  <c:v>0.51428571428571423</c:v>
                </c:pt>
                <c:pt idx="343">
                  <c:v>0.52777777777777779</c:v>
                </c:pt>
                <c:pt idx="344">
                  <c:v>0.51428571428571423</c:v>
                </c:pt>
                <c:pt idx="345">
                  <c:v>0.51428571428571423</c:v>
                </c:pt>
                <c:pt idx="346">
                  <c:v>0.51428571428571423</c:v>
                </c:pt>
                <c:pt idx="347">
                  <c:v>0.5</c:v>
                </c:pt>
                <c:pt idx="348">
                  <c:v>0.58823529411764708</c:v>
                </c:pt>
                <c:pt idx="349">
                  <c:v>0.51428571428571423</c:v>
                </c:pt>
                <c:pt idx="350">
                  <c:v>0.55882352941176472</c:v>
                </c:pt>
                <c:pt idx="351">
                  <c:v>0.54285714285714282</c:v>
                </c:pt>
                <c:pt idx="352">
                  <c:v>0.47058823529411764</c:v>
                </c:pt>
                <c:pt idx="353">
                  <c:v>0.4</c:v>
                </c:pt>
                <c:pt idx="354">
                  <c:v>0.51428571428571423</c:v>
                </c:pt>
                <c:pt idx="355">
                  <c:v>0.6</c:v>
                </c:pt>
                <c:pt idx="356">
                  <c:v>0.6</c:v>
                </c:pt>
                <c:pt idx="357">
                  <c:v>0.63888888888888884</c:v>
                </c:pt>
                <c:pt idx="358">
                  <c:v>0.54285714285714282</c:v>
                </c:pt>
                <c:pt idx="359">
                  <c:v>0.42424242424242425</c:v>
                </c:pt>
                <c:pt idx="360">
                  <c:v>0.52941176470588236</c:v>
                </c:pt>
                <c:pt idx="361">
                  <c:v>0.55882352941176472</c:v>
                </c:pt>
                <c:pt idx="362">
                  <c:v>0.60606060606060608</c:v>
                </c:pt>
                <c:pt idx="363">
                  <c:v>0.52941176470588236</c:v>
                </c:pt>
                <c:pt idx="364">
                  <c:v>0.52777777777777779</c:v>
                </c:pt>
                <c:pt idx="365">
                  <c:v>0.51428571428571423</c:v>
                </c:pt>
                <c:pt idx="366">
                  <c:v>0.47058823529411764</c:v>
                </c:pt>
                <c:pt idx="367">
                  <c:v>0.6</c:v>
                </c:pt>
                <c:pt idx="368">
                  <c:v>0.58333333333333337</c:v>
                </c:pt>
                <c:pt idx="369">
                  <c:v>0.5</c:v>
                </c:pt>
                <c:pt idx="370">
                  <c:v>0.54545454545454541</c:v>
                </c:pt>
                <c:pt idx="371">
                  <c:v>0.5</c:v>
                </c:pt>
                <c:pt idx="372">
                  <c:v>0.58333333333333337</c:v>
                </c:pt>
                <c:pt idx="373">
                  <c:v>0.54285714285714282</c:v>
                </c:pt>
                <c:pt idx="374">
                  <c:v>0.52777777777777779</c:v>
                </c:pt>
                <c:pt idx="375">
                  <c:v>0.5</c:v>
                </c:pt>
                <c:pt idx="376">
                  <c:v>0.55555555555555558</c:v>
                </c:pt>
                <c:pt idx="377">
                  <c:v>0.5</c:v>
                </c:pt>
                <c:pt idx="378">
                  <c:v>0.5</c:v>
                </c:pt>
                <c:pt idx="379">
                  <c:v>0.5714285714285714</c:v>
                </c:pt>
                <c:pt idx="380">
                  <c:v>0.47058823529411764</c:v>
                </c:pt>
                <c:pt idx="381">
                  <c:v>0.45714285714285713</c:v>
                </c:pt>
                <c:pt idx="382">
                  <c:v>0.45714285714285713</c:v>
                </c:pt>
                <c:pt idx="383">
                  <c:v>0.45714285714285713</c:v>
                </c:pt>
                <c:pt idx="384">
                  <c:v>0.58333333333333337</c:v>
                </c:pt>
                <c:pt idx="385">
                  <c:v>0.5714285714285714</c:v>
                </c:pt>
                <c:pt idx="386">
                  <c:v>0.55555555555555558</c:v>
                </c:pt>
                <c:pt idx="387">
                  <c:v>0.47058823529411764</c:v>
                </c:pt>
                <c:pt idx="388">
                  <c:v>0.45714285714285713</c:v>
                </c:pt>
                <c:pt idx="389">
                  <c:v>0.61764705882352944</c:v>
                </c:pt>
                <c:pt idx="390">
                  <c:v>0.55882352941176472</c:v>
                </c:pt>
                <c:pt idx="391">
                  <c:v>0.63636363636363635</c:v>
                </c:pt>
                <c:pt idx="392">
                  <c:v>0.52777777777777779</c:v>
                </c:pt>
                <c:pt idx="393">
                  <c:v>0.5757575757575758</c:v>
                </c:pt>
                <c:pt idx="394">
                  <c:v>0.5714285714285714</c:v>
                </c:pt>
                <c:pt idx="395">
                  <c:v>0.47222222222222221</c:v>
                </c:pt>
                <c:pt idx="396">
                  <c:v>0.54285714285714282</c:v>
                </c:pt>
                <c:pt idx="397">
                  <c:v>0.58333333333333337</c:v>
                </c:pt>
                <c:pt idx="398">
                  <c:v>0.52777777777777779</c:v>
                </c:pt>
                <c:pt idx="399">
                  <c:v>0.52777777777777779</c:v>
                </c:pt>
                <c:pt idx="400">
                  <c:v>0.52941176470588236</c:v>
                </c:pt>
                <c:pt idx="401">
                  <c:v>0.5714285714285714</c:v>
                </c:pt>
                <c:pt idx="402">
                  <c:v>0.45714285714285713</c:v>
                </c:pt>
                <c:pt idx="403">
                  <c:v>0.38235294117647056</c:v>
                </c:pt>
                <c:pt idx="404">
                  <c:v>0.3888888888888889</c:v>
                </c:pt>
                <c:pt idx="405">
                  <c:v>0.61111111111111116</c:v>
                </c:pt>
                <c:pt idx="406">
                  <c:v>0.55555555555555558</c:v>
                </c:pt>
                <c:pt idx="407">
                  <c:v>0.61111111111111116</c:v>
                </c:pt>
                <c:pt idx="408">
                  <c:v>0.41176470588235292</c:v>
                </c:pt>
                <c:pt idx="409">
                  <c:v>0.37142857142857144</c:v>
                </c:pt>
                <c:pt idx="410">
                  <c:v>0.62857142857142856</c:v>
                </c:pt>
                <c:pt idx="411">
                  <c:v>0.47058823529411764</c:v>
                </c:pt>
                <c:pt idx="412">
                  <c:v>0.44117647058823528</c:v>
                </c:pt>
                <c:pt idx="413">
                  <c:v>0.45714285714285713</c:v>
                </c:pt>
                <c:pt idx="414">
                  <c:v>0.47222222222222221</c:v>
                </c:pt>
                <c:pt idx="415">
                  <c:v>0.5714285714285714</c:v>
                </c:pt>
                <c:pt idx="416">
                  <c:v>0.52777777777777779</c:v>
                </c:pt>
                <c:pt idx="417">
                  <c:v>0.44444444444444442</c:v>
                </c:pt>
                <c:pt idx="418">
                  <c:v>0.45714285714285713</c:v>
                </c:pt>
                <c:pt idx="419">
                  <c:v>0.41176470588235292</c:v>
                </c:pt>
                <c:pt idx="420">
                  <c:v>0.3235294117647059</c:v>
                </c:pt>
                <c:pt idx="421">
                  <c:v>0.44117647058823528</c:v>
                </c:pt>
                <c:pt idx="422">
                  <c:v>0.48571428571428571</c:v>
                </c:pt>
                <c:pt idx="423">
                  <c:v>0.55555555555555558</c:v>
                </c:pt>
                <c:pt idx="424">
                  <c:v>0.47222222222222221</c:v>
                </c:pt>
                <c:pt idx="425">
                  <c:v>0.51428571428571423</c:v>
                </c:pt>
                <c:pt idx="426">
                  <c:v>0.54285714285714282</c:v>
                </c:pt>
                <c:pt idx="427">
                  <c:v>0.48571428571428571</c:v>
                </c:pt>
                <c:pt idx="428">
                  <c:v>0.45454545454545453</c:v>
                </c:pt>
                <c:pt idx="429">
                  <c:v>0.5</c:v>
                </c:pt>
                <c:pt idx="430">
                  <c:v>0.52777777777777779</c:v>
                </c:pt>
                <c:pt idx="431">
                  <c:v>0.41176470588235292</c:v>
                </c:pt>
                <c:pt idx="432">
                  <c:v>0.61764705882352944</c:v>
                </c:pt>
                <c:pt idx="433">
                  <c:v>0.47222222222222221</c:v>
                </c:pt>
                <c:pt idx="434">
                  <c:v>0.3235294117647059</c:v>
                </c:pt>
                <c:pt idx="435">
                  <c:v>0.45714285714285713</c:v>
                </c:pt>
                <c:pt idx="436">
                  <c:v>0.48571428571428571</c:v>
                </c:pt>
                <c:pt idx="437">
                  <c:v>0.44444444444444442</c:v>
                </c:pt>
                <c:pt idx="438">
                  <c:v>0.44444444444444442</c:v>
                </c:pt>
                <c:pt idx="439">
                  <c:v>0.42857142857142855</c:v>
                </c:pt>
                <c:pt idx="440">
                  <c:v>0.42857142857142855</c:v>
                </c:pt>
                <c:pt idx="441">
                  <c:v>0.3888888888888889</c:v>
                </c:pt>
                <c:pt idx="442">
                  <c:v>0.48571428571428571</c:v>
                </c:pt>
                <c:pt idx="443">
                  <c:v>0.61111111111111116</c:v>
                </c:pt>
                <c:pt idx="444">
                  <c:v>0.41666666666666669</c:v>
                </c:pt>
                <c:pt idx="445">
                  <c:v>0.47222222222222221</c:v>
                </c:pt>
                <c:pt idx="446">
                  <c:v>0.54285714285714282</c:v>
                </c:pt>
                <c:pt idx="447">
                  <c:v>0.5</c:v>
                </c:pt>
                <c:pt idx="448">
                  <c:v>0.42857142857142855</c:v>
                </c:pt>
                <c:pt idx="449">
                  <c:v>0.44444444444444442</c:v>
                </c:pt>
                <c:pt idx="450">
                  <c:v>0.5</c:v>
                </c:pt>
                <c:pt idx="451">
                  <c:v>0.3611111111111111</c:v>
                </c:pt>
                <c:pt idx="452">
                  <c:v>0.47222222222222221</c:v>
                </c:pt>
                <c:pt idx="453">
                  <c:v>0.33333333333333331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'BBP complete'!$Y$2</c:f>
              <c:strCache>
                <c:ptCount val="1"/>
                <c:pt idx="0">
                  <c:v>NAUAUBONDS</c:v>
                </c:pt>
              </c:strCache>
            </c:strRef>
          </c:tx>
          <c:xVal>
            <c:numRef>
              <c:f>'BBP complete'!$M$665:$M$1118</c:f>
              <c:numCache>
                <c:formatCode>0.0000</c:formatCode>
                <c:ptCount val="454"/>
                <c:pt idx="0">
                  <c:v>-1.8192431538445817</c:v>
                </c:pt>
                <c:pt idx="1">
                  <c:v>-1.6112081538449274</c:v>
                </c:pt>
                <c:pt idx="2">
                  <c:v>-1.5798151538456295</c:v>
                </c:pt>
                <c:pt idx="3">
                  <c:v>-1.5655051538451517</c:v>
                </c:pt>
                <c:pt idx="4">
                  <c:v>-1.5437191538458137</c:v>
                </c:pt>
                <c:pt idx="5">
                  <c:v>-1.5426781538444629</c:v>
                </c:pt>
                <c:pt idx="6">
                  <c:v>-1.5303901538445643</c:v>
                </c:pt>
                <c:pt idx="7">
                  <c:v>-1.5279581538452476</c:v>
                </c:pt>
                <c:pt idx="8">
                  <c:v>-1.5077561538455484</c:v>
                </c:pt>
                <c:pt idx="9">
                  <c:v>-1.4748431538446312</c:v>
                </c:pt>
                <c:pt idx="10">
                  <c:v>-1.454881153846145</c:v>
                </c:pt>
                <c:pt idx="11">
                  <c:v>-1.4404641538458236</c:v>
                </c:pt>
                <c:pt idx="12">
                  <c:v>-1.4366851538452465</c:v>
                </c:pt>
                <c:pt idx="13">
                  <c:v>-1.4348701538456226</c:v>
                </c:pt>
                <c:pt idx="14">
                  <c:v>-1.4302621538445237</c:v>
                </c:pt>
                <c:pt idx="15">
                  <c:v>-1.4298631538458721</c:v>
                </c:pt>
                <c:pt idx="16">
                  <c:v>-1.4295861538448662</c:v>
                </c:pt>
                <c:pt idx="17">
                  <c:v>-1.4291121538444713</c:v>
                </c:pt>
                <c:pt idx="18">
                  <c:v>-1.42446615384506</c:v>
                </c:pt>
                <c:pt idx="19">
                  <c:v>-1.4179331538452971</c:v>
                </c:pt>
                <c:pt idx="20">
                  <c:v>-1.4176821538458171</c:v>
                </c:pt>
                <c:pt idx="21">
                  <c:v>-1.4167441538447747</c:v>
                </c:pt>
                <c:pt idx="22">
                  <c:v>-1.4166081538460276</c:v>
                </c:pt>
                <c:pt idx="23">
                  <c:v>-1.4156081538458238</c:v>
                </c:pt>
                <c:pt idx="24">
                  <c:v>-1.4137191538447951</c:v>
                </c:pt>
                <c:pt idx="25">
                  <c:v>-1.406044153845869</c:v>
                </c:pt>
                <c:pt idx="26">
                  <c:v>-1.4050131538460846</c:v>
                </c:pt>
                <c:pt idx="27">
                  <c:v>-1.4014791538447753</c:v>
                </c:pt>
                <c:pt idx="28">
                  <c:v>-1.3958951538461406</c:v>
                </c:pt>
                <c:pt idx="29">
                  <c:v>-1.3756491538460978</c:v>
                </c:pt>
                <c:pt idx="30">
                  <c:v>-1.3714621538456413</c:v>
                </c:pt>
                <c:pt idx="31">
                  <c:v>-1.3684781538449897</c:v>
                </c:pt>
                <c:pt idx="32">
                  <c:v>-1.3637071538450982</c:v>
                </c:pt>
                <c:pt idx="33">
                  <c:v>-1.3609221538445126</c:v>
                </c:pt>
                <c:pt idx="34">
                  <c:v>-1.3536741538446222</c:v>
                </c:pt>
                <c:pt idx="35">
                  <c:v>-1.3513441538452753</c:v>
                </c:pt>
                <c:pt idx="36">
                  <c:v>-1.3487981538455642</c:v>
                </c:pt>
                <c:pt idx="37">
                  <c:v>-1.3453861538455385</c:v>
                </c:pt>
                <c:pt idx="38">
                  <c:v>-1.3415261538448249</c:v>
                </c:pt>
                <c:pt idx="39">
                  <c:v>-1.3369121538453328</c:v>
                </c:pt>
                <c:pt idx="40">
                  <c:v>-1.3356671538458613</c:v>
                </c:pt>
                <c:pt idx="41">
                  <c:v>-1.3260981538460328</c:v>
                </c:pt>
                <c:pt idx="42">
                  <c:v>-1.3255581538451224</c:v>
                </c:pt>
                <c:pt idx="43">
                  <c:v>-1.3241001538444834</c:v>
                </c:pt>
                <c:pt idx="44">
                  <c:v>-1.3233341538452805</c:v>
                </c:pt>
                <c:pt idx="45">
                  <c:v>-1.3226181538448145</c:v>
                </c:pt>
                <c:pt idx="46">
                  <c:v>-1.320391153845776</c:v>
                </c:pt>
                <c:pt idx="47">
                  <c:v>-1.3176501538455341</c:v>
                </c:pt>
                <c:pt idx="48">
                  <c:v>-1.3173131538460439</c:v>
                </c:pt>
                <c:pt idx="49">
                  <c:v>-1.315513153846041</c:v>
                </c:pt>
                <c:pt idx="50">
                  <c:v>-1.3151271538445144</c:v>
                </c:pt>
                <c:pt idx="51">
                  <c:v>-1.3132461538461939</c:v>
                </c:pt>
                <c:pt idx="52">
                  <c:v>-1.3096921538453898</c:v>
                </c:pt>
                <c:pt idx="53">
                  <c:v>-1.3054631538452668</c:v>
                </c:pt>
                <c:pt idx="54">
                  <c:v>-1.3042841538444918</c:v>
                </c:pt>
                <c:pt idx="55">
                  <c:v>-1.3022451538454334</c:v>
                </c:pt>
                <c:pt idx="56">
                  <c:v>-1.3011021538459318</c:v>
                </c:pt>
                <c:pt idx="57">
                  <c:v>-1.2993691538449639</c:v>
                </c:pt>
                <c:pt idx="58">
                  <c:v>-1.2993431538452569</c:v>
                </c:pt>
                <c:pt idx="59">
                  <c:v>-1.2972951538449706</c:v>
                </c:pt>
                <c:pt idx="60">
                  <c:v>-1.2964521538451663</c:v>
                </c:pt>
                <c:pt idx="61">
                  <c:v>-1.2934771538457426</c:v>
                </c:pt>
                <c:pt idx="62">
                  <c:v>-1.293277153845338</c:v>
                </c:pt>
                <c:pt idx="63">
                  <c:v>-1.2932611538453784</c:v>
                </c:pt>
                <c:pt idx="64">
                  <c:v>-1.2865491538450442</c:v>
                </c:pt>
                <c:pt idx="65">
                  <c:v>-1.2827321538461547</c:v>
                </c:pt>
                <c:pt idx="66">
                  <c:v>-1.2819801538462343</c:v>
                </c:pt>
                <c:pt idx="67">
                  <c:v>-1.277360153844711</c:v>
                </c:pt>
                <c:pt idx="68">
                  <c:v>-1.2763061538462352</c:v>
                </c:pt>
                <c:pt idx="69">
                  <c:v>-1.275982153845689</c:v>
                </c:pt>
                <c:pt idx="70">
                  <c:v>-1.2755601538447081</c:v>
                </c:pt>
                <c:pt idx="71">
                  <c:v>-1.274788153845293</c:v>
                </c:pt>
                <c:pt idx="72">
                  <c:v>-1.2728771538459114</c:v>
                </c:pt>
                <c:pt idx="73">
                  <c:v>-1.2711331538448576</c:v>
                </c:pt>
                <c:pt idx="74">
                  <c:v>-1.2686411538452376</c:v>
                </c:pt>
                <c:pt idx="75">
                  <c:v>-1.2676201538452005</c:v>
                </c:pt>
                <c:pt idx="76">
                  <c:v>-1.2669541538452904</c:v>
                </c:pt>
                <c:pt idx="77">
                  <c:v>-1.2652451538451714</c:v>
                </c:pt>
                <c:pt idx="78">
                  <c:v>-1.2649461538458127</c:v>
                </c:pt>
                <c:pt idx="79">
                  <c:v>-1.2624821538447577</c:v>
                </c:pt>
                <c:pt idx="80">
                  <c:v>-1.2546491538450937</c:v>
                </c:pt>
                <c:pt idx="81">
                  <c:v>-1.2488351538449933</c:v>
                </c:pt>
                <c:pt idx="82">
                  <c:v>-1.2481851538450428</c:v>
                </c:pt>
                <c:pt idx="83">
                  <c:v>-1.2473091538449808</c:v>
                </c:pt>
                <c:pt idx="84">
                  <c:v>-1.2445941538462648</c:v>
                </c:pt>
                <c:pt idx="85">
                  <c:v>-1.2432191538446205</c:v>
                </c:pt>
                <c:pt idx="86">
                  <c:v>-1.2425201538462716</c:v>
                </c:pt>
                <c:pt idx="87">
                  <c:v>-1.2421461538451695</c:v>
                </c:pt>
                <c:pt idx="88">
                  <c:v>-1.2334101538453979</c:v>
                </c:pt>
                <c:pt idx="89">
                  <c:v>-1.2321441538460931</c:v>
                </c:pt>
                <c:pt idx="90">
                  <c:v>-1.2280361538450961</c:v>
                </c:pt>
                <c:pt idx="91">
                  <c:v>-1.2211591538452922</c:v>
                </c:pt>
                <c:pt idx="92">
                  <c:v>-1.2209021538456</c:v>
                </c:pt>
                <c:pt idx="93">
                  <c:v>-1.2203291538462508</c:v>
                </c:pt>
                <c:pt idx="94">
                  <c:v>-1.2202451538450987</c:v>
                </c:pt>
                <c:pt idx="95">
                  <c:v>-1.2193641538451629</c:v>
                </c:pt>
                <c:pt idx="96">
                  <c:v>-1.2171571538456192</c:v>
                </c:pt>
                <c:pt idx="97">
                  <c:v>-1.2167481538454012</c:v>
                </c:pt>
                <c:pt idx="98">
                  <c:v>-1.2139391538457858</c:v>
                </c:pt>
                <c:pt idx="99">
                  <c:v>-1.2114541538448975</c:v>
                </c:pt>
                <c:pt idx="100">
                  <c:v>-1.2110981538462511</c:v>
                </c:pt>
                <c:pt idx="101">
                  <c:v>-1.2106171538453054</c:v>
                </c:pt>
                <c:pt idx="102">
                  <c:v>-1.2105011538460531</c:v>
                </c:pt>
                <c:pt idx="103">
                  <c:v>-1.2069311538452894</c:v>
                </c:pt>
                <c:pt idx="104">
                  <c:v>-1.2008541538452846</c:v>
                </c:pt>
                <c:pt idx="105">
                  <c:v>-1.1981701538461493</c:v>
                </c:pt>
                <c:pt idx="106">
                  <c:v>-1.1978141538456839</c:v>
                </c:pt>
                <c:pt idx="107">
                  <c:v>-1.1973281538448646</c:v>
                </c:pt>
                <c:pt idx="108">
                  <c:v>-1.1966901538453385</c:v>
                </c:pt>
                <c:pt idx="109">
                  <c:v>-1.1955461538454983</c:v>
                </c:pt>
                <c:pt idx="110">
                  <c:v>-1.195140153844477</c:v>
                </c:pt>
                <c:pt idx="111">
                  <c:v>-1.1945211538459262</c:v>
                </c:pt>
                <c:pt idx="112">
                  <c:v>-1.1924161538445333</c:v>
                </c:pt>
                <c:pt idx="113">
                  <c:v>-1.1912551538462139</c:v>
                </c:pt>
                <c:pt idx="114">
                  <c:v>-1.1895451538457564</c:v>
                </c:pt>
                <c:pt idx="115">
                  <c:v>-1.1891621538452455</c:v>
                </c:pt>
                <c:pt idx="116">
                  <c:v>-1.1880431538447738</c:v>
                </c:pt>
                <c:pt idx="117">
                  <c:v>-1.1830911538454529</c:v>
                </c:pt>
                <c:pt idx="118">
                  <c:v>-1.1817981538461027</c:v>
                </c:pt>
                <c:pt idx="119">
                  <c:v>-1.1816701538446068</c:v>
                </c:pt>
                <c:pt idx="120">
                  <c:v>-1.1812321538454853</c:v>
                </c:pt>
                <c:pt idx="121">
                  <c:v>-1.1809001538458688</c:v>
                </c:pt>
                <c:pt idx="122">
                  <c:v>-1.1806221538445243</c:v>
                </c:pt>
                <c:pt idx="123">
                  <c:v>-1.1803721538453829</c:v>
                </c:pt>
                <c:pt idx="124">
                  <c:v>-1.1795161538448156</c:v>
                </c:pt>
                <c:pt idx="125">
                  <c:v>-1.1794591538455279</c:v>
                </c:pt>
                <c:pt idx="126">
                  <c:v>-1.1789611538461031</c:v>
                </c:pt>
                <c:pt idx="127">
                  <c:v>-1.178494153846259</c:v>
                </c:pt>
                <c:pt idx="128">
                  <c:v>-1.1779541538453486</c:v>
                </c:pt>
                <c:pt idx="129">
                  <c:v>-1.1772791538460297</c:v>
                </c:pt>
                <c:pt idx="130">
                  <c:v>-1.1766941538462561</c:v>
                </c:pt>
                <c:pt idx="131">
                  <c:v>-1.1746791538462276</c:v>
                </c:pt>
                <c:pt idx="132">
                  <c:v>-1.1738721538458776</c:v>
                </c:pt>
                <c:pt idx="133">
                  <c:v>-1.1725071538457996</c:v>
                </c:pt>
                <c:pt idx="134">
                  <c:v>-1.1689051538451167</c:v>
                </c:pt>
                <c:pt idx="135">
                  <c:v>-1.1688241538449802</c:v>
                </c:pt>
                <c:pt idx="136">
                  <c:v>-1.1677921538448572</c:v>
                </c:pt>
                <c:pt idx="137">
                  <c:v>-1.1663381538455724</c:v>
                </c:pt>
                <c:pt idx="138">
                  <c:v>-1.166023153846254</c:v>
                </c:pt>
                <c:pt idx="139">
                  <c:v>-1.1654151538459701</c:v>
                </c:pt>
                <c:pt idx="140">
                  <c:v>-1.1636251538457145</c:v>
                </c:pt>
                <c:pt idx="141">
                  <c:v>-1.1631321538461634</c:v>
                </c:pt>
                <c:pt idx="142">
                  <c:v>-1.161980153845434</c:v>
                </c:pt>
                <c:pt idx="143">
                  <c:v>-1.1616461538451404</c:v>
                </c:pt>
                <c:pt idx="144">
                  <c:v>-1.1529111538457073</c:v>
                </c:pt>
                <c:pt idx="145">
                  <c:v>-1.1522991538458882</c:v>
                </c:pt>
                <c:pt idx="146">
                  <c:v>-1.151313153844967</c:v>
                </c:pt>
                <c:pt idx="147">
                  <c:v>-1.1483361538448662</c:v>
                </c:pt>
                <c:pt idx="148">
                  <c:v>-1.1477411538453453</c:v>
                </c:pt>
                <c:pt idx="149">
                  <c:v>-1.1475181538462493</c:v>
                </c:pt>
                <c:pt idx="150">
                  <c:v>-1.1470271538455563</c:v>
                </c:pt>
                <c:pt idx="151">
                  <c:v>-1.1462071538462624</c:v>
                </c:pt>
                <c:pt idx="152">
                  <c:v>-1.1452711538458971</c:v>
                </c:pt>
                <c:pt idx="153">
                  <c:v>-1.1437601538455056</c:v>
                </c:pt>
                <c:pt idx="154">
                  <c:v>-1.1429831538462167</c:v>
                </c:pt>
                <c:pt idx="155">
                  <c:v>-1.1425381538447255</c:v>
                </c:pt>
                <c:pt idx="156">
                  <c:v>-1.1422371538446896</c:v>
                </c:pt>
                <c:pt idx="157">
                  <c:v>-1.1413421538454713</c:v>
                </c:pt>
                <c:pt idx="158">
                  <c:v>-1.1411341538459965</c:v>
                </c:pt>
                <c:pt idx="159">
                  <c:v>-1.1404291538456164</c:v>
                </c:pt>
                <c:pt idx="160">
                  <c:v>-1.1401581538448227</c:v>
                </c:pt>
                <c:pt idx="161">
                  <c:v>-1.1394571538457967</c:v>
                </c:pt>
                <c:pt idx="162">
                  <c:v>-1.1370171538455907</c:v>
                </c:pt>
                <c:pt idx="163">
                  <c:v>-1.1365061538454029</c:v>
                </c:pt>
                <c:pt idx="164">
                  <c:v>-1.1364091538453067</c:v>
                </c:pt>
                <c:pt idx="165">
                  <c:v>-1.1362521538449073</c:v>
                </c:pt>
                <c:pt idx="166">
                  <c:v>-1.1341301538450352</c:v>
                </c:pt>
                <c:pt idx="167">
                  <c:v>-1.1333721538449026</c:v>
                </c:pt>
                <c:pt idx="168">
                  <c:v>-1.1320261538457999</c:v>
                </c:pt>
                <c:pt idx="169">
                  <c:v>-1.1317151538460166</c:v>
                </c:pt>
                <c:pt idx="170">
                  <c:v>-1.130916153844737</c:v>
                </c:pt>
                <c:pt idx="171">
                  <c:v>-1.1303911538452667</c:v>
                </c:pt>
                <c:pt idx="172">
                  <c:v>-1.1261491538461996</c:v>
                </c:pt>
                <c:pt idx="173">
                  <c:v>-1.1255041538461228</c:v>
                </c:pt>
                <c:pt idx="174">
                  <c:v>-1.1253421538458497</c:v>
                </c:pt>
                <c:pt idx="175">
                  <c:v>-1.1247931538455305</c:v>
                </c:pt>
                <c:pt idx="176">
                  <c:v>-1.1226801538450673</c:v>
                </c:pt>
                <c:pt idx="177">
                  <c:v>-1.1221901538447128</c:v>
                </c:pt>
                <c:pt idx="178">
                  <c:v>-1.1205531538453215</c:v>
                </c:pt>
                <c:pt idx="179">
                  <c:v>-1.116591153844638</c:v>
                </c:pt>
                <c:pt idx="180">
                  <c:v>-1.1155111538446363</c:v>
                </c:pt>
                <c:pt idx="181">
                  <c:v>-1.1141431538453617</c:v>
                </c:pt>
                <c:pt idx="182">
                  <c:v>-1.1126041538445861</c:v>
                </c:pt>
                <c:pt idx="183">
                  <c:v>-1.1125941538448387</c:v>
                </c:pt>
                <c:pt idx="184">
                  <c:v>-1.112509153845167</c:v>
                </c:pt>
                <c:pt idx="185">
                  <c:v>-1.1094131538447982</c:v>
                </c:pt>
                <c:pt idx="186">
                  <c:v>-1.1089601538460556</c:v>
                </c:pt>
                <c:pt idx="187">
                  <c:v>-1.1086291538449586</c:v>
                </c:pt>
                <c:pt idx="188">
                  <c:v>-1.1076931538445933</c:v>
                </c:pt>
                <c:pt idx="189">
                  <c:v>-1.1068591538460169</c:v>
                </c:pt>
                <c:pt idx="190">
                  <c:v>-1.1065271538445813</c:v>
                </c:pt>
                <c:pt idx="191">
                  <c:v>-1.1064641538450815</c:v>
                </c:pt>
                <c:pt idx="192">
                  <c:v>-1.1054281538454234</c:v>
                </c:pt>
                <c:pt idx="193">
                  <c:v>-1.1015121538457606</c:v>
                </c:pt>
                <c:pt idx="194">
                  <c:v>-1.0983911538460234</c:v>
                </c:pt>
                <c:pt idx="195">
                  <c:v>-1.0980681538458157</c:v>
                </c:pt>
                <c:pt idx="196">
                  <c:v>-1.0972971538449201</c:v>
                </c:pt>
                <c:pt idx="197">
                  <c:v>-1.0947941538452142</c:v>
                </c:pt>
                <c:pt idx="198">
                  <c:v>-1.0943091538447334</c:v>
                </c:pt>
                <c:pt idx="199">
                  <c:v>-1.0900611538454541</c:v>
                </c:pt>
                <c:pt idx="200">
                  <c:v>-1.0872131538453687</c:v>
                </c:pt>
                <c:pt idx="201">
                  <c:v>-1.0856681538461999</c:v>
                </c:pt>
                <c:pt idx="202">
                  <c:v>-1.0854381538447342</c:v>
                </c:pt>
                <c:pt idx="203">
                  <c:v>-1.0833241538457514</c:v>
                </c:pt>
                <c:pt idx="204">
                  <c:v>-1.0818431538446021</c:v>
                </c:pt>
                <c:pt idx="205">
                  <c:v>-1.0817211538451375</c:v>
                </c:pt>
                <c:pt idx="206">
                  <c:v>-1.0816621538451727</c:v>
                </c:pt>
                <c:pt idx="207">
                  <c:v>-1.0812011538455408</c:v>
                </c:pt>
                <c:pt idx="208">
                  <c:v>-1.0805481538445747</c:v>
                </c:pt>
                <c:pt idx="209">
                  <c:v>-1.080370153846161</c:v>
                </c:pt>
                <c:pt idx="210">
                  <c:v>-1.0801811538458423</c:v>
                </c:pt>
                <c:pt idx="211">
                  <c:v>-1.0788001538458047</c:v>
                </c:pt>
                <c:pt idx="212">
                  <c:v>-1.0766261538446997</c:v>
                </c:pt>
                <c:pt idx="213">
                  <c:v>-1.0752441538461426</c:v>
                </c:pt>
                <c:pt idx="214">
                  <c:v>-1.0745771538458939</c:v>
                </c:pt>
                <c:pt idx="215">
                  <c:v>-1.0720271538448287</c:v>
                </c:pt>
                <c:pt idx="216">
                  <c:v>-1.0685231538445805</c:v>
                </c:pt>
                <c:pt idx="217">
                  <c:v>-1.0654991538449394</c:v>
                </c:pt>
                <c:pt idx="218">
                  <c:v>-1.0642011538457155</c:v>
                </c:pt>
                <c:pt idx="219">
                  <c:v>-1.0634901538451231</c:v>
                </c:pt>
                <c:pt idx="220">
                  <c:v>-1.0632081538460625</c:v>
                </c:pt>
                <c:pt idx="221">
                  <c:v>-1.0583871538456151</c:v>
                </c:pt>
                <c:pt idx="222">
                  <c:v>-1.0578521538445784</c:v>
                </c:pt>
                <c:pt idx="223">
                  <c:v>-1.0572261538454768</c:v>
                </c:pt>
                <c:pt idx="224">
                  <c:v>-1.0563361538461322</c:v>
                </c:pt>
                <c:pt idx="225">
                  <c:v>-1.0539901538450067</c:v>
                </c:pt>
                <c:pt idx="226">
                  <c:v>-1.0529091538446664</c:v>
                </c:pt>
                <c:pt idx="227">
                  <c:v>-1.0524221538453276</c:v>
                </c:pt>
                <c:pt idx="228">
                  <c:v>-1.0512121538449719</c:v>
                </c:pt>
                <c:pt idx="229">
                  <c:v>-1.047450153844693</c:v>
                </c:pt>
                <c:pt idx="230">
                  <c:v>-1.0451931538445933</c:v>
                </c:pt>
                <c:pt idx="231">
                  <c:v>-1.0448331538445927</c:v>
                </c:pt>
                <c:pt idx="232">
                  <c:v>-1.0435041538457881</c:v>
                </c:pt>
                <c:pt idx="233">
                  <c:v>-1.0430701538462017</c:v>
                </c:pt>
                <c:pt idx="234">
                  <c:v>-1.0427051538445085</c:v>
                </c:pt>
                <c:pt idx="235">
                  <c:v>-1.0383461538458505</c:v>
                </c:pt>
                <c:pt idx="236">
                  <c:v>-1.0380851538448042</c:v>
                </c:pt>
                <c:pt idx="237">
                  <c:v>-1.0374761538460007</c:v>
                </c:pt>
                <c:pt idx="238">
                  <c:v>-1.0347591538447887</c:v>
                </c:pt>
                <c:pt idx="239">
                  <c:v>-1.0325601538461342</c:v>
                </c:pt>
                <c:pt idx="240">
                  <c:v>-1.0322061538445269</c:v>
                </c:pt>
                <c:pt idx="241">
                  <c:v>-1.031269153845642</c:v>
                </c:pt>
                <c:pt idx="242">
                  <c:v>-1.0312371538457228</c:v>
                </c:pt>
                <c:pt idx="243">
                  <c:v>-1.0300921538455441</c:v>
                </c:pt>
                <c:pt idx="244">
                  <c:v>-1.0278211538461619</c:v>
                </c:pt>
                <c:pt idx="245">
                  <c:v>-1.025530153845466</c:v>
                </c:pt>
                <c:pt idx="246">
                  <c:v>-1.0226591538448702</c:v>
                </c:pt>
                <c:pt idx="247">
                  <c:v>-1.0222531538456678</c:v>
                </c:pt>
                <c:pt idx="248">
                  <c:v>-1.0221301538458647</c:v>
                </c:pt>
                <c:pt idx="249">
                  <c:v>-1.0173361538454628</c:v>
                </c:pt>
                <c:pt idx="250">
                  <c:v>-1.0171961538453616</c:v>
                </c:pt>
                <c:pt idx="251">
                  <c:v>-1.0163011538461433</c:v>
                </c:pt>
                <c:pt idx="252">
                  <c:v>-1.0144421538461756</c:v>
                </c:pt>
                <c:pt idx="253">
                  <c:v>-1.0140061538459122</c:v>
                </c:pt>
                <c:pt idx="254">
                  <c:v>-1.0139141538456897</c:v>
                </c:pt>
                <c:pt idx="255">
                  <c:v>-1.0119741538455855</c:v>
                </c:pt>
                <c:pt idx="256">
                  <c:v>-1.0084691538449988</c:v>
                </c:pt>
                <c:pt idx="257">
                  <c:v>-1.0066361538447381</c:v>
                </c:pt>
                <c:pt idx="258">
                  <c:v>-1.0032351538447983</c:v>
                </c:pt>
                <c:pt idx="259">
                  <c:v>-1.001875153844594</c:v>
                </c:pt>
                <c:pt idx="260">
                  <c:v>-1.0017701538454276</c:v>
                </c:pt>
                <c:pt idx="261">
                  <c:v>-1.0007141538444557</c:v>
                </c:pt>
                <c:pt idx="262">
                  <c:v>-0.99927915384614607</c:v>
                </c:pt>
                <c:pt idx="263">
                  <c:v>-0.99914915384579217</c:v>
                </c:pt>
                <c:pt idx="264">
                  <c:v>-0.99873315384502348</c:v>
                </c:pt>
                <c:pt idx="265">
                  <c:v>-0.99835815384540183</c:v>
                </c:pt>
                <c:pt idx="266">
                  <c:v>-0.99735915384553664</c:v>
                </c:pt>
                <c:pt idx="267">
                  <c:v>-0.99404215384493</c:v>
                </c:pt>
                <c:pt idx="268">
                  <c:v>-0.99318715384470124</c:v>
                </c:pt>
                <c:pt idx="269">
                  <c:v>-0.99182015384576516</c:v>
                </c:pt>
                <c:pt idx="270">
                  <c:v>-0.99086415384590509</c:v>
                </c:pt>
                <c:pt idx="271">
                  <c:v>-0.99071515384457598</c:v>
                </c:pt>
                <c:pt idx="272">
                  <c:v>-0.98745515384507598</c:v>
                </c:pt>
                <c:pt idx="273">
                  <c:v>-0.98326915384495805</c:v>
                </c:pt>
                <c:pt idx="274">
                  <c:v>-0.98279315384570509</c:v>
                </c:pt>
                <c:pt idx="275">
                  <c:v>-0.98194315384535003</c:v>
                </c:pt>
                <c:pt idx="276">
                  <c:v>-0.9806251538448123</c:v>
                </c:pt>
                <c:pt idx="277">
                  <c:v>-0.9805031538453477</c:v>
                </c:pt>
                <c:pt idx="278">
                  <c:v>-0.97993915384540742</c:v>
                </c:pt>
                <c:pt idx="279">
                  <c:v>-0.97800915384505061</c:v>
                </c:pt>
                <c:pt idx="280">
                  <c:v>-0.97617715384512849</c:v>
                </c:pt>
                <c:pt idx="281">
                  <c:v>-0.97601015384498169</c:v>
                </c:pt>
                <c:pt idx="282">
                  <c:v>-0.97212315384604153</c:v>
                </c:pt>
                <c:pt idx="283">
                  <c:v>-0.97163115384500998</c:v>
                </c:pt>
                <c:pt idx="284">
                  <c:v>-0.97067615384548844</c:v>
                </c:pt>
                <c:pt idx="285">
                  <c:v>-0.96998415384587133</c:v>
                </c:pt>
                <c:pt idx="286">
                  <c:v>-0.96687015384486585</c:v>
                </c:pt>
                <c:pt idx="287">
                  <c:v>-0.96262215384558658</c:v>
                </c:pt>
                <c:pt idx="288">
                  <c:v>-0.95911215384512616</c:v>
                </c:pt>
                <c:pt idx="289">
                  <c:v>-0.95858115384544362</c:v>
                </c:pt>
                <c:pt idx="290">
                  <c:v>-0.95755415384519438</c:v>
                </c:pt>
                <c:pt idx="291">
                  <c:v>-0.95750115384544188</c:v>
                </c:pt>
                <c:pt idx="292">
                  <c:v>-0.95645315384535934</c:v>
                </c:pt>
                <c:pt idx="293">
                  <c:v>-0.95496715384615527</c:v>
                </c:pt>
                <c:pt idx="294">
                  <c:v>-0.95474015384570521</c:v>
                </c:pt>
                <c:pt idx="295">
                  <c:v>-0.95395715384620416</c:v>
                </c:pt>
                <c:pt idx="296">
                  <c:v>-0.95169415384589229</c:v>
                </c:pt>
                <c:pt idx="297">
                  <c:v>-0.95115815384451707</c:v>
                </c:pt>
                <c:pt idx="298">
                  <c:v>-0.95087615384545643</c:v>
                </c:pt>
                <c:pt idx="299">
                  <c:v>-0.94911915384545864</c:v>
                </c:pt>
                <c:pt idx="300">
                  <c:v>-0.94811115384618461</c:v>
                </c:pt>
                <c:pt idx="301">
                  <c:v>-0.94477215384540614</c:v>
                </c:pt>
                <c:pt idx="302">
                  <c:v>-0.94367415384476772</c:v>
                </c:pt>
                <c:pt idx="303">
                  <c:v>-0.94194515384515398</c:v>
                </c:pt>
                <c:pt idx="304">
                  <c:v>-0.94184615384619974</c:v>
                </c:pt>
                <c:pt idx="305">
                  <c:v>-0.9417681538452598</c:v>
                </c:pt>
                <c:pt idx="306">
                  <c:v>-0.94163915384524444</c:v>
                </c:pt>
                <c:pt idx="307">
                  <c:v>-0.93889415384546737</c:v>
                </c:pt>
                <c:pt idx="308">
                  <c:v>-0.93886215384554816</c:v>
                </c:pt>
                <c:pt idx="309">
                  <c:v>-0.9376281538461626</c:v>
                </c:pt>
                <c:pt idx="310">
                  <c:v>-0.93650915384569089</c:v>
                </c:pt>
                <c:pt idx="311">
                  <c:v>-0.93595715384617506</c:v>
                </c:pt>
                <c:pt idx="312">
                  <c:v>-0.93582515384514409</c:v>
                </c:pt>
                <c:pt idx="313">
                  <c:v>-0.93505715384526411</c:v>
                </c:pt>
                <c:pt idx="314">
                  <c:v>-0.9332041538455087</c:v>
                </c:pt>
                <c:pt idx="315">
                  <c:v>-0.93220515384564351</c:v>
                </c:pt>
                <c:pt idx="316">
                  <c:v>-0.93211115384474397</c:v>
                </c:pt>
                <c:pt idx="317">
                  <c:v>-0.93182415384580963</c:v>
                </c:pt>
                <c:pt idx="318">
                  <c:v>-0.93027915384482185</c:v>
                </c:pt>
                <c:pt idx="319">
                  <c:v>-0.92933515384538623</c:v>
                </c:pt>
                <c:pt idx="320">
                  <c:v>-0.92893815384559275</c:v>
                </c:pt>
                <c:pt idx="321">
                  <c:v>-0.92804915384476772</c:v>
                </c:pt>
                <c:pt idx="322">
                  <c:v>-0.92804115384569741</c:v>
                </c:pt>
                <c:pt idx="323">
                  <c:v>-0.92537215384618321</c:v>
                </c:pt>
                <c:pt idx="324">
                  <c:v>-0.92411415384594875</c:v>
                </c:pt>
                <c:pt idx="325">
                  <c:v>-0.92311215384506795</c:v>
                </c:pt>
                <c:pt idx="326">
                  <c:v>-0.92202315384565736</c:v>
                </c:pt>
                <c:pt idx="327">
                  <c:v>-0.92073615384470031</c:v>
                </c:pt>
                <c:pt idx="328">
                  <c:v>-0.92030015384625585</c:v>
                </c:pt>
                <c:pt idx="329">
                  <c:v>-0.91994415384579042</c:v>
                </c:pt>
                <c:pt idx="330">
                  <c:v>-0.9196651538459264</c:v>
                </c:pt>
                <c:pt idx="331">
                  <c:v>-0.91946815384471847</c:v>
                </c:pt>
                <c:pt idx="332">
                  <c:v>-0.91628115384446573</c:v>
                </c:pt>
                <c:pt idx="333">
                  <c:v>-0.91510415384618682</c:v>
                </c:pt>
                <c:pt idx="334">
                  <c:v>-0.91500215384621697</c:v>
                </c:pt>
                <c:pt idx="335">
                  <c:v>-0.9135741538448201</c:v>
                </c:pt>
                <c:pt idx="336">
                  <c:v>-0.91182015384583792</c:v>
                </c:pt>
                <c:pt idx="337">
                  <c:v>-0.91178415384456457</c:v>
                </c:pt>
                <c:pt idx="338">
                  <c:v>-0.91156415384466527</c:v>
                </c:pt>
                <c:pt idx="339">
                  <c:v>-0.91099315384599322</c:v>
                </c:pt>
                <c:pt idx="340">
                  <c:v>-0.90895115384591918</c:v>
                </c:pt>
                <c:pt idx="341">
                  <c:v>-0.9049811538461654</c:v>
                </c:pt>
                <c:pt idx="342">
                  <c:v>-0.90338615384462173</c:v>
                </c:pt>
                <c:pt idx="343">
                  <c:v>-0.90302715384495968</c:v>
                </c:pt>
                <c:pt idx="344">
                  <c:v>-0.90102815384489077</c:v>
                </c:pt>
                <c:pt idx="345">
                  <c:v>-0.89805615384466364</c:v>
                </c:pt>
                <c:pt idx="346">
                  <c:v>-0.89634315384500951</c:v>
                </c:pt>
                <c:pt idx="347">
                  <c:v>-0.8962581538453378</c:v>
                </c:pt>
                <c:pt idx="348">
                  <c:v>-0.89603615384476143</c:v>
                </c:pt>
                <c:pt idx="349">
                  <c:v>-0.89511815384503279</c:v>
                </c:pt>
                <c:pt idx="350">
                  <c:v>-0.8937771538458037</c:v>
                </c:pt>
                <c:pt idx="351">
                  <c:v>-0.89292615384511009</c:v>
                </c:pt>
                <c:pt idx="352">
                  <c:v>-0.89285315384586283</c:v>
                </c:pt>
                <c:pt idx="353">
                  <c:v>-0.88940015384469007</c:v>
                </c:pt>
                <c:pt idx="354">
                  <c:v>-0.88911515384461381</c:v>
                </c:pt>
                <c:pt idx="355">
                  <c:v>-0.88806215384465759</c:v>
                </c:pt>
                <c:pt idx="356">
                  <c:v>-0.8838561538450449</c:v>
                </c:pt>
                <c:pt idx="357">
                  <c:v>-0.88036915384509484</c:v>
                </c:pt>
                <c:pt idx="358">
                  <c:v>-0.87969315384543734</c:v>
                </c:pt>
                <c:pt idx="359">
                  <c:v>-0.87896515384454688</c:v>
                </c:pt>
                <c:pt idx="360">
                  <c:v>-0.87810815384546004</c:v>
                </c:pt>
                <c:pt idx="361">
                  <c:v>-0.87719715384446317</c:v>
                </c:pt>
                <c:pt idx="362">
                  <c:v>-0.87351515384580125</c:v>
                </c:pt>
                <c:pt idx="363">
                  <c:v>-0.87274815384625981</c:v>
                </c:pt>
                <c:pt idx="364">
                  <c:v>-0.8710541538457619</c:v>
                </c:pt>
                <c:pt idx="365">
                  <c:v>-0.86929615384542558</c:v>
                </c:pt>
                <c:pt idx="366">
                  <c:v>-0.86551415384565189</c:v>
                </c:pt>
                <c:pt idx="367">
                  <c:v>-0.86468315384627203</c:v>
                </c:pt>
                <c:pt idx="368">
                  <c:v>-0.86455615384511475</c:v>
                </c:pt>
                <c:pt idx="369">
                  <c:v>-0.86374915384476481</c:v>
                </c:pt>
                <c:pt idx="370">
                  <c:v>-0.8609421538458264</c:v>
                </c:pt>
                <c:pt idx="371">
                  <c:v>-0.85761215384445677</c:v>
                </c:pt>
                <c:pt idx="372">
                  <c:v>-0.854040153844835</c:v>
                </c:pt>
                <c:pt idx="373">
                  <c:v>-0.85363615384449076</c:v>
                </c:pt>
                <c:pt idx="374">
                  <c:v>-0.851946153845347</c:v>
                </c:pt>
                <c:pt idx="375">
                  <c:v>-0.85063115384582488</c:v>
                </c:pt>
                <c:pt idx="376">
                  <c:v>-0.84428715384456154</c:v>
                </c:pt>
                <c:pt idx="377">
                  <c:v>-0.84100515384488972</c:v>
                </c:pt>
                <c:pt idx="378">
                  <c:v>-0.83436115384574805</c:v>
                </c:pt>
                <c:pt idx="379">
                  <c:v>-0.83432915384582884</c:v>
                </c:pt>
                <c:pt idx="380">
                  <c:v>-0.83423615384526784</c:v>
                </c:pt>
                <c:pt idx="381">
                  <c:v>-0.83201115384508739</c:v>
                </c:pt>
                <c:pt idx="382">
                  <c:v>-0.83150415384625376</c:v>
                </c:pt>
                <c:pt idx="383">
                  <c:v>-0.83000115384493256</c:v>
                </c:pt>
                <c:pt idx="384">
                  <c:v>-0.82370715384604409</c:v>
                </c:pt>
                <c:pt idx="385">
                  <c:v>-0.82236115384512232</c:v>
                </c:pt>
                <c:pt idx="386">
                  <c:v>-0.81651915384463791</c:v>
                </c:pt>
                <c:pt idx="387">
                  <c:v>-0.81644815384606773</c:v>
                </c:pt>
                <c:pt idx="388">
                  <c:v>-0.81486115384541336</c:v>
                </c:pt>
                <c:pt idx="389">
                  <c:v>-0.81485215384600451</c:v>
                </c:pt>
                <c:pt idx="390">
                  <c:v>-0.81482915384549415</c:v>
                </c:pt>
                <c:pt idx="391">
                  <c:v>-0.80897715384526236</c:v>
                </c:pt>
                <c:pt idx="392">
                  <c:v>-0.80840415384591324</c:v>
                </c:pt>
                <c:pt idx="393">
                  <c:v>-0.80524615384456411</c:v>
                </c:pt>
                <c:pt idx="394">
                  <c:v>-0.80501415384605934</c:v>
                </c:pt>
                <c:pt idx="395">
                  <c:v>-0.80212215384563024</c:v>
                </c:pt>
                <c:pt idx="396">
                  <c:v>-0.80184115384508914</c:v>
                </c:pt>
                <c:pt idx="397">
                  <c:v>-0.80115515384568425</c:v>
                </c:pt>
                <c:pt idx="398">
                  <c:v>-0.79962715384499461</c:v>
                </c:pt>
                <c:pt idx="399">
                  <c:v>-0.79902115384538774</c:v>
                </c:pt>
                <c:pt idx="400">
                  <c:v>-0.79670215384612675</c:v>
                </c:pt>
                <c:pt idx="401">
                  <c:v>-0.79354115384558099</c:v>
                </c:pt>
                <c:pt idx="402">
                  <c:v>-0.78815515384485479</c:v>
                </c:pt>
                <c:pt idx="403">
                  <c:v>-0.78333715384542302</c:v>
                </c:pt>
                <c:pt idx="404">
                  <c:v>-0.78003215384524083</c:v>
                </c:pt>
                <c:pt idx="405">
                  <c:v>-0.77800715384546493</c:v>
                </c:pt>
                <c:pt idx="406">
                  <c:v>-0.77707315384577669</c:v>
                </c:pt>
                <c:pt idx="407">
                  <c:v>-0.77574515384549159</c:v>
                </c:pt>
                <c:pt idx="408">
                  <c:v>-0.77507415384570777</c:v>
                </c:pt>
                <c:pt idx="409">
                  <c:v>-0.76945015384626458</c:v>
                </c:pt>
                <c:pt idx="410">
                  <c:v>-0.7647561538451555</c:v>
                </c:pt>
                <c:pt idx="411">
                  <c:v>-0.75916715384482814</c:v>
                </c:pt>
                <c:pt idx="412">
                  <c:v>-0.75408015384527971</c:v>
                </c:pt>
                <c:pt idx="413">
                  <c:v>-0.75118315384497691</c:v>
                </c:pt>
                <c:pt idx="414">
                  <c:v>-0.74943115384485282</c:v>
                </c:pt>
                <c:pt idx="415">
                  <c:v>-0.7489511538460647</c:v>
                </c:pt>
                <c:pt idx="416">
                  <c:v>-0.74653415384455002</c:v>
                </c:pt>
                <c:pt idx="417">
                  <c:v>-0.74540615384466946</c:v>
                </c:pt>
                <c:pt idx="418">
                  <c:v>-0.74195215384497715</c:v>
                </c:pt>
                <c:pt idx="419">
                  <c:v>-0.73651315384449845</c:v>
                </c:pt>
                <c:pt idx="420">
                  <c:v>-0.73284815384613466</c:v>
                </c:pt>
                <c:pt idx="421">
                  <c:v>-0.72147715384562616</c:v>
                </c:pt>
                <c:pt idx="422">
                  <c:v>-0.7158961538461881</c:v>
                </c:pt>
                <c:pt idx="423">
                  <c:v>-0.71272815384509158</c:v>
                </c:pt>
                <c:pt idx="424">
                  <c:v>-0.71075315384587157</c:v>
                </c:pt>
                <c:pt idx="425">
                  <c:v>-0.70532215384446317</c:v>
                </c:pt>
                <c:pt idx="426">
                  <c:v>-0.70104915384581545</c:v>
                </c:pt>
                <c:pt idx="427">
                  <c:v>-0.69641515384500963</c:v>
                </c:pt>
                <c:pt idx="428">
                  <c:v>-0.69465215384479961</c:v>
                </c:pt>
                <c:pt idx="429">
                  <c:v>-0.69438115384582488</c:v>
                </c:pt>
                <c:pt idx="430">
                  <c:v>-0.68177315384491521</c:v>
                </c:pt>
                <c:pt idx="431">
                  <c:v>-0.67369815384518006</c:v>
                </c:pt>
                <c:pt idx="432">
                  <c:v>-0.67180515384461614</c:v>
                </c:pt>
                <c:pt idx="433">
                  <c:v>-0.67045415384563967</c:v>
                </c:pt>
                <c:pt idx="434">
                  <c:v>-0.65865615384609555</c:v>
                </c:pt>
                <c:pt idx="435">
                  <c:v>-0.65818915384625143</c:v>
                </c:pt>
                <c:pt idx="436">
                  <c:v>-0.65808915384513966</c:v>
                </c:pt>
                <c:pt idx="437">
                  <c:v>-0.64896115384544828</c:v>
                </c:pt>
                <c:pt idx="438">
                  <c:v>-0.64730115384554665</c:v>
                </c:pt>
                <c:pt idx="439">
                  <c:v>-0.64517215384512383</c:v>
                </c:pt>
                <c:pt idx="440">
                  <c:v>-0.62385315384563</c:v>
                </c:pt>
                <c:pt idx="441">
                  <c:v>-0.61833815384488844</c:v>
                </c:pt>
                <c:pt idx="442">
                  <c:v>-0.61691515384518425</c:v>
                </c:pt>
                <c:pt idx="443">
                  <c:v>-0.6149921538453782</c:v>
                </c:pt>
                <c:pt idx="444">
                  <c:v>-0.60749815384588146</c:v>
                </c:pt>
                <c:pt idx="445">
                  <c:v>-0.60508115384618577</c:v>
                </c:pt>
                <c:pt idx="446">
                  <c:v>-0.58542815384498681</c:v>
                </c:pt>
                <c:pt idx="447">
                  <c:v>-0.57268315384499147</c:v>
                </c:pt>
                <c:pt idx="448">
                  <c:v>-0.53589215384454292</c:v>
                </c:pt>
                <c:pt idx="449">
                  <c:v>-0.46530115384484816</c:v>
                </c:pt>
                <c:pt idx="450">
                  <c:v>-0.46320915384603722</c:v>
                </c:pt>
                <c:pt idx="451">
                  <c:v>-0.36382715384570474</c:v>
                </c:pt>
                <c:pt idx="452">
                  <c:v>-0.30441815384619986</c:v>
                </c:pt>
                <c:pt idx="453">
                  <c:v>-0.2852371538447187</c:v>
                </c:pt>
              </c:numCache>
            </c:numRef>
          </c:xVal>
          <c:yVal>
            <c:numRef>
              <c:f>'BBP complete'!$Z$665:$Z$1118</c:f>
              <c:numCache>
                <c:formatCode>0.0000</c:formatCode>
                <c:ptCount val="454"/>
                <c:pt idx="0">
                  <c:v>0.31428571428571428</c:v>
                </c:pt>
                <c:pt idx="1">
                  <c:v>0.2857142857142857</c:v>
                </c:pt>
                <c:pt idx="2">
                  <c:v>0.23529411764705882</c:v>
                </c:pt>
                <c:pt idx="3">
                  <c:v>0.22857142857142856</c:v>
                </c:pt>
                <c:pt idx="4">
                  <c:v>0.22222222222222221</c:v>
                </c:pt>
                <c:pt idx="5">
                  <c:v>0.28125</c:v>
                </c:pt>
                <c:pt idx="6">
                  <c:v>0.22857142857142856</c:v>
                </c:pt>
                <c:pt idx="7">
                  <c:v>0.31428571428571428</c:v>
                </c:pt>
                <c:pt idx="8">
                  <c:v>0.26470588235294118</c:v>
                </c:pt>
                <c:pt idx="9">
                  <c:v>0.26470588235294118</c:v>
                </c:pt>
                <c:pt idx="10">
                  <c:v>0.22857142857142856</c:v>
                </c:pt>
                <c:pt idx="11">
                  <c:v>0.19444444444444445</c:v>
                </c:pt>
                <c:pt idx="12">
                  <c:v>0.26470588235294118</c:v>
                </c:pt>
                <c:pt idx="13">
                  <c:v>0.23529411764705882</c:v>
                </c:pt>
                <c:pt idx="14">
                  <c:v>0.25714285714285712</c:v>
                </c:pt>
                <c:pt idx="15">
                  <c:v>0.3235294117647059</c:v>
                </c:pt>
                <c:pt idx="16">
                  <c:v>0.22222222222222221</c:v>
                </c:pt>
                <c:pt idx="17">
                  <c:v>0.29411764705882354</c:v>
                </c:pt>
                <c:pt idx="18">
                  <c:v>0.23529411764705882</c:v>
                </c:pt>
                <c:pt idx="19">
                  <c:v>0.25714285714285712</c:v>
                </c:pt>
                <c:pt idx="20">
                  <c:v>0.23529411764705882</c:v>
                </c:pt>
                <c:pt idx="21">
                  <c:v>0.22857142857142856</c:v>
                </c:pt>
                <c:pt idx="22">
                  <c:v>0.22222222222222221</c:v>
                </c:pt>
                <c:pt idx="23">
                  <c:v>0.19444444444444445</c:v>
                </c:pt>
                <c:pt idx="24">
                  <c:v>0.21212121212121213</c:v>
                </c:pt>
                <c:pt idx="25">
                  <c:v>0.23529411764705882</c:v>
                </c:pt>
                <c:pt idx="26">
                  <c:v>0.26470588235294118</c:v>
                </c:pt>
                <c:pt idx="27">
                  <c:v>0.20588235294117646</c:v>
                </c:pt>
                <c:pt idx="28">
                  <c:v>0.23529411764705882</c:v>
                </c:pt>
                <c:pt idx="29">
                  <c:v>0.23529411764705882</c:v>
                </c:pt>
                <c:pt idx="30">
                  <c:v>0.29411764705882354</c:v>
                </c:pt>
                <c:pt idx="31">
                  <c:v>0.23529411764705882</c:v>
                </c:pt>
                <c:pt idx="32">
                  <c:v>0.25</c:v>
                </c:pt>
                <c:pt idx="33">
                  <c:v>0.23529411764705882</c:v>
                </c:pt>
                <c:pt idx="34">
                  <c:v>0.23529411764705882</c:v>
                </c:pt>
                <c:pt idx="35">
                  <c:v>0.24242424242424243</c:v>
                </c:pt>
                <c:pt idx="36">
                  <c:v>0.22222222222222221</c:v>
                </c:pt>
                <c:pt idx="37">
                  <c:v>0.31428571428571428</c:v>
                </c:pt>
                <c:pt idx="38">
                  <c:v>0.14705882352941177</c:v>
                </c:pt>
                <c:pt idx="39">
                  <c:v>0.2857142857142857</c:v>
                </c:pt>
                <c:pt idx="40">
                  <c:v>0.20588235294117646</c:v>
                </c:pt>
                <c:pt idx="41">
                  <c:v>0.22857142857142856</c:v>
                </c:pt>
                <c:pt idx="42">
                  <c:v>0.31428571428571428</c:v>
                </c:pt>
                <c:pt idx="43">
                  <c:v>0.23529411764705882</c:v>
                </c:pt>
                <c:pt idx="44">
                  <c:v>0.23529411764705882</c:v>
                </c:pt>
                <c:pt idx="45">
                  <c:v>0.22857142857142856</c:v>
                </c:pt>
                <c:pt idx="46">
                  <c:v>0.27272727272727271</c:v>
                </c:pt>
                <c:pt idx="47">
                  <c:v>0.2</c:v>
                </c:pt>
                <c:pt idx="48">
                  <c:v>0.1875</c:v>
                </c:pt>
                <c:pt idx="49">
                  <c:v>0.26470588235294118</c:v>
                </c:pt>
                <c:pt idx="50">
                  <c:v>0.20588235294117646</c:v>
                </c:pt>
                <c:pt idx="51">
                  <c:v>0.3235294117647059</c:v>
                </c:pt>
                <c:pt idx="52">
                  <c:v>0.29411764705882354</c:v>
                </c:pt>
                <c:pt idx="53">
                  <c:v>0.29411764705882354</c:v>
                </c:pt>
                <c:pt idx="54">
                  <c:v>0.3235294117647059</c:v>
                </c:pt>
                <c:pt idx="55">
                  <c:v>0.25714285714285712</c:v>
                </c:pt>
                <c:pt idx="56">
                  <c:v>0.23529411764705882</c:v>
                </c:pt>
                <c:pt idx="57">
                  <c:v>0.24242424242424243</c:v>
                </c:pt>
                <c:pt idx="58">
                  <c:v>0.20588235294117646</c:v>
                </c:pt>
                <c:pt idx="59">
                  <c:v>0.22857142857142856</c:v>
                </c:pt>
                <c:pt idx="60">
                  <c:v>0.29411764705882354</c:v>
                </c:pt>
                <c:pt idx="61">
                  <c:v>0.23529411764705882</c:v>
                </c:pt>
                <c:pt idx="62">
                  <c:v>0.26470588235294118</c:v>
                </c:pt>
                <c:pt idx="63">
                  <c:v>0.22222222222222221</c:v>
                </c:pt>
                <c:pt idx="64">
                  <c:v>0.28125</c:v>
                </c:pt>
                <c:pt idx="65">
                  <c:v>0.20588235294117646</c:v>
                </c:pt>
                <c:pt idx="66">
                  <c:v>0.20588235294117646</c:v>
                </c:pt>
                <c:pt idx="67">
                  <c:v>0.29411764705882354</c:v>
                </c:pt>
                <c:pt idx="68">
                  <c:v>0.22857142857142856</c:v>
                </c:pt>
                <c:pt idx="69">
                  <c:v>0.23529411764705882</c:v>
                </c:pt>
                <c:pt idx="70">
                  <c:v>0.25</c:v>
                </c:pt>
                <c:pt idx="71">
                  <c:v>0.26470588235294118</c:v>
                </c:pt>
                <c:pt idx="72">
                  <c:v>0.2</c:v>
                </c:pt>
                <c:pt idx="73">
                  <c:v>0.20588235294117646</c:v>
                </c:pt>
                <c:pt idx="74">
                  <c:v>0.2</c:v>
                </c:pt>
                <c:pt idx="75">
                  <c:v>0.22222222222222221</c:v>
                </c:pt>
                <c:pt idx="76">
                  <c:v>0.26470588235294118</c:v>
                </c:pt>
                <c:pt idx="77">
                  <c:v>0.22857142857142856</c:v>
                </c:pt>
                <c:pt idx="78">
                  <c:v>0.25</c:v>
                </c:pt>
                <c:pt idx="79">
                  <c:v>0.17142857142857143</c:v>
                </c:pt>
                <c:pt idx="80">
                  <c:v>0.22857142857142856</c:v>
                </c:pt>
                <c:pt idx="81">
                  <c:v>0.35294117647058826</c:v>
                </c:pt>
                <c:pt idx="82">
                  <c:v>0.22222222222222221</c:v>
                </c:pt>
                <c:pt idx="83">
                  <c:v>0.18181818181818182</c:v>
                </c:pt>
                <c:pt idx="84">
                  <c:v>0.22857142857142856</c:v>
                </c:pt>
                <c:pt idx="85">
                  <c:v>0.21212121212121213</c:v>
                </c:pt>
                <c:pt idx="86">
                  <c:v>0.23529411764705882</c:v>
                </c:pt>
                <c:pt idx="87">
                  <c:v>0.24242424242424243</c:v>
                </c:pt>
                <c:pt idx="88">
                  <c:v>0.29411764705882354</c:v>
                </c:pt>
                <c:pt idx="89">
                  <c:v>0.23529411764705882</c:v>
                </c:pt>
                <c:pt idx="90">
                  <c:v>0.17647058823529413</c:v>
                </c:pt>
                <c:pt idx="91">
                  <c:v>0.3125</c:v>
                </c:pt>
                <c:pt idx="92">
                  <c:v>0.2857142857142857</c:v>
                </c:pt>
                <c:pt idx="93">
                  <c:v>0.23529411764705882</c:v>
                </c:pt>
                <c:pt idx="94">
                  <c:v>0.21875</c:v>
                </c:pt>
                <c:pt idx="95">
                  <c:v>0.23529411764705882</c:v>
                </c:pt>
                <c:pt idx="96">
                  <c:v>0.23529411764705882</c:v>
                </c:pt>
                <c:pt idx="97">
                  <c:v>0.26470588235294118</c:v>
                </c:pt>
                <c:pt idx="98">
                  <c:v>0.21212121212121213</c:v>
                </c:pt>
                <c:pt idx="99">
                  <c:v>0.22222222222222221</c:v>
                </c:pt>
                <c:pt idx="100">
                  <c:v>0.22857142857142856</c:v>
                </c:pt>
                <c:pt idx="101">
                  <c:v>0.31428571428571428</c:v>
                </c:pt>
                <c:pt idx="102">
                  <c:v>0.27777777777777779</c:v>
                </c:pt>
                <c:pt idx="103">
                  <c:v>0.16666666666666666</c:v>
                </c:pt>
                <c:pt idx="104">
                  <c:v>0.25</c:v>
                </c:pt>
                <c:pt idx="105">
                  <c:v>0.2</c:v>
                </c:pt>
                <c:pt idx="106">
                  <c:v>0.29411764705882354</c:v>
                </c:pt>
                <c:pt idx="107">
                  <c:v>0.3235294117647059</c:v>
                </c:pt>
                <c:pt idx="108">
                  <c:v>0.23529411764705882</c:v>
                </c:pt>
                <c:pt idx="109">
                  <c:v>0.17647058823529413</c:v>
                </c:pt>
                <c:pt idx="110">
                  <c:v>0.17142857142857143</c:v>
                </c:pt>
                <c:pt idx="111">
                  <c:v>0.22857142857142856</c:v>
                </c:pt>
                <c:pt idx="112">
                  <c:v>0.20588235294117646</c:v>
                </c:pt>
                <c:pt idx="113">
                  <c:v>0.25714285714285712</c:v>
                </c:pt>
                <c:pt idx="114">
                  <c:v>0.22222222222222221</c:v>
                </c:pt>
                <c:pt idx="115">
                  <c:v>0.23529411764705882</c:v>
                </c:pt>
                <c:pt idx="116">
                  <c:v>0.26470588235294118</c:v>
                </c:pt>
                <c:pt idx="117">
                  <c:v>0.17142857142857143</c:v>
                </c:pt>
                <c:pt idx="118">
                  <c:v>0.26470588235294118</c:v>
                </c:pt>
                <c:pt idx="119">
                  <c:v>0.22222222222222221</c:v>
                </c:pt>
                <c:pt idx="120">
                  <c:v>0.29411764705882354</c:v>
                </c:pt>
                <c:pt idx="121">
                  <c:v>0.2857142857142857</c:v>
                </c:pt>
                <c:pt idx="122">
                  <c:v>0.22222222222222221</c:v>
                </c:pt>
                <c:pt idx="123">
                  <c:v>0.34285714285714286</c:v>
                </c:pt>
                <c:pt idx="124">
                  <c:v>0.3235294117647059</c:v>
                </c:pt>
                <c:pt idx="125">
                  <c:v>0.29411764705882354</c:v>
                </c:pt>
                <c:pt idx="126">
                  <c:v>0.23529411764705882</c:v>
                </c:pt>
                <c:pt idx="127">
                  <c:v>0.2</c:v>
                </c:pt>
                <c:pt idx="128">
                  <c:v>0.22857142857142856</c:v>
                </c:pt>
                <c:pt idx="129">
                  <c:v>0.23529411764705882</c:v>
                </c:pt>
                <c:pt idx="130">
                  <c:v>0.20588235294117646</c:v>
                </c:pt>
                <c:pt idx="131">
                  <c:v>0.19444444444444445</c:v>
                </c:pt>
                <c:pt idx="132">
                  <c:v>0.26470588235294118</c:v>
                </c:pt>
                <c:pt idx="133">
                  <c:v>0.17647058823529413</c:v>
                </c:pt>
                <c:pt idx="134">
                  <c:v>0.22857142857142856</c:v>
                </c:pt>
                <c:pt idx="135">
                  <c:v>0.25714285714285712</c:v>
                </c:pt>
                <c:pt idx="136">
                  <c:v>0.23529411764705882</c:v>
                </c:pt>
                <c:pt idx="137">
                  <c:v>0.2</c:v>
                </c:pt>
                <c:pt idx="138">
                  <c:v>0.2857142857142857</c:v>
                </c:pt>
                <c:pt idx="139">
                  <c:v>0.23529411764705882</c:v>
                </c:pt>
                <c:pt idx="140">
                  <c:v>0.26470588235294118</c:v>
                </c:pt>
                <c:pt idx="141">
                  <c:v>0.2</c:v>
                </c:pt>
                <c:pt idx="142">
                  <c:v>0.23529411764705882</c:v>
                </c:pt>
                <c:pt idx="143">
                  <c:v>0.2</c:v>
                </c:pt>
                <c:pt idx="144">
                  <c:v>0.29411764705882354</c:v>
                </c:pt>
                <c:pt idx="145">
                  <c:v>0.2</c:v>
                </c:pt>
                <c:pt idx="146">
                  <c:v>0.25</c:v>
                </c:pt>
                <c:pt idx="147">
                  <c:v>0.23529411764705882</c:v>
                </c:pt>
                <c:pt idx="148">
                  <c:v>0.22857142857142856</c:v>
                </c:pt>
                <c:pt idx="149">
                  <c:v>0.20588235294117646</c:v>
                </c:pt>
                <c:pt idx="150">
                  <c:v>0.23529411764705882</c:v>
                </c:pt>
                <c:pt idx="151">
                  <c:v>0.29411764705882354</c:v>
                </c:pt>
                <c:pt idx="152">
                  <c:v>0.17647058823529413</c:v>
                </c:pt>
                <c:pt idx="153">
                  <c:v>0.17142857142857143</c:v>
                </c:pt>
                <c:pt idx="154">
                  <c:v>0.26470588235294118</c:v>
                </c:pt>
                <c:pt idx="155">
                  <c:v>0.3235294117647059</c:v>
                </c:pt>
                <c:pt idx="156">
                  <c:v>0.22857142857142856</c:v>
                </c:pt>
                <c:pt idx="157">
                  <c:v>0.21875</c:v>
                </c:pt>
                <c:pt idx="158">
                  <c:v>0.19444444444444445</c:v>
                </c:pt>
                <c:pt idx="159">
                  <c:v>0.20588235294117646</c:v>
                </c:pt>
                <c:pt idx="160">
                  <c:v>0.2</c:v>
                </c:pt>
                <c:pt idx="161">
                  <c:v>0.23529411764705882</c:v>
                </c:pt>
                <c:pt idx="162">
                  <c:v>0.2</c:v>
                </c:pt>
                <c:pt idx="163">
                  <c:v>0.26470588235294118</c:v>
                </c:pt>
                <c:pt idx="164">
                  <c:v>0.25</c:v>
                </c:pt>
                <c:pt idx="165">
                  <c:v>0.23529411764705882</c:v>
                </c:pt>
                <c:pt idx="166">
                  <c:v>0.25714285714285712</c:v>
                </c:pt>
                <c:pt idx="167">
                  <c:v>0.3235294117647059</c:v>
                </c:pt>
                <c:pt idx="168">
                  <c:v>0.22857142857142856</c:v>
                </c:pt>
                <c:pt idx="169">
                  <c:v>0.25</c:v>
                </c:pt>
                <c:pt idx="170">
                  <c:v>0.20588235294117646</c:v>
                </c:pt>
                <c:pt idx="171">
                  <c:v>0.23529411764705882</c:v>
                </c:pt>
                <c:pt idx="172">
                  <c:v>0.22857142857142856</c:v>
                </c:pt>
                <c:pt idx="173">
                  <c:v>0.23529411764705882</c:v>
                </c:pt>
                <c:pt idx="174">
                  <c:v>0.23529411764705882</c:v>
                </c:pt>
                <c:pt idx="175">
                  <c:v>0.35294117647058826</c:v>
                </c:pt>
                <c:pt idx="176">
                  <c:v>0.35294117647058826</c:v>
                </c:pt>
                <c:pt idx="177">
                  <c:v>0.2</c:v>
                </c:pt>
                <c:pt idx="178">
                  <c:v>0.23529411764705882</c:v>
                </c:pt>
                <c:pt idx="179">
                  <c:v>0.26470588235294118</c:v>
                </c:pt>
                <c:pt idx="180">
                  <c:v>0.2</c:v>
                </c:pt>
                <c:pt idx="181">
                  <c:v>0.16666666666666666</c:v>
                </c:pt>
                <c:pt idx="182">
                  <c:v>0.22222222222222221</c:v>
                </c:pt>
                <c:pt idx="183">
                  <c:v>0.26470588235294118</c:v>
                </c:pt>
                <c:pt idx="184">
                  <c:v>0.29411764705882354</c:v>
                </c:pt>
                <c:pt idx="185">
                  <c:v>0.29411764705882354</c:v>
                </c:pt>
                <c:pt idx="186">
                  <c:v>0.29411764705882354</c:v>
                </c:pt>
                <c:pt idx="187">
                  <c:v>0.23529411764705882</c:v>
                </c:pt>
                <c:pt idx="188">
                  <c:v>0.3235294117647059</c:v>
                </c:pt>
                <c:pt idx="189">
                  <c:v>0.20588235294117646</c:v>
                </c:pt>
                <c:pt idx="190">
                  <c:v>0.27272727272727271</c:v>
                </c:pt>
                <c:pt idx="191">
                  <c:v>0.29411764705882354</c:v>
                </c:pt>
                <c:pt idx="192">
                  <c:v>0.2857142857142857</c:v>
                </c:pt>
                <c:pt idx="193">
                  <c:v>0.26470588235294118</c:v>
                </c:pt>
                <c:pt idx="194">
                  <c:v>0.2</c:v>
                </c:pt>
                <c:pt idx="195">
                  <c:v>0.25714285714285712</c:v>
                </c:pt>
                <c:pt idx="196">
                  <c:v>0.19444444444444445</c:v>
                </c:pt>
                <c:pt idx="197">
                  <c:v>0.2</c:v>
                </c:pt>
                <c:pt idx="198">
                  <c:v>0.26470588235294118</c:v>
                </c:pt>
                <c:pt idx="199">
                  <c:v>0.22857142857142856</c:v>
                </c:pt>
                <c:pt idx="200">
                  <c:v>0.17142857142857143</c:v>
                </c:pt>
                <c:pt idx="201">
                  <c:v>0.20588235294117646</c:v>
                </c:pt>
                <c:pt idx="202">
                  <c:v>0.2857142857142857</c:v>
                </c:pt>
                <c:pt idx="203">
                  <c:v>0.20588235294117646</c:v>
                </c:pt>
                <c:pt idx="204">
                  <c:v>0.23529411764705882</c:v>
                </c:pt>
                <c:pt idx="205">
                  <c:v>0.26470588235294118</c:v>
                </c:pt>
                <c:pt idx="206">
                  <c:v>0.29411764705882354</c:v>
                </c:pt>
                <c:pt idx="207">
                  <c:v>0.2</c:v>
                </c:pt>
                <c:pt idx="208">
                  <c:v>0.22857142857142856</c:v>
                </c:pt>
                <c:pt idx="209">
                  <c:v>0.3235294117647059</c:v>
                </c:pt>
                <c:pt idx="210">
                  <c:v>0.22857142857142856</c:v>
                </c:pt>
                <c:pt idx="211">
                  <c:v>0.21875</c:v>
                </c:pt>
                <c:pt idx="212">
                  <c:v>0.30303030303030304</c:v>
                </c:pt>
                <c:pt idx="213">
                  <c:v>0.23529411764705882</c:v>
                </c:pt>
                <c:pt idx="214">
                  <c:v>0.22222222222222221</c:v>
                </c:pt>
                <c:pt idx="215">
                  <c:v>0.22857142857142856</c:v>
                </c:pt>
                <c:pt idx="216">
                  <c:v>0.26470588235294118</c:v>
                </c:pt>
                <c:pt idx="217">
                  <c:v>0.20588235294117646</c:v>
                </c:pt>
                <c:pt idx="218">
                  <c:v>0.2</c:v>
                </c:pt>
                <c:pt idx="219">
                  <c:v>0.25</c:v>
                </c:pt>
                <c:pt idx="220">
                  <c:v>0.2857142857142857</c:v>
                </c:pt>
                <c:pt idx="221">
                  <c:v>0.22222222222222221</c:v>
                </c:pt>
                <c:pt idx="222">
                  <c:v>0.23529411764705882</c:v>
                </c:pt>
                <c:pt idx="223">
                  <c:v>0.14285714285714285</c:v>
                </c:pt>
                <c:pt idx="224">
                  <c:v>0.22222222222222221</c:v>
                </c:pt>
                <c:pt idx="225">
                  <c:v>0.22857142857142856</c:v>
                </c:pt>
                <c:pt idx="226">
                  <c:v>0.3611111111111111</c:v>
                </c:pt>
                <c:pt idx="227">
                  <c:v>0.17142857142857143</c:v>
                </c:pt>
                <c:pt idx="228">
                  <c:v>0.26470588235294118</c:v>
                </c:pt>
                <c:pt idx="229">
                  <c:v>0.22857142857142856</c:v>
                </c:pt>
                <c:pt idx="230">
                  <c:v>0.31428571428571428</c:v>
                </c:pt>
                <c:pt idx="231">
                  <c:v>0.23529411764705882</c:v>
                </c:pt>
                <c:pt idx="232">
                  <c:v>0.20588235294117646</c:v>
                </c:pt>
                <c:pt idx="233">
                  <c:v>0.23529411764705882</c:v>
                </c:pt>
                <c:pt idx="234">
                  <c:v>0.19444444444444445</c:v>
                </c:pt>
                <c:pt idx="235">
                  <c:v>0.17142857142857143</c:v>
                </c:pt>
                <c:pt idx="236">
                  <c:v>0.25</c:v>
                </c:pt>
                <c:pt idx="237">
                  <c:v>0.23529411764705882</c:v>
                </c:pt>
                <c:pt idx="238">
                  <c:v>0.17647058823529413</c:v>
                </c:pt>
                <c:pt idx="239">
                  <c:v>0.22857142857142856</c:v>
                </c:pt>
                <c:pt idx="240">
                  <c:v>0.20588235294117646</c:v>
                </c:pt>
                <c:pt idx="241">
                  <c:v>0.19444444444444445</c:v>
                </c:pt>
                <c:pt idx="242">
                  <c:v>0.19444444444444445</c:v>
                </c:pt>
                <c:pt idx="243">
                  <c:v>0.27272727272727271</c:v>
                </c:pt>
                <c:pt idx="244">
                  <c:v>0.3235294117647059</c:v>
                </c:pt>
                <c:pt idx="245">
                  <c:v>0.26470588235294118</c:v>
                </c:pt>
                <c:pt idx="246">
                  <c:v>0.2</c:v>
                </c:pt>
                <c:pt idx="247">
                  <c:v>0.29411764705882354</c:v>
                </c:pt>
                <c:pt idx="248">
                  <c:v>0.24242424242424243</c:v>
                </c:pt>
                <c:pt idx="249">
                  <c:v>0.23529411764705882</c:v>
                </c:pt>
                <c:pt idx="250">
                  <c:v>0.22222222222222221</c:v>
                </c:pt>
                <c:pt idx="251">
                  <c:v>0.20588235294117646</c:v>
                </c:pt>
                <c:pt idx="252">
                  <c:v>0.19444444444444445</c:v>
                </c:pt>
                <c:pt idx="253">
                  <c:v>0.22857142857142856</c:v>
                </c:pt>
                <c:pt idx="254">
                  <c:v>0.3235294117647059</c:v>
                </c:pt>
                <c:pt idx="255">
                  <c:v>0.30303030303030304</c:v>
                </c:pt>
                <c:pt idx="256">
                  <c:v>0.23529411764705882</c:v>
                </c:pt>
                <c:pt idx="257">
                  <c:v>0.29411764705882354</c:v>
                </c:pt>
                <c:pt idx="258">
                  <c:v>0.3235294117647059</c:v>
                </c:pt>
                <c:pt idx="259">
                  <c:v>0.28125</c:v>
                </c:pt>
                <c:pt idx="260">
                  <c:v>0.26470588235294118</c:v>
                </c:pt>
                <c:pt idx="261">
                  <c:v>0.25</c:v>
                </c:pt>
                <c:pt idx="262">
                  <c:v>0.16666666666666666</c:v>
                </c:pt>
                <c:pt idx="263">
                  <c:v>0.25</c:v>
                </c:pt>
                <c:pt idx="264">
                  <c:v>0.31428571428571428</c:v>
                </c:pt>
                <c:pt idx="265">
                  <c:v>0.23529411764705882</c:v>
                </c:pt>
                <c:pt idx="266">
                  <c:v>0.25714285714285712</c:v>
                </c:pt>
                <c:pt idx="267">
                  <c:v>0.22222222222222221</c:v>
                </c:pt>
                <c:pt idx="268">
                  <c:v>0.22857142857142856</c:v>
                </c:pt>
                <c:pt idx="269">
                  <c:v>0.29411764705882354</c:v>
                </c:pt>
                <c:pt idx="270">
                  <c:v>0.2</c:v>
                </c:pt>
                <c:pt idx="271">
                  <c:v>0.25714285714285712</c:v>
                </c:pt>
                <c:pt idx="272">
                  <c:v>0.25</c:v>
                </c:pt>
                <c:pt idx="273">
                  <c:v>0.25714285714285712</c:v>
                </c:pt>
                <c:pt idx="274">
                  <c:v>0.21212121212121213</c:v>
                </c:pt>
                <c:pt idx="275">
                  <c:v>0.25</c:v>
                </c:pt>
                <c:pt idx="276">
                  <c:v>0.29411764705882354</c:v>
                </c:pt>
                <c:pt idx="277">
                  <c:v>0.30555555555555558</c:v>
                </c:pt>
                <c:pt idx="278">
                  <c:v>0.26470588235294118</c:v>
                </c:pt>
                <c:pt idx="279">
                  <c:v>0.20588235294117646</c:v>
                </c:pt>
                <c:pt idx="280">
                  <c:v>0.26470588235294118</c:v>
                </c:pt>
                <c:pt idx="281">
                  <c:v>0.29411764705882354</c:v>
                </c:pt>
                <c:pt idx="282">
                  <c:v>0.3235294117647059</c:v>
                </c:pt>
                <c:pt idx="283">
                  <c:v>0.29411764705882354</c:v>
                </c:pt>
                <c:pt idx="284">
                  <c:v>0.2</c:v>
                </c:pt>
                <c:pt idx="285">
                  <c:v>0.28125</c:v>
                </c:pt>
                <c:pt idx="286">
                  <c:v>0.27272727272727271</c:v>
                </c:pt>
                <c:pt idx="287">
                  <c:v>0.18181818181818182</c:v>
                </c:pt>
                <c:pt idx="288">
                  <c:v>0.19444444444444445</c:v>
                </c:pt>
                <c:pt idx="289">
                  <c:v>0.17647058823529413</c:v>
                </c:pt>
                <c:pt idx="290">
                  <c:v>0.22222222222222221</c:v>
                </c:pt>
                <c:pt idx="291">
                  <c:v>0.22222222222222221</c:v>
                </c:pt>
                <c:pt idx="292">
                  <c:v>0.22222222222222221</c:v>
                </c:pt>
                <c:pt idx="293">
                  <c:v>0.22222222222222221</c:v>
                </c:pt>
                <c:pt idx="294">
                  <c:v>0.31428571428571428</c:v>
                </c:pt>
                <c:pt idx="295">
                  <c:v>0.22222222222222221</c:v>
                </c:pt>
                <c:pt idx="296">
                  <c:v>0.26470588235294118</c:v>
                </c:pt>
                <c:pt idx="297">
                  <c:v>0.25714285714285712</c:v>
                </c:pt>
                <c:pt idx="298">
                  <c:v>0.26470588235294118</c:v>
                </c:pt>
                <c:pt idx="299">
                  <c:v>0.22222222222222221</c:v>
                </c:pt>
                <c:pt idx="300">
                  <c:v>0.20588235294117646</c:v>
                </c:pt>
                <c:pt idx="301">
                  <c:v>0.19444444444444445</c:v>
                </c:pt>
                <c:pt idx="302">
                  <c:v>0.29411764705882354</c:v>
                </c:pt>
                <c:pt idx="303">
                  <c:v>0.26470588235294118</c:v>
                </c:pt>
                <c:pt idx="304">
                  <c:v>0.3235294117647059</c:v>
                </c:pt>
                <c:pt idx="305">
                  <c:v>0.27272727272727271</c:v>
                </c:pt>
                <c:pt idx="306">
                  <c:v>0.25</c:v>
                </c:pt>
                <c:pt idx="307">
                  <c:v>0.25</c:v>
                </c:pt>
                <c:pt idx="308">
                  <c:v>0.23529411764705882</c:v>
                </c:pt>
                <c:pt idx="309">
                  <c:v>0.19444444444444445</c:v>
                </c:pt>
                <c:pt idx="310">
                  <c:v>0.25714285714285712</c:v>
                </c:pt>
                <c:pt idx="311">
                  <c:v>0.20588235294117646</c:v>
                </c:pt>
                <c:pt idx="312">
                  <c:v>0.22857142857142856</c:v>
                </c:pt>
                <c:pt idx="313">
                  <c:v>0.26470588235294118</c:v>
                </c:pt>
                <c:pt idx="314">
                  <c:v>0.20588235294117646</c:v>
                </c:pt>
                <c:pt idx="315">
                  <c:v>0.30303030303030304</c:v>
                </c:pt>
                <c:pt idx="316">
                  <c:v>0.22222222222222221</c:v>
                </c:pt>
                <c:pt idx="317">
                  <c:v>0.33333333333333331</c:v>
                </c:pt>
                <c:pt idx="318">
                  <c:v>0.33333333333333331</c:v>
                </c:pt>
                <c:pt idx="319">
                  <c:v>0.23529411764705882</c:v>
                </c:pt>
                <c:pt idx="320">
                  <c:v>0.22222222222222221</c:v>
                </c:pt>
                <c:pt idx="321">
                  <c:v>0.22857142857142856</c:v>
                </c:pt>
                <c:pt idx="322">
                  <c:v>0.29411764705882354</c:v>
                </c:pt>
                <c:pt idx="323">
                  <c:v>0.22857142857142856</c:v>
                </c:pt>
                <c:pt idx="324">
                  <c:v>0.2</c:v>
                </c:pt>
                <c:pt idx="325">
                  <c:v>0.2857142857142857</c:v>
                </c:pt>
                <c:pt idx="326">
                  <c:v>0.3235294117647059</c:v>
                </c:pt>
                <c:pt idx="327">
                  <c:v>0.2857142857142857</c:v>
                </c:pt>
                <c:pt idx="328">
                  <c:v>0.24242424242424243</c:v>
                </c:pt>
                <c:pt idx="329">
                  <c:v>0.22222222222222221</c:v>
                </c:pt>
                <c:pt idx="330">
                  <c:v>0.22857142857142856</c:v>
                </c:pt>
                <c:pt idx="331">
                  <c:v>0.2</c:v>
                </c:pt>
                <c:pt idx="332">
                  <c:v>0.3235294117647059</c:v>
                </c:pt>
                <c:pt idx="333">
                  <c:v>0.22857142857142856</c:v>
                </c:pt>
                <c:pt idx="334">
                  <c:v>0.25</c:v>
                </c:pt>
                <c:pt idx="335">
                  <c:v>0.22857142857142856</c:v>
                </c:pt>
                <c:pt idx="336">
                  <c:v>0.25714285714285712</c:v>
                </c:pt>
                <c:pt idx="337">
                  <c:v>0.22222222222222221</c:v>
                </c:pt>
                <c:pt idx="338">
                  <c:v>0.26470588235294118</c:v>
                </c:pt>
                <c:pt idx="339">
                  <c:v>0.23529411764705882</c:v>
                </c:pt>
                <c:pt idx="340">
                  <c:v>0.25714285714285712</c:v>
                </c:pt>
                <c:pt idx="341">
                  <c:v>0.28125</c:v>
                </c:pt>
                <c:pt idx="342">
                  <c:v>0.22857142857142856</c:v>
                </c:pt>
                <c:pt idx="343">
                  <c:v>0.22222222222222221</c:v>
                </c:pt>
                <c:pt idx="344">
                  <c:v>0.2857142857142857</c:v>
                </c:pt>
                <c:pt idx="345">
                  <c:v>0.22857142857142856</c:v>
                </c:pt>
                <c:pt idx="346">
                  <c:v>0.22857142857142856</c:v>
                </c:pt>
                <c:pt idx="347">
                  <c:v>0.29411764705882354</c:v>
                </c:pt>
                <c:pt idx="348">
                  <c:v>0.20588235294117646</c:v>
                </c:pt>
                <c:pt idx="349">
                  <c:v>0.25714285714285712</c:v>
                </c:pt>
                <c:pt idx="350">
                  <c:v>0.26470588235294118</c:v>
                </c:pt>
                <c:pt idx="351">
                  <c:v>0.2</c:v>
                </c:pt>
                <c:pt idx="352">
                  <c:v>0.29411764705882354</c:v>
                </c:pt>
                <c:pt idx="353">
                  <c:v>0.31428571428571428</c:v>
                </c:pt>
                <c:pt idx="354">
                  <c:v>0.25714285714285712</c:v>
                </c:pt>
                <c:pt idx="355">
                  <c:v>0.2</c:v>
                </c:pt>
                <c:pt idx="356">
                  <c:v>0.2</c:v>
                </c:pt>
                <c:pt idx="357">
                  <c:v>0.19444444444444445</c:v>
                </c:pt>
                <c:pt idx="358">
                  <c:v>0.22857142857142856</c:v>
                </c:pt>
                <c:pt idx="359">
                  <c:v>0.30303030303030304</c:v>
                </c:pt>
                <c:pt idx="360">
                  <c:v>0.23529411764705882</c:v>
                </c:pt>
                <c:pt idx="361">
                  <c:v>0.29411764705882354</c:v>
                </c:pt>
                <c:pt idx="362">
                  <c:v>0.12121212121212122</c:v>
                </c:pt>
                <c:pt idx="363">
                  <c:v>0.23529411764705882</c:v>
                </c:pt>
                <c:pt idx="364">
                  <c:v>0.27777777777777779</c:v>
                </c:pt>
                <c:pt idx="365">
                  <c:v>0.25714285714285712</c:v>
                </c:pt>
                <c:pt idx="366">
                  <c:v>0.29411764705882354</c:v>
                </c:pt>
                <c:pt idx="367">
                  <c:v>0.2</c:v>
                </c:pt>
                <c:pt idx="368">
                  <c:v>0.19444444444444445</c:v>
                </c:pt>
                <c:pt idx="369">
                  <c:v>0.27777777777777779</c:v>
                </c:pt>
                <c:pt idx="370">
                  <c:v>0.24242424242424243</c:v>
                </c:pt>
                <c:pt idx="371">
                  <c:v>0.25</c:v>
                </c:pt>
                <c:pt idx="372">
                  <c:v>0.19444444444444445</c:v>
                </c:pt>
                <c:pt idx="373">
                  <c:v>0.22857142857142856</c:v>
                </c:pt>
                <c:pt idx="374">
                  <c:v>0.27777777777777779</c:v>
                </c:pt>
                <c:pt idx="375">
                  <c:v>0.25</c:v>
                </c:pt>
                <c:pt idx="376">
                  <c:v>0.22222222222222221</c:v>
                </c:pt>
                <c:pt idx="377">
                  <c:v>0.23529411764705882</c:v>
                </c:pt>
                <c:pt idx="378">
                  <c:v>0.23529411764705882</c:v>
                </c:pt>
                <c:pt idx="379">
                  <c:v>0.22857142857142856</c:v>
                </c:pt>
                <c:pt idx="380">
                  <c:v>0.29411764705882354</c:v>
                </c:pt>
                <c:pt idx="381">
                  <c:v>0.31428571428571428</c:v>
                </c:pt>
                <c:pt idx="382">
                  <c:v>0.2857142857142857</c:v>
                </c:pt>
                <c:pt idx="383">
                  <c:v>0.2857142857142857</c:v>
                </c:pt>
                <c:pt idx="384">
                  <c:v>0.19444444444444445</c:v>
                </c:pt>
                <c:pt idx="385">
                  <c:v>0.22857142857142856</c:v>
                </c:pt>
                <c:pt idx="386">
                  <c:v>0.27777777777777779</c:v>
                </c:pt>
                <c:pt idx="387">
                  <c:v>0.3235294117647059</c:v>
                </c:pt>
                <c:pt idx="388">
                  <c:v>0.22857142857142856</c:v>
                </c:pt>
                <c:pt idx="389">
                  <c:v>0.20588235294117646</c:v>
                </c:pt>
                <c:pt idx="390">
                  <c:v>0.20588235294117646</c:v>
                </c:pt>
                <c:pt idx="391">
                  <c:v>0.18181818181818182</c:v>
                </c:pt>
                <c:pt idx="392">
                  <c:v>0.25</c:v>
                </c:pt>
                <c:pt idx="393">
                  <c:v>0.21212121212121213</c:v>
                </c:pt>
                <c:pt idx="394">
                  <c:v>0.22857142857142856</c:v>
                </c:pt>
                <c:pt idx="395">
                  <c:v>0.30555555555555558</c:v>
                </c:pt>
                <c:pt idx="396">
                  <c:v>0.22857142857142856</c:v>
                </c:pt>
                <c:pt idx="397">
                  <c:v>0.22222222222222221</c:v>
                </c:pt>
                <c:pt idx="398">
                  <c:v>0.22222222222222221</c:v>
                </c:pt>
                <c:pt idx="399">
                  <c:v>0.22222222222222221</c:v>
                </c:pt>
                <c:pt idx="400">
                  <c:v>0.26470588235294118</c:v>
                </c:pt>
                <c:pt idx="401">
                  <c:v>0.22857142857142856</c:v>
                </c:pt>
                <c:pt idx="402">
                  <c:v>0.31428571428571428</c:v>
                </c:pt>
                <c:pt idx="403">
                  <c:v>0.35294117647058826</c:v>
                </c:pt>
                <c:pt idx="404">
                  <c:v>0.3888888888888889</c:v>
                </c:pt>
                <c:pt idx="405">
                  <c:v>0.19444444444444445</c:v>
                </c:pt>
                <c:pt idx="406">
                  <c:v>0.25</c:v>
                </c:pt>
                <c:pt idx="407">
                  <c:v>0.19444444444444445</c:v>
                </c:pt>
                <c:pt idx="408">
                  <c:v>0.29411764705882354</c:v>
                </c:pt>
                <c:pt idx="409">
                  <c:v>0.37142857142857144</c:v>
                </c:pt>
                <c:pt idx="410">
                  <c:v>0.22857142857142856</c:v>
                </c:pt>
                <c:pt idx="411">
                  <c:v>0.29411764705882354</c:v>
                </c:pt>
                <c:pt idx="412">
                  <c:v>0.3235294117647059</c:v>
                </c:pt>
                <c:pt idx="413">
                  <c:v>0.31428571428571428</c:v>
                </c:pt>
                <c:pt idx="414">
                  <c:v>0.25</c:v>
                </c:pt>
                <c:pt idx="415">
                  <c:v>0.25714285714285712</c:v>
                </c:pt>
                <c:pt idx="416">
                  <c:v>0.19444444444444445</c:v>
                </c:pt>
                <c:pt idx="417">
                  <c:v>0.33333333333333331</c:v>
                </c:pt>
                <c:pt idx="418">
                  <c:v>0.2857142857142857</c:v>
                </c:pt>
                <c:pt idx="419">
                  <c:v>0.35294117647058826</c:v>
                </c:pt>
                <c:pt idx="420">
                  <c:v>0.41176470588235292</c:v>
                </c:pt>
                <c:pt idx="421">
                  <c:v>0.26470588235294118</c:v>
                </c:pt>
                <c:pt idx="422">
                  <c:v>0.25714285714285712</c:v>
                </c:pt>
                <c:pt idx="423">
                  <c:v>0.22222222222222221</c:v>
                </c:pt>
                <c:pt idx="424">
                  <c:v>0.27777777777777779</c:v>
                </c:pt>
                <c:pt idx="425">
                  <c:v>0.25714285714285712</c:v>
                </c:pt>
                <c:pt idx="426">
                  <c:v>0.22857142857142856</c:v>
                </c:pt>
                <c:pt idx="427">
                  <c:v>0.25714285714285712</c:v>
                </c:pt>
                <c:pt idx="428">
                  <c:v>0.30303030303030304</c:v>
                </c:pt>
                <c:pt idx="429">
                  <c:v>0.25</c:v>
                </c:pt>
                <c:pt idx="430">
                  <c:v>0.25</c:v>
                </c:pt>
                <c:pt idx="431">
                  <c:v>0.29411764705882354</c:v>
                </c:pt>
                <c:pt idx="432">
                  <c:v>0.20588235294117646</c:v>
                </c:pt>
                <c:pt idx="433">
                  <c:v>0.25</c:v>
                </c:pt>
                <c:pt idx="434">
                  <c:v>0.38235294117647056</c:v>
                </c:pt>
                <c:pt idx="435">
                  <c:v>0.2857142857142857</c:v>
                </c:pt>
                <c:pt idx="436">
                  <c:v>0.25714285714285712</c:v>
                </c:pt>
                <c:pt idx="437">
                  <c:v>0.33333333333333331</c:v>
                </c:pt>
                <c:pt idx="438">
                  <c:v>0.30555555555555558</c:v>
                </c:pt>
                <c:pt idx="439">
                  <c:v>0.31428571428571428</c:v>
                </c:pt>
                <c:pt idx="440">
                  <c:v>0.2857142857142857</c:v>
                </c:pt>
                <c:pt idx="441">
                  <c:v>0.30555555555555558</c:v>
                </c:pt>
                <c:pt idx="442">
                  <c:v>0.25714285714285712</c:v>
                </c:pt>
                <c:pt idx="443">
                  <c:v>0.19444444444444445</c:v>
                </c:pt>
                <c:pt idx="444">
                  <c:v>0.27777777777777779</c:v>
                </c:pt>
                <c:pt idx="445">
                  <c:v>0.30555555555555558</c:v>
                </c:pt>
                <c:pt idx="446">
                  <c:v>0.22857142857142856</c:v>
                </c:pt>
                <c:pt idx="447">
                  <c:v>0.27777777777777779</c:v>
                </c:pt>
                <c:pt idx="448">
                  <c:v>0.2857142857142857</c:v>
                </c:pt>
                <c:pt idx="449">
                  <c:v>0.30555555555555558</c:v>
                </c:pt>
                <c:pt idx="450">
                  <c:v>0.22222222222222221</c:v>
                </c:pt>
                <c:pt idx="451">
                  <c:v>0.30555555555555558</c:v>
                </c:pt>
                <c:pt idx="452">
                  <c:v>0.22222222222222221</c:v>
                </c:pt>
                <c:pt idx="453">
                  <c:v>0.33333333333333331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9680"/>
        <c:axId val="131651920"/>
      </c:scatterChart>
      <c:valAx>
        <c:axId val="131649680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131651920"/>
        <c:crosses val="autoZero"/>
        <c:crossBetween val="midCat"/>
      </c:valAx>
      <c:valAx>
        <c:axId val="131651920"/>
        <c:scaling>
          <c:orientation val="minMax"/>
        </c:scaling>
        <c:delete val="1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00" sourceLinked="1"/>
        <c:majorTickMark val="out"/>
        <c:minorTickMark val="none"/>
        <c:tickLblPos val="nextTo"/>
        <c:crossAx val="131649680"/>
        <c:crosses val="autoZero"/>
        <c:crossBetween val="midCat"/>
      </c:valAx>
      <c:spPr>
        <a:ln>
          <a:solidFill>
            <a:srgbClr val="B3B3B3"/>
          </a:solidFill>
        </a:ln>
      </c:spPr>
    </c:plotArea>
    <c:legend>
      <c:legendPos val="r"/>
      <c:overlay val="1"/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(Minima!$I$42:$I$55,Minima!$I$57:$I$70)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10</c:v>
                </c:pt>
                <c:pt idx="25">
                  <c:v>11</c:v>
                </c:pt>
                <c:pt idx="26">
                  <c:v>12</c:v>
                </c:pt>
                <c:pt idx="27">
                  <c:v>13</c:v>
                </c:pt>
              </c:numCache>
            </c:numRef>
          </c:xVal>
          <c:yVal>
            <c:numRef>
              <c:f>(Minima!$M$42:$M$55,Minima!$M$57:$M$70)</c:f>
              <c:numCache>
                <c:formatCode>0.000</c:formatCode>
                <c:ptCount val="28"/>
                <c:pt idx="0">
                  <c:v>1.2470932307691187</c:v>
                </c:pt>
                <c:pt idx="1">
                  <c:v>1.2222790769230869</c:v>
                </c:pt>
                <c:pt idx="2">
                  <c:v>1.1950404615384707</c:v>
                </c:pt>
                <c:pt idx="3">
                  <c:v>1.1741462307692507</c:v>
                </c:pt>
                <c:pt idx="4">
                  <c:v>1.1561999230768309</c:v>
                </c:pt>
                <c:pt idx="5">
                  <c:v>1.1468851538461773</c:v>
                </c:pt>
                <c:pt idx="6">
                  <c:v>1.1285136153847606</c:v>
                </c:pt>
                <c:pt idx="7">
                  <c:v>1.146190076923141</c:v>
                </c:pt>
                <c:pt idx="8">
                  <c:v>1.1455632307692072</c:v>
                </c:pt>
                <c:pt idx="9">
                  <c:v>1.1596470769230178</c:v>
                </c:pt>
                <c:pt idx="10">
                  <c:v>1.1815934615385162</c:v>
                </c:pt>
                <c:pt idx="11">
                  <c:v>1.2113469230770044</c:v>
                </c:pt>
                <c:pt idx="12">
                  <c:v>1.2393596153846234</c:v>
                </c:pt>
                <c:pt idx="13">
                  <c:v>1.2933779230769198</c:v>
                </c:pt>
                <c:pt idx="14">
                  <c:v>1.2470932307691187</c:v>
                </c:pt>
                <c:pt idx="15">
                  <c:v>1.2222790769230869</c:v>
                </c:pt>
                <c:pt idx="16">
                  <c:v>1.1950404615384707</c:v>
                </c:pt>
                <c:pt idx="17">
                  <c:v>1.1874632307692361</c:v>
                </c:pt>
                <c:pt idx="18">
                  <c:v>1.1726290769230707</c:v>
                </c:pt>
                <c:pt idx="19">
                  <c:v>1.1621745384615609</c:v>
                </c:pt>
                <c:pt idx="20">
                  <c:v>1.1626362307692593</c:v>
                </c:pt>
                <c:pt idx="21">
                  <c:v>1.156977384615367</c:v>
                </c:pt>
                <c:pt idx="22">
                  <c:v>1.1777919999999891</c:v>
                </c:pt>
                <c:pt idx="23">
                  <c:v>1.1898919230768745</c:v>
                </c:pt>
                <c:pt idx="24">
                  <c:v>1.2048690769230375</c:v>
                </c:pt>
                <c:pt idx="25">
                  <c:v>1.2264019999999549</c:v>
                </c:pt>
                <c:pt idx="26">
                  <c:v>1.252436384615486</c:v>
                </c:pt>
                <c:pt idx="27">
                  <c:v>1.2933779230769198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025136"/>
        <c:axId val="717029056"/>
      </c:scatterChart>
      <c:valAx>
        <c:axId val="717025136"/>
        <c:scaling>
          <c:orientation val="minMax"/>
          <c:max val="1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029056"/>
        <c:crosses val="autoZero"/>
        <c:crossBetween val="midCat"/>
        <c:majorUnit val="1"/>
      </c:valAx>
      <c:valAx>
        <c:axId val="7170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02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593640</xdr:colOff>
      <xdr:row>13</xdr:row>
      <xdr:rowOff>47520</xdr:rowOff>
    </xdr:from>
    <xdr:to>
      <xdr:col>35</xdr:col>
      <xdr:colOff>324720</xdr:colOff>
      <xdr:row>30</xdr:row>
      <xdr:rowOff>47520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28</xdr:col>
      <xdr:colOff>79200</xdr:colOff>
      <xdr:row>93</xdr:row>
      <xdr:rowOff>114480</xdr:rowOff>
    </xdr:from>
    <xdr:to>
      <xdr:col>35</xdr:col>
      <xdr:colOff>563400</xdr:colOff>
      <xdr:row>110</xdr:row>
      <xdr:rowOff>114480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28</xdr:col>
      <xdr:colOff>79560</xdr:colOff>
      <xdr:row>1097</xdr:row>
      <xdr:rowOff>57600</xdr:rowOff>
    </xdr:from>
    <xdr:to>
      <xdr:col>35</xdr:col>
      <xdr:colOff>563760</xdr:colOff>
      <xdr:row>1114</xdr:row>
      <xdr:rowOff>57600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223837</xdr:colOff>
      <xdr:row>46</xdr:row>
      <xdr:rowOff>157162</xdr:rowOff>
    </xdr:from>
    <xdr:to>
      <xdr:col>20</xdr:col>
      <xdr:colOff>61912</xdr:colOff>
      <xdr:row>61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236"/>
  <sheetViews>
    <sheetView zoomScaleNormal="100" workbookViewId="0">
      <selection activeCell="P3" sqref="P3"/>
    </sheetView>
  </sheetViews>
  <sheetFormatPr defaultRowHeight="15" x14ac:dyDescent="0.25"/>
  <cols>
    <col min="1" max="1" width="16.5703125"/>
    <col min="2" max="2" width="7.42578125"/>
    <col min="3" max="3" width="12.28515625" style="1"/>
    <col min="4" max="4" width="13.28515625" style="2"/>
    <col min="5" max="5" width="4"/>
    <col min="6" max="6" width="6.28515625" style="3"/>
    <col min="7" max="7" width="10.5703125" style="2"/>
    <col min="8" max="8" width="5.7109375"/>
    <col min="9" max="9" width="5.85546875"/>
    <col min="10" max="10" width="3.7109375"/>
    <col min="11" max="11" width="20.7109375"/>
    <col min="12" max="12" width="9"/>
    <col min="13" max="13" width="18"/>
    <col min="14" max="14" width="9"/>
    <col min="15" max="15" width="5.7109375"/>
    <col min="16" max="16" width="34.42578125"/>
    <col min="17" max="17" width="8.7109375"/>
    <col min="18" max="18" width="12.140625"/>
    <col min="19" max="19" width="13.85546875"/>
    <col min="20" max="20" width="6.5703125"/>
    <col min="21" max="21" width="17.42578125"/>
    <col min="22" max="22" width="13.85546875"/>
    <col min="23" max="23" width="6.5703125"/>
    <col min="24" max="24" width="17.42578125"/>
    <col min="25" max="25" width="13.85546875"/>
    <col min="26" max="26" width="6.5703125"/>
    <col min="27" max="27" width="17.42578125"/>
    <col min="28" max="1025" width="10.7109375"/>
  </cols>
  <sheetData>
    <row r="1" spans="1:27" ht="15" customHeight="1" x14ac:dyDescent="0.25">
      <c r="C1" s="4"/>
      <c r="D1"/>
      <c r="F1"/>
      <c r="G1"/>
    </row>
    <row r="2" spans="1:27" ht="15" customHeight="1" x14ac:dyDescent="0.25">
      <c r="C2" s="5" t="s">
        <v>0</v>
      </c>
      <c r="D2" s="6" t="s">
        <v>1</v>
      </c>
      <c r="E2" s="7"/>
      <c r="F2" s="7" t="s">
        <v>2</v>
      </c>
      <c r="G2" s="7" t="s">
        <v>3</v>
      </c>
      <c r="H2" s="7" t="s">
        <v>4</v>
      </c>
      <c r="I2" s="7" t="s">
        <v>5</v>
      </c>
      <c r="K2" s="7" t="s">
        <v>6</v>
      </c>
      <c r="L2" s="7" t="s">
        <v>7</v>
      </c>
      <c r="M2" s="7" t="s">
        <v>8</v>
      </c>
      <c r="N2" s="7" t="s">
        <v>7</v>
      </c>
      <c r="O2" s="7"/>
      <c r="P2" t="s">
        <v>9</v>
      </c>
      <c r="Q2" t="s">
        <v>10</v>
      </c>
      <c r="R2" s="8" t="s">
        <v>11</v>
      </c>
      <c r="S2" t="s">
        <v>12</v>
      </c>
      <c r="T2" t="s">
        <v>13</v>
      </c>
      <c r="U2" s="8" t="s">
        <v>14</v>
      </c>
      <c r="V2" t="s">
        <v>15</v>
      </c>
      <c r="W2" t="s">
        <v>13</v>
      </c>
      <c r="X2" s="8" t="s">
        <v>16</v>
      </c>
      <c r="Y2" t="s">
        <v>17</v>
      </c>
      <c r="Z2" t="s">
        <v>13</v>
      </c>
      <c r="AA2" s="8" t="s">
        <v>18</v>
      </c>
    </row>
    <row r="3" spans="1:27" ht="15" customHeight="1" x14ac:dyDescent="0.25">
      <c r="A3" s="7" t="s">
        <v>19</v>
      </c>
      <c r="B3" t="s">
        <v>20</v>
      </c>
      <c r="C3" s="9">
        <v>-12922.154699999999</v>
      </c>
      <c r="D3" s="10">
        <v>-12923.279990000001</v>
      </c>
      <c r="F3" s="11">
        <v>0.99598399999999998</v>
      </c>
      <c r="G3">
        <v>0.18626000000000001</v>
      </c>
      <c r="H3">
        <v>13</v>
      </c>
      <c r="I3">
        <v>0</v>
      </c>
      <c r="K3" s="8">
        <f t="shared" ref="K3:K66" si="0">IF(ISNUMBER(C3),C3-(($C$3-$C$2236)/($H$3-$H$2236)*H3+$C$2236),"")</f>
        <v>0</v>
      </c>
      <c r="L3" s="8">
        <f t="shared" ref="L3:L66" si="1">IF(ISNUMBER(C3),K3/(H3+I3),"")</f>
        <v>0</v>
      </c>
      <c r="M3" s="8">
        <f t="shared" ref="M3:M66" si="2">IF(ISNUMBER(D3),D3-(($D$3-$D$2236)/($H$3-$H$2236)*H3+$D$2236),"")</f>
        <v>0</v>
      </c>
      <c r="N3" s="8">
        <f t="shared" ref="N3:N66" si="3">IF(ISNUMBER(D3),M3/(H3+I3),"")</f>
        <v>0</v>
      </c>
      <c r="O3" s="8"/>
      <c r="P3" t="s">
        <v>21</v>
      </c>
      <c r="Q3">
        <v>32</v>
      </c>
      <c r="R3" s="8">
        <v>2.8069199999999999</v>
      </c>
      <c r="S3">
        <v>0</v>
      </c>
      <c r="T3" s="8">
        <f t="shared" ref="T3:T66" si="4">IF(ISNUMBER(S3),S3/(Q3),"")</f>
        <v>0</v>
      </c>
      <c r="U3" s="8">
        <v>0</v>
      </c>
      <c r="V3">
        <v>0</v>
      </c>
      <c r="W3" s="8">
        <f t="shared" ref="W3:W66" si="5">IF(ISNUMBER(V3),V3/($Q3),"")</f>
        <v>0</v>
      </c>
      <c r="X3" s="8">
        <v>0</v>
      </c>
      <c r="Y3">
        <v>32</v>
      </c>
      <c r="Z3" s="8">
        <f t="shared" ref="Z3:Z66" si="6">IF(ISNUMBER(Y3),Y3/($Q3),"")</f>
        <v>1</v>
      </c>
      <c r="AA3" s="8">
        <v>2.8069199999999999</v>
      </c>
    </row>
    <row r="4" spans="1:27" ht="15" customHeight="1" x14ac:dyDescent="0.25">
      <c r="C4" s="9"/>
      <c r="D4" s="10"/>
      <c r="F4"/>
      <c r="G4"/>
      <c r="K4" s="8" t="str">
        <f t="shared" si="0"/>
        <v/>
      </c>
      <c r="L4" s="8" t="str">
        <f t="shared" si="1"/>
        <v/>
      </c>
      <c r="M4" s="8" t="str">
        <f t="shared" si="2"/>
        <v/>
      </c>
      <c r="N4" s="8" t="str">
        <f t="shared" si="3"/>
        <v/>
      </c>
      <c r="O4" s="8"/>
      <c r="T4" s="8" t="str">
        <f t="shared" si="4"/>
        <v/>
      </c>
      <c r="W4" s="8" t="str">
        <f t="shared" si="5"/>
        <v/>
      </c>
      <c r="Z4" s="8" t="str">
        <f t="shared" si="6"/>
        <v/>
      </c>
    </row>
    <row r="5" spans="1:27" ht="15" customHeight="1" x14ac:dyDescent="0.25">
      <c r="C5" s="5" t="s">
        <v>0</v>
      </c>
      <c r="D5" s="6" t="s">
        <v>1</v>
      </c>
      <c r="E5" s="7"/>
      <c r="F5" s="7" t="s">
        <v>2</v>
      </c>
      <c r="G5" s="7" t="s">
        <v>3</v>
      </c>
      <c r="H5" s="7" t="s">
        <v>4</v>
      </c>
      <c r="I5" s="7" t="s">
        <v>5</v>
      </c>
      <c r="K5" s="8" t="str">
        <f t="shared" si="0"/>
        <v/>
      </c>
      <c r="L5" s="8" t="str">
        <f t="shared" si="1"/>
        <v/>
      </c>
      <c r="M5" s="8" t="str">
        <f t="shared" si="2"/>
        <v/>
      </c>
      <c r="N5" s="8" t="str">
        <f t="shared" si="3"/>
        <v/>
      </c>
      <c r="O5" s="8"/>
      <c r="T5" s="8" t="str">
        <f t="shared" si="4"/>
        <v/>
      </c>
      <c r="W5" s="8" t="str">
        <f t="shared" si="5"/>
        <v/>
      </c>
      <c r="Z5" s="8" t="str">
        <f t="shared" si="6"/>
        <v/>
      </c>
    </row>
    <row r="6" spans="1:27" ht="15" customHeight="1" x14ac:dyDescent="0.25">
      <c r="A6" s="7" t="s">
        <v>22</v>
      </c>
      <c r="B6" t="s">
        <v>20</v>
      </c>
      <c r="C6" s="8">
        <v>-12828.8336</v>
      </c>
      <c r="D6" s="2">
        <v>-12829.964214</v>
      </c>
      <c r="F6" s="12">
        <v>0.99559399999999998</v>
      </c>
      <c r="G6" s="13">
        <v>0.18336</v>
      </c>
      <c r="H6">
        <v>12</v>
      </c>
      <c r="I6">
        <v>1</v>
      </c>
      <c r="K6" s="8">
        <f t="shared" si="0"/>
        <v>3.5761538460064912E-2</v>
      </c>
      <c r="L6" s="8">
        <f t="shared" si="1"/>
        <v>2.7508875738511472E-3</v>
      </c>
      <c r="M6" s="8">
        <f t="shared" si="2"/>
        <v>8.0576307693263516E-2</v>
      </c>
      <c r="N6" s="8">
        <f t="shared" si="3"/>
        <v>6.1981775148664247E-3</v>
      </c>
      <c r="O6" s="8"/>
      <c r="P6" t="s">
        <v>23</v>
      </c>
      <c r="Q6">
        <v>36</v>
      </c>
      <c r="R6" s="8">
        <v>2.8449300000000002</v>
      </c>
      <c r="S6">
        <v>0</v>
      </c>
      <c r="T6" s="8">
        <f t="shared" si="4"/>
        <v>0</v>
      </c>
      <c r="U6" s="8">
        <v>0</v>
      </c>
      <c r="V6">
        <v>10</v>
      </c>
      <c r="W6" s="8">
        <f t="shared" si="5"/>
        <v>0.27777777777777779</v>
      </c>
      <c r="X6" s="8">
        <v>2.9408300000000001</v>
      </c>
      <c r="Y6">
        <v>26</v>
      </c>
      <c r="Z6" s="8">
        <f t="shared" si="6"/>
        <v>0.72222222222222221</v>
      </c>
      <c r="AA6" s="8">
        <v>2.8080500000000002</v>
      </c>
    </row>
    <row r="7" spans="1:27" ht="15" customHeight="1" x14ac:dyDescent="0.25">
      <c r="B7" t="s">
        <v>24</v>
      </c>
      <c r="C7" s="8">
        <v>-12829.093699999999</v>
      </c>
      <c r="D7" s="2">
        <v>-12830.247783000001</v>
      </c>
      <c r="F7" s="12">
        <v>0.99599700000000002</v>
      </c>
      <c r="G7" s="13">
        <v>0.18639</v>
      </c>
      <c r="H7">
        <v>12</v>
      </c>
      <c r="I7">
        <v>1</v>
      </c>
      <c r="K7" s="8">
        <f t="shared" si="0"/>
        <v>-0.22433846153944614</v>
      </c>
      <c r="L7" s="8">
        <f t="shared" si="1"/>
        <v>-1.725680473380355E-2</v>
      </c>
      <c r="M7" s="8">
        <f t="shared" si="2"/>
        <v>-0.20299269230781647</v>
      </c>
      <c r="N7" s="8">
        <f t="shared" si="3"/>
        <v>-1.5614822485216652E-2</v>
      </c>
      <c r="O7" s="8"/>
      <c r="P7" t="s">
        <v>25</v>
      </c>
      <c r="Q7">
        <v>32</v>
      </c>
      <c r="R7" s="8">
        <v>2.81013</v>
      </c>
      <c r="S7">
        <v>0</v>
      </c>
      <c r="T7" s="8">
        <f t="shared" si="4"/>
        <v>0</v>
      </c>
      <c r="U7" s="8">
        <v>0</v>
      </c>
      <c r="V7">
        <v>5</v>
      </c>
      <c r="W7" s="8">
        <f t="shared" si="5"/>
        <v>0.15625</v>
      </c>
      <c r="X7" s="8">
        <v>2.7974899999999998</v>
      </c>
      <c r="Y7">
        <v>27</v>
      </c>
      <c r="Z7" s="8">
        <f t="shared" si="6"/>
        <v>0.84375</v>
      </c>
      <c r="AA7" s="8">
        <v>2.8124699999999998</v>
      </c>
    </row>
    <row r="8" spans="1:27" ht="15" customHeight="1" x14ac:dyDescent="0.25">
      <c r="B8" t="s">
        <v>26</v>
      </c>
      <c r="C8" s="8">
        <v>-12829.258</v>
      </c>
      <c r="D8" s="2">
        <v>-12830.413659</v>
      </c>
      <c r="F8" s="12">
        <v>0.996278</v>
      </c>
      <c r="G8" s="13">
        <v>0.18854000000000001</v>
      </c>
      <c r="H8">
        <v>12</v>
      </c>
      <c r="I8">
        <v>1</v>
      </c>
      <c r="K8" s="8">
        <f t="shared" si="0"/>
        <v>-0.38863846153981285</v>
      </c>
      <c r="L8" s="8">
        <f t="shared" si="1"/>
        <v>-2.9895266272293296E-2</v>
      </c>
      <c r="M8" s="8">
        <f t="shared" si="2"/>
        <v>-0.36886869230693264</v>
      </c>
      <c r="N8" s="8">
        <f t="shared" si="3"/>
        <v>-2.8374514792840973E-2</v>
      </c>
      <c r="O8" s="8"/>
      <c r="P8" t="s">
        <v>27</v>
      </c>
      <c r="Q8">
        <v>33</v>
      </c>
      <c r="R8" s="8">
        <v>2.8192300000000001</v>
      </c>
      <c r="S8">
        <v>0</v>
      </c>
      <c r="T8" s="8">
        <f t="shared" si="4"/>
        <v>0</v>
      </c>
      <c r="U8" s="8">
        <v>0</v>
      </c>
      <c r="V8">
        <v>6</v>
      </c>
      <c r="W8" s="8">
        <f t="shared" si="5"/>
        <v>0.18181818181818182</v>
      </c>
      <c r="X8" s="8">
        <v>2.83392</v>
      </c>
      <c r="Y8">
        <v>27</v>
      </c>
      <c r="Z8" s="8">
        <f t="shared" si="6"/>
        <v>0.81818181818181823</v>
      </c>
      <c r="AA8" s="8">
        <v>2.8159700000000001</v>
      </c>
    </row>
    <row r="9" spans="1:27" ht="15" customHeight="1" x14ac:dyDescent="0.25">
      <c r="B9" t="s">
        <v>28</v>
      </c>
      <c r="C9" s="8">
        <v>-12829.101000000001</v>
      </c>
      <c r="D9" s="2">
        <v>-12830.288592000001</v>
      </c>
      <c r="F9" s="12">
        <v>0.99635899999999999</v>
      </c>
      <c r="G9" s="13">
        <v>0.189159999999999</v>
      </c>
      <c r="H9">
        <v>12</v>
      </c>
      <c r="I9">
        <v>1</v>
      </c>
      <c r="K9" s="8">
        <f t="shared" si="0"/>
        <v>-0.23163846154056955</v>
      </c>
      <c r="L9" s="8">
        <f t="shared" si="1"/>
        <v>-1.7818343195428427E-2</v>
      </c>
      <c r="M9" s="8">
        <f t="shared" si="2"/>
        <v>-0.24380169230789761</v>
      </c>
      <c r="N9" s="8">
        <f t="shared" si="3"/>
        <v>-1.8753976331376741E-2</v>
      </c>
      <c r="O9" s="8"/>
      <c r="P9" t="s">
        <v>29</v>
      </c>
      <c r="Q9">
        <v>34</v>
      </c>
      <c r="R9" s="8">
        <v>2.82816</v>
      </c>
      <c r="S9">
        <v>0</v>
      </c>
      <c r="T9" s="8">
        <f t="shared" si="4"/>
        <v>0</v>
      </c>
      <c r="U9" s="8">
        <v>0</v>
      </c>
      <c r="V9">
        <v>7</v>
      </c>
      <c r="W9" s="8">
        <f t="shared" si="5"/>
        <v>0.20588235294117646</v>
      </c>
      <c r="X9" s="8">
        <v>2.86835</v>
      </c>
      <c r="Y9">
        <v>27</v>
      </c>
      <c r="Z9" s="8">
        <f t="shared" si="6"/>
        <v>0.79411764705882348</v>
      </c>
      <c r="AA9" s="8">
        <v>2.8177400000000001</v>
      </c>
    </row>
    <row r="10" spans="1:27" ht="15" customHeight="1" x14ac:dyDescent="0.25">
      <c r="B10" t="s">
        <v>30</v>
      </c>
      <c r="C10" s="8">
        <v>-12829.179099999999</v>
      </c>
      <c r="D10" s="2">
        <v>-12830.321291</v>
      </c>
      <c r="F10" s="12">
        <v>0.99610699999999996</v>
      </c>
      <c r="G10" s="13">
        <v>0.18678</v>
      </c>
      <c r="H10">
        <v>12</v>
      </c>
      <c r="I10">
        <v>1</v>
      </c>
      <c r="K10" s="8">
        <f t="shared" si="0"/>
        <v>-0.30973846153938212</v>
      </c>
      <c r="L10" s="8">
        <f t="shared" si="1"/>
        <v>-2.3826035503029395E-2</v>
      </c>
      <c r="M10" s="8">
        <f t="shared" si="2"/>
        <v>-0.27650069230730878</v>
      </c>
      <c r="N10" s="8">
        <f t="shared" si="3"/>
        <v>-2.1269284023639139E-2</v>
      </c>
      <c r="O10" s="8"/>
      <c r="P10" t="s">
        <v>31</v>
      </c>
      <c r="Q10">
        <v>32</v>
      </c>
      <c r="R10" s="8">
        <v>2.8047</v>
      </c>
      <c r="S10">
        <v>0</v>
      </c>
      <c r="T10" s="8">
        <f t="shared" si="4"/>
        <v>0</v>
      </c>
      <c r="U10" s="8">
        <v>0</v>
      </c>
      <c r="V10">
        <v>4</v>
      </c>
      <c r="W10" s="8">
        <f t="shared" si="5"/>
        <v>0.125</v>
      </c>
      <c r="X10" s="8">
        <v>2.7684899999999999</v>
      </c>
      <c r="Y10">
        <v>28</v>
      </c>
      <c r="Z10" s="8">
        <f t="shared" si="6"/>
        <v>0.875</v>
      </c>
      <c r="AA10" s="8">
        <v>2.8098700000000001</v>
      </c>
    </row>
    <row r="11" spans="1:27" ht="15" customHeight="1" x14ac:dyDescent="0.25">
      <c r="C11" s="4"/>
      <c r="F11" s="12"/>
      <c r="G11" s="13"/>
      <c r="K11" s="8" t="str">
        <f t="shared" si="0"/>
        <v/>
      </c>
      <c r="L11" s="8" t="str">
        <f t="shared" si="1"/>
        <v/>
      </c>
      <c r="M11" s="8" t="str">
        <f t="shared" si="2"/>
        <v/>
      </c>
      <c r="N11" s="8" t="str">
        <f t="shared" si="3"/>
        <v/>
      </c>
      <c r="O11" s="8"/>
      <c r="T11" s="8" t="str">
        <f t="shared" si="4"/>
        <v/>
      </c>
      <c r="W11" s="8" t="str">
        <f t="shared" si="5"/>
        <v/>
      </c>
      <c r="Z11" s="8" t="str">
        <f t="shared" si="6"/>
        <v/>
      </c>
    </row>
    <row r="12" spans="1:27" ht="15" customHeight="1" x14ac:dyDescent="0.25">
      <c r="C12" s="5" t="s">
        <v>0</v>
      </c>
      <c r="D12" s="6" t="s">
        <v>1</v>
      </c>
      <c r="E12" s="7"/>
      <c r="F12" s="7" t="s">
        <v>2</v>
      </c>
      <c r="G12" s="7" t="s">
        <v>3</v>
      </c>
      <c r="H12" s="7" t="s">
        <v>4</v>
      </c>
      <c r="I12" s="7" t="s">
        <v>5</v>
      </c>
      <c r="K12" s="8" t="str">
        <f t="shared" si="0"/>
        <v/>
      </c>
      <c r="L12" s="8" t="str">
        <f t="shared" si="1"/>
        <v/>
      </c>
      <c r="M12" s="8" t="str">
        <f t="shared" si="2"/>
        <v/>
      </c>
      <c r="N12" s="8" t="str">
        <f t="shared" si="3"/>
        <v/>
      </c>
      <c r="O12" s="8"/>
      <c r="T12" s="8" t="str">
        <f t="shared" si="4"/>
        <v/>
      </c>
      <c r="W12" s="8" t="str">
        <f t="shared" si="5"/>
        <v/>
      </c>
      <c r="Z12" s="8" t="str">
        <f t="shared" si="6"/>
        <v/>
      </c>
    </row>
    <row r="13" spans="1:27" ht="15" customHeight="1" x14ac:dyDescent="0.25">
      <c r="A13" s="7" t="s">
        <v>32</v>
      </c>
      <c r="B13" t="s">
        <v>20</v>
      </c>
      <c r="C13" s="8">
        <v>-12735.1297</v>
      </c>
      <c r="D13" s="2">
        <v>-12736.829975000001</v>
      </c>
      <c r="F13" s="12">
        <v>0.99676600000000004</v>
      </c>
      <c r="G13" s="13">
        <v>0.16622999999999999</v>
      </c>
      <c r="H13">
        <v>11</v>
      </c>
      <c r="I13">
        <v>2</v>
      </c>
      <c r="K13" s="8">
        <f t="shared" si="0"/>
        <v>0.45432307692317409</v>
      </c>
      <c r="L13" s="8">
        <f t="shared" si="1"/>
        <v>3.4947928994090313E-2</v>
      </c>
      <c r="M13" s="8">
        <f t="shared" si="2"/>
        <v>-2.0384384615681483E-2</v>
      </c>
      <c r="N13" s="8">
        <f t="shared" si="3"/>
        <v>-1.5680295858216526E-3</v>
      </c>
      <c r="O13" s="8"/>
      <c r="P13" t="s">
        <v>33</v>
      </c>
      <c r="Q13">
        <v>34</v>
      </c>
      <c r="R13" s="8">
        <v>2.8245</v>
      </c>
      <c r="S13">
        <v>1</v>
      </c>
      <c r="T13" s="8">
        <f t="shared" si="4"/>
        <v>2.9411764705882353E-2</v>
      </c>
      <c r="U13" s="8">
        <v>2.7573300000000001</v>
      </c>
      <c r="V13">
        <v>11</v>
      </c>
      <c r="W13" s="8">
        <f t="shared" si="5"/>
        <v>0.3235294117647059</v>
      </c>
      <c r="X13" s="8">
        <v>2.8719600000000001</v>
      </c>
      <c r="Y13">
        <v>22</v>
      </c>
      <c r="Z13" s="8">
        <f t="shared" si="6"/>
        <v>0.6470588235294118</v>
      </c>
      <c r="AA13" s="8">
        <v>2.80382</v>
      </c>
    </row>
    <row r="14" spans="1:27" ht="15" customHeight="1" x14ac:dyDescent="0.25">
      <c r="B14" t="s">
        <v>24</v>
      </c>
      <c r="C14" s="8">
        <v>-12735.8768</v>
      </c>
      <c r="D14" s="2">
        <v>-12737.071877</v>
      </c>
      <c r="F14" s="12">
        <v>0.99597199999999997</v>
      </c>
      <c r="G14" s="13">
        <v>0.18609999999999899</v>
      </c>
      <c r="H14">
        <v>11</v>
      </c>
      <c r="I14">
        <v>2</v>
      </c>
      <c r="K14" s="8">
        <f t="shared" si="0"/>
        <v>-0.2927769230773265</v>
      </c>
      <c r="L14" s="8">
        <f t="shared" si="1"/>
        <v>-2.2521301775178963E-2</v>
      </c>
      <c r="M14" s="8">
        <f t="shared" si="2"/>
        <v>-0.26228638461543596</v>
      </c>
      <c r="N14" s="8">
        <f t="shared" si="3"/>
        <v>-2.0175875739648921E-2</v>
      </c>
      <c r="O14" s="8"/>
      <c r="P14" t="s">
        <v>34</v>
      </c>
      <c r="Q14">
        <v>35</v>
      </c>
      <c r="R14" s="8">
        <v>2.8324600000000002</v>
      </c>
      <c r="S14">
        <v>1</v>
      </c>
      <c r="T14" s="8">
        <f t="shared" si="4"/>
        <v>2.8571428571428571E-2</v>
      </c>
      <c r="U14" s="8">
        <v>2.8508200000000001</v>
      </c>
      <c r="V14">
        <v>11</v>
      </c>
      <c r="W14" s="8">
        <f t="shared" si="5"/>
        <v>0.31428571428571428</v>
      </c>
      <c r="X14" s="8">
        <v>2.8497599999999998</v>
      </c>
      <c r="Y14">
        <v>23</v>
      </c>
      <c r="Z14" s="8">
        <f t="shared" si="6"/>
        <v>0.65714285714285714</v>
      </c>
      <c r="AA14" s="8">
        <v>2.8233799999999998</v>
      </c>
    </row>
    <row r="15" spans="1:27" ht="15" customHeight="1" x14ac:dyDescent="0.25">
      <c r="B15" t="s">
        <v>26</v>
      </c>
      <c r="C15" s="8">
        <v>-12735.7724</v>
      </c>
      <c r="D15" s="2">
        <v>-12737.237061</v>
      </c>
      <c r="F15" s="12">
        <v>0.99684300000000003</v>
      </c>
      <c r="G15" s="13">
        <v>0.193409999999999</v>
      </c>
      <c r="H15">
        <v>11</v>
      </c>
      <c r="I15">
        <v>2</v>
      </c>
      <c r="K15" s="8">
        <f t="shared" si="0"/>
        <v>-0.1883769230771577</v>
      </c>
      <c r="L15" s="8">
        <f t="shared" si="1"/>
        <v>-1.4490532544396747E-2</v>
      </c>
      <c r="M15" s="8">
        <f t="shared" si="2"/>
        <v>-0.42747038461493503</v>
      </c>
      <c r="N15" s="8">
        <f t="shared" si="3"/>
        <v>-3.2882337278071924E-2</v>
      </c>
      <c r="O15" s="8"/>
      <c r="P15" t="s">
        <v>35</v>
      </c>
      <c r="Q15">
        <v>35</v>
      </c>
      <c r="R15" s="8">
        <v>2.8353999999999999</v>
      </c>
      <c r="S15">
        <v>1</v>
      </c>
      <c r="T15" s="8">
        <f t="shared" si="4"/>
        <v>2.8571428571428571E-2</v>
      </c>
      <c r="U15" s="8">
        <v>3.1055899999999999</v>
      </c>
      <c r="V15">
        <v>13</v>
      </c>
      <c r="W15" s="8">
        <f t="shared" si="5"/>
        <v>0.37142857142857144</v>
      </c>
      <c r="X15" s="8">
        <v>2.85175</v>
      </c>
      <c r="Y15">
        <v>21</v>
      </c>
      <c r="Z15" s="8">
        <f t="shared" si="6"/>
        <v>0.6</v>
      </c>
      <c r="AA15" s="8">
        <v>2.8124099999999999</v>
      </c>
    </row>
    <row r="16" spans="1:27" ht="15" customHeight="1" x14ac:dyDescent="0.25">
      <c r="B16" t="s">
        <v>28</v>
      </c>
      <c r="C16" s="8">
        <v>-12735.866</v>
      </c>
      <c r="D16" s="2">
        <v>-12737.005757999999</v>
      </c>
      <c r="F16" s="12">
        <v>0.99717900000000004</v>
      </c>
      <c r="G16" s="13">
        <v>0.17552000000000001</v>
      </c>
      <c r="H16">
        <v>11</v>
      </c>
      <c r="I16">
        <v>2</v>
      </c>
      <c r="K16" s="8">
        <f t="shared" si="0"/>
        <v>-0.28197692307730904</v>
      </c>
      <c r="L16" s="8">
        <f t="shared" si="1"/>
        <v>-2.1690532544408388E-2</v>
      </c>
      <c r="M16" s="8">
        <f t="shared" si="2"/>
        <v>-0.19616738461445493</v>
      </c>
      <c r="N16" s="8">
        <f t="shared" si="3"/>
        <v>-1.5089798816496533E-2</v>
      </c>
      <c r="O16" s="8"/>
      <c r="P16" t="s">
        <v>36</v>
      </c>
      <c r="Q16">
        <v>36</v>
      </c>
      <c r="R16" s="8">
        <v>2.84111</v>
      </c>
      <c r="S16">
        <v>0</v>
      </c>
      <c r="T16" s="8">
        <f t="shared" si="4"/>
        <v>0</v>
      </c>
      <c r="U16" s="8">
        <v>0</v>
      </c>
      <c r="V16">
        <v>14</v>
      </c>
      <c r="W16" s="8">
        <f t="shared" si="5"/>
        <v>0.3888888888888889</v>
      </c>
      <c r="X16" s="8">
        <v>2.88645</v>
      </c>
      <c r="Y16">
        <v>22</v>
      </c>
      <c r="Z16" s="8">
        <f t="shared" si="6"/>
        <v>0.61111111111111116</v>
      </c>
      <c r="AA16" s="8">
        <v>2.8122600000000002</v>
      </c>
    </row>
    <row r="17" spans="2:27" ht="15" customHeight="1" x14ac:dyDescent="0.25">
      <c r="B17" t="s">
        <v>30</v>
      </c>
      <c r="C17" s="8">
        <v>-12736.0479</v>
      </c>
      <c r="D17" s="2">
        <v>-12737.206915999999</v>
      </c>
      <c r="F17" s="12">
        <v>0.99600299999999997</v>
      </c>
      <c r="G17" s="13">
        <v>0.186389999999999</v>
      </c>
      <c r="H17">
        <v>11</v>
      </c>
      <c r="I17">
        <v>2</v>
      </c>
      <c r="K17" s="8">
        <f t="shared" si="0"/>
        <v>-0.46387692307689576</v>
      </c>
      <c r="L17" s="8">
        <f t="shared" si="1"/>
        <v>-3.5682840236684291E-2</v>
      </c>
      <c r="M17" s="8">
        <f t="shared" si="2"/>
        <v>-0.39732538461430522</v>
      </c>
      <c r="N17" s="8">
        <f t="shared" si="3"/>
        <v>-3.0563491124177326E-2</v>
      </c>
      <c r="O17" s="8"/>
      <c r="P17" t="s">
        <v>37</v>
      </c>
      <c r="Q17">
        <v>32</v>
      </c>
      <c r="R17" s="8">
        <v>2.8003800000000001</v>
      </c>
      <c r="S17">
        <v>0</v>
      </c>
      <c r="T17" s="8">
        <f t="shared" si="4"/>
        <v>0</v>
      </c>
      <c r="U17" s="8">
        <v>0</v>
      </c>
      <c r="V17">
        <v>10</v>
      </c>
      <c r="W17" s="8">
        <f t="shared" si="5"/>
        <v>0.3125</v>
      </c>
      <c r="X17" s="8">
        <v>2.7986599999999999</v>
      </c>
      <c r="Y17">
        <v>22</v>
      </c>
      <c r="Z17" s="8">
        <f t="shared" si="6"/>
        <v>0.6875</v>
      </c>
      <c r="AA17" s="8">
        <v>2.8011599999999999</v>
      </c>
    </row>
    <row r="18" spans="2:27" ht="15" customHeight="1" x14ac:dyDescent="0.25">
      <c r="B18" t="s">
        <v>38</v>
      </c>
      <c r="C18" s="8">
        <v>-12736.113799999999</v>
      </c>
      <c r="D18" s="2">
        <v>-12737.295034999999</v>
      </c>
      <c r="F18" s="12">
        <v>0.99602299999999999</v>
      </c>
      <c r="G18" s="13">
        <v>0.18665000000000001</v>
      </c>
      <c r="H18">
        <v>11</v>
      </c>
      <c r="I18">
        <v>2</v>
      </c>
      <c r="K18" s="8">
        <f t="shared" si="0"/>
        <v>-0.52977692307649704</v>
      </c>
      <c r="L18" s="8">
        <f t="shared" si="1"/>
        <v>-4.0752071005884391E-2</v>
      </c>
      <c r="M18" s="8">
        <f t="shared" si="2"/>
        <v>-0.48544438461431128</v>
      </c>
      <c r="N18" s="8">
        <f t="shared" si="3"/>
        <v>-3.7341875739562408E-2</v>
      </c>
      <c r="O18" s="8"/>
      <c r="P18" t="s">
        <v>39</v>
      </c>
      <c r="Q18">
        <v>32</v>
      </c>
      <c r="R18" s="8">
        <v>2.80355</v>
      </c>
      <c r="S18">
        <v>1</v>
      </c>
      <c r="T18" s="8">
        <f t="shared" si="4"/>
        <v>3.125E-2</v>
      </c>
      <c r="U18" s="8">
        <v>2.8559899999999998</v>
      </c>
      <c r="V18">
        <v>9</v>
      </c>
      <c r="W18" s="8">
        <f t="shared" si="5"/>
        <v>0.28125</v>
      </c>
      <c r="X18" s="8">
        <v>2.7990900000000001</v>
      </c>
      <c r="Y18">
        <v>22</v>
      </c>
      <c r="Z18" s="8">
        <f t="shared" si="6"/>
        <v>0.6875</v>
      </c>
      <c r="AA18" s="8">
        <v>2.8029899999999999</v>
      </c>
    </row>
    <row r="19" spans="2:27" ht="15" customHeight="1" x14ac:dyDescent="0.25">
      <c r="B19" t="s">
        <v>40</v>
      </c>
      <c r="C19" s="8">
        <v>-12736.2042</v>
      </c>
      <c r="D19" s="2">
        <v>-12737.386997</v>
      </c>
      <c r="F19" s="12">
        <v>0.99627399999999999</v>
      </c>
      <c r="G19" s="13">
        <v>0.188499999999999</v>
      </c>
      <c r="H19">
        <v>11</v>
      </c>
      <c r="I19">
        <v>2</v>
      </c>
      <c r="K19" s="8">
        <f t="shared" si="0"/>
        <v>-0.62017692307745165</v>
      </c>
      <c r="L19" s="8">
        <f t="shared" si="1"/>
        <v>-4.7705917159803976E-2</v>
      </c>
      <c r="M19" s="8">
        <f t="shared" si="2"/>
        <v>-0.57740638461473281</v>
      </c>
      <c r="N19" s="8">
        <f t="shared" si="3"/>
        <v>-4.441587573959483E-2</v>
      </c>
      <c r="O19" s="8"/>
      <c r="P19" t="s">
        <v>41</v>
      </c>
      <c r="Q19">
        <v>34</v>
      </c>
      <c r="R19" s="8">
        <v>2.8290500000000001</v>
      </c>
      <c r="S19">
        <v>0</v>
      </c>
      <c r="T19" s="8">
        <f t="shared" si="4"/>
        <v>0</v>
      </c>
      <c r="U19" s="8">
        <v>0</v>
      </c>
      <c r="V19">
        <v>11</v>
      </c>
      <c r="W19" s="8">
        <f t="shared" si="5"/>
        <v>0.3235294117647059</v>
      </c>
      <c r="X19" s="8">
        <v>2.80179</v>
      </c>
      <c r="Y19">
        <v>23</v>
      </c>
      <c r="Z19" s="8">
        <f t="shared" si="6"/>
        <v>0.67647058823529416</v>
      </c>
      <c r="AA19" s="8">
        <v>2.8420899999999998</v>
      </c>
    </row>
    <row r="20" spans="2:27" ht="15" customHeight="1" x14ac:dyDescent="0.25">
      <c r="B20" t="s">
        <v>42</v>
      </c>
      <c r="C20" s="8">
        <v>-12735.9601</v>
      </c>
      <c r="D20" s="2">
        <v>-12737.188966</v>
      </c>
      <c r="F20" s="12">
        <v>0.99648199999999998</v>
      </c>
      <c r="G20" s="13">
        <v>0.19023000000000001</v>
      </c>
      <c r="H20">
        <v>11</v>
      </c>
      <c r="I20">
        <v>2</v>
      </c>
      <c r="K20" s="8">
        <f t="shared" si="0"/>
        <v>-0.37607692307756224</v>
      </c>
      <c r="L20" s="8">
        <f t="shared" si="1"/>
        <v>-2.8928994082889403E-2</v>
      </c>
      <c r="M20" s="8">
        <f t="shared" si="2"/>
        <v>-0.379375384614832</v>
      </c>
      <c r="N20" s="8">
        <f t="shared" si="3"/>
        <v>-2.9182721893448615E-2</v>
      </c>
      <c r="O20" s="8"/>
      <c r="P20" t="s">
        <v>43</v>
      </c>
      <c r="Q20">
        <v>34</v>
      </c>
      <c r="R20" s="8">
        <v>2.8249499999999999</v>
      </c>
      <c r="S20">
        <v>1</v>
      </c>
      <c r="T20" s="8">
        <f t="shared" si="4"/>
        <v>2.9411764705882353E-2</v>
      </c>
      <c r="U20" s="8">
        <v>2.9081299999999999</v>
      </c>
      <c r="V20">
        <v>10</v>
      </c>
      <c r="W20" s="8">
        <f t="shared" si="5"/>
        <v>0.29411764705882354</v>
      </c>
      <c r="X20" s="8">
        <v>2.8283999999999998</v>
      </c>
      <c r="Y20">
        <v>23</v>
      </c>
      <c r="Z20" s="8">
        <f t="shared" si="6"/>
        <v>0.67647058823529416</v>
      </c>
      <c r="AA20" s="8">
        <v>2.8198300000000001</v>
      </c>
    </row>
    <row r="21" spans="2:27" ht="15" customHeight="1" x14ac:dyDescent="0.25">
      <c r="B21" t="s">
        <v>44</v>
      </c>
      <c r="C21" s="8">
        <v>-12736.047</v>
      </c>
      <c r="D21" s="2">
        <v>-12737.396301000001</v>
      </c>
      <c r="F21" s="12">
        <v>0.99708300000000005</v>
      </c>
      <c r="G21" s="13">
        <v>0.19594999999999901</v>
      </c>
      <c r="H21">
        <v>11</v>
      </c>
      <c r="I21">
        <v>2</v>
      </c>
      <c r="K21" s="8">
        <f t="shared" si="0"/>
        <v>-0.4629769230778038</v>
      </c>
      <c r="L21" s="8">
        <f t="shared" si="1"/>
        <v>-3.5613609467523372E-2</v>
      </c>
      <c r="M21" s="8">
        <f t="shared" si="2"/>
        <v>-0.58671038461579883</v>
      </c>
      <c r="N21" s="8">
        <f t="shared" si="3"/>
        <v>-4.513156804736914E-2</v>
      </c>
      <c r="O21" s="8"/>
      <c r="P21" t="s">
        <v>45</v>
      </c>
      <c r="Q21">
        <v>33</v>
      </c>
      <c r="R21" s="8">
        <v>2.8165900000000001</v>
      </c>
      <c r="S21">
        <v>0</v>
      </c>
      <c r="T21" s="8">
        <f t="shared" si="4"/>
        <v>0</v>
      </c>
      <c r="U21" s="8">
        <v>0</v>
      </c>
      <c r="V21">
        <v>12</v>
      </c>
      <c r="W21" s="8">
        <f t="shared" si="5"/>
        <v>0.36363636363636365</v>
      </c>
      <c r="X21" s="8">
        <v>2.8128500000000001</v>
      </c>
      <c r="Y21">
        <v>21</v>
      </c>
      <c r="Z21" s="8">
        <f t="shared" si="6"/>
        <v>0.63636363636363635</v>
      </c>
      <c r="AA21" s="8">
        <v>2.8187199999999999</v>
      </c>
    </row>
    <row r="22" spans="2:27" ht="15" customHeight="1" x14ac:dyDescent="0.25">
      <c r="B22" t="s">
        <v>46</v>
      </c>
      <c r="C22" s="8">
        <v>-12736.0903</v>
      </c>
      <c r="D22" s="2">
        <v>-12737.262000000001</v>
      </c>
      <c r="F22" s="12">
        <v>0.99625200000000003</v>
      </c>
      <c r="G22" s="13">
        <v>0.18798000000000001</v>
      </c>
      <c r="H22">
        <v>11</v>
      </c>
      <c r="I22">
        <v>2</v>
      </c>
      <c r="K22" s="8">
        <f t="shared" si="0"/>
        <v>-0.50627692307716643</v>
      </c>
      <c r="L22" s="8">
        <f t="shared" si="1"/>
        <v>-3.8944378698243569E-2</v>
      </c>
      <c r="M22" s="8">
        <f t="shared" si="2"/>
        <v>-0.45240938461574842</v>
      </c>
      <c r="N22" s="8">
        <f t="shared" si="3"/>
        <v>-3.4800721893519113E-2</v>
      </c>
      <c r="O22" s="8"/>
      <c r="P22" t="s">
        <v>47</v>
      </c>
      <c r="Q22">
        <v>34</v>
      </c>
      <c r="R22" s="8">
        <v>2.8280099999999999</v>
      </c>
      <c r="S22">
        <v>0</v>
      </c>
      <c r="T22" s="8">
        <f t="shared" si="4"/>
        <v>0</v>
      </c>
      <c r="U22" s="8">
        <v>0</v>
      </c>
      <c r="V22">
        <v>9</v>
      </c>
      <c r="W22" s="8">
        <f t="shared" si="5"/>
        <v>0.26470588235294118</v>
      </c>
      <c r="X22" s="8">
        <v>2.7845</v>
      </c>
      <c r="Y22">
        <v>25</v>
      </c>
      <c r="Z22" s="8">
        <f t="shared" si="6"/>
        <v>0.73529411764705888</v>
      </c>
      <c r="AA22" s="8">
        <v>2.84368</v>
      </c>
    </row>
    <row r="23" spans="2:27" ht="15" customHeight="1" x14ac:dyDescent="0.25">
      <c r="B23" t="s">
        <v>48</v>
      </c>
      <c r="C23" s="8">
        <v>-12736.234399999999</v>
      </c>
      <c r="D23" s="2">
        <v>-12737.393177</v>
      </c>
      <c r="F23" s="12">
        <v>0.99672300000000003</v>
      </c>
      <c r="G23" s="13">
        <v>0.19245999999999999</v>
      </c>
      <c r="H23">
        <v>11</v>
      </c>
      <c r="I23">
        <v>2</v>
      </c>
      <c r="K23" s="8">
        <f t="shared" si="0"/>
        <v>-0.65037692307669204</v>
      </c>
      <c r="L23" s="8">
        <f t="shared" si="1"/>
        <v>-5.0028994082822464E-2</v>
      </c>
      <c r="M23" s="8">
        <f t="shared" si="2"/>
        <v>-0.58358638461504597</v>
      </c>
      <c r="N23" s="8">
        <f t="shared" si="3"/>
        <v>-4.4891260355003536E-2</v>
      </c>
      <c r="O23" s="8"/>
      <c r="P23" t="s">
        <v>49</v>
      </c>
      <c r="Q23">
        <v>32</v>
      </c>
      <c r="R23" s="8">
        <v>2.8024800000000001</v>
      </c>
      <c r="S23">
        <v>1</v>
      </c>
      <c r="T23" s="8">
        <f t="shared" si="4"/>
        <v>3.125E-2</v>
      </c>
      <c r="U23" s="8">
        <v>2.8456999999999999</v>
      </c>
      <c r="V23">
        <v>8</v>
      </c>
      <c r="W23" s="8">
        <f t="shared" si="5"/>
        <v>0.25</v>
      </c>
      <c r="X23" s="8">
        <v>2.7999100000000001</v>
      </c>
      <c r="Y23">
        <v>23</v>
      </c>
      <c r="Z23" s="8">
        <f t="shared" si="6"/>
        <v>0.71875</v>
      </c>
      <c r="AA23" s="8">
        <v>2.8014899999999998</v>
      </c>
    </row>
    <row r="24" spans="2:27" ht="15" customHeight="1" x14ac:dyDescent="0.25">
      <c r="B24" s="14" t="s">
        <v>50</v>
      </c>
      <c r="C24" s="15">
        <v>-12736.337299999999</v>
      </c>
      <c r="D24" s="16">
        <v>-12737.578846</v>
      </c>
      <c r="E24" s="14"/>
      <c r="F24" s="17">
        <v>0.99658400000000003</v>
      </c>
      <c r="G24" s="18">
        <v>0.19112000000000001</v>
      </c>
      <c r="H24" s="14">
        <v>11</v>
      </c>
      <c r="I24" s="14">
        <v>2</v>
      </c>
      <c r="K24" s="8">
        <f t="shared" si="0"/>
        <v>-0.75327692307655525</v>
      </c>
      <c r="L24" s="8">
        <f t="shared" si="1"/>
        <v>-5.7944378698196561E-2</v>
      </c>
      <c r="M24" s="8">
        <f t="shared" si="2"/>
        <v>-0.76925538461546239</v>
      </c>
      <c r="N24" s="8">
        <f t="shared" si="3"/>
        <v>-5.9173491124266335E-2</v>
      </c>
      <c r="O24" s="8"/>
      <c r="P24" t="s">
        <v>51</v>
      </c>
      <c r="Q24">
        <v>32</v>
      </c>
      <c r="R24" s="8">
        <v>2.8073199999999998</v>
      </c>
      <c r="S24">
        <v>0</v>
      </c>
      <c r="T24" s="8">
        <f t="shared" si="4"/>
        <v>0</v>
      </c>
      <c r="U24" s="8">
        <v>0</v>
      </c>
      <c r="V24">
        <v>12</v>
      </c>
      <c r="W24" s="8">
        <f t="shared" si="5"/>
        <v>0.375</v>
      </c>
      <c r="X24" s="8">
        <v>2.8350200000000001</v>
      </c>
      <c r="Y24">
        <v>20</v>
      </c>
      <c r="Z24" s="8">
        <f t="shared" si="6"/>
        <v>0.625</v>
      </c>
      <c r="AA24" s="8">
        <v>2.7906900000000001</v>
      </c>
    </row>
    <row r="25" spans="2:27" ht="15" customHeight="1" x14ac:dyDescent="0.25">
      <c r="B25" t="s">
        <v>52</v>
      </c>
      <c r="C25" s="8">
        <v>-12736.2783</v>
      </c>
      <c r="D25" s="2">
        <v>-12737.439426999999</v>
      </c>
      <c r="F25" s="12">
        <v>0.99659500000000001</v>
      </c>
      <c r="G25" s="13">
        <v>0.191219999999999</v>
      </c>
      <c r="H25">
        <v>11</v>
      </c>
      <c r="I25">
        <v>2</v>
      </c>
      <c r="K25" s="8">
        <f t="shared" si="0"/>
        <v>-0.69427692307726829</v>
      </c>
      <c r="L25" s="8">
        <f t="shared" si="1"/>
        <v>-5.3405917159789866E-2</v>
      </c>
      <c r="M25" s="8">
        <f t="shared" si="2"/>
        <v>-0.6298363846144639</v>
      </c>
      <c r="N25" s="8">
        <f t="shared" si="3"/>
        <v>-4.8448952662651069E-2</v>
      </c>
      <c r="O25" s="8"/>
      <c r="P25" t="s">
        <v>53</v>
      </c>
      <c r="Q25">
        <v>33</v>
      </c>
      <c r="R25" s="8">
        <v>2.8161200000000002</v>
      </c>
      <c r="S25">
        <v>0</v>
      </c>
      <c r="T25" s="8">
        <f t="shared" si="4"/>
        <v>0</v>
      </c>
      <c r="U25" s="8">
        <v>0</v>
      </c>
      <c r="V25">
        <v>10</v>
      </c>
      <c r="W25" s="8">
        <f t="shared" si="5"/>
        <v>0.30303030303030304</v>
      </c>
      <c r="X25" s="8">
        <v>2.82084</v>
      </c>
      <c r="Y25">
        <v>23</v>
      </c>
      <c r="Z25" s="8">
        <f t="shared" si="6"/>
        <v>0.69696969696969702</v>
      </c>
      <c r="AA25" s="8">
        <v>2.8140700000000001</v>
      </c>
    </row>
    <row r="26" spans="2:27" ht="15" customHeight="1" x14ac:dyDescent="0.25">
      <c r="B26" t="s">
        <v>54</v>
      </c>
      <c r="C26" s="8">
        <v>-12736.057199999999</v>
      </c>
      <c r="D26" s="2">
        <v>-12737.272467000001</v>
      </c>
      <c r="F26" s="12">
        <v>0.99594899999999997</v>
      </c>
      <c r="G26" s="13">
        <v>0.18601999999999999</v>
      </c>
      <c r="H26">
        <v>11</v>
      </c>
      <c r="I26">
        <v>2</v>
      </c>
      <c r="K26" s="8">
        <f t="shared" si="0"/>
        <v>-0.47317692307660764</v>
      </c>
      <c r="L26" s="8">
        <f t="shared" si="1"/>
        <v>-3.6398224852046739E-2</v>
      </c>
      <c r="M26" s="8">
        <f t="shared" si="2"/>
        <v>-0.46287638461581082</v>
      </c>
      <c r="N26" s="8">
        <f t="shared" si="3"/>
        <v>-3.5605875739677759E-2</v>
      </c>
      <c r="O26" s="8"/>
      <c r="P26" t="s">
        <v>55</v>
      </c>
      <c r="Q26">
        <v>33</v>
      </c>
      <c r="R26" s="8">
        <v>2.8158799999999999</v>
      </c>
      <c r="S26">
        <v>1</v>
      </c>
      <c r="T26" s="8">
        <f t="shared" si="4"/>
        <v>3.0303030303030304E-2</v>
      </c>
      <c r="U26" s="8">
        <v>3.07531</v>
      </c>
      <c r="V26">
        <v>10</v>
      </c>
      <c r="W26" s="8">
        <f t="shared" si="5"/>
        <v>0.30303030303030304</v>
      </c>
      <c r="X26" s="8">
        <v>2.7987500000000001</v>
      </c>
      <c r="Y26">
        <v>22</v>
      </c>
      <c r="Z26" s="8">
        <f t="shared" si="6"/>
        <v>0.66666666666666663</v>
      </c>
      <c r="AA26" s="8">
        <v>2.8118799999999999</v>
      </c>
    </row>
    <row r="27" spans="2:27" ht="15" customHeight="1" x14ac:dyDescent="0.25">
      <c r="B27" t="s">
        <v>56</v>
      </c>
      <c r="C27" s="8">
        <v>-12736.1425</v>
      </c>
      <c r="D27" s="2">
        <v>-12737.350374</v>
      </c>
      <c r="F27" s="12">
        <v>0.99496799999999996</v>
      </c>
      <c r="G27" s="13">
        <v>0.17938999999999999</v>
      </c>
      <c r="H27">
        <v>11</v>
      </c>
      <c r="I27">
        <v>2</v>
      </c>
      <c r="K27" s="8">
        <f t="shared" si="0"/>
        <v>-0.55847692307725083</v>
      </c>
      <c r="L27" s="8">
        <f t="shared" si="1"/>
        <v>-4.2959763313634679E-2</v>
      </c>
      <c r="M27" s="8">
        <f t="shared" si="2"/>
        <v>-0.5407833846147696</v>
      </c>
      <c r="N27" s="8">
        <f t="shared" si="3"/>
        <v>-4.1598721893443817E-2</v>
      </c>
      <c r="O27" s="8"/>
      <c r="P27" t="s">
        <v>57</v>
      </c>
      <c r="Q27">
        <v>35</v>
      </c>
      <c r="R27" s="8">
        <v>2.8402699999999999</v>
      </c>
      <c r="S27">
        <v>0</v>
      </c>
      <c r="T27" s="8">
        <f t="shared" si="4"/>
        <v>0</v>
      </c>
      <c r="U27" s="8">
        <v>0</v>
      </c>
      <c r="V27">
        <v>12</v>
      </c>
      <c r="W27" s="8">
        <f t="shared" si="5"/>
        <v>0.34285714285714286</v>
      </c>
      <c r="X27" s="8">
        <v>2.8439299999999998</v>
      </c>
      <c r="Y27">
        <v>23</v>
      </c>
      <c r="Z27" s="8">
        <f t="shared" si="6"/>
        <v>0.65714285714285714</v>
      </c>
      <c r="AA27" s="8">
        <v>2.8383699999999998</v>
      </c>
    </row>
    <row r="28" spans="2:27" ht="15" customHeight="1" x14ac:dyDescent="0.25">
      <c r="B28" t="s">
        <v>58</v>
      </c>
      <c r="C28" s="8">
        <v>-12736.158299999999</v>
      </c>
      <c r="D28" s="2">
        <v>-12737.367257</v>
      </c>
      <c r="F28" s="12">
        <v>0.996062</v>
      </c>
      <c r="G28" s="13">
        <v>0.18684999999999999</v>
      </c>
      <c r="H28">
        <v>11</v>
      </c>
      <c r="I28">
        <v>2</v>
      </c>
      <c r="K28" s="8">
        <f t="shared" si="0"/>
        <v>-0.57427692307646794</v>
      </c>
      <c r="L28" s="8">
        <f t="shared" si="1"/>
        <v>-4.4175147928959074E-2</v>
      </c>
      <c r="M28" s="8">
        <f t="shared" si="2"/>
        <v>-0.55766638461500406</v>
      </c>
      <c r="N28" s="8">
        <f t="shared" si="3"/>
        <v>-4.2897414201154158E-2</v>
      </c>
      <c r="O28" s="8"/>
      <c r="P28" t="s">
        <v>59</v>
      </c>
      <c r="Q28">
        <v>34</v>
      </c>
      <c r="R28" s="8">
        <v>2.82761</v>
      </c>
      <c r="S28">
        <v>0</v>
      </c>
      <c r="T28" s="8">
        <f t="shared" si="4"/>
        <v>0</v>
      </c>
      <c r="U28" s="8">
        <v>0</v>
      </c>
      <c r="V28">
        <v>12</v>
      </c>
      <c r="W28" s="8">
        <f t="shared" si="5"/>
        <v>0.35294117647058826</v>
      </c>
      <c r="X28" s="8">
        <v>2.8335599999999999</v>
      </c>
      <c r="Y28">
        <v>22</v>
      </c>
      <c r="Z28" s="8">
        <f t="shared" si="6"/>
        <v>0.6470588235294118</v>
      </c>
      <c r="AA28" s="8">
        <v>2.82437</v>
      </c>
    </row>
    <row r="29" spans="2:27" ht="15" customHeight="1" x14ac:dyDescent="0.25">
      <c r="B29" t="s">
        <v>60</v>
      </c>
      <c r="C29" s="8">
        <v>-12736.2637</v>
      </c>
      <c r="D29" s="2">
        <v>-12737.475656000001</v>
      </c>
      <c r="F29" s="12">
        <v>0.99661699999999998</v>
      </c>
      <c r="G29" s="13">
        <v>0.19145000000000001</v>
      </c>
      <c r="H29">
        <v>11</v>
      </c>
      <c r="I29">
        <v>2</v>
      </c>
      <c r="K29" s="8">
        <f t="shared" si="0"/>
        <v>-0.67967692307684047</v>
      </c>
      <c r="L29" s="8">
        <f t="shared" si="1"/>
        <v>-5.2282840236680034E-2</v>
      </c>
      <c r="M29" s="8">
        <f t="shared" si="2"/>
        <v>-0.66606538461564924</v>
      </c>
      <c r="N29" s="8">
        <f t="shared" si="3"/>
        <v>-5.12357988165884E-2</v>
      </c>
      <c r="O29" s="8"/>
      <c r="P29" t="s">
        <v>61</v>
      </c>
      <c r="Q29">
        <v>33</v>
      </c>
      <c r="R29" s="8">
        <v>2.8193600000000001</v>
      </c>
      <c r="S29">
        <v>0</v>
      </c>
      <c r="T29" s="8">
        <f t="shared" si="4"/>
        <v>0</v>
      </c>
      <c r="U29" s="8">
        <v>0</v>
      </c>
      <c r="V29">
        <v>13</v>
      </c>
      <c r="W29" s="8">
        <f t="shared" si="5"/>
        <v>0.39393939393939392</v>
      </c>
      <c r="X29" s="8">
        <v>2.8536899999999998</v>
      </c>
      <c r="Y29">
        <v>20</v>
      </c>
      <c r="Z29" s="8">
        <f t="shared" si="6"/>
        <v>0.60606060606060608</v>
      </c>
      <c r="AA29" s="8">
        <v>2.79704</v>
      </c>
    </row>
    <row r="30" spans="2:27" ht="15" customHeight="1" x14ac:dyDescent="0.25">
      <c r="B30" t="s">
        <v>62</v>
      </c>
      <c r="C30" s="8">
        <v>-12736.1893</v>
      </c>
      <c r="D30" s="2">
        <v>-12737.401104</v>
      </c>
      <c r="F30" s="12">
        <v>0.99716000000000005</v>
      </c>
      <c r="G30" s="13">
        <v>0.19666999999999901</v>
      </c>
      <c r="H30">
        <v>11</v>
      </c>
      <c r="I30">
        <v>2</v>
      </c>
      <c r="K30" s="8">
        <f t="shared" si="0"/>
        <v>-0.6052769230773265</v>
      </c>
      <c r="L30" s="8">
        <f t="shared" si="1"/>
        <v>-4.65597633136405E-2</v>
      </c>
      <c r="M30" s="8">
        <f t="shared" si="2"/>
        <v>-0.59151338461560954</v>
      </c>
      <c r="N30" s="8">
        <f t="shared" si="3"/>
        <v>-4.5501029585816116E-2</v>
      </c>
      <c r="O30" s="8"/>
      <c r="P30" t="s">
        <v>63</v>
      </c>
      <c r="Q30">
        <v>34</v>
      </c>
      <c r="R30" s="8">
        <v>2.8264800000000001</v>
      </c>
      <c r="S30">
        <v>1</v>
      </c>
      <c r="T30" s="8">
        <f t="shared" si="4"/>
        <v>2.9411764705882353E-2</v>
      </c>
      <c r="U30" s="8">
        <v>2.7343199999999999</v>
      </c>
      <c r="V30">
        <v>7</v>
      </c>
      <c r="W30" s="8">
        <f t="shared" si="5"/>
        <v>0.20588235294117646</v>
      </c>
      <c r="X30" s="8">
        <v>2.8010299999999999</v>
      </c>
      <c r="Y30">
        <v>26</v>
      </c>
      <c r="Z30" s="8">
        <f t="shared" si="6"/>
        <v>0.76470588235294112</v>
      </c>
      <c r="AA30" s="8">
        <v>2.8368699999999998</v>
      </c>
    </row>
    <row r="31" spans="2:27" ht="15" customHeight="1" x14ac:dyDescent="0.25">
      <c r="B31" t="s">
        <v>64</v>
      </c>
      <c r="C31" s="8">
        <v>-12736.306500000001</v>
      </c>
      <c r="D31" s="2">
        <v>-12737.481632999999</v>
      </c>
      <c r="F31" s="12">
        <v>0.99705900000000003</v>
      </c>
      <c r="G31" s="13">
        <v>0.19550999999999999</v>
      </c>
      <c r="H31">
        <v>11</v>
      </c>
      <c r="I31">
        <v>2</v>
      </c>
      <c r="K31" s="8">
        <f t="shared" si="0"/>
        <v>-0.72247692307792022</v>
      </c>
      <c r="L31" s="8">
        <f t="shared" si="1"/>
        <v>-5.5575147929070784E-2</v>
      </c>
      <c r="M31" s="8">
        <f t="shared" si="2"/>
        <v>-0.67204238461454224</v>
      </c>
      <c r="N31" s="8">
        <f t="shared" si="3"/>
        <v>-5.1695568047272482E-2</v>
      </c>
      <c r="O31" s="8"/>
      <c r="P31" t="s">
        <v>65</v>
      </c>
      <c r="Q31">
        <v>34</v>
      </c>
      <c r="R31" s="8">
        <v>2.8217599999999998</v>
      </c>
      <c r="S31">
        <v>0</v>
      </c>
      <c r="T31" s="8">
        <f t="shared" si="4"/>
        <v>0</v>
      </c>
      <c r="U31" s="8">
        <v>0</v>
      </c>
      <c r="V31">
        <v>9</v>
      </c>
      <c r="W31" s="8">
        <f t="shared" si="5"/>
        <v>0.26470588235294118</v>
      </c>
      <c r="X31" s="8">
        <v>2.7850000000000001</v>
      </c>
      <c r="Y31">
        <v>25</v>
      </c>
      <c r="Z31" s="8">
        <f t="shared" si="6"/>
        <v>0.73529411764705888</v>
      </c>
      <c r="AA31" s="8">
        <v>2.8349899999999999</v>
      </c>
    </row>
    <row r="32" spans="2:27" ht="15" customHeight="1" x14ac:dyDescent="0.25">
      <c r="B32" t="s">
        <v>66</v>
      </c>
      <c r="C32" s="8">
        <v>-12735.996800000001</v>
      </c>
      <c r="D32" s="2">
        <v>-12737.24178</v>
      </c>
      <c r="F32" s="12">
        <v>0.99653400000000003</v>
      </c>
      <c r="G32" s="13">
        <v>0.190799999999999</v>
      </c>
      <c r="H32">
        <v>11</v>
      </c>
      <c r="I32">
        <v>2</v>
      </c>
      <c r="K32" s="8">
        <f t="shared" si="0"/>
        <v>-0.41277692307812686</v>
      </c>
      <c r="L32" s="8">
        <f t="shared" si="1"/>
        <v>-3.1752071006009755E-2</v>
      </c>
      <c r="M32" s="8">
        <f t="shared" si="2"/>
        <v>-0.43218938461541256</v>
      </c>
      <c r="N32" s="8">
        <f t="shared" si="3"/>
        <v>-3.3245337278108661E-2</v>
      </c>
      <c r="O32" s="8"/>
      <c r="P32" t="s">
        <v>67</v>
      </c>
      <c r="Q32">
        <v>32</v>
      </c>
      <c r="R32" s="8">
        <v>2.80396</v>
      </c>
      <c r="S32">
        <v>1</v>
      </c>
      <c r="T32" s="8">
        <f t="shared" si="4"/>
        <v>3.125E-2</v>
      </c>
      <c r="U32" s="8">
        <v>2.7500300000000002</v>
      </c>
      <c r="V32">
        <v>8</v>
      </c>
      <c r="W32" s="8">
        <f t="shared" si="5"/>
        <v>0.25</v>
      </c>
      <c r="X32" s="8">
        <v>2.7682699999999998</v>
      </c>
      <c r="Y32">
        <v>23</v>
      </c>
      <c r="Z32" s="8">
        <f t="shared" si="6"/>
        <v>0.71875</v>
      </c>
      <c r="AA32" s="8">
        <v>2.8187099999999998</v>
      </c>
    </row>
    <row r="33" spans="1:27" ht="15" customHeight="1" x14ac:dyDescent="0.25">
      <c r="B33" t="s">
        <v>68</v>
      </c>
      <c r="C33" s="8">
        <v>-12735.936100000001</v>
      </c>
      <c r="D33" s="2">
        <v>-12737.190488</v>
      </c>
      <c r="F33" s="12">
        <v>0.99538499999999996</v>
      </c>
      <c r="G33" s="13">
        <v>0.18207000000000001</v>
      </c>
      <c r="H33">
        <v>11</v>
      </c>
      <c r="I33">
        <v>2</v>
      </c>
      <c r="K33" s="8">
        <f t="shared" si="0"/>
        <v>-0.35207692307812977</v>
      </c>
      <c r="L33" s="8">
        <f t="shared" si="1"/>
        <v>-2.7082840236779211E-2</v>
      </c>
      <c r="M33" s="8">
        <f t="shared" si="2"/>
        <v>-0.38089738461530942</v>
      </c>
      <c r="N33" s="8">
        <f t="shared" si="3"/>
        <v>-2.9299798816562264E-2</v>
      </c>
      <c r="O33" s="8"/>
      <c r="P33" t="s">
        <v>69</v>
      </c>
      <c r="Q33">
        <v>34</v>
      </c>
      <c r="R33" s="8">
        <v>2.82985</v>
      </c>
      <c r="S33">
        <v>1</v>
      </c>
      <c r="T33" s="8">
        <f t="shared" si="4"/>
        <v>2.9411764705882353E-2</v>
      </c>
      <c r="U33" s="8">
        <v>2.8257099999999999</v>
      </c>
      <c r="V33">
        <v>10</v>
      </c>
      <c r="W33" s="8">
        <f t="shared" si="5"/>
        <v>0.29411764705882354</v>
      </c>
      <c r="X33" s="8">
        <v>2.8625699999999998</v>
      </c>
      <c r="Y33">
        <v>23</v>
      </c>
      <c r="Z33" s="8">
        <f t="shared" si="6"/>
        <v>0.67647058823529416</v>
      </c>
      <c r="AA33" s="8">
        <v>2.8158099999999999</v>
      </c>
    </row>
    <row r="34" spans="1:27" ht="15" customHeight="1" x14ac:dyDescent="0.25">
      <c r="B34" t="s">
        <v>70</v>
      </c>
      <c r="C34" s="8">
        <v>-12735.9725</v>
      </c>
      <c r="D34" s="2">
        <v>-12737.323329999999</v>
      </c>
      <c r="F34" s="12">
        <v>0.99741000000000002</v>
      </c>
      <c r="G34" s="13">
        <v>0.19919999999999899</v>
      </c>
      <c r="H34">
        <v>11</v>
      </c>
      <c r="I34">
        <v>2</v>
      </c>
      <c r="K34" s="8">
        <f t="shared" si="0"/>
        <v>-0.38847692307717807</v>
      </c>
      <c r="L34" s="8">
        <f t="shared" si="1"/>
        <v>-2.9882840236706006E-2</v>
      </c>
      <c r="M34" s="8">
        <f t="shared" si="2"/>
        <v>-0.51373938461438229</v>
      </c>
      <c r="N34" s="8">
        <f t="shared" si="3"/>
        <v>-3.9518414201106328E-2</v>
      </c>
      <c r="O34" s="8"/>
      <c r="P34" t="s">
        <v>71</v>
      </c>
      <c r="Q34">
        <v>35</v>
      </c>
      <c r="R34" s="8">
        <v>2.8310900000000001</v>
      </c>
      <c r="S34">
        <v>0</v>
      </c>
      <c r="T34" s="8">
        <f t="shared" si="4"/>
        <v>0</v>
      </c>
      <c r="U34" s="8">
        <v>0</v>
      </c>
      <c r="V34">
        <v>10</v>
      </c>
      <c r="W34" s="8">
        <f t="shared" si="5"/>
        <v>0.2857142857142857</v>
      </c>
      <c r="X34" s="8">
        <v>2.79006</v>
      </c>
      <c r="Y34">
        <v>25</v>
      </c>
      <c r="Z34" s="8">
        <f t="shared" si="6"/>
        <v>0.7142857142857143</v>
      </c>
      <c r="AA34" s="8">
        <v>2.8475000000000001</v>
      </c>
    </row>
    <row r="35" spans="1:27" ht="15" customHeight="1" x14ac:dyDescent="0.25">
      <c r="B35" t="s">
        <v>72</v>
      </c>
      <c r="C35" s="8">
        <v>-12736.0218</v>
      </c>
      <c r="D35" s="2">
        <v>-12737.233464000001</v>
      </c>
      <c r="F35" s="12">
        <v>0.99697800000000003</v>
      </c>
      <c r="G35" s="13">
        <v>0.1948</v>
      </c>
      <c r="H35">
        <v>11</v>
      </c>
      <c r="I35">
        <v>2</v>
      </c>
      <c r="K35" s="8">
        <f t="shared" si="0"/>
        <v>-0.43777692307776306</v>
      </c>
      <c r="L35" s="8">
        <f t="shared" si="1"/>
        <v>-3.3675147929058694E-2</v>
      </c>
      <c r="M35" s="8">
        <f t="shared" si="2"/>
        <v>-0.42387338461594481</v>
      </c>
      <c r="N35" s="8">
        <f t="shared" si="3"/>
        <v>-3.2605644970457294E-2</v>
      </c>
      <c r="O35" s="8"/>
      <c r="P35" t="s">
        <v>73</v>
      </c>
      <c r="Q35">
        <v>34</v>
      </c>
      <c r="R35" s="8">
        <v>2.8195700000000001</v>
      </c>
      <c r="S35">
        <v>1</v>
      </c>
      <c r="T35" s="8">
        <f t="shared" si="4"/>
        <v>2.9411764705882353E-2</v>
      </c>
      <c r="U35" s="8">
        <v>2.8625699999999998</v>
      </c>
      <c r="V35">
        <v>9</v>
      </c>
      <c r="W35" s="8">
        <f t="shared" si="5"/>
        <v>0.26470588235294118</v>
      </c>
      <c r="X35" s="8">
        <v>2.8252299999999999</v>
      </c>
      <c r="Y35">
        <v>24</v>
      </c>
      <c r="Z35" s="8">
        <f t="shared" si="6"/>
        <v>0.70588235294117652</v>
      </c>
      <c r="AA35" s="8">
        <v>2.8156599999999998</v>
      </c>
    </row>
    <row r="36" spans="1:27" ht="15" customHeight="1" x14ac:dyDescent="0.25">
      <c r="B36" t="s">
        <v>74</v>
      </c>
      <c r="C36" s="8">
        <v>-12736.1248</v>
      </c>
      <c r="D36" s="2">
        <v>-12737.331305</v>
      </c>
      <c r="F36" s="12">
        <v>0.99651500000000004</v>
      </c>
      <c r="G36" s="13">
        <v>0.1905</v>
      </c>
      <c r="H36">
        <v>11</v>
      </c>
      <c r="I36">
        <v>2</v>
      </c>
      <c r="K36" s="8">
        <f t="shared" si="0"/>
        <v>-0.54077692307691905</v>
      </c>
      <c r="L36" s="8">
        <f t="shared" si="1"/>
        <v>-4.1598224852070695E-2</v>
      </c>
      <c r="M36" s="8">
        <f t="shared" si="2"/>
        <v>-0.52171438461482467</v>
      </c>
      <c r="N36" s="8">
        <f t="shared" si="3"/>
        <v>-4.0131875739601898E-2</v>
      </c>
      <c r="O36" s="8"/>
      <c r="P36" t="s">
        <v>75</v>
      </c>
      <c r="Q36">
        <v>34</v>
      </c>
      <c r="R36" s="8">
        <v>2.8226599999999999</v>
      </c>
      <c r="S36">
        <v>0</v>
      </c>
      <c r="T36" s="8">
        <f t="shared" si="4"/>
        <v>0</v>
      </c>
      <c r="U36" s="8">
        <v>0</v>
      </c>
      <c r="V36">
        <v>11</v>
      </c>
      <c r="W36" s="8">
        <f t="shared" si="5"/>
        <v>0.3235294117647059</v>
      </c>
      <c r="X36" s="8">
        <v>2.8296899999999998</v>
      </c>
      <c r="Y36">
        <v>23</v>
      </c>
      <c r="Z36" s="8">
        <f t="shared" si="6"/>
        <v>0.67647058823529416</v>
      </c>
      <c r="AA36" s="8">
        <v>2.8193000000000001</v>
      </c>
    </row>
    <row r="37" spans="1:27" ht="15" customHeight="1" x14ac:dyDescent="0.25">
      <c r="B37" t="s">
        <v>76</v>
      </c>
      <c r="C37" s="8">
        <v>-12736.170099999999</v>
      </c>
      <c r="D37" s="2">
        <v>-12737.389447</v>
      </c>
      <c r="F37" s="12">
        <v>0.99637299999999995</v>
      </c>
      <c r="G37" s="13">
        <v>0.186939999999999</v>
      </c>
      <c r="H37">
        <v>11</v>
      </c>
      <c r="I37">
        <v>2</v>
      </c>
      <c r="K37" s="8">
        <f t="shared" si="0"/>
        <v>-0.58607692307668913</v>
      </c>
      <c r="L37" s="8">
        <f t="shared" si="1"/>
        <v>-4.5082840236668392E-2</v>
      </c>
      <c r="M37" s="8">
        <f t="shared" si="2"/>
        <v>-0.57985638461468625</v>
      </c>
      <c r="N37" s="8">
        <f t="shared" si="3"/>
        <v>-4.460433727805279E-2</v>
      </c>
      <c r="O37" s="8"/>
      <c r="P37" t="s">
        <v>77</v>
      </c>
      <c r="Q37">
        <v>32</v>
      </c>
      <c r="R37" s="8">
        <v>2.8026300000000002</v>
      </c>
      <c r="S37">
        <v>0</v>
      </c>
      <c r="T37" s="8">
        <f t="shared" si="4"/>
        <v>0</v>
      </c>
      <c r="U37" s="8">
        <v>0</v>
      </c>
      <c r="V37">
        <v>8</v>
      </c>
      <c r="W37" s="8">
        <f t="shared" si="5"/>
        <v>0.25</v>
      </c>
      <c r="X37" s="8">
        <v>2.76851</v>
      </c>
      <c r="Y37">
        <v>24</v>
      </c>
      <c r="Z37" s="8">
        <f t="shared" si="6"/>
        <v>0.75</v>
      </c>
      <c r="AA37" s="8">
        <v>2.8140100000000001</v>
      </c>
    </row>
    <row r="38" spans="1:27" ht="15" customHeight="1" x14ac:dyDescent="0.25">
      <c r="C38" s="4"/>
      <c r="F38" s="12"/>
      <c r="G38" s="13"/>
      <c r="K38" s="8" t="str">
        <f t="shared" si="0"/>
        <v/>
      </c>
      <c r="L38" s="8" t="str">
        <f t="shared" si="1"/>
        <v/>
      </c>
      <c r="M38" s="8" t="str">
        <f t="shared" si="2"/>
        <v/>
      </c>
      <c r="N38" s="8" t="str">
        <f t="shared" si="3"/>
        <v/>
      </c>
      <c r="O38" s="8"/>
      <c r="T38" s="8" t="str">
        <f t="shared" si="4"/>
        <v/>
      </c>
      <c r="W38" s="8" t="str">
        <f t="shared" si="5"/>
        <v/>
      </c>
      <c r="Z38" s="8" t="str">
        <f t="shared" si="6"/>
        <v/>
      </c>
    </row>
    <row r="39" spans="1:27" ht="15" customHeight="1" x14ac:dyDescent="0.25">
      <c r="C39" s="5" t="s">
        <v>0</v>
      </c>
      <c r="D39" s="6" t="s">
        <v>1</v>
      </c>
      <c r="E39" s="7"/>
      <c r="F39" s="7" t="s">
        <v>2</v>
      </c>
      <c r="G39" s="7" t="s">
        <v>3</v>
      </c>
      <c r="H39" s="7" t="s">
        <v>4</v>
      </c>
      <c r="I39" s="7" t="s">
        <v>5</v>
      </c>
      <c r="K39" s="8" t="str">
        <f t="shared" si="0"/>
        <v/>
      </c>
      <c r="L39" s="8" t="str">
        <f t="shared" si="1"/>
        <v/>
      </c>
      <c r="M39" s="8" t="str">
        <f t="shared" si="2"/>
        <v/>
      </c>
      <c r="N39" s="8" t="str">
        <f t="shared" si="3"/>
        <v/>
      </c>
      <c r="O39" s="8"/>
      <c r="T39" s="8" t="str">
        <f t="shared" si="4"/>
        <v/>
      </c>
      <c r="W39" s="8" t="str">
        <f t="shared" si="5"/>
        <v/>
      </c>
      <c r="Z39" s="8" t="str">
        <f t="shared" si="6"/>
        <v/>
      </c>
    </row>
    <row r="40" spans="1:27" ht="15" customHeight="1" x14ac:dyDescent="0.25">
      <c r="A40" s="7" t="s">
        <v>78</v>
      </c>
      <c r="B40" s="7" t="s">
        <v>79</v>
      </c>
      <c r="C40" s="19">
        <v>-12643.069799999999</v>
      </c>
      <c r="D40" s="20">
        <v>-12644.661555999999</v>
      </c>
      <c r="E40" s="7"/>
      <c r="F40" s="21">
        <v>0.99532299999999996</v>
      </c>
      <c r="G40" s="22">
        <v>0.18160999999999999</v>
      </c>
      <c r="H40" s="7">
        <v>10</v>
      </c>
      <c r="I40" s="7">
        <v>3</v>
      </c>
      <c r="J40" s="7" t="s">
        <v>80</v>
      </c>
      <c r="K40" s="8">
        <f t="shared" si="0"/>
        <v>-0.77111538461576856</v>
      </c>
      <c r="L40" s="8">
        <f t="shared" si="1"/>
        <v>-5.9316568047366812E-2</v>
      </c>
      <c r="M40" s="8">
        <f t="shared" si="2"/>
        <v>-1.087165076922247</v>
      </c>
      <c r="N40" s="8">
        <f t="shared" si="3"/>
        <v>-8.362808284017284E-2</v>
      </c>
      <c r="O40" s="8"/>
      <c r="P40" t="s">
        <v>81</v>
      </c>
      <c r="Q40">
        <v>34</v>
      </c>
      <c r="R40" s="8">
        <v>2.82362</v>
      </c>
      <c r="S40">
        <v>1</v>
      </c>
      <c r="T40" s="8">
        <f t="shared" si="4"/>
        <v>2.9411764705882353E-2</v>
      </c>
      <c r="U40" s="8">
        <v>2.7949600000000001</v>
      </c>
      <c r="V40">
        <v>14</v>
      </c>
      <c r="W40" s="8">
        <f t="shared" si="5"/>
        <v>0.41176470588235292</v>
      </c>
      <c r="X40" s="8">
        <v>2.83209</v>
      </c>
      <c r="Y40">
        <v>19</v>
      </c>
      <c r="Z40" s="8">
        <f t="shared" si="6"/>
        <v>0.55882352941176472</v>
      </c>
      <c r="AA40" s="8">
        <v>2.8188900000000001</v>
      </c>
    </row>
    <row r="41" spans="1:27" ht="15" customHeight="1" x14ac:dyDescent="0.25">
      <c r="B41" t="s">
        <v>82</v>
      </c>
      <c r="C41" s="8">
        <v>-12642.597641</v>
      </c>
      <c r="D41" s="2">
        <v>-12644.504309</v>
      </c>
      <c r="F41" s="12">
        <v>0.99454200000000004</v>
      </c>
      <c r="G41" s="13">
        <v>0.17680000000000001</v>
      </c>
      <c r="H41">
        <v>10</v>
      </c>
      <c r="I41">
        <v>3</v>
      </c>
      <c r="J41" t="s">
        <v>83</v>
      </c>
      <c r="K41" s="8">
        <f t="shared" si="0"/>
        <v>-0.29895638461675844</v>
      </c>
      <c r="L41" s="8">
        <f t="shared" si="1"/>
        <v>-2.299664497051988E-2</v>
      </c>
      <c r="M41" s="8">
        <f t="shared" si="2"/>
        <v>-0.92991807692305883</v>
      </c>
      <c r="N41" s="8">
        <f t="shared" si="3"/>
        <v>-7.1532159763312217E-2</v>
      </c>
      <c r="O41" s="8"/>
      <c r="P41" t="s">
        <v>84</v>
      </c>
      <c r="Q41">
        <v>34</v>
      </c>
      <c r="R41" s="8">
        <v>2.8226399999999998</v>
      </c>
      <c r="S41">
        <v>1</v>
      </c>
      <c r="T41" s="8">
        <f t="shared" si="4"/>
        <v>2.9411764705882353E-2</v>
      </c>
      <c r="U41" s="8">
        <v>3.0470899999999999</v>
      </c>
      <c r="V41">
        <v>14</v>
      </c>
      <c r="W41" s="8">
        <f t="shared" si="5"/>
        <v>0.41176470588235292</v>
      </c>
      <c r="X41" s="8">
        <v>2.8066499999999999</v>
      </c>
      <c r="Y41">
        <v>19</v>
      </c>
      <c r="Z41" s="8">
        <f t="shared" si="6"/>
        <v>0.55882352941176472</v>
      </c>
      <c r="AA41" s="8">
        <v>2.8226</v>
      </c>
    </row>
    <row r="42" spans="1:27" ht="15" customHeight="1" x14ac:dyDescent="0.25">
      <c r="B42" t="s">
        <v>85</v>
      </c>
      <c r="C42" s="8">
        <v>-12643.2767</v>
      </c>
      <c r="D42" s="2">
        <v>-12644.499558</v>
      </c>
      <c r="F42" s="12">
        <v>0.99657700000000005</v>
      </c>
      <c r="G42" s="13">
        <v>0.19105999999999901</v>
      </c>
      <c r="H42">
        <v>10</v>
      </c>
      <c r="I42">
        <v>3</v>
      </c>
      <c r="J42" t="s">
        <v>86</v>
      </c>
      <c r="K42" s="8">
        <f t="shared" si="0"/>
        <v>-0.97801538461681048</v>
      </c>
      <c r="L42" s="8">
        <f t="shared" si="1"/>
        <v>-7.5231952662831572E-2</v>
      </c>
      <c r="M42" s="8">
        <f t="shared" si="2"/>
        <v>-0.92516707692266209</v>
      </c>
      <c r="N42" s="8">
        <f t="shared" si="3"/>
        <v>-7.1166698224820163E-2</v>
      </c>
      <c r="O42" s="8"/>
      <c r="P42" t="s">
        <v>87</v>
      </c>
      <c r="Q42">
        <v>34</v>
      </c>
      <c r="R42" s="8">
        <v>2.8197800000000002</v>
      </c>
      <c r="S42">
        <v>1</v>
      </c>
      <c r="T42" s="8">
        <f t="shared" si="4"/>
        <v>2.9411764705882353E-2</v>
      </c>
      <c r="U42" s="8">
        <v>2.76193</v>
      </c>
      <c r="V42">
        <v>12</v>
      </c>
      <c r="W42" s="8">
        <f t="shared" si="5"/>
        <v>0.35294117647058826</v>
      </c>
      <c r="X42" s="8">
        <v>2.7927300000000002</v>
      </c>
      <c r="Y42">
        <v>21</v>
      </c>
      <c r="Z42" s="8">
        <f t="shared" si="6"/>
        <v>0.61764705882352944</v>
      </c>
      <c r="AA42" s="8">
        <v>2.83799</v>
      </c>
    </row>
    <row r="43" spans="1:27" ht="15" customHeight="1" x14ac:dyDescent="0.25">
      <c r="B43" t="s">
        <v>88</v>
      </c>
      <c r="C43" s="8">
        <v>-12643.236000000001</v>
      </c>
      <c r="D43" s="2">
        <v>-12644.499395999999</v>
      </c>
      <c r="F43" s="12">
        <v>0.99817299999999998</v>
      </c>
      <c r="G43" s="13">
        <v>0.20992</v>
      </c>
      <c r="H43">
        <v>10</v>
      </c>
      <c r="I43">
        <v>3</v>
      </c>
      <c r="J43" t="s">
        <v>89</v>
      </c>
      <c r="K43" s="8">
        <f t="shared" si="0"/>
        <v>-0.93731538461724995</v>
      </c>
      <c r="L43" s="8">
        <f t="shared" si="1"/>
        <v>-7.210118343209615E-2</v>
      </c>
      <c r="M43" s="8">
        <f t="shared" si="2"/>
        <v>-0.92500507692238898</v>
      </c>
      <c r="N43" s="8">
        <f t="shared" si="3"/>
        <v>-7.1154236686337607E-2</v>
      </c>
      <c r="O43" s="8"/>
      <c r="P43" t="s">
        <v>90</v>
      </c>
      <c r="Q43">
        <v>34</v>
      </c>
      <c r="R43" s="8">
        <v>2.82023</v>
      </c>
      <c r="S43">
        <v>1</v>
      </c>
      <c r="T43" s="8">
        <f t="shared" si="4"/>
        <v>2.9411764705882353E-2</v>
      </c>
      <c r="U43" s="8">
        <v>2.78748</v>
      </c>
      <c r="V43">
        <v>11</v>
      </c>
      <c r="W43" s="8">
        <f t="shared" si="5"/>
        <v>0.3235294117647059</v>
      </c>
      <c r="X43" s="8">
        <v>2.7734299999999998</v>
      </c>
      <c r="Y43">
        <v>22</v>
      </c>
      <c r="Z43" s="8">
        <f t="shared" si="6"/>
        <v>0.6470588235294118</v>
      </c>
      <c r="AA43" s="8">
        <v>2.8451300000000002</v>
      </c>
    </row>
    <row r="44" spans="1:27" ht="15" customHeight="1" x14ac:dyDescent="0.25">
      <c r="B44" t="s">
        <v>91</v>
      </c>
      <c r="C44" s="8">
        <v>-12643.2675</v>
      </c>
      <c r="D44" s="2">
        <v>-12644.491260000001</v>
      </c>
      <c r="F44" s="12">
        <v>0.995919</v>
      </c>
      <c r="G44" s="13">
        <v>0.18576999999999999</v>
      </c>
      <c r="H44">
        <v>10</v>
      </c>
      <c r="I44">
        <v>3</v>
      </c>
      <c r="J44" t="s">
        <v>92</v>
      </c>
      <c r="K44" s="8">
        <f t="shared" si="0"/>
        <v>-0.96881538461639138</v>
      </c>
      <c r="L44" s="8">
        <f t="shared" si="1"/>
        <v>-7.4524260355107036E-2</v>
      </c>
      <c r="M44" s="8">
        <f t="shared" si="2"/>
        <v>-0.91686907692383102</v>
      </c>
      <c r="N44" s="8">
        <f t="shared" si="3"/>
        <v>-7.0528390532602389E-2</v>
      </c>
      <c r="O44" s="8"/>
      <c r="P44" t="s">
        <v>93</v>
      </c>
      <c r="Q44">
        <v>35</v>
      </c>
      <c r="R44" s="8">
        <v>2.8386</v>
      </c>
      <c r="S44">
        <v>1</v>
      </c>
      <c r="T44" s="8">
        <f t="shared" si="4"/>
        <v>2.8571428571428571E-2</v>
      </c>
      <c r="U44" s="8">
        <v>3.14866</v>
      </c>
      <c r="V44">
        <v>18</v>
      </c>
      <c r="W44" s="8">
        <f t="shared" si="5"/>
        <v>0.51428571428571423</v>
      </c>
      <c r="X44" s="8">
        <v>2.83405</v>
      </c>
      <c r="Y44">
        <v>16</v>
      </c>
      <c r="Z44" s="8">
        <f t="shared" si="6"/>
        <v>0.45714285714285713</v>
      </c>
      <c r="AA44" s="8">
        <v>2.8243299999999998</v>
      </c>
    </row>
    <row r="45" spans="1:27" ht="15" customHeight="1" x14ac:dyDescent="0.25">
      <c r="B45" t="s">
        <v>94</v>
      </c>
      <c r="C45" s="8">
        <v>-12643.2925</v>
      </c>
      <c r="D45" s="2">
        <v>-12644.489111000001</v>
      </c>
      <c r="F45" s="12">
        <v>0.996</v>
      </c>
      <c r="G45" s="13">
        <v>0.18644999999999901</v>
      </c>
      <c r="H45">
        <v>10</v>
      </c>
      <c r="I45">
        <v>3</v>
      </c>
      <c r="J45" t="s">
        <v>95</v>
      </c>
      <c r="K45" s="8">
        <f t="shared" si="0"/>
        <v>-0.99381538461602759</v>
      </c>
      <c r="L45" s="8">
        <f t="shared" si="1"/>
        <v>-7.6447337278155975E-2</v>
      </c>
      <c r="M45" s="8">
        <f t="shared" si="2"/>
        <v>-0.91472007692391344</v>
      </c>
      <c r="N45" s="8">
        <f t="shared" si="3"/>
        <v>-7.0363082840301031E-2</v>
      </c>
      <c r="O45" s="8"/>
      <c r="P45" t="s">
        <v>96</v>
      </c>
      <c r="Q45">
        <v>32</v>
      </c>
      <c r="R45" s="8">
        <v>2.8062200000000002</v>
      </c>
      <c r="S45">
        <v>0</v>
      </c>
      <c r="T45" s="8">
        <f t="shared" si="4"/>
        <v>0</v>
      </c>
      <c r="U45" s="8">
        <v>0</v>
      </c>
      <c r="V45">
        <v>17</v>
      </c>
      <c r="W45" s="8">
        <f t="shared" si="5"/>
        <v>0.53125</v>
      </c>
      <c r="X45" s="8">
        <v>2.8170500000000001</v>
      </c>
      <c r="Y45">
        <v>15</v>
      </c>
      <c r="Z45" s="8">
        <f t="shared" si="6"/>
        <v>0.46875</v>
      </c>
      <c r="AA45" s="8">
        <v>2.7939400000000001</v>
      </c>
    </row>
    <row r="46" spans="1:27" ht="15" customHeight="1" x14ac:dyDescent="0.25">
      <c r="B46" s="7" t="s">
        <v>97</v>
      </c>
      <c r="C46" s="5">
        <v>-12643.294900000001</v>
      </c>
      <c r="D46" s="23">
        <v>-12644.488434999999</v>
      </c>
      <c r="E46" s="7"/>
      <c r="F46" s="21">
        <v>0.99682000000000004</v>
      </c>
      <c r="G46" s="22">
        <v>0.19300999999999999</v>
      </c>
      <c r="H46" s="7">
        <v>10</v>
      </c>
      <c r="I46" s="7">
        <v>3</v>
      </c>
      <c r="J46" s="7" t="s">
        <v>98</v>
      </c>
      <c r="K46" s="8">
        <f t="shared" si="0"/>
        <v>-0.99621538461724413</v>
      </c>
      <c r="L46" s="8">
        <f t="shared" si="1"/>
        <v>-7.6631952662864933E-2</v>
      </c>
      <c r="M46" s="8">
        <f t="shared" si="2"/>
        <v>-0.91404407692243694</v>
      </c>
      <c r="N46" s="8">
        <f t="shared" si="3"/>
        <v>-7.0311082840187458E-2</v>
      </c>
      <c r="O46" s="8"/>
      <c r="P46" t="s">
        <v>99</v>
      </c>
      <c r="Q46">
        <v>32</v>
      </c>
      <c r="R46" s="8">
        <v>2.8021600000000002</v>
      </c>
      <c r="S46">
        <v>1</v>
      </c>
      <c r="T46" s="8">
        <f t="shared" si="4"/>
        <v>3.125E-2</v>
      </c>
      <c r="U46" s="8">
        <v>2.8427600000000002</v>
      </c>
      <c r="V46">
        <v>12</v>
      </c>
      <c r="W46" s="8">
        <f t="shared" si="5"/>
        <v>0.375</v>
      </c>
      <c r="X46" s="8">
        <v>2.78945</v>
      </c>
      <c r="Y46">
        <v>19</v>
      </c>
      <c r="Z46" s="8">
        <f t="shared" si="6"/>
        <v>0.59375</v>
      </c>
      <c r="AA46" s="8">
        <v>2.8080400000000001</v>
      </c>
    </row>
    <row r="47" spans="1:27" ht="15" customHeight="1" x14ac:dyDescent="0.25">
      <c r="B47" t="s">
        <v>54</v>
      </c>
      <c r="C47" s="8">
        <v>-12642.814899999999</v>
      </c>
      <c r="D47" s="2">
        <v>-12644.479974</v>
      </c>
      <c r="F47" s="12">
        <v>0.99470499999999995</v>
      </c>
      <c r="G47" s="13">
        <v>0.17727000000000001</v>
      </c>
      <c r="H47">
        <v>10</v>
      </c>
      <c r="I47">
        <v>3</v>
      </c>
      <c r="J47" t="s">
        <v>100</v>
      </c>
      <c r="K47" s="8">
        <f t="shared" si="0"/>
        <v>-0.51621538461586169</v>
      </c>
      <c r="L47" s="8">
        <f t="shared" si="1"/>
        <v>-3.9708875739681668E-2</v>
      </c>
      <c r="M47" s="8">
        <f t="shared" si="2"/>
        <v>-0.90558307692299422</v>
      </c>
      <c r="N47" s="8">
        <f t="shared" si="3"/>
        <v>-6.9660236686384172E-2</v>
      </c>
      <c r="O47" s="8"/>
      <c r="P47" t="s">
        <v>101</v>
      </c>
      <c r="Q47">
        <v>36</v>
      </c>
      <c r="R47" s="8">
        <v>2.8412299999999999</v>
      </c>
      <c r="S47">
        <v>2</v>
      </c>
      <c r="T47" s="8">
        <f t="shared" si="4"/>
        <v>5.5555555555555552E-2</v>
      </c>
      <c r="U47" s="8">
        <v>2.8208099999999998</v>
      </c>
      <c r="V47">
        <v>15</v>
      </c>
      <c r="W47" s="8">
        <f t="shared" si="5"/>
        <v>0.41666666666666669</v>
      </c>
      <c r="X47" s="8">
        <v>2.8809499999999999</v>
      </c>
      <c r="Y47">
        <v>19</v>
      </c>
      <c r="Z47" s="8">
        <f t="shared" si="6"/>
        <v>0.52777777777777779</v>
      </c>
      <c r="AA47" s="8">
        <v>2.81202</v>
      </c>
    </row>
    <row r="48" spans="1:27" ht="15" customHeight="1" x14ac:dyDescent="0.25">
      <c r="B48" t="s">
        <v>102</v>
      </c>
      <c r="C48" s="8">
        <v>-12643.261399999999</v>
      </c>
      <c r="D48" s="2">
        <v>-12644.458218</v>
      </c>
      <c r="F48" s="12">
        <v>0.99636599999999997</v>
      </c>
      <c r="G48" s="13">
        <v>0.18920000000000001</v>
      </c>
      <c r="H48">
        <v>10</v>
      </c>
      <c r="I48">
        <v>3</v>
      </c>
      <c r="J48" t="s">
        <v>103</v>
      </c>
      <c r="K48" s="8">
        <f t="shared" si="0"/>
        <v>-0.96271538461587625</v>
      </c>
      <c r="L48" s="8">
        <f t="shared" si="1"/>
        <v>-7.4055029585836638E-2</v>
      </c>
      <c r="M48" s="8">
        <f t="shared" si="2"/>
        <v>-0.88382707692289841</v>
      </c>
      <c r="N48" s="8">
        <f t="shared" si="3"/>
        <v>-6.7986698224838341E-2</v>
      </c>
      <c r="O48" s="8"/>
      <c r="P48" t="s">
        <v>104</v>
      </c>
      <c r="Q48">
        <v>35</v>
      </c>
      <c r="R48" s="8">
        <v>2.8363999999999998</v>
      </c>
      <c r="S48">
        <v>1</v>
      </c>
      <c r="T48" s="8">
        <f t="shared" si="4"/>
        <v>2.8571428571428571E-2</v>
      </c>
      <c r="U48" s="8">
        <v>2.7820299999999998</v>
      </c>
      <c r="V48">
        <v>14</v>
      </c>
      <c r="W48" s="8">
        <f t="shared" si="5"/>
        <v>0.4</v>
      </c>
      <c r="X48" s="8">
        <v>2.8260100000000001</v>
      </c>
      <c r="Y48">
        <v>20</v>
      </c>
      <c r="Z48" s="8">
        <f t="shared" si="6"/>
        <v>0.5714285714285714</v>
      </c>
      <c r="AA48" s="8">
        <v>2.84639</v>
      </c>
    </row>
    <row r="49" spans="2:27" ht="15" customHeight="1" x14ac:dyDescent="0.25">
      <c r="B49" t="s">
        <v>105</v>
      </c>
      <c r="C49" s="8">
        <v>-12643.0254</v>
      </c>
      <c r="D49" s="2">
        <v>-12644.448913</v>
      </c>
      <c r="F49" s="12">
        <v>0.99755000000000005</v>
      </c>
      <c r="G49" s="13">
        <v>0.20113</v>
      </c>
      <c r="H49">
        <v>10</v>
      </c>
      <c r="I49">
        <v>3</v>
      </c>
      <c r="J49" t="s">
        <v>106</v>
      </c>
      <c r="K49" s="8">
        <f t="shared" si="0"/>
        <v>-0.72671538461690943</v>
      </c>
      <c r="L49" s="8">
        <f t="shared" si="1"/>
        <v>-5.5901183432069956E-2</v>
      </c>
      <c r="M49" s="8">
        <f t="shared" si="2"/>
        <v>-0.87452207692331285</v>
      </c>
      <c r="N49" s="8">
        <f t="shared" si="3"/>
        <v>-6.727092899410099E-2</v>
      </c>
      <c r="O49" s="8"/>
      <c r="P49" t="s">
        <v>107</v>
      </c>
      <c r="Q49">
        <v>34</v>
      </c>
      <c r="R49" s="8">
        <v>2.8205</v>
      </c>
      <c r="S49">
        <v>1</v>
      </c>
      <c r="T49" s="8">
        <f t="shared" si="4"/>
        <v>2.9411764705882353E-2</v>
      </c>
      <c r="U49" s="8">
        <v>2.8555000000000001</v>
      </c>
      <c r="V49">
        <v>13</v>
      </c>
      <c r="W49" s="8">
        <f t="shared" si="5"/>
        <v>0.38235294117647056</v>
      </c>
      <c r="X49" s="8">
        <v>2.81569</v>
      </c>
      <c r="Y49">
        <v>20</v>
      </c>
      <c r="Z49" s="8">
        <f t="shared" si="6"/>
        <v>0.58823529411764708</v>
      </c>
      <c r="AA49" s="8">
        <v>2.8218800000000002</v>
      </c>
    </row>
    <row r="50" spans="2:27" ht="15" customHeight="1" x14ac:dyDescent="0.25">
      <c r="B50" t="s">
        <v>108</v>
      </c>
      <c r="C50" s="8">
        <v>-12643.189899999999</v>
      </c>
      <c r="D50" s="2">
        <v>-12644.439812000001</v>
      </c>
      <c r="F50" s="12">
        <v>0.99664900000000001</v>
      </c>
      <c r="G50" s="13">
        <v>0.19170999999999999</v>
      </c>
      <c r="H50">
        <v>10</v>
      </c>
      <c r="I50">
        <v>3</v>
      </c>
      <c r="J50" t="s">
        <v>109</v>
      </c>
      <c r="K50" s="8">
        <f t="shared" si="0"/>
        <v>-0.89121538461586169</v>
      </c>
      <c r="L50" s="8">
        <f t="shared" si="1"/>
        <v>-6.8555029585835509E-2</v>
      </c>
      <c r="M50" s="8">
        <f t="shared" si="2"/>
        <v>-0.86542107692366699</v>
      </c>
      <c r="N50" s="8">
        <f t="shared" si="3"/>
        <v>-6.6570852071051304E-2</v>
      </c>
      <c r="O50" s="8"/>
      <c r="P50" t="s">
        <v>110</v>
      </c>
      <c r="Q50">
        <v>34</v>
      </c>
      <c r="R50" s="8">
        <v>2.8120699999999998</v>
      </c>
      <c r="S50">
        <v>1</v>
      </c>
      <c r="T50" s="8">
        <f t="shared" si="4"/>
        <v>2.9411764705882353E-2</v>
      </c>
      <c r="U50" s="8">
        <v>2.86572</v>
      </c>
      <c r="V50">
        <v>14</v>
      </c>
      <c r="W50" s="8">
        <f t="shared" si="5"/>
        <v>0.41176470588235292</v>
      </c>
      <c r="X50" s="8">
        <v>2.7977300000000001</v>
      </c>
      <c r="Y50">
        <v>19</v>
      </c>
      <c r="Z50" s="8">
        <f t="shared" si="6"/>
        <v>0.55882352941176472</v>
      </c>
      <c r="AA50" s="8">
        <v>2.8198099999999999</v>
      </c>
    </row>
    <row r="51" spans="2:27" ht="15" customHeight="1" x14ac:dyDescent="0.25">
      <c r="B51" t="s">
        <v>111</v>
      </c>
      <c r="C51" s="8">
        <v>-12643.2081</v>
      </c>
      <c r="D51" s="2">
        <v>-12644.43404</v>
      </c>
      <c r="F51" s="12">
        <v>0.99717100000000003</v>
      </c>
      <c r="G51" s="13">
        <v>0.1968</v>
      </c>
      <c r="H51">
        <v>10</v>
      </c>
      <c r="I51">
        <v>3</v>
      </c>
      <c r="J51" t="s">
        <v>112</v>
      </c>
      <c r="K51" s="8">
        <f t="shared" si="0"/>
        <v>-0.90941538461629534</v>
      </c>
      <c r="L51" s="8">
        <f t="shared" si="1"/>
        <v>-6.9955029585868869E-2</v>
      </c>
      <c r="M51" s="8">
        <f t="shared" si="2"/>
        <v>-0.85964907692323322</v>
      </c>
      <c r="N51" s="8">
        <f t="shared" si="3"/>
        <v>-6.6126852071017941E-2</v>
      </c>
      <c r="O51" s="8"/>
      <c r="P51" t="s">
        <v>113</v>
      </c>
      <c r="Q51">
        <v>34</v>
      </c>
      <c r="R51" s="8">
        <v>2.8220399999999999</v>
      </c>
      <c r="S51">
        <v>1</v>
      </c>
      <c r="T51" s="8">
        <f t="shared" si="4"/>
        <v>2.9411764705882353E-2</v>
      </c>
      <c r="U51" s="8">
        <v>2.8890500000000001</v>
      </c>
      <c r="V51">
        <v>14</v>
      </c>
      <c r="W51" s="8">
        <f t="shared" si="5"/>
        <v>0.41176470588235292</v>
      </c>
      <c r="X51" s="8">
        <v>2.81778</v>
      </c>
      <c r="Y51">
        <v>19</v>
      </c>
      <c r="Z51" s="8">
        <f t="shared" si="6"/>
        <v>0.55882352941176472</v>
      </c>
      <c r="AA51" s="8">
        <v>2.82165</v>
      </c>
    </row>
    <row r="52" spans="2:27" ht="15" customHeight="1" x14ac:dyDescent="0.25">
      <c r="B52" t="s">
        <v>114</v>
      </c>
      <c r="C52" s="8">
        <v>-12643.203100000001</v>
      </c>
      <c r="D52" s="2">
        <v>-12644.428641</v>
      </c>
      <c r="F52" s="12">
        <v>0.99662099999999998</v>
      </c>
      <c r="G52" s="13">
        <v>0.19145000000000001</v>
      </c>
      <c r="H52">
        <v>10</v>
      </c>
      <c r="I52">
        <v>3</v>
      </c>
      <c r="J52" t="s">
        <v>115</v>
      </c>
      <c r="K52" s="8">
        <f t="shared" si="0"/>
        <v>-0.9044153846170957</v>
      </c>
      <c r="L52" s="8">
        <f t="shared" si="1"/>
        <v>-6.9570414201315059E-2</v>
      </c>
      <c r="M52" s="8">
        <f t="shared" si="2"/>
        <v>-0.85425007692356303</v>
      </c>
      <c r="N52" s="8">
        <f t="shared" si="3"/>
        <v>-6.5711544378735623E-2</v>
      </c>
      <c r="O52" s="8"/>
      <c r="P52" t="s">
        <v>116</v>
      </c>
      <c r="Q52">
        <v>34</v>
      </c>
      <c r="R52" s="8">
        <v>2.8205800000000001</v>
      </c>
      <c r="S52">
        <v>0</v>
      </c>
      <c r="T52" s="8">
        <f t="shared" si="4"/>
        <v>0</v>
      </c>
      <c r="U52" s="8">
        <v>0</v>
      </c>
      <c r="V52">
        <v>16</v>
      </c>
      <c r="W52" s="8">
        <f t="shared" si="5"/>
        <v>0.47058823529411764</v>
      </c>
      <c r="X52" s="8">
        <v>2.8099099999999999</v>
      </c>
      <c r="Y52">
        <v>18</v>
      </c>
      <c r="Z52" s="8">
        <f t="shared" si="6"/>
        <v>0.52941176470588236</v>
      </c>
      <c r="AA52" s="8">
        <v>2.8300700000000001</v>
      </c>
    </row>
    <row r="53" spans="2:27" ht="15" customHeight="1" x14ac:dyDescent="0.25">
      <c r="B53" t="s">
        <v>117</v>
      </c>
      <c r="C53" s="8">
        <v>-12643.2233</v>
      </c>
      <c r="D53" s="2">
        <v>-12644.423940000001</v>
      </c>
      <c r="F53" s="12">
        <v>0.99670099999999995</v>
      </c>
      <c r="G53" s="13">
        <v>0.19212000000000001</v>
      </c>
      <c r="H53">
        <v>10</v>
      </c>
      <c r="I53">
        <v>3</v>
      </c>
      <c r="J53" t="s">
        <v>118</v>
      </c>
      <c r="K53" s="8">
        <f t="shared" si="0"/>
        <v>-0.92461538461611781</v>
      </c>
      <c r="L53" s="8">
        <f t="shared" si="1"/>
        <v>-7.1124260355085983E-2</v>
      </c>
      <c r="M53" s="8">
        <f t="shared" si="2"/>
        <v>-0.84954907692372217</v>
      </c>
      <c r="N53" s="8">
        <f t="shared" si="3"/>
        <v>-6.5349928994132472E-2</v>
      </c>
      <c r="O53" s="8"/>
      <c r="P53" t="s">
        <v>119</v>
      </c>
      <c r="Q53">
        <v>34</v>
      </c>
      <c r="R53" s="8">
        <v>2.8194699999999999</v>
      </c>
      <c r="S53">
        <v>0</v>
      </c>
      <c r="T53" s="8">
        <f t="shared" si="4"/>
        <v>0</v>
      </c>
      <c r="U53" s="8">
        <v>0</v>
      </c>
      <c r="V53">
        <v>14</v>
      </c>
      <c r="W53" s="8">
        <f t="shared" si="5"/>
        <v>0.41176470588235292</v>
      </c>
      <c r="X53" s="8">
        <v>2.7855400000000001</v>
      </c>
      <c r="Y53">
        <v>20</v>
      </c>
      <c r="Z53" s="8">
        <f t="shared" si="6"/>
        <v>0.58823529411764708</v>
      </c>
      <c r="AA53" s="8">
        <v>2.8432200000000001</v>
      </c>
    </row>
    <row r="54" spans="2:27" ht="15" customHeight="1" x14ac:dyDescent="0.25">
      <c r="B54" t="s">
        <v>120</v>
      </c>
      <c r="C54" s="8">
        <v>-12643.2048</v>
      </c>
      <c r="D54" s="2">
        <v>-12644.417665000001</v>
      </c>
      <c r="F54" s="12">
        <v>0.99607900000000005</v>
      </c>
      <c r="G54" s="13">
        <v>0.18687999999999899</v>
      </c>
      <c r="H54">
        <v>10</v>
      </c>
      <c r="I54">
        <v>3</v>
      </c>
      <c r="J54" t="s">
        <v>121</v>
      </c>
      <c r="K54" s="8">
        <f t="shared" si="0"/>
        <v>-0.90611538461598684</v>
      </c>
      <c r="L54" s="8">
        <f t="shared" si="1"/>
        <v>-6.9701183431998992E-2</v>
      </c>
      <c r="M54" s="8">
        <f t="shared" si="2"/>
        <v>-0.84327407692398992</v>
      </c>
      <c r="N54" s="8">
        <f t="shared" si="3"/>
        <v>-6.4867236686460758E-2</v>
      </c>
      <c r="O54" s="8"/>
      <c r="P54" t="s">
        <v>122</v>
      </c>
      <c r="Q54">
        <v>34</v>
      </c>
      <c r="R54" s="8">
        <v>2.82477</v>
      </c>
      <c r="S54">
        <v>1</v>
      </c>
      <c r="T54" s="8">
        <f t="shared" si="4"/>
        <v>2.9411764705882353E-2</v>
      </c>
      <c r="U54" s="8">
        <v>2.8345500000000001</v>
      </c>
      <c r="V54">
        <v>13</v>
      </c>
      <c r="W54" s="8">
        <f t="shared" si="5"/>
        <v>0.38235294117647056</v>
      </c>
      <c r="X54" s="8">
        <v>2.82199</v>
      </c>
      <c r="Y54">
        <v>20</v>
      </c>
      <c r="Z54" s="8">
        <f t="shared" si="6"/>
        <v>0.58823529411764708</v>
      </c>
      <c r="AA54" s="8">
        <v>2.8260900000000002</v>
      </c>
    </row>
    <row r="55" spans="2:27" ht="15" customHeight="1" x14ac:dyDescent="0.25">
      <c r="B55" t="s">
        <v>123</v>
      </c>
      <c r="C55" s="8">
        <v>-12642.983099999999</v>
      </c>
      <c r="D55" s="2">
        <v>-12644.404474999999</v>
      </c>
      <c r="F55" s="12">
        <v>0.99675100000000005</v>
      </c>
      <c r="G55" s="13">
        <v>0.19261999999999899</v>
      </c>
      <c r="H55">
        <v>10</v>
      </c>
      <c r="I55">
        <v>3</v>
      </c>
      <c r="J55" t="s">
        <v>124</v>
      </c>
      <c r="K55" s="8">
        <f t="shared" si="0"/>
        <v>-0.68441538461593154</v>
      </c>
      <c r="L55" s="8">
        <f t="shared" si="1"/>
        <v>-5.2647337278148583E-2</v>
      </c>
      <c r="M55" s="8">
        <f t="shared" si="2"/>
        <v>-0.8300840769225033</v>
      </c>
      <c r="N55" s="8">
        <f t="shared" si="3"/>
        <v>-6.3852621301731027E-2</v>
      </c>
      <c r="O55" s="8"/>
      <c r="P55" t="s">
        <v>125</v>
      </c>
      <c r="Q55">
        <v>34</v>
      </c>
      <c r="R55" s="8">
        <v>2.81996</v>
      </c>
      <c r="S55">
        <v>2</v>
      </c>
      <c r="T55" s="8">
        <f t="shared" si="4"/>
        <v>5.8823529411764705E-2</v>
      </c>
      <c r="U55" s="8">
        <v>2.79278</v>
      </c>
      <c r="V55">
        <v>12</v>
      </c>
      <c r="W55" s="8">
        <f t="shared" si="5"/>
        <v>0.35294117647058826</v>
      </c>
      <c r="X55" s="8">
        <v>2.8272400000000002</v>
      </c>
      <c r="Y55">
        <v>20</v>
      </c>
      <c r="Z55" s="8">
        <f t="shared" si="6"/>
        <v>0.58823529411764708</v>
      </c>
      <c r="AA55" s="8">
        <v>2.8183099999999999</v>
      </c>
    </row>
    <row r="56" spans="2:27" ht="15" customHeight="1" x14ac:dyDescent="0.25">
      <c r="B56" t="s">
        <v>126</v>
      </c>
      <c r="C56" s="8">
        <v>-12643.1865</v>
      </c>
      <c r="D56" s="2">
        <v>-12644.394775999999</v>
      </c>
      <c r="F56" s="12">
        <v>0.99660800000000005</v>
      </c>
      <c r="G56" s="13">
        <v>0.19131999999999999</v>
      </c>
      <c r="H56">
        <v>10</v>
      </c>
      <c r="I56">
        <v>3</v>
      </c>
      <c r="J56" t="s">
        <v>127</v>
      </c>
      <c r="K56" s="8">
        <f t="shared" si="0"/>
        <v>-0.88781538461626042</v>
      </c>
      <c r="L56" s="8">
        <f t="shared" si="1"/>
        <v>-6.8293491124327727E-2</v>
      </c>
      <c r="M56" s="8">
        <f t="shared" si="2"/>
        <v>-0.82038507692232088</v>
      </c>
      <c r="N56" s="8">
        <f t="shared" si="3"/>
        <v>-6.3106544378640064E-2</v>
      </c>
      <c r="O56" s="8"/>
      <c r="P56" t="s">
        <v>128</v>
      </c>
      <c r="Q56">
        <v>33</v>
      </c>
      <c r="R56" s="8">
        <v>2.8111199999999998</v>
      </c>
      <c r="S56">
        <v>1</v>
      </c>
      <c r="T56" s="8">
        <f t="shared" si="4"/>
        <v>3.0303030303030304E-2</v>
      </c>
      <c r="U56" s="8">
        <v>2.7890999999999999</v>
      </c>
      <c r="V56">
        <v>14</v>
      </c>
      <c r="W56" s="8">
        <f t="shared" si="5"/>
        <v>0.42424242424242425</v>
      </c>
      <c r="X56" s="8">
        <v>2.8056199999999998</v>
      </c>
      <c r="Y56">
        <v>18</v>
      </c>
      <c r="Z56" s="8">
        <f t="shared" si="6"/>
        <v>0.54545454545454541</v>
      </c>
      <c r="AA56" s="8">
        <v>2.8166099999999998</v>
      </c>
    </row>
    <row r="57" spans="2:27" ht="15" customHeight="1" x14ac:dyDescent="0.25">
      <c r="B57" t="s">
        <v>129</v>
      </c>
      <c r="C57" s="8">
        <v>-12643.154699999999</v>
      </c>
      <c r="D57" s="2">
        <v>-12644.387078</v>
      </c>
      <c r="F57" s="12">
        <v>0.99633000000000005</v>
      </c>
      <c r="G57" s="13">
        <v>0.18898999999999999</v>
      </c>
      <c r="H57">
        <v>10</v>
      </c>
      <c r="I57">
        <v>3</v>
      </c>
      <c r="J57" t="s">
        <v>130</v>
      </c>
      <c r="K57" s="8">
        <f t="shared" si="0"/>
        <v>-0.85601538461560267</v>
      </c>
      <c r="L57" s="8">
        <f t="shared" si="1"/>
        <v>-6.584733727812328E-2</v>
      </c>
      <c r="M57" s="8">
        <f t="shared" si="2"/>
        <v>-0.81268707692288444</v>
      </c>
      <c r="N57" s="8">
        <f t="shared" si="3"/>
        <v>-6.2514390532529579E-2</v>
      </c>
      <c r="O57" s="8"/>
      <c r="P57" t="s">
        <v>131</v>
      </c>
      <c r="Q57">
        <v>34</v>
      </c>
      <c r="R57" s="8">
        <v>2.8289</v>
      </c>
      <c r="S57">
        <v>1</v>
      </c>
      <c r="T57" s="8">
        <f t="shared" si="4"/>
        <v>2.9411764705882353E-2</v>
      </c>
      <c r="U57" s="8">
        <v>2.8006500000000001</v>
      </c>
      <c r="V57">
        <v>16</v>
      </c>
      <c r="W57" s="8">
        <f t="shared" si="5"/>
        <v>0.47058823529411764</v>
      </c>
      <c r="X57" s="8">
        <v>2.8536700000000002</v>
      </c>
      <c r="Y57">
        <v>17</v>
      </c>
      <c r="Z57" s="8">
        <f t="shared" si="6"/>
        <v>0.5</v>
      </c>
      <c r="AA57" s="8">
        <v>2.8072499999999998</v>
      </c>
    </row>
    <row r="58" spans="2:27" ht="15" customHeight="1" x14ac:dyDescent="0.25">
      <c r="B58" t="s">
        <v>132</v>
      </c>
      <c r="C58" s="8">
        <v>-12643.0064</v>
      </c>
      <c r="D58" s="2">
        <v>-12644.381511</v>
      </c>
      <c r="F58" s="12">
        <v>0.99680599999999997</v>
      </c>
      <c r="G58" s="13">
        <v>0.19334999999999899</v>
      </c>
      <c r="H58">
        <v>10</v>
      </c>
      <c r="I58">
        <v>3</v>
      </c>
      <c r="J58" t="s">
        <v>133</v>
      </c>
      <c r="K58" s="8">
        <f t="shared" si="0"/>
        <v>-0.7077153846166766</v>
      </c>
      <c r="L58" s="8">
        <f t="shared" si="1"/>
        <v>-5.4439644970513582E-2</v>
      </c>
      <c r="M58" s="8">
        <f t="shared" si="2"/>
        <v>-0.80712007692272891</v>
      </c>
      <c r="N58" s="8">
        <f t="shared" si="3"/>
        <v>-6.2086159763286838E-2</v>
      </c>
      <c r="O58" s="8"/>
      <c r="P58" t="s">
        <v>134</v>
      </c>
      <c r="Q58">
        <v>34</v>
      </c>
      <c r="R58" s="8">
        <v>2.8238599999999998</v>
      </c>
      <c r="S58">
        <v>2</v>
      </c>
      <c r="T58" s="8">
        <f t="shared" si="4"/>
        <v>5.8823529411764705E-2</v>
      </c>
      <c r="U58" s="8">
        <v>2.9859599999999999</v>
      </c>
      <c r="V58">
        <v>15</v>
      </c>
      <c r="W58" s="8">
        <f t="shared" si="5"/>
        <v>0.44117647058823528</v>
      </c>
      <c r="X58" s="8">
        <v>2.8094299999999999</v>
      </c>
      <c r="Y58">
        <v>17</v>
      </c>
      <c r="Z58" s="8">
        <f t="shared" si="6"/>
        <v>0.5</v>
      </c>
      <c r="AA58" s="8">
        <v>2.81752</v>
      </c>
    </row>
    <row r="59" spans="2:27" ht="15" customHeight="1" x14ac:dyDescent="0.25">
      <c r="B59" t="s">
        <v>135</v>
      </c>
      <c r="C59" s="8">
        <v>-12643.122600000001</v>
      </c>
      <c r="D59" s="2">
        <v>-12644.379965</v>
      </c>
      <c r="F59" s="12">
        <v>0.99640700000000004</v>
      </c>
      <c r="G59" s="13">
        <v>0.18959999999999999</v>
      </c>
      <c r="H59">
        <v>10</v>
      </c>
      <c r="I59">
        <v>3</v>
      </c>
      <c r="J59" t="s">
        <v>136</v>
      </c>
      <c r="K59" s="8">
        <f t="shared" si="0"/>
        <v>-0.82391538461706659</v>
      </c>
      <c r="L59" s="8">
        <f t="shared" si="1"/>
        <v>-6.3378106509005119E-2</v>
      </c>
      <c r="M59" s="8">
        <f t="shared" si="2"/>
        <v>-0.80557407692322158</v>
      </c>
      <c r="N59" s="8">
        <f t="shared" si="3"/>
        <v>-6.196723668640166E-2</v>
      </c>
      <c r="O59" s="8"/>
      <c r="P59" t="s">
        <v>137</v>
      </c>
      <c r="Q59">
        <v>35</v>
      </c>
      <c r="R59" s="8">
        <v>2.8401299999999998</v>
      </c>
      <c r="S59">
        <v>1</v>
      </c>
      <c r="T59" s="8">
        <f t="shared" si="4"/>
        <v>2.8571428571428571E-2</v>
      </c>
      <c r="U59" s="8">
        <v>2.8759399999999999</v>
      </c>
      <c r="V59">
        <v>17</v>
      </c>
      <c r="W59" s="8">
        <f t="shared" si="5"/>
        <v>0.48571428571428571</v>
      </c>
      <c r="X59" s="8">
        <v>2.8566199999999999</v>
      </c>
      <c r="Y59">
        <v>17</v>
      </c>
      <c r="Z59" s="8">
        <f t="shared" si="6"/>
        <v>0.48571428571428571</v>
      </c>
      <c r="AA59" s="8">
        <v>2.8215300000000001</v>
      </c>
    </row>
    <row r="60" spans="2:27" ht="15" customHeight="1" x14ac:dyDescent="0.25">
      <c r="B60" t="s">
        <v>138</v>
      </c>
      <c r="C60" s="8">
        <v>-12643.141799999999</v>
      </c>
      <c r="D60" s="2">
        <v>-12644.379255</v>
      </c>
      <c r="F60" s="12">
        <v>0.99532399999999999</v>
      </c>
      <c r="G60" s="13">
        <v>0.18140000000000001</v>
      </c>
      <c r="H60">
        <v>10</v>
      </c>
      <c r="I60">
        <v>3</v>
      </c>
      <c r="J60" t="s">
        <v>139</v>
      </c>
      <c r="K60" s="8">
        <f t="shared" si="0"/>
        <v>-0.84311538461588498</v>
      </c>
      <c r="L60" s="8">
        <f t="shared" si="1"/>
        <v>-6.4855029585837304E-2</v>
      </c>
      <c r="M60" s="8">
        <f t="shared" si="2"/>
        <v>-0.8048640769229678</v>
      </c>
      <c r="N60" s="8">
        <f t="shared" si="3"/>
        <v>-6.1912621301766751E-2</v>
      </c>
      <c r="O60" s="8"/>
      <c r="P60" t="s">
        <v>140</v>
      </c>
      <c r="Q60">
        <v>33</v>
      </c>
      <c r="R60" s="8">
        <v>2.8155100000000002</v>
      </c>
      <c r="S60">
        <v>1</v>
      </c>
      <c r="T60" s="8">
        <f t="shared" si="4"/>
        <v>3.0303030303030304E-2</v>
      </c>
      <c r="U60" s="8">
        <v>2.9220799999999998</v>
      </c>
      <c r="V60">
        <v>16</v>
      </c>
      <c r="W60" s="8">
        <f t="shared" si="5"/>
        <v>0.48484848484848486</v>
      </c>
      <c r="X60" s="8">
        <v>2.83887</v>
      </c>
      <c r="Y60">
        <v>16</v>
      </c>
      <c r="Z60" s="8">
        <f t="shared" si="6"/>
        <v>0.48484848484848486</v>
      </c>
      <c r="AA60" s="8">
        <v>2.7854999999999999</v>
      </c>
    </row>
    <row r="61" spans="2:27" ht="15" customHeight="1" x14ac:dyDescent="0.25">
      <c r="B61" t="s">
        <v>141</v>
      </c>
      <c r="C61" s="8">
        <v>-12643.118</v>
      </c>
      <c r="D61" s="2">
        <v>-12644.359768</v>
      </c>
      <c r="F61" s="12">
        <v>0.99536000000000002</v>
      </c>
      <c r="G61" s="13">
        <v>0.18192999999999901</v>
      </c>
      <c r="H61">
        <v>10</v>
      </c>
      <c r="I61">
        <v>3</v>
      </c>
      <c r="J61" t="s">
        <v>142</v>
      </c>
      <c r="K61" s="8">
        <f t="shared" si="0"/>
        <v>-0.81931538461685705</v>
      </c>
      <c r="L61" s="8">
        <f t="shared" si="1"/>
        <v>-6.3024260355142844E-2</v>
      </c>
      <c r="M61" s="8">
        <f t="shared" si="2"/>
        <v>-0.78537707692339609</v>
      </c>
      <c r="N61" s="8">
        <f t="shared" si="3"/>
        <v>-6.0413621301799697E-2</v>
      </c>
      <c r="O61" s="8"/>
      <c r="P61" t="s">
        <v>143</v>
      </c>
      <c r="Q61">
        <v>36</v>
      </c>
      <c r="R61" s="8">
        <v>2.8496999999999999</v>
      </c>
      <c r="S61">
        <v>1</v>
      </c>
      <c r="T61" s="8">
        <f t="shared" si="4"/>
        <v>2.7777777777777776E-2</v>
      </c>
      <c r="U61" s="8">
        <v>3.1606000000000001</v>
      </c>
      <c r="V61">
        <v>16</v>
      </c>
      <c r="W61" s="8">
        <f t="shared" si="5"/>
        <v>0.44444444444444442</v>
      </c>
      <c r="X61" s="8">
        <v>2.8026499999999999</v>
      </c>
      <c r="Y61">
        <v>19</v>
      </c>
      <c r="Z61" s="8">
        <f t="shared" si="6"/>
        <v>0.52777777777777779</v>
      </c>
      <c r="AA61" s="8">
        <v>2.8729499999999999</v>
      </c>
    </row>
    <row r="62" spans="2:27" ht="15" customHeight="1" x14ac:dyDescent="0.25">
      <c r="B62" t="s">
        <v>144</v>
      </c>
      <c r="C62" s="8">
        <v>-12643.1047</v>
      </c>
      <c r="D62" s="2">
        <v>-12644.359145</v>
      </c>
      <c r="F62" s="12">
        <v>0.99621400000000004</v>
      </c>
      <c r="G62" s="13">
        <v>0.18805999999999901</v>
      </c>
      <c r="H62">
        <v>10</v>
      </c>
      <c r="I62">
        <v>3</v>
      </c>
      <c r="J62" t="s">
        <v>145</v>
      </c>
      <c r="K62" s="8">
        <f t="shared" si="0"/>
        <v>-0.80601538461633027</v>
      </c>
      <c r="L62" s="8">
        <f t="shared" si="1"/>
        <v>-6.2001183432025403E-2</v>
      </c>
      <c r="M62" s="8">
        <f t="shared" si="2"/>
        <v>-0.78475407692349108</v>
      </c>
      <c r="N62" s="8">
        <f t="shared" si="3"/>
        <v>-6.0365698224883926E-2</v>
      </c>
      <c r="O62" s="8"/>
      <c r="P62" t="s">
        <v>146</v>
      </c>
      <c r="Q62">
        <v>32</v>
      </c>
      <c r="R62" s="8">
        <v>2.80036</v>
      </c>
      <c r="S62">
        <v>1</v>
      </c>
      <c r="T62" s="8">
        <f t="shared" si="4"/>
        <v>3.125E-2</v>
      </c>
      <c r="U62" s="8">
        <v>2.7497699999999998</v>
      </c>
      <c r="V62">
        <v>13</v>
      </c>
      <c r="W62" s="8">
        <f t="shared" si="5"/>
        <v>0.40625</v>
      </c>
      <c r="X62" s="8">
        <v>2.7803800000000001</v>
      </c>
      <c r="Y62">
        <v>18</v>
      </c>
      <c r="Z62" s="8">
        <f t="shared" si="6"/>
        <v>0.5625</v>
      </c>
      <c r="AA62" s="8">
        <v>2.8176100000000002</v>
      </c>
    </row>
    <row r="63" spans="2:27" ht="15" customHeight="1" x14ac:dyDescent="0.25">
      <c r="B63" t="s">
        <v>147</v>
      </c>
      <c r="C63" s="8">
        <v>-12643.1104</v>
      </c>
      <c r="D63" s="2">
        <v>-12644.357048</v>
      </c>
      <c r="F63" s="12">
        <v>0.99685400000000002</v>
      </c>
      <c r="G63" s="13">
        <v>0.193579999999999</v>
      </c>
      <c r="H63">
        <v>10</v>
      </c>
      <c r="I63">
        <v>3</v>
      </c>
      <c r="J63" t="s">
        <v>148</v>
      </c>
      <c r="K63" s="8">
        <f t="shared" si="0"/>
        <v>-0.81171538461603632</v>
      </c>
      <c r="L63" s="8">
        <f t="shared" si="1"/>
        <v>-6.2439644970464329E-2</v>
      </c>
      <c r="M63" s="8">
        <f t="shared" si="2"/>
        <v>-0.78265707692298747</v>
      </c>
      <c r="N63" s="8">
        <f t="shared" si="3"/>
        <v>-6.0204390532537497E-2</v>
      </c>
      <c r="O63" s="8"/>
      <c r="P63" t="s">
        <v>149</v>
      </c>
      <c r="Q63">
        <v>34</v>
      </c>
      <c r="R63" s="8">
        <v>2.8202500000000001</v>
      </c>
      <c r="S63">
        <v>1</v>
      </c>
      <c r="T63" s="8">
        <f t="shared" si="4"/>
        <v>2.9411764705882353E-2</v>
      </c>
      <c r="U63" s="8">
        <v>2.7836799999999999</v>
      </c>
      <c r="V63">
        <v>12</v>
      </c>
      <c r="W63" s="8">
        <f t="shared" si="5"/>
        <v>0.35294117647058826</v>
      </c>
      <c r="X63" s="8">
        <v>2.7926899999999999</v>
      </c>
      <c r="Y63">
        <v>21</v>
      </c>
      <c r="Z63" s="8">
        <f t="shared" si="6"/>
        <v>0.61764705882352944</v>
      </c>
      <c r="AA63" s="8">
        <v>2.8377400000000002</v>
      </c>
    </row>
    <row r="64" spans="2:27" ht="15" customHeight="1" x14ac:dyDescent="0.25">
      <c r="B64" t="s">
        <v>150</v>
      </c>
      <c r="C64" s="8">
        <v>-12643.1446</v>
      </c>
      <c r="D64" s="2">
        <v>-12644.35241</v>
      </c>
      <c r="F64" s="12">
        <v>0.99644999999999995</v>
      </c>
      <c r="G64" s="13">
        <v>0.18995999999999999</v>
      </c>
      <c r="H64">
        <v>10</v>
      </c>
      <c r="I64">
        <v>3</v>
      </c>
      <c r="J64" t="s">
        <v>151</v>
      </c>
      <c r="K64" s="8">
        <f t="shared" si="0"/>
        <v>-0.84591538461609161</v>
      </c>
      <c r="L64" s="8">
        <f t="shared" si="1"/>
        <v>-6.5070414201237811E-2</v>
      </c>
      <c r="M64" s="8">
        <f t="shared" si="2"/>
        <v>-0.77801907692264649</v>
      </c>
      <c r="N64" s="8">
        <f t="shared" si="3"/>
        <v>-5.9847621301742038E-2</v>
      </c>
      <c r="O64" s="8"/>
      <c r="P64" t="s">
        <v>152</v>
      </c>
      <c r="Q64">
        <v>34</v>
      </c>
      <c r="R64" s="8">
        <v>2.8282400000000001</v>
      </c>
      <c r="S64">
        <v>1</v>
      </c>
      <c r="T64" s="8">
        <f t="shared" si="4"/>
        <v>2.9411764705882353E-2</v>
      </c>
      <c r="U64" s="8">
        <v>2.77413</v>
      </c>
      <c r="V64">
        <v>14</v>
      </c>
      <c r="W64" s="8">
        <f t="shared" si="5"/>
        <v>0.41176470588235292</v>
      </c>
      <c r="X64" s="8">
        <v>2.8147799999999998</v>
      </c>
      <c r="Y64">
        <v>19</v>
      </c>
      <c r="Z64" s="8">
        <f t="shared" si="6"/>
        <v>0.55882352941176472</v>
      </c>
      <c r="AA64" s="8">
        <v>2.8410199999999999</v>
      </c>
    </row>
    <row r="65" spans="2:27" ht="15" customHeight="1" x14ac:dyDescent="0.25">
      <c r="B65" t="s">
        <v>153</v>
      </c>
      <c r="C65" s="8">
        <v>-12643.126899999999</v>
      </c>
      <c r="D65" s="2">
        <v>-12644.346535000001</v>
      </c>
      <c r="F65" s="12">
        <v>0.99641000000000002</v>
      </c>
      <c r="G65" s="13">
        <v>0.18964999999999901</v>
      </c>
      <c r="H65">
        <v>10</v>
      </c>
      <c r="I65">
        <v>3</v>
      </c>
      <c r="J65" t="s">
        <v>154</v>
      </c>
      <c r="K65" s="8">
        <f t="shared" si="0"/>
        <v>-0.82821538461575983</v>
      </c>
      <c r="L65" s="8">
        <f t="shared" si="1"/>
        <v>-6.3708875739673834E-2</v>
      </c>
      <c r="M65" s="8">
        <f t="shared" si="2"/>
        <v>-0.77214407692372333</v>
      </c>
      <c r="N65" s="8">
        <f t="shared" si="3"/>
        <v>-5.9395698224901795E-2</v>
      </c>
      <c r="O65" s="8"/>
      <c r="P65" t="s">
        <v>155</v>
      </c>
      <c r="Q65">
        <v>33</v>
      </c>
      <c r="R65" s="8">
        <v>2.8194400000000002</v>
      </c>
      <c r="S65">
        <v>1</v>
      </c>
      <c r="T65" s="8">
        <f t="shared" si="4"/>
        <v>3.0303030303030304E-2</v>
      </c>
      <c r="U65" s="8">
        <v>2.8508499999999999</v>
      </c>
      <c r="V65">
        <v>17</v>
      </c>
      <c r="W65" s="8">
        <f t="shared" si="5"/>
        <v>0.51515151515151514</v>
      </c>
      <c r="X65" s="8">
        <v>2.8380399999999999</v>
      </c>
      <c r="Y65">
        <v>15</v>
      </c>
      <c r="Z65" s="8">
        <f t="shared" si="6"/>
        <v>0.45454545454545453</v>
      </c>
      <c r="AA65" s="8">
        <v>2.7962600000000002</v>
      </c>
    </row>
    <row r="66" spans="2:27" ht="15" customHeight="1" x14ac:dyDescent="0.25">
      <c r="B66" t="s">
        <v>56</v>
      </c>
      <c r="C66" s="8">
        <v>-12642.935799999999</v>
      </c>
      <c r="D66" s="2">
        <v>-12644.344478999999</v>
      </c>
      <c r="F66" s="12">
        <v>0.99719100000000005</v>
      </c>
      <c r="G66" s="13">
        <v>0.19700000000000001</v>
      </c>
      <c r="H66">
        <v>10</v>
      </c>
      <c r="I66">
        <v>3</v>
      </c>
      <c r="J66" t="s">
        <v>156</v>
      </c>
      <c r="K66" s="8">
        <f t="shared" si="0"/>
        <v>-0.63711538461575401</v>
      </c>
      <c r="L66" s="8">
        <f t="shared" si="1"/>
        <v>-4.9008875739673385E-2</v>
      </c>
      <c r="M66" s="8">
        <f t="shared" si="2"/>
        <v>-0.77008807692254777</v>
      </c>
      <c r="N66" s="8">
        <f t="shared" si="3"/>
        <v>-5.9237544378657518E-2</v>
      </c>
      <c r="O66" s="8"/>
      <c r="P66" t="s">
        <v>157</v>
      </c>
      <c r="Q66">
        <v>35</v>
      </c>
      <c r="R66" s="8">
        <v>2.8301099999999999</v>
      </c>
      <c r="S66">
        <v>1</v>
      </c>
      <c r="T66" s="8">
        <f t="shared" si="4"/>
        <v>2.8571428571428571E-2</v>
      </c>
      <c r="U66" s="8">
        <v>2.8426900000000002</v>
      </c>
      <c r="V66">
        <v>15</v>
      </c>
      <c r="W66" s="8">
        <f t="shared" si="5"/>
        <v>0.42857142857142855</v>
      </c>
      <c r="X66" s="8">
        <v>2.8253300000000001</v>
      </c>
      <c r="Y66">
        <v>19</v>
      </c>
      <c r="Z66" s="8">
        <f t="shared" si="6"/>
        <v>0.54285714285714282</v>
      </c>
      <c r="AA66" s="8">
        <v>2.8332199999999998</v>
      </c>
    </row>
    <row r="67" spans="2:27" ht="15" customHeight="1" x14ac:dyDescent="0.25">
      <c r="B67" t="s">
        <v>52</v>
      </c>
      <c r="C67" s="8">
        <v>-12642.872100000001</v>
      </c>
      <c r="D67" s="2">
        <v>-12644.335218</v>
      </c>
      <c r="F67" s="12">
        <v>0.99615299999999996</v>
      </c>
      <c r="G67" s="13">
        <v>0.187549999999999</v>
      </c>
      <c r="H67">
        <v>10</v>
      </c>
      <c r="I67">
        <v>3</v>
      </c>
      <c r="J67" t="s">
        <v>158</v>
      </c>
      <c r="K67" s="8">
        <f t="shared" ref="K67:K130" si="7">IF(ISNUMBER(C67),C67-(($C$3-$C$2236)/($H$3-$H$2236)*H67+$C$2236),"")</f>
        <v>-0.57341538461696473</v>
      </c>
      <c r="L67" s="8">
        <f t="shared" ref="L67:L130" si="8">IF(ISNUMBER(C67),K67/(H67+I67),"")</f>
        <v>-4.4108875739766518E-2</v>
      </c>
      <c r="M67" s="8">
        <f t="shared" ref="M67:M130" si="9">IF(ISNUMBER(D67),D67-(($D$3-$D$2236)/($H$3-$H$2236)*H67+$D$2236),"")</f>
        <v>-0.76082707692330587</v>
      </c>
      <c r="N67" s="8">
        <f t="shared" ref="N67:N130" si="10">IF(ISNUMBER(D67),M67/(H67+I67),"")</f>
        <v>-5.8525159763331218E-2</v>
      </c>
      <c r="O67" s="8"/>
      <c r="P67" t="s">
        <v>159</v>
      </c>
      <c r="Q67">
        <v>35</v>
      </c>
      <c r="R67" s="8">
        <v>2.82924</v>
      </c>
      <c r="S67">
        <v>1</v>
      </c>
      <c r="T67" s="8">
        <f t="shared" ref="T67:T130" si="11">IF(ISNUMBER(S67),S67/(Q67),"")</f>
        <v>2.8571428571428571E-2</v>
      </c>
      <c r="U67" s="8">
        <v>2.82605</v>
      </c>
      <c r="V67">
        <v>16</v>
      </c>
      <c r="W67" s="8">
        <f t="shared" ref="W67:W130" si="12">IF(ISNUMBER(V67),V67/($Q67),"")</f>
        <v>0.45714285714285713</v>
      </c>
      <c r="X67" s="8">
        <v>2.8174199999999998</v>
      </c>
      <c r="Y67">
        <v>18</v>
      </c>
      <c r="Z67" s="8">
        <f t="shared" ref="Z67:Z130" si="13">IF(ISNUMBER(Y67),Y67/($Q67),"")</f>
        <v>0.51428571428571423</v>
      </c>
      <c r="AA67" s="8">
        <v>2.8399200000000002</v>
      </c>
    </row>
    <row r="68" spans="2:27" ht="15" customHeight="1" x14ac:dyDescent="0.25">
      <c r="B68" t="s">
        <v>160</v>
      </c>
      <c r="C68" s="8">
        <v>-12643.027099999999</v>
      </c>
      <c r="D68" s="2">
        <v>-12644.330257</v>
      </c>
      <c r="F68" s="12">
        <v>0.99700100000000003</v>
      </c>
      <c r="G68" s="13">
        <v>0.19516</v>
      </c>
      <c r="H68">
        <v>10</v>
      </c>
      <c r="I68">
        <v>3</v>
      </c>
      <c r="J68" t="s">
        <v>161</v>
      </c>
      <c r="K68" s="8">
        <f t="shared" si="7"/>
        <v>-0.72841538461580058</v>
      </c>
      <c r="L68" s="8">
        <f t="shared" si="8"/>
        <v>-5.6031952662753889E-2</v>
      </c>
      <c r="M68" s="8">
        <f t="shared" si="9"/>
        <v>-0.7558660769227572</v>
      </c>
      <c r="N68" s="8">
        <f t="shared" si="10"/>
        <v>-5.8143544378673633E-2</v>
      </c>
      <c r="O68" s="8"/>
      <c r="P68" t="s">
        <v>162</v>
      </c>
      <c r="Q68">
        <v>33</v>
      </c>
      <c r="R68" s="8">
        <v>2.81148</v>
      </c>
      <c r="S68">
        <v>2</v>
      </c>
      <c r="T68" s="8">
        <f t="shared" si="11"/>
        <v>6.0606060606060608E-2</v>
      </c>
      <c r="U68" s="8">
        <v>2.94922</v>
      </c>
      <c r="V68">
        <v>15</v>
      </c>
      <c r="W68" s="8">
        <f t="shared" si="12"/>
        <v>0.45454545454545453</v>
      </c>
      <c r="X68" s="8">
        <v>2.8079299999999998</v>
      </c>
      <c r="Y68">
        <v>16</v>
      </c>
      <c r="Z68" s="8">
        <f t="shared" si="13"/>
        <v>0.48484848484848486</v>
      </c>
      <c r="AA68" s="8">
        <v>2.7976000000000001</v>
      </c>
    </row>
    <row r="69" spans="2:27" ht="15" customHeight="1" x14ac:dyDescent="0.25">
      <c r="B69" t="s">
        <v>163</v>
      </c>
      <c r="C69" s="8">
        <v>-12643.094999999999</v>
      </c>
      <c r="D69" s="2">
        <v>-12644.329398</v>
      </c>
      <c r="F69" s="12">
        <v>0.99409599999999998</v>
      </c>
      <c r="G69" s="13">
        <v>0.174729999999999</v>
      </c>
      <c r="H69">
        <v>10</v>
      </c>
      <c r="I69">
        <v>3</v>
      </c>
      <c r="J69" t="s">
        <v>164</v>
      </c>
      <c r="K69" s="8">
        <f t="shared" si="7"/>
        <v>-0.79631538461580931</v>
      </c>
      <c r="L69" s="8">
        <f t="shared" si="8"/>
        <v>-6.1255029585831483E-2</v>
      </c>
      <c r="M69" s="8">
        <f t="shared" si="9"/>
        <v>-0.75500707692299329</v>
      </c>
      <c r="N69" s="8">
        <f t="shared" si="10"/>
        <v>-5.8077467455614866E-2</v>
      </c>
      <c r="O69" s="8"/>
      <c r="P69" t="s">
        <v>165</v>
      </c>
      <c r="Q69">
        <v>33</v>
      </c>
      <c r="R69" s="8">
        <v>2.8129900000000001</v>
      </c>
      <c r="S69">
        <v>0</v>
      </c>
      <c r="T69" s="8">
        <f t="shared" si="11"/>
        <v>0</v>
      </c>
      <c r="U69" s="8">
        <v>0</v>
      </c>
      <c r="V69">
        <v>15</v>
      </c>
      <c r="W69" s="8">
        <f t="shared" si="12"/>
        <v>0.45454545454545453</v>
      </c>
      <c r="X69" s="8">
        <v>2.7840199999999999</v>
      </c>
      <c r="Y69">
        <v>18</v>
      </c>
      <c r="Z69" s="8">
        <f t="shared" si="13"/>
        <v>0.54545454545454541</v>
      </c>
      <c r="AA69" s="8">
        <v>2.8371400000000002</v>
      </c>
    </row>
    <row r="70" spans="2:27" ht="15" customHeight="1" x14ac:dyDescent="0.25">
      <c r="B70" t="s">
        <v>166</v>
      </c>
      <c r="C70" s="8">
        <v>-12643.0888</v>
      </c>
      <c r="D70" s="2">
        <v>-12644.329146</v>
      </c>
      <c r="F70" s="12">
        <v>0.99638099999999996</v>
      </c>
      <c r="G70" s="13">
        <v>0.18936</v>
      </c>
      <c r="H70">
        <v>10</v>
      </c>
      <c r="I70">
        <v>3</v>
      </c>
      <c r="J70" t="s">
        <v>167</v>
      </c>
      <c r="K70" s="8">
        <f t="shared" si="7"/>
        <v>-0.79011538461600139</v>
      </c>
      <c r="L70" s="8">
        <f t="shared" si="8"/>
        <v>-6.0778106508923187E-2</v>
      </c>
      <c r="M70" s="8">
        <f t="shared" si="9"/>
        <v>-0.75475507692317478</v>
      </c>
      <c r="N70" s="8">
        <f t="shared" si="10"/>
        <v>-5.8058082840244211E-2</v>
      </c>
      <c r="O70" s="8"/>
      <c r="P70" t="s">
        <v>168</v>
      </c>
      <c r="Q70">
        <v>34</v>
      </c>
      <c r="R70" s="8">
        <v>2.81921</v>
      </c>
      <c r="S70">
        <v>1</v>
      </c>
      <c r="T70" s="8">
        <f t="shared" si="11"/>
        <v>2.9411764705882353E-2</v>
      </c>
      <c r="U70" s="8">
        <v>2.84592</v>
      </c>
      <c r="V70">
        <v>13</v>
      </c>
      <c r="W70" s="8">
        <f t="shared" si="12"/>
        <v>0.38235294117647056</v>
      </c>
      <c r="X70" s="8">
        <v>2.8012199999999998</v>
      </c>
      <c r="Y70">
        <v>20</v>
      </c>
      <c r="Z70" s="8">
        <f t="shared" si="13"/>
        <v>0.58823529411764708</v>
      </c>
      <c r="AA70" s="8">
        <v>2.8295599999999999</v>
      </c>
    </row>
    <row r="71" spans="2:27" ht="15" customHeight="1" x14ac:dyDescent="0.25">
      <c r="B71" t="s">
        <v>169</v>
      </c>
      <c r="C71" s="8">
        <v>-12643.094800000001</v>
      </c>
      <c r="D71" s="2">
        <v>-12644.324782</v>
      </c>
      <c r="F71" s="12">
        <v>0.99585299999999999</v>
      </c>
      <c r="G71" s="13">
        <v>0.18529000000000001</v>
      </c>
      <c r="H71">
        <v>10</v>
      </c>
      <c r="I71">
        <v>3</v>
      </c>
      <c r="J71" t="s">
        <v>170</v>
      </c>
      <c r="K71" s="8">
        <f t="shared" si="7"/>
        <v>-0.79611538461722375</v>
      </c>
      <c r="L71" s="8">
        <f t="shared" si="8"/>
        <v>-6.1239644970555673E-2</v>
      </c>
      <c r="M71" s="8">
        <f t="shared" si="9"/>
        <v>-0.75039107692282414</v>
      </c>
      <c r="N71" s="8">
        <f t="shared" si="10"/>
        <v>-5.7722390532524932E-2</v>
      </c>
      <c r="O71" s="8"/>
      <c r="P71" t="s">
        <v>171</v>
      </c>
      <c r="Q71">
        <v>34</v>
      </c>
      <c r="R71" s="8">
        <v>2.8237800000000002</v>
      </c>
      <c r="S71">
        <v>1</v>
      </c>
      <c r="T71" s="8">
        <f t="shared" si="11"/>
        <v>2.9411764705882353E-2</v>
      </c>
      <c r="U71" s="8">
        <v>2.8824700000000001</v>
      </c>
      <c r="V71">
        <v>13</v>
      </c>
      <c r="W71" s="8">
        <f t="shared" si="12"/>
        <v>0.38235294117647056</v>
      </c>
      <c r="X71" s="8">
        <v>2.79379</v>
      </c>
      <c r="Y71">
        <v>20</v>
      </c>
      <c r="Z71" s="8">
        <f t="shared" si="13"/>
        <v>0.58823529411764708</v>
      </c>
      <c r="AA71" s="8">
        <v>2.8403399999999999</v>
      </c>
    </row>
    <row r="72" spans="2:27" ht="15" customHeight="1" x14ac:dyDescent="0.25">
      <c r="B72" t="s">
        <v>172</v>
      </c>
      <c r="C72" s="8">
        <v>-12643.0563</v>
      </c>
      <c r="D72" s="2">
        <v>-12644.321211</v>
      </c>
      <c r="F72" s="12">
        <v>0.99494400000000005</v>
      </c>
      <c r="G72" s="13">
        <v>0.17926999999999901</v>
      </c>
      <c r="H72">
        <v>10</v>
      </c>
      <c r="I72">
        <v>3</v>
      </c>
      <c r="J72" t="s">
        <v>173</v>
      </c>
      <c r="K72" s="8">
        <f t="shared" si="7"/>
        <v>-0.75761538461665623</v>
      </c>
      <c r="L72" s="8">
        <f t="shared" si="8"/>
        <v>-5.8278106508973554E-2</v>
      </c>
      <c r="M72" s="8">
        <f t="shared" si="9"/>
        <v>-0.74682007692354091</v>
      </c>
      <c r="N72" s="8">
        <f t="shared" si="10"/>
        <v>-5.744769822488776E-2</v>
      </c>
      <c r="O72" s="8"/>
      <c r="P72" t="s">
        <v>174</v>
      </c>
      <c r="Q72">
        <v>34</v>
      </c>
      <c r="R72" s="8">
        <v>2.8237399999999999</v>
      </c>
      <c r="S72">
        <v>1</v>
      </c>
      <c r="T72" s="8">
        <f t="shared" si="11"/>
        <v>2.9411764705882353E-2</v>
      </c>
      <c r="U72" s="8">
        <v>2.85989</v>
      </c>
      <c r="V72">
        <v>15</v>
      </c>
      <c r="W72" s="8">
        <f t="shared" si="12"/>
        <v>0.44117647058823528</v>
      </c>
      <c r="X72" s="8">
        <v>2.8051499999999998</v>
      </c>
      <c r="Y72">
        <v>18</v>
      </c>
      <c r="Z72" s="8">
        <f t="shared" si="13"/>
        <v>0.52941176470588236</v>
      </c>
      <c r="AA72" s="8">
        <v>2.8372299999999999</v>
      </c>
    </row>
    <row r="73" spans="2:27" ht="15" customHeight="1" x14ac:dyDescent="0.25">
      <c r="B73" t="s">
        <v>175</v>
      </c>
      <c r="C73" s="8">
        <v>-12643.127899999999</v>
      </c>
      <c r="D73" s="2">
        <v>-12644.315172000001</v>
      </c>
      <c r="F73" s="12">
        <v>0.99648800000000004</v>
      </c>
      <c r="G73" s="13">
        <v>0.19042000000000001</v>
      </c>
      <c r="H73">
        <v>10</v>
      </c>
      <c r="I73">
        <v>3</v>
      </c>
      <c r="J73" t="s">
        <v>176</v>
      </c>
      <c r="K73" s="8">
        <f t="shared" si="7"/>
        <v>-0.82921538461596356</v>
      </c>
      <c r="L73" s="8">
        <f t="shared" si="8"/>
        <v>-6.3785798816612588E-2</v>
      </c>
      <c r="M73" s="8">
        <f t="shared" si="9"/>
        <v>-0.74078107692366757</v>
      </c>
      <c r="N73" s="8">
        <f t="shared" si="10"/>
        <v>-5.6983159763359041E-2</v>
      </c>
      <c r="O73" s="8"/>
      <c r="P73" t="s">
        <v>177</v>
      </c>
      <c r="Q73">
        <v>33</v>
      </c>
      <c r="R73" s="8">
        <v>2.8124699999999998</v>
      </c>
      <c r="S73">
        <v>1</v>
      </c>
      <c r="T73" s="8">
        <f t="shared" si="11"/>
        <v>3.0303030303030304E-2</v>
      </c>
      <c r="U73" s="8">
        <v>2.7867899999999999</v>
      </c>
      <c r="V73">
        <v>13</v>
      </c>
      <c r="W73" s="8">
        <f t="shared" si="12"/>
        <v>0.39393939393939392</v>
      </c>
      <c r="X73" s="8">
        <v>2.8114499999999998</v>
      </c>
      <c r="Y73">
        <v>19</v>
      </c>
      <c r="Z73" s="8">
        <f t="shared" si="13"/>
        <v>0.5757575757575758</v>
      </c>
      <c r="AA73" s="8">
        <v>2.81453</v>
      </c>
    </row>
    <row r="74" spans="2:27" ht="15" customHeight="1" x14ac:dyDescent="0.25">
      <c r="B74" t="s">
        <v>76</v>
      </c>
      <c r="C74" s="8">
        <v>-12643.0964</v>
      </c>
      <c r="D74" s="2">
        <v>-12644.302285</v>
      </c>
      <c r="F74" s="12">
        <v>0.99675199999999997</v>
      </c>
      <c r="G74" s="13">
        <v>0.19259999999999999</v>
      </c>
      <c r="H74">
        <v>10</v>
      </c>
      <c r="I74">
        <v>3</v>
      </c>
      <c r="J74" t="s">
        <v>178</v>
      </c>
      <c r="K74" s="8">
        <f t="shared" si="7"/>
        <v>-0.79771538461682212</v>
      </c>
      <c r="L74" s="8">
        <f t="shared" si="8"/>
        <v>-6.1362721893601702E-2</v>
      </c>
      <c r="M74" s="8">
        <f t="shared" si="9"/>
        <v>-0.72789407692289387</v>
      </c>
      <c r="N74" s="8">
        <f t="shared" si="10"/>
        <v>-5.5991852070991839E-2</v>
      </c>
      <c r="O74" s="8"/>
      <c r="P74" t="s">
        <v>179</v>
      </c>
      <c r="Q74">
        <v>36</v>
      </c>
      <c r="R74" s="8">
        <v>2.8412099999999998</v>
      </c>
      <c r="S74">
        <v>2</v>
      </c>
      <c r="T74" s="8">
        <f t="shared" si="11"/>
        <v>5.5555555555555552E-2</v>
      </c>
      <c r="U74" s="8">
        <v>2.8019500000000002</v>
      </c>
      <c r="V74">
        <v>12</v>
      </c>
      <c r="W74" s="8">
        <f t="shared" si="12"/>
        <v>0.33333333333333331</v>
      </c>
      <c r="X74" s="8">
        <v>2.81128</v>
      </c>
      <c r="Y74">
        <v>22</v>
      </c>
      <c r="Z74" s="8">
        <f t="shared" si="13"/>
        <v>0.61111111111111116</v>
      </c>
      <c r="AA74" s="8">
        <v>2.8611</v>
      </c>
    </row>
    <row r="75" spans="2:27" ht="15" customHeight="1" x14ac:dyDescent="0.25">
      <c r="B75" t="s">
        <v>180</v>
      </c>
      <c r="C75" s="8">
        <v>-12643.107</v>
      </c>
      <c r="D75" s="2">
        <v>-12644.295856999999</v>
      </c>
      <c r="F75" s="12">
        <v>0.995896</v>
      </c>
      <c r="G75" s="13">
        <v>0.18570999999999899</v>
      </c>
      <c r="H75">
        <v>10</v>
      </c>
      <c r="I75">
        <v>3</v>
      </c>
      <c r="J75" t="s">
        <v>181</v>
      </c>
      <c r="K75" s="8">
        <f t="shared" si="7"/>
        <v>-0.80831538461643504</v>
      </c>
      <c r="L75" s="8">
        <f t="shared" si="8"/>
        <v>-6.217810650895654E-2</v>
      </c>
      <c r="M75" s="8">
        <f t="shared" si="9"/>
        <v>-0.72146607692229736</v>
      </c>
      <c r="N75" s="8">
        <f t="shared" si="10"/>
        <v>-5.5497390532484411E-2</v>
      </c>
      <c r="O75" s="8"/>
      <c r="P75" t="s">
        <v>182</v>
      </c>
      <c r="Q75">
        <v>32</v>
      </c>
      <c r="R75" s="8">
        <v>2.8052700000000002</v>
      </c>
      <c r="S75">
        <v>2</v>
      </c>
      <c r="T75" s="8">
        <f t="shared" si="11"/>
        <v>6.25E-2</v>
      </c>
      <c r="U75" s="8">
        <v>2.8180499999999999</v>
      </c>
      <c r="V75">
        <v>13</v>
      </c>
      <c r="W75" s="8">
        <f t="shared" si="12"/>
        <v>0.40625</v>
      </c>
      <c r="X75" s="8">
        <v>2.8177699999999999</v>
      </c>
      <c r="Y75">
        <v>17</v>
      </c>
      <c r="Z75" s="8">
        <f t="shared" si="13"/>
        <v>0.53125</v>
      </c>
      <c r="AA75" s="8">
        <v>2.7942100000000001</v>
      </c>
    </row>
    <row r="76" spans="2:27" ht="15" customHeight="1" x14ac:dyDescent="0.25">
      <c r="B76" t="s">
        <v>183</v>
      </c>
      <c r="C76" s="8">
        <v>-12643.0506</v>
      </c>
      <c r="D76" s="2">
        <v>-12644.291816999999</v>
      </c>
      <c r="F76" s="12">
        <v>0.99673999999999996</v>
      </c>
      <c r="G76" s="13">
        <v>0.19249999999999901</v>
      </c>
      <c r="H76">
        <v>10</v>
      </c>
      <c r="I76">
        <v>3</v>
      </c>
      <c r="J76" t="s">
        <v>184</v>
      </c>
      <c r="K76" s="8">
        <f t="shared" si="7"/>
        <v>-0.75191538461695018</v>
      </c>
      <c r="L76" s="8">
        <f t="shared" si="8"/>
        <v>-5.7839644970534627E-2</v>
      </c>
      <c r="M76" s="8">
        <f t="shared" si="9"/>
        <v>-0.71742607692249294</v>
      </c>
      <c r="N76" s="8">
        <f t="shared" si="10"/>
        <v>-5.5186621301730229E-2</v>
      </c>
      <c r="O76" s="8"/>
      <c r="P76" t="s">
        <v>185</v>
      </c>
      <c r="Q76">
        <v>32</v>
      </c>
      <c r="R76" s="8">
        <v>2.80132</v>
      </c>
      <c r="S76">
        <v>0</v>
      </c>
      <c r="T76" s="8">
        <f t="shared" si="11"/>
        <v>0</v>
      </c>
      <c r="U76" s="8">
        <v>0</v>
      </c>
      <c r="V76">
        <v>13</v>
      </c>
      <c r="W76" s="8">
        <f t="shared" si="12"/>
        <v>0.40625</v>
      </c>
      <c r="X76" s="8">
        <v>2.78864</v>
      </c>
      <c r="Y76">
        <v>19</v>
      </c>
      <c r="Z76" s="8">
        <f t="shared" si="13"/>
        <v>0.59375</v>
      </c>
      <c r="AA76" s="8">
        <v>2.80999</v>
      </c>
    </row>
    <row r="77" spans="2:27" ht="15" customHeight="1" x14ac:dyDescent="0.25">
      <c r="B77" t="s">
        <v>186</v>
      </c>
      <c r="C77" s="8">
        <v>-12643.0303</v>
      </c>
      <c r="D77" s="2">
        <v>-12644.28969</v>
      </c>
      <c r="F77" s="12">
        <v>0.996394</v>
      </c>
      <c r="G77" s="13">
        <v>0.18955</v>
      </c>
      <c r="H77">
        <v>10</v>
      </c>
      <c r="I77">
        <v>3</v>
      </c>
      <c r="J77" t="s">
        <v>187</v>
      </c>
      <c r="K77" s="8">
        <f t="shared" si="7"/>
        <v>-0.7316153846168163</v>
      </c>
      <c r="L77" s="8">
        <f t="shared" si="8"/>
        <v>-5.6278106508985869E-2</v>
      </c>
      <c r="M77" s="8">
        <f t="shared" si="9"/>
        <v>-0.71529907692274719</v>
      </c>
      <c r="N77" s="8">
        <f t="shared" si="10"/>
        <v>-5.5023005917134396E-2</v>
      </c>
      <c r="O77" s="8"/>
      <c r="P77" t="s">
        <v>188</v>
      </c>
      <c r="Q77">
        <v>36</v>
      </c>
      <c r="R77" s="8">
        <v>2.8413599999999999</v>
      </c>
      <c r="S77">
        <v>2</v>
      </c>
      <c r="T77" s="8">
        <f t="shared" si="11"/>
        <v>5.5555555555555552E-2</v>
      </c>
      <c r="U77" s="8">
        <v>2.9566599999999998</v>
      </c>
      <c r="V77">
        <v>14</v>
      </c>
      <c r="W77" s="8">
        <f t="shared" si="12"/>
        <v>0.3888888888888889</v>
      </c>
      <c r="X77" s="8">
        <v>2.7955299999999998</v>
      </c>
      <c r="Y77">
        <v>20</v>
      </c>
      <c r="Z77" s="8">
        <f t="shared" si="13"/>
        <v>0.55555555555555558</v>
      </c>
      <c r="AA77" s="8">
        <v>2.86191</v>
      </c>
    </row>
    <row r="78" spans="2:27" ht="15" customHeight="1" x14ac:dyDescent="0.25">
      <c r="B78" t="s">
        <v>189</v>
      </c>
      <c r="C78" s="8">
        <v>-12642.801799999999</v>
      </c>
      <c r="D78" s="2">
        <v>-12644.269458000001</v>
      </c>
      <c r="F78" s="12">
        <v>0.99639</v>
      </c>
      <c r="G78" s="13">
        <v>0.18947</v>
      </c>
      <c r="H78">
        <v>10</v>
      </c>
      <c r="I78">
        <v>3</v>
      </c>
      <c r="J78" t="s">
        <v>190</v>
      </c>
      <c r="K78" s="8">
        <f t="shared" si="7"/>
        <v>-0.50311538461573946</v>
      </c>
      <c r="L78" s="8">
        <f t="shared" si="8"/>
        <v>-3.8701183431979959E-2</v>
      </c>
      <c r="M78" s="8">
        <f t="shared" si="9"/>
        <v>-0.69506707692380587</v>
      </c>
      <c r="N78" s="8">
        <f t="shared" si="10"/>
        <v>-5.3466698224908141E-2</v>
      </c>
      <c r="O78" s="8"/>
      <c r="P78" t="s">
        <v>191</v>
      </c>
      <c r="Q78">
        <v>34</v>
      </c>
      <c r="R78" s="8">
        <v>2.8183400000000001</v>
      </c>
      <c r="S78">
        <v>2</v>
      </c>
      <c r="T78" s="8">
        <f t="shared" si="11"/>
        <v>5.8823529411764705E-2</v>
      </c>
      <c r="U78" s="8">
        <v>2.79752</v>
      </c>
      <c r="V78">
        <v>13</v>
      </c>
      <c r="W78" s="8">
        <f t="shared" si="12"/>
        <v>0.38235294117647056</v>
      </c>
      <c r="X78" s="8">
        <v>2.8123</v>
      </c>
      <c r="Y78">
        <v>19</v>
      </c>
      <c r="Z78" s="8">
        <f t="shared" si="13"/>
        <v>0.55882352941176472</v>
      </c>
      <c r="AA78" s="8">
        <v>2.8246600000000002</v>
      </c>
    </row>
    <row r="79" spans="2:27" ht="15" customHeight="1" x14ac:dyDescent="0.25">
      <c r="B79" t="s">
        <v>70</v>
      </c>
      <c r="C79" s="8">
        <v>-12643.0779</v>
      </c>
      <c r="D79" s="2">
        <v>-12644.267511</v>
      </c>
      <c r="F79" s="12">
        <v>0.99619400000000002</v>
      </c>
      <c r="G79" s="13">
        <v>0.18786</v>
      </c>
      <c r="H79">
        <v>10</v>
      </c>
      <c r="I79">
        <v>3</v>
      </c>
      <c r="J79" t="s">
        <v>192</v>
      </c>
      <c r="K79" s="8">
        <f t="shared" si="7"/>
        <v>-0.77921538461669115</v>
      </c>
      <c r="L79" s="8">
        <f t="shared" si="8"/>
        <v>-5.9939644970514704E-2</v>
      </c>
      <c r="M79" s="8">
        <f t="shared" si="9"/>
        <v>-0.69312007692315092</v>
      </c>
      <c r="N79" s="8">
        <f t="shared" si="10"/>
        <v>-5.3316928994088533E-2</v>
      </c>
      <c r="O79" s="8"/>
      <c r="P79" t="s">
        <v>193</v>
      </c>
      <c r="Q79">
        <v>32</v>
      </c>
      <c r="R79" s="8">
        <v>2.80552</v>
      </c>
      <c r="S79">
        <v>1</v>
      </c>
      <c r="T79" s="8">
        <f t="shared" si="11"/>
        <v>3.125E-2</v>
      </c>
      <c r="U79" s="8">
        <v>2.8305899999999999</v>
      </c>
      <c r="V79">
        <v>14</v>
      </c>
      <c r="W79" s="8">
        <f t="shared" si="12"/>
        <v>0.4375</v>
      </c>
      <c r="X79" s="8">
        <v>2.7947500000000001</v>
      </c>
      <c r="Y79">
        <v>17</v>
      </c>
      <c r="Z79" s="8">
        <f t="shared" si="13"/>
        <v>0.53125</v>
      </c>
      <c r="AA79" s="8">
        <v>2.8129200000000001</v>
      </c>
    </row>
    <row r="80" spans="2:27" ht="15" customHeight="1" x14ac:dyDescent="0.25">
      <c r="B80" t="s">
        <v>194</v>
      </c>
      <c r="C80" s="8">
        <v>-12643.028</v>
      </c>
      <c r="D80" s="2">
        <v>-12644.260963999999</v>
      </c>
      <c r="F80" s="12">
        <v>0.99590800000000002</v>
      </c>
      <c r="G80" s="13">
        <v>0.18568999999999999</v>
      </c>
      <c r="H80">
        <v>10</v>
      </c>
      <c r="I80">
        <v>3</v>
      </c>
      <c r="J80" t="s">
        <v>195</v>
      </c>
      <c r="K80" s="8">
        <f t="shared" si="7"/>
        <v>-0.72931538461671153</v>
      </c>
      <c r="L80" s="8">
        <f t="shared" si="8"/>
        <v>-5.6101183432054731E-2</v>
      </c>
      <c r="M80" s="8">
        <f t="shared" si="9"/>
        <v>-0.68657307692228642</v>
      </c>
      <c r="N80" s="8">
        <f t="shared" si="10"/>
        <v>-5.2813313609406651E-2</v>
      </c>
      <c r="O80" s="8"/>
      <c r="P80" t="s">
        <v>196</v>
      </c>
      <c r="Q80">
        <v>33</v>
      </c>
      <c r="R80" s="8">
        <v>2.8145099999999998</v>
      </c>
      <c r="S80">
        <v>2</v>
      </c>
      <c r="T80" s="8">
        <f t="shared" si="11"/>
        <v>6.0606060606060608E-2</v>
      </c>
      <c r="U80" s="8">
        <v>2.9211900000000002</v>
      </c>
      <c r="V80">
        <v>15</v>
      </c>
      <c r="W80" s="8">
        <f t="shared" si="12"/>
        <v>0.45454545454545453</v>
      </c>
      <c r="X80" s="8">
        <v>2.8265400000000001</v>
      </c>
      <c r="Y80">
        <v>16</v>
      </c>
      <c r="Z80" s="8">
        <f t="shared" si="13"/>
        <v>0.48484848484848486</v>
      </c>
      <c r="AA80" s="8">
        <v>2.7898999999999998</v>
      </c>
    </row>
    <row r="81" spans="1:27" ht="15" customHeight="1" x14ac:dyDescent="0.25">
      <c r="B81" t="s">
        <v>197</v>
      </c>
      <c r="C81" s="8">
        <v>-12642.912899999999</v>
      </c>
      <c r="D81" s="2">
        <v>-12644.254711</v>
      </c>
      <c r="F81" s="12">
        <v>0.99640700000000004</v>
      </c>
      <c r="G81" s="13">
        <v>0.18970999999999899</v>
      </c>
      <c r="H81">
        <v>10</v>
      </c>
      <c r="I81">
        <v>3</v>
      </c>
      <c r="J81" t="s">
        <v>198</v>
      </c>
      <c r="K81" s="8">
        <f t="shared" si="7"/>
        <v>-0.61421538461581804</v>
      </c>
      <c r="L81" s="8">
        <f t="shared" si="8"/>
        <v>-4.7247337278139852E-2</v>
      </c>
      <c r="M81" s="8">
        <f t="shared" si="9"/>
        <v>-0.680320076922726</v>
      </c>
      <c r="N81" s="8">
        <f t="shared" si="10"/>
        <v>-5.2332313609440462E-2</v>
      </c>
      <c r="O81" s="8"/>
      <c r="P81" t="s">
        <v>199</v>
      </c>
      <c r="Q81">
        <v>33</v>
      </c>
      <c r="R81" s="8">
        <v>2.8140399999999999</v>
      </c>
      <c r="S81">
        <v>2</v>
      </c>
      <c r="T81" s="8">
        <f t="shared" si="11"/>
        <v>6.0606060606060608E-2</v>
      </c>
      <c r="U81" s="8">
        <v>2.7647699999999999</v>
      </c>
      <c r="V81">
        <v>12</v>
      </c>
      <c r="W81" s="8">
        <f t="shared" si="12"/>
        <v>0.36363636363636365</v>
      </c>
      <c r="X81" s="8">
        <v>2.80613</v>
      </c>
      <c r="Y81">
        <v>19</v>
      </c>
      <c r="Z81" s="8">
        <f t="shared" si="13"/>
        <v>0.5757575757575758</v>
      </c>
      <c r="AA81" s="8">
        <v>2.82422</v>
      </c>
    </row>
    <row r="82" spans="1:27" ht="15" customHeight="1" x14ac:dyDescent="0.25">
      <c r="B82" t="s">
        <v>200</v>
      </c>
      <c r="C82" s="8">
        <v>-12643.0128</v>
      </c>
      <c r="D82" s="2">
        <v>-12644.253024</v>
      </c>
      <c r="F82" s="12">
        <v>0.99592499999999995</v>
      </c>
      <c r="G82" s="13">
        <v>0.18581</v>
      </c>
      <c r="H82">
        <v>10</v>
      </c>
      <c r="I82">
        <v>3</v>
      </c>
      <c r="J82" t="s">
        <v>201</v>
      </c>
      <c r="K82" s="8">
        <f t="shared" si="7"/>
        <v>-0.71411538461688906</v>
      </c>
      <c r="L82" s="8">
        <f t="shared" si="8"/>
        <v>-5.4931952662837617E-2</v>
      </c>
      <c r="M82" s="8">
        <f t="shared" si="9"/>
        <v>-0.67863307692277886</v>
      </c>
      <c r="N82" s="8">
        <f t="shared" si="10"/>
        <v>-5.2202544378675296E-2</v>
      </c>
      <c r="O82" s="8"/>
      <c r="P82" t="s">
        <v>202</v>
      </c>
      <c r="Q82">
        <v>34</v>
      </c>
      <c r="R82" s="8">
        <v>2.82647</v>
      </c>
      <c r="S82">
        <v>1</v>
      </c>
      <c r="T82" s="8">
        <f t="shared" si="11"/>
        <v>2.9411764705882353E-2</v>
      </c>
      <c r="U82" s="8">
        <v>3.0076299999999998</v>
      </c>
      <c r="V82">
        <v>15</v>
      </c>
      <c r="W82" s="8">
        <f t="shared" si="12"/>
        <v>0.44117647058823528</v>
      </c>
      <c r="X82" s="8">
        <v>2.7941199999999999</v>
      </c>
      <c r="Y82">
        <v>18</v>
      </c>
      <c r="Z82" s="8">
        <f t="shared" si="13"/>
        <v>0.52941176470588236</v>
      </c>
      <c r="AA82" s="8">
        <v>2.8433700000000002</v>
      </c>
    </row>
    <row r="83" spans="1:27" ht="15" customHeight="1" x14ac:dyDescent="0.25">
      <c r="B83" t="s">
        <v>203</v>
      </c>
      <c r="C83" s="8">
        <v>-12643.0334</v>
      </c>
      <c r="D83" s="2">
        <v>-12644.252965</v>
      </c>
      <c r="F83" s="12">
        <v>0.996166</v>
      </c>
      <c r="G83" s="13">
        <v>0.18770000000000001</v>
      </c>
      <c r="H83">
        <v>10</v>
      </c>
      <c r="I83">
        <v>3</v>
      </c>
      <c r="J83" t="s">
        <v>204</v>
      </c>
      <c r="K83" s="8">
        <f t="shared" si="7"/>
        <v>-0.73471538461672026</v>
      </c>
      <c r="L83" s="8">
        <f t="shared" si="8"/>
        <v>-5.651656804744002E-2</v>
      </c>
      <c r="M83" s="8">
        <f t="shared" si="9"/>
        <v>-0.67857407692281413</v>
      </c>
      <c r="N83" s="8">
        <f t="shared" si="10"/>
        <v>-5.2198005917139551E-2</v>
      </c>
      <c r="O83" s="8"/>
      <c r="P83" t="s">
        <v>205</v>
      </c>
      <c r="Q83">
        <v>34</v>
      </c>
      <c r="R83" s="8">
        <v>2.81935</v>
      </c>
      <c r="S83">
        <v>0</v>
      </c>
      <c r="T83" s="8">
        <f t="shared" si="11"/>
        <v>0</v>
      </c>
      <c r="U83" s="8">
        <v>0</v>
      </c>
      <c r="V83">
        <v>16</v>
      </c>
      <c r="W83" s="8">
        <f t="shared" si="12"/>
        <v>0.47058823529411764</v>
      </c>
      <c r="X83" s="8">
        <v>2.80531</v>
      </c>
      <c r="Y83">
        <v>18</v>
      </c>
      <c r="Z83" s="8">
        <f t="shared" si="13"/>
        <v>0.52941176470588236</v>
      </c>
      <c r="AA83" s="8">
        <v>2.83182</v>
      </c>
    </row>
    <row r="84" spans="1:27" ht="15" customHeight="1" x14ac:dyDescent="0.25">
      <c r="A84" s="1"/>
      <c r="B84" t="s">
        <v>206</v>
      </c>
      <c r="C84" s="8">
        <v>-12643.0095</v>
      </c>
      <c r="D84" s="2">
        <v>-12644.246401</v>
      </c>
      <c r="F84" s="12">
        <v>0.99621400000000004</v>
      </c>
      <c r="G84" s="13">
        <v>0.18797</v>
      </c>
      <c r="H84">
        <v>10</v>
      </c>
      <c r="I84">
        <v>3</v>
      </c>
      <c r="J84" t="s">
        <v>207</v>
      </c>
      <c r="K84" s="8">
        <f t="shared" si="7"/>
        <v>-0.71081538461658056</v>
      </c>
      <c r="L84" s="8">
        <f t="shared" si="8"/>
        <v>-5.4678106508967733E-2</v>
      </c>
      <c r="M84" s="8">
        <f t="shared" si="9"/>
        <v>-0.67201007692347048</v>
      </c>
      <c r="N84" s="8">
        <f t="shared" si="10"/>
        <v>-5.1693082840266961E-2</v>
      </c>
      <c r="O84" s="8"/>
      <c r="P84" t="s">
        <v>208</v>
      </c>
      <c r="Q84">
        <v>34</v>
      </c>
      <c r="R84" s="8">
        <v>2.8265899999999999</v>
      </c>
      <c r="S84">
        <v>2</v>
      </c>
      <c r="T84" s="8">
        <f t="shared" si="11"/>
        <v>5.8823529411764705E-2</v>
      </c>
      <c r="U84" s="8">
        <v>2.8354200000000001</v>
      </c>
      <c r="V84">
        <v>12</v>
      </c>
      <c r="W84" s="8">
        <f t="shared" si="12"/>
        <v>0.35294117647058826</v>
      </c>
      <c r="X84" s="8">
        <v>2.7993999999999999</v>
      </c>
      <c r="Y84">
        <v>20</v>
      </c>
      <c r="Z84" s="8">
        <f t="shared" si="13"/>
        <v>0.58823529411764708</v>
      </c>
      <c r="AA84" s="8">
        <v>2.8420200000000002</v>
      </c>
    </row>
    <row r="85" spans="1:27" ht="15" customHeight="1" x14ac:dyDescent="0.25">
      <c r="B85" t="s">
        <v>209</v>
      </c>
      <c r="C85" s="8">
        <v>-12642.9692</v>
      </c>
      <c r="D85" s="2">
        <v>-12644.232258</v>
      </c>
      <c r="F85" s="12">
        <v>0.99472899999999997</v>
      </c>
      <c r="G85" s="13">
        <v>0.178059999999999</v>
      </c>
      <c r="H85">
        <v>10</v>
      </c>
      <c r="I85">
        <v>3</v>
      </c>
      <c r="J85" t="s">
        <v>210</v>
      </c>
      <c r="K85" s="8">
        <f t="shared" si="7"/>
        <v>-0.67051538461601012</v>
      </c>
      <c r="L85" s="8">
        <f t="shared" si="8"/>
        <v>-5.1578106508923853E-2</v>
      </c>
      <c r="M85" s="8">
        <f t="shared" si="9"/>
        <v>-0.65786707692313939</v>
      </c>
      <c r="N85" s="8">
        <f t="shared" si="10"/>
        <v>-5.0605159763318412E-2</v>
      </c>
      <c r="O85" s="8"/>
      <c r="P85" t="s">
        <v>211</v>
      </c>
      <c r="Q85">
        <v>33</v>
      </c>
      <c r="R85" s="8">
        <v>2.8175699999999999</v>
      </c>
      <c r="S85">
        <v>1</v>
      </c>
      <c r="T85" s="8">
        <f t="shared" si="11"/>
        <v>3.0303030303030304E-2</v>
      </c>
      <c r="U85" s="8">
        <v>2.82857</v>
      </c>
      <c r="V85">
        <v>13</v>
      </c>
      <c r="W85" s="8">
        <f t="shared" si="12"/>
        <v>0.39393939393939392</v>
      </c>
      <c r="X85" s="8">
        <v>2.8163</v>
      </c>
      <c r="Y85">
        <v>19</v>
      </c>
      <c r="Z85" s="8">
        <f t="shared" si="13"/>
        <v>0.5757575757575758</v>
      </c>
      <c r="AA85" s="8">
        <v>2.81786</v>
      </c>
    </row>
    <row r="86" spans="1:27" ht="15" customHeight="1" x14ac:dyDescent="0.25">
      <c r="B86" t="s">
        <v>212</v>
      </c>
      <c r="C86" s="8">
        <v>-12643.020200000001</v>
      </c>
      <c r="D86" s="2">
        <v>-12644.227370000001</v>
      </c>
      <c r="F86" s="12">
        <v>0.99626000000000003</v>
      </c>
      <c r="G86" s="13">
        <v>0.18834000000000001</v>
      </c>
      <c r="H86">
        <v>10</v>
      </c>
      <c r="I86">
        <v>3</v>
      </c>
      <c r="J86" t="s">
        <v>213</v>
      </c>
      <c r="K86" s="8">
        <f t="shared" si="7"/>
        <v>-0.72151538461730524</v>
      </c>
      <c r="L86" s="8">
        <f t="shared" si="8"/>
        <v>-5.5501183432100407E-2</v>
      </c>
      <c r="M86" s="8">
        <f t="shared" si="9"/>
        <v>-0.65297907692365698</v>
      </c>
      <c r="N86" s="8">
        <f t="shared" si="10"/>
        <v>-5.0229159763358226E-2</v>
      </c>
      <c r="O86" s="8"/>
      <c r="P86" t="s">
        <v>214</v>
      </c>
      <c r="Q86">
        <v>32</v>
      </c>
      <c r="R86" s="8">
        <v>2.8034599999999998</v>
      </c>
      <c r="S86">
        <v>3</v>
      </c>
      <c r="T86" s="8">
        <f t="shared" si="11"/>
        <v>9.375E-2</v>
      </c>
      <c r="U86" s="8">
        <v>2.8262299999999998</v>
      </c>
      <c r="V86">
        <v>8</v>
      </c>
      <c r="W86" s="8">
        <f t="shared" si="12"/>
        <v>0.25</v>
      </c>
      <c r="X86" s="8">
        <v>2.7890199999999998</v>
      </c>
      <c r="Y86">
        <v>21</v>
      </c>
      <c r="Z86" s="8">
        <f t="shared" si="13"/>
        <v>0.65625</v>
      </c>
      <c r="AA86" s="8">
        <v>2.8057099999999999</v>
      </c>
    </row>
    <row r="87" spans="1:27" ht="15" customHeight="1" x14ac:dyDescent="0.25">
      <c r="B87" t="s">
        <v>215</v>
      </c>
      <c r="C87" s="8">
        <v>-12643.0075</v>
      </c>
      <c r="D87" s="2">
        <v>-12644.223429</v>
      </c>
      <c r="F87" s="12">
        <v>0.99696799999999997</v>
      </c>
      <c r="G87" s="13">
        <v>0.19470999999999999</v>
      </c>
      <c r="H87">
        <v>10</v>
      </c>
      <c r="I87">
        <v>3</v>
      </c>
      <c r="J87" t="s">
        <v>216</v>
      </c>
      <c r="K87" s="8">
        <f t="shared" si="7"/>
        <v>-0.70881538461617311</v>
      </c>
      <c r="L87" s="8">
        <f t="shared" si="8"/>
        <v>-5.452426035509024E-2</v>
      </c>
      <c r="M87" s="8">
        <f t="shared" si="9"/>
        <v>-0.64903807692280679</v>
      </c>
      <c r="N87" s="8">
        <f t="shared" si="10"/>
        <v>-4.9926005917138985E-2</v>
      </c>
      <c r="O87" s="8"/>
      <c r="P87" t="s">
        <v>217</v>
      </c>
      <c r="Q87">
        <v>34</v>
      </c>
      <c r="R87" s="8">
        <v>2.81515</v>
      </c>
      <c r="S87">
        <v>2</v>
      </c>
      <c r="T87" s="8">
        <f t="shared" si="11"/>
        <v>5.8823529411764705E-2</v>
      </c>
      <c r="U87" s="8">
        <v>2.7749700000000002</v>
      </c>
      <c r="V87">
        <v>12</v>
      </c>
      <c r="W87" s="8">
        <f t="shared" si="12"/>
        <v>0.35294117647058826</v>
      </c>
      <c r="X87" s="8">
        <v>2.8201900000000002</v>
      </c>
      <c r="Y87">
        <v>20</v>
      </c>
      <c r="Z87" s="8">
        <f t="shared" si="13"/>
        <v>0.58823529411764708</v>
      </c>
      <c r="AA87" s="8">
        <v>2.8161499999999999</v>
      </c>
    </row>
    <row r="88" spans="1:27" ht="15" customHeight="1" x14ac:dyDescent="0.25">
      <c r="B88" t="s">
        <v>218</v>
      </c>
      <c r="C88" s="8">
        <v>-12642.832200000001</v>
      </c>
      <c r="D88" s="2">
        <v>-12644.222602</v>
      </c>
      <c r="F88" s="12">
        <v>0.99596099999999999</v>
      </c>
      <c r="G88" s="13">
        <v>0.186079999999999</v>
      </c>
      <c r="H88">
        <v>10</v>
      </c>
      <c r="I88">
        <v>3</v>
      </c>
      <c r="J88" t="s">
        <v>219</v>
      </c>
      <c r="K88" s="8">
        <f t="shared" si="7"/>
        <v>-0.53351538461720338</v>
      </c>
      <c r="L88" s="8">
        <f t="shared" si="8"/>
        <v>-4.1039644970554109E-2</v>
      </c>
      <c r="M88" s="8">
        <f t="shared" si="9"/>
        <v>-0.64821107692296209</v>
      </c>
      <c r="N88" s="8">
        <f t="shared" si="10"/>
        <v>-4.9862390532535543E-2</v>
      </c>
      <c r="O88" s="8"/>
      <c r="P88" t="s">
        <v>220</v>
      </c>
      <c r="Q88">
        <v>34</v>
      </c>
      <c r="R88" s="8">
        <v>2.8206500000000001</v>
      </c>
      <c r="S88">
        <v>2</v>
      </c>
      <c r="T88" s="8">
        <f t="shared" si="11"/>
        <v>5.8823529411764705E-2</v>
      </c>
      <c r="U88" s="8">
        <v>2.8984200000000002</v>
      </c>
      <c r="V88">
        <v>12</v>
      </c>
      <c r="W88" s="8">
        <f t="shared" si="12"/>
        <v>0.35294117647058826</v>
      </c>
      <c r="X88" s="8">
        <v>2.8033100000000002</v>
      </c>
      <c r="Y88">
        <v>20</v>
      </c>
      <c r="Z88" s="8">
        <f t="shared" si="13"/>
        <v>0.58823529411764708</v>
      </c>
      <c r="AA88" s="8">
        <v>2.82328</v>
      </c>
    </row>
    <row r="89" spans="1:27" ht="15" customHeight="1" x14ac:dyDescent="0.25">
      <c r="B89" t="s">
        <v>221</v>
      </c>
      <c r="C89" s="8">
        <v>-12642.8388</v>
      </c>
      <c r="D89" s="2">
        <v>-12644.214891</v>
      </c>
      <c r="F89" s="12">
        <v>0.99651199999999995</v>
      </c>
      <c r="G89" s="13">
        <v>0.18909999999999999</v>
      </c>
      <c r="H89">
        <v>10</v>
      </c>
      <c r="I89">
        <v>3</v>
      </c>
      <c r="J89" t="s">
        <v>222</v>
      </c>
      <c r="K89" s="8">
        <f t="shared" si="7"/>
        <v>-0.54011538461600139</v>
      </c>
      <c r="L89" s="8">
        <f t="shared" si="8"/>
        <v>-4.1547337278153955E-2</v>
      </c>
      <c r="M89" s="8">
        <f t="shared" si="9"/>
        <v>-0.64050007692276267</v>
      </c>
      <c r="N89" s="8">
        <f t="shared" si="10"/>
        <v>-4.9269236686366361E-2</v>
      </c>
      <c r="O89" s="8"/>
      <c r="P89" t="s">
        <v>223</v>
      </c>
      <c r="Q89">
        <v>34</v>
      </c>
      <c r="R89" s="8">
        <v>2.8236300000000001</v>
      </c>
      <c r="S89">
        <v>2</v>
      </c>
      <c r="T89" s="8">
        <f t="shared" si="11"/>
        <v>5.8823529411764705E-2</v>
      </c>
      <c r="U89" s="8">
        <v>2.9558200000000001</v>
      </c>
      <c r="V89">
        <v>14</v>
      </c>
      <c r="W89" s="8">
        <f t="shared" si="12"/>
        <v>0.41176470588235292</v>
      </c>
      <c r="X89" s="8">
        <v>2.8168199999999999</v>
      </c>
      <c r="Y89">
        <v>18</v>
      </c>
      <c r="Z89" s="8">
        <f t="shared" si="13"/>
        <v>0.52941176470588236</v>
      </c>
      <c r="AA89" s="8">
        <v>2.8142399999999999</v>
      </c>
    </row>
    <row r="90" spans="1:27" ht="15" customHeight="1" x14ac:dyDescent="0.25">
      <c r="B90" t="s">
        <v>224</v>
      </c>
      <c r="C90" s="8">
        <v>-12642.951499999999</v>
      </c>
      <c r="D90" s="2">
        <v>-12644.202843999999</v>
      </c>
      <c r="F90" s="12">
        <v>0.99655899999999997</v>
      </c>
      <c r="G90" s="13">
        <v>0.19084999999999899</v>
      </c>
      <c r="H90">
        <v>10</v>
      </c>
      <c r="I90">
        <v>3</v>
      </c>
      <c r="J90" t="s">
        <v>225</v>
      </c>
      <c r="K90" s="8">
        <f t="shared" si="7"/>
        <v>-0.65281538461567834</v>
      </c>
      <c r="L90" s="8">
        <f t="shared" si="8"/>
        <v>-5.0216568047359869E-2</v>
      </c>
      <c r="M90" s="8">
        <f t="shared" si="9"/>
        <v>-0.62845307692259667</v>
      </c>
      <c r="N90" s="8">
        <f t="shared" si="10"/>
        <v>-4.8342544378661284E-2</v>
      </c>
      <c r="O90" s="8"/>
      <c r="P90" t="s">
        <v>226</v>
      </c>
      <c r="Q90">
        <v>32</v>
      </c>
      <c r="R90" s="8">
        <v>2.80307</v>
      </c>
      <c r="S90">
        <v>1</v>
      </c>
      <c r="T90" s="8">
        <f t="shared" si="11"/>
        <v>3.125E-2</v>
      </c>
      <c r="U90" s="8">
        <v>2.7637200000000002</v>
      </c>
      <c r="V90">
        <v>13</v>
      </c>
      <c r="W90" s="8">
        <f t="shared" si="12"/>
        <v>0.40625</v>
      </c>
      <c r="X90" s="8">
        <v>2.77651</v>
      </c>
      <c r="Y90">
        <v>18</v>
      </c>
      <c r="Z90" s="8">
        <f t="shared" si="13"/>
        <v>0.5625</v>
      </c>
      <c r="AA90" s="8">
        <v>2.8244400000000001</v>
      </c>
    </row>
    <row r="91" spans="1:27" ht="15" customHeight="1" x14ac:dyDescent="0.25">
      <c r="B91" t="s">
        <v>227</v>
      </c>
      <c r="C91" s="8">
        <v>-12642.758400000001</v>
      </c>
      <c r="D91" s="2">
        <v>-12644.20147</v>
      </c>
      <c r="F91" s="12">
        <v>0.99755700000000003</v>
      </c>
      <c r="G91" s="13">
        <v>0.201319999999999</v>
      </c>
      <c r="H91">
        <v>10</v>
      </c>
      <c r="I91">
        <v>3</v>
      </c>
      <c r="J91" t="s">
        <v>228</v>
      </c>
      <c r="K91" s="8">
        <f t="shared" si="7"/>
        <v>-0.45971538461708406</v>
      </c>
      <c r="L91" s="8">
        <f t="shared" si="8"/>
        <v>-3.536272189362185E-2</v>
      </c>
      <c r="M91" s="8">
        <f t="shared" si="9"/>
        <v>-0.62707907692310982</v>
      </c>
      <c r="N91" s="8">
        <f t="shared" si="10"/>
        <v>-4.8236852071008446E-2</v>
      </c>
      <c r="O91" s="8"/>
      <c r="P91" t="s">
        <v>229</v>
      </c>
      <c r="Q91">
        <v>34</v>
      </c>
      <c r="R91" s="8">
        <v>2.8206199999999999</v>
      </c>
      <c r="S91">
        <v>2</v>
      </c>
      <c r="T91" s="8">
        <f t="shared" si="11"/>
        <v>5.8823529411764705E-2</v>
      </c>
      <c r="U91" s="8">
        <v>2.7987099999999998</v>
      </c>
      <c r="V91">
        <v>13</v>
      </c>
      <c r="W91" s="8">
        <f t="shared" si="12"/>
        <v>0.38235294117647056</v>
      </c>
      <c r="X91" s="8">
        <v>2.8212100000000002</v>
      </c>
      <c r="Y91">
        <v>19</v>
      </c>
      <c r="Z91" s="8">
        <f t="shared" si="13"/>
        <v>0.55882352941176472</v>
      </c>
      <c r="AA91" s="8">
        <v>2.8225199999999999</v>
      </c>
    </row>
    <row r="92" spans="1:27" ht="15" customHeight="1" x14ac:dyDescent="0.25">
      <c r="B92" t="s">
        <v>230</v>
      </c>
      <c r="C92" s="8">
        <v>-12642.8361</v>
      </c>
      <c r="D92" s="2">
        <v>-12644.199275000001</v>
      </c>
      <c r="F92" s="12">
        <v>0.99534900000000004</v>
      </c>
      <c r="G92" s="13">
        <v>0.18187</v>
      </c>
      <c r="H92">
        <v>10</v>
      </c>
      <c r="I92">
        <v>3</v>
      </c>
      <c r="J92" t="s">
        <v>231</v>
      </c>
      <c r="K92" s="8">
        <f t="shared" si="7"/>
        <v>-0.53741538461690652</v>
      </c>
      <c r="L92" s="8">
        <f t="shared" si="8"/>
        <v>-4.1339644970531268E-2</v>
      </c>
      <c r="M92" s="8">
        <f t="shared" si="9"/>
        <v>-0.62488407692399051</v>
      </c>
      <c r="N92" s="8">
        <f t="shared" si="10"/>
        <v>-4.8068005917230039E-2</v>
      </c>
      <c r="O92" s="8"/>
      <c r="P92" t="s">
        <v>232</v>
      </c>
      <c r="Q92">
        <v>32</v>
      </c>
      <c r="R92" s="8">
        <v>2.80077</v>
      </c>
      <c r="S92">
        <v>3</v>
      </c>
      <c r="T92" s="8">
        <f t="shared" si="11"/>
        <v>9.375E-2</v>
      </c>
      <c r="U92" s="8">
        <v>2.8666299999999998</v>
      </c>
      <c r="V92">
        <v>11</v>
      </c>
      <c r="W92" s="8">
        <f t="shared" si="12"/>
        <v>0.34375</v>
      </c>
      <c r="X92" s="8">
        <v>2.7876799999999999</v>
      </c>
      <c r="Y92">
        <v>18</v>
      </c>
      <c r="Z92" s="8">
        <f t="shared" si="13"/>
        <v>0.5625</v>
      </c>
      <c r="AA92" s="8">
        <v>2.7977799999999999</v>
      </c>
    </row>
    <row r="93" spans="1:27" ht="15" customHeight="1" x14ac:dyDescent="0.25">
      <c r="B93" t="s">
        <v>233</v>
      </c>
      <c r="C93" s="8">
        <v>-12642.8915</v>
      </c>
      <c r="D93" s="2">
        <v>-12644.186664999999</v>
      </c>
      <c r="F93" s="12">
        <v>0.99693900000000002</v>
      </c>
      <c r="G93" s="13">
        <v>0.19438999999999901</v>
      </c>
      <c r="H93">
        <v>10</v>
      </c>
      <c r="I93">
        <v>3</v>
      </c>
      <c r="J93" t="s">
        <v>234</v>
      </c>
      <c r="K93" s="8">
        <f t="shared" si="7"/>
        <v>-0.59281538461618766</v>
      </c>
      <c r="L93" s="8">
        <f t="shared" si="8"/>
        <v>-4.5601183432014435E-2</v>
      </c>
      <c r="M93" s="8">
        <f t="shared" si="9"/>
        <v>-0.61227407692240376</v>
      </c>
      <c r="N93" s="8">
        <f t="shared" si="10"/>
        <v>-4.7098005917107985E-2</v>
      </c>
      <c r="O93" s="8"/>
      <c r="P93" t="s">
        <v>235</v>
      </c>
      <c r="Q93">
        <v>34</v>
      </c>
      <c r="R93" s="8">
        <v>2.8184</v>
      </c>
      <c r="S93">
        <v>2</v>
      </c>
      <c r="T93" s="8">
        <f t="shared" si="11"/>
        <v>5.8823529411764705E-2</v>
      </c>
      <c r="U93" s="8">
        <v>2.80654</v>
      </c>
      <c r="V93">
        <v>12</v>
      </c>
      <c r="W93" s="8">
        <f t="shared" si="12"/>
        <v>0.35294117647058826</v>
      </c>
      <c r="X93" s="8">
        <v>2.80992</v>
      </c>
      <c r="Y93">
        <v>20</v>
      </c>
      <c r="Z93" s="8">
        <f t="shared" si="13"/>
        <v>0.58823529411764708</v>
      </c>
      <c r="AA93" s="8">
        <v>2.8246699999999998</v>
      </c>
    </row>
    <row r="94" spans="1:27" ht="15" customHeight="1" x14ac:dyDescent="0.25">
      <c r="B94" t="s">
        <v>64</v>
      </c>
      <c r="C94" s="8">
        <v>-12642.704299999999</v>
      </c>
      <c r="D94" s="2">
        <v>-12644.179656</v>
      </c>
      <c r="F94" s="12">
        <v>0.99716300000000002</v>
      </c>
      <c r="G94" s="13">
        <v>0.19667000000000001</v>
      </c>
      <c r="H94">
        <v>10</v>
      </c>
      <c r="I94">
        <v>3</v>
      </c>
      <c r="J94" t="s">
        <v>236</v>
      </c>
      <c r="K94" s="8">
        <f t="shared" si="7"/>
        <v>-0.40561538461588498</v>
      </c>
      <c r="L94" s="8">
        <f t="shared" si="8"/>
        <v>-3.1201183431991152E-2</v>
      </c>
      <c r="M94" s="8">
        <f t="shared" si="9"/>
        <v>-0.60526507692338782</v>
      </c>
      <c r="N94" s="8">
        <f t="shared" si="10"/>
        <v>-4.6558852071029833E-2</v>
      </c>
      <c r="O94" s="8"/>
      <c r="P94" t="s">
        <v>237</v>
      </c>
      <c r="Q94">
        <v>35</v>
      </c>
      <c r="R94" s="8">
        <v>2.8336899999999998</v>
      </c>
      <c r="S94">
        <v>2</v>
      </c>
      <c r="T94" s="8">
        <f t="shared" si="11"/>
        <v>5.7142857142857141E-2</v>
      </c>
      <c r="U94" s="8">
        <v>2.97919</v>
      </c>
      <c r="V94">
        <v>16</v>
      </c>
      <c r="W94" s="8">
        <f t="shared" si="12"/>
        <v>0.45714285714285713</v>
      </c>
      <c r="X94" s="8">
        <v>2.8470800000000001</v>
      </c>
      <c r="Y94">
        <v>17</v>
      </c>
      <c r="Z94" s="8">
        <f t="shared" si="13"/>
        <v>0.48571428571428571</v>
      </c>
      <c r="AA94" s="8">
        <v>2.80396</v>
      </c>
    </row>
    <row r="95" spans="1:27" ht="15" customHeight="1" x14ac:dyDescent="0.25">
      <c r="B95" t="s">
        <v>74</v>
      </c>
      <c r="C95" s="8">
        <v>-12643.010399999999</v>
      </c>
      <c r="D95" s="2">
        <v>-12644.173332</v>
      </c>
      <c r="F95" s="12">
        <v>0.99607800000000002</v>
      </c>
      <c r="G95" s="13">
        <v>0.18683</v>
      </c>
      <c r="H95">
        <v>10</v>
      </c>
      <c r="I95">
        <v>3</v>
      </c>
      <c r="J95" t="s">
        <v>238</v>
      </c>
      <c r="K95" s="8">
        <f t="shared" si="7"/>
        <v>-0.71171538461567252</v>
      </c>
      <c r="L95" s="8">
        <f t="shared" si="8"/>
        <v>-5.4747337278128652E-2</v>
      </c>
      <c r="M95" s="8">
        <f t="shared" si="9"/>
        <v>-0.59894107692343823</v>
      </c>
      <c r="N95" s="8">
        <f t="shared" si="10"/>
        <v>-4.6072390532572172E-2</v>
      </c>
      <c r="O95" s="8"/>
      <c r="P95" t="s">
        <v>239</v>
      </c>
      <c r="Q95">
        <v>32</v>
      </c>
      <c r="R95" s="8">
        <v>2.79976</v>
      </c>
      <c r="S95">
        <v>0</v>
      </c>
      <c r="T95" s="8">
        <f t="shared" si="11"/>
        <v>0</v>
      </c>
      <c r="U95" s="8">
        <v>0</v>
      </c>
      <c r="V95">
        <v>14</v>
      </c>
      <c r="W95" s="8">
        <f t="shared" si="12"/>
        <v>0.4375</v>
      </c>
      <c r="X95" s="8">
        <v>2.79739</v>
      </c>
      <c r="Y95">
        <v>18</v>
      </c>
      <c r="Z95" s="8">
        <f t="shared" si="13"/>
        <v>0.5625</v>
      </c>
      <c r="AA95" s="8">
        <v>2.8016000000000001</v>
      </c>
    </row>
    <row r="96" spans="1:27" ht="15" customHeight="1" x14ac:dyDescent="0.25">
      <c r="B96" t="s">
        <v>240</v>
      </c>
      <c r="C96" s="8">
        <v>-12642.889800000001</v>
      </c>
      <c r="D96" s="2">
        <v>-12644.168723000001</v>
      </c>
      <c r="F96" s="12">
        <v>0.99623700000000004</v>
      </c>
      <c r="G96" s="13">
        <v>0.18812999999999999</v>
      </c>
      <c r="H96">
        <v>10</v>
      </c>
      <c r="I96">
        <v>3</v>
      </c>
      <c r="J96" t="s">
        <v>241</v>
      </c>
      <c r="K96" s="8">
        <f t="shared" si="7"/>
        <v>-0.59111538461729651</v>
      </c>
      <c r="L96" s="8">
        <f t="shared" si="8"/>
        <v>-4.5470414201330502E-2</v>
      </c>
      <c r="M96" s="8">
        <f t="shared" si="9"/>
        <v>-0.59433207692381984</v>
      </c>
      <c r="N96" s="8">
        <f t="shared" si="10"/>
        <v>-4.5717852071063061E-2</v>
      </c>
      <c r="O96" s="8"/>
      <c r="P96" t="s">
        <v>242</v>
      </c>
      <c r="Q96">
        <v>34</v>
      </c>
      <c r="R96" s="8">
        <v>2.8254199999999998</v>
      </c>
      <c r="S96">
        <v>2</v>
      </c>
      <c r="T96" s="8">
        <f t="shared" si="11"/>
        <v>5.8823529411764705E-2</v>
      </c>
      <c r="U96" s="8">
        <v>2.8390300000000002</v>
      </c>
      <c r="V96">
        <v>14</v>
      </c>
      <c r="W96" s="8">
        <f t="shared" si="12"/>
        <v>0.41176470588235292</v>
      </c>
      <c r="X96" s="8">
        <v>2.8473099999999998</v>
      </c>
      <c r="Y96">
        <v>18</v>
      </c>
      <c r="Z96" s="8">
        <f t="shared" si="13"/>
        <v>0.52941176470588236</v>
      </c>
      <c r="AA96" s="8">
        <v>2.80687</v>
      </c>
    </row>
    <row r="97" spans="2:27" ht="15" customHeight="1" x14ac:dyDescent="0.25">
      <c r="B97" t="s">
        <v>62</v>
      </c>
      <c r="C97" s="8">
        <v>-12642.6227</v>
      </c>
      <c r="D97" s="2">
        <v>-12644.159858000001</v>
      </c>
      <c r="F97" s="12">
        <v>0.99489099999999997</v>
      </c>
      <c r="G97" s="13">
        <v>0.17882999999999999</v>
      </c>
      <c r="H97">
        <v>10</v>
      </c>
      <c r="I97">
        <v>3</v>
      </c>
      <c r="J97" t="s">
        <v>243</v>
      </c>
      <c r="K97" s="8">
        <f t="shared" si="7"/>
        <v>-0.32401538461635937</v>
      </c>
      <c r="L97" s="8">
        <f t="shared" si="8"/>
        <v>-2.4924260355104567E-2</v>
      </c>
      <c r="M97" s="8">
        <f t="shared" si="9"/>
        <v>-0.58546707692403288</v>
      </c>
      <c r="N97" s="8">
        <f t="shared" si="10"/>
        <v>-4.5035928994156378E-2</v>
      </c>
      <c r="O97" s="8"/>
      <c r="P97" t="s">
        <v>244</v>
      </c>
      <c r="Q97">
        <v>35</v>
      </c>
      <c r="R97" s="8">
        <v>2.8263799999999999</v>
      </c>
      <c r="S97">
        <v>0</v>
      </c>
      <c r="T97" s="8">
        <f t="shared" si="11"/>
        <v>0</v>
      </c>
      <c r="U97" s="8">
        <v>0</v>
      </c>
      <c r="V97">
        <v>18</v>
      </c>
      <c r="W97" s="8">
        <f t="shared" si="12"/>
        <v>0.51428571428571423</v>
      </c>
      <c r="X97" s="8">
        <v>2.8290000000000002</v>
      </c>
      <c r="Y97">
        <v>17</v>
      </c>
      <c r="Z97" s="8">
        <f t="shared" si="13"/>
        <v>0.48571428571428571</v>
      </c>
      <c r="AA97" s="8">
        <v>2.8235899999999998</v>
      </c>
    </row>
    <row r="98" spans="2:27" ht="15" customHeight="1" x14ac:dyDescent="0.25">
      <c r="B98" t="s">
        <v>245</v>
      </c>
      <c r="C98" s="8">
        <v>-12642.9422</v>
      </c>
      <c r="D98" s="2">
        <v>-12644.158833</v>
      </c>
      <c r="F98" s="12">
        <v>0.99692000000000003</v>
      </c>
      <c r="G98" s="13">
        <v>0.19424</v>
      </c>
      <c r="H98">
        <v>10</v>
      </c>
      <c r="I98">
        <v>3</v>
      </c>
      <c r="J98" t="s">
        <v>246</v>
      </c>
      <c r="K98" s="8">
        <f t="shared" si="7"/>
        <v>-0.64351538461596647</v>
      </c>
      <c r="L98" s="8">
        <f t="shared" si="8"/>
        <v>-4.9501183431997421E-2</v>
      </c>
      <c r="M98" s="8">
        <f t="shared" si="9"/>
        <v>-0.58444207692264172</v>
      </c>
      <c r="N98" s="8">
        <f t="shared" si="10"/>
        <v>-4.4957082840203208E-2</v>
      </c>
      <c r="O98" s="8"/>
      <c r="P98" t="s">
        <v>247</v>
      </c>
      <c r="Q98">
        <v>34</v>
      </c>
      <c r="R98" s="8">
        <v>2.8200799999999999</v>
      </c>
      <c r="S98">
        <v>1</v>
      </c>
      <c r="T98" s="8">
        <f t="shared" si="11"/>
        <v>2.9411764705882353E-2</v>
      </c>
      <c r="U98" s="8">
        <v>2.88157</v>
      </c>
      <c r="V98">
        <v>14</v>
      </c>
      <c r="W98" s="8">
        <f t="shared" si="12"/>
        <v>0.41176470588235292</v>
      </c>
      <c r="X98" s="8">
        <v>2.8176800000000002</v>
      </c>
      <c r="Y98">
        <v>19</v>
      </c>
      <c r="Z98" s="8">
        <f t="shared" si="13"/>
        <v>0.55882352941176472</v>
      </c>
      <c r="AA98" s="8">
        <v>2.8186100000000001</v>
      </c>
    </row>
    <row r="99" spans="2:27" ht="15" customHeight="1" x14ac:dyDescent="0.25">
      <c r="B99" t="s">
        <v>72</v>
      </c>
      <c r="C99" s="8">
        <v>-12642.92</v>
      </c>
      <c r="D99" s="2">
        <v>-12644.147628000001</v>
      </c>
      <c r="F99" s="12">
        <v>0.99644699999999997</v>
      </c>
      <c r="G99" s="13">
        <v>0.18987999999999999</v>
      </c>
      <c r="H99">
        <v>10</v>
      </c>
      <c r="I99">
        <v>3</v>
      </c>
      <c r="J99" t="s">
        <v>248</v>
      </c>
      <c r="K99" s="8">
        <f t="shared" si="7"/>
        <v>-0.6213153846165369</v>
      </c>
      <c r="L99" s="8">
        <f t="shared" si="8"/>
        <v>-4.779349112434899E-2</v>
      </c>
      <c r="M99" s="8">
        <f t="shared" si="9"/>
        <v>-0.57323707692376047</v>
      </c>
      <c r="N99" s="8">
        <f t="shared" si="10"/>
        <v>-4.4095159763366192E-2</v>
      </c>
      <c r="O99" s="8"/>
      <c r="P99" t="s">
        <v>249</v>
      </c>
      <c r="Q99">
        <v>34</v>
      </c>
      <c r="R99" s="8">
        <v>2.82477</v>
      </c>
      <c r="S99">
        <v>1</v>
      </c>
      <c r="T99" s="8">
        <f t="shared" si="11"/>
        <v>2.9411764705882353E-2</v>
      </c>
      <c r="U99" s="8">
        <v>2.90008</v>
      </c>
      <c r="V99">
        <v>15</v>
      </c>
      <c r="W99" s="8">
        <f t="shared" si="12"/>
        <v>0.44117647058823528</v>
      </c>
      <c r="X99" s="8">
        <v>2.8192400000000002</v>
      </c>
      <c r="Y99">
        <v>18</v>
      </c>
      <c r="Z99" s="8">
        <f t="shared" si="13"/>
        <v>0.52941176470588236</v>
      </c>
      <c r="AA99" s="8">
        <v>2.8251900000000001</v>
      </c>
    </row>
    <row r="100" spans="2:27" ht="15" customHeight="1" x14ac:dyDescent="0.25">
      <c r="B100" t="s">
        <v>30</v>
      </c>
      <c r="C100" s="8">
        <v>-12642.6088</v>
      </c>
      <c r="D100" s="2">
        <v>-12644.145823999999</v>
      </c>
      <c r="F100" s="12">
        <v>0.996116</v>
      </c>
      <c r="G100" s="13">
        <v>0.18634000000000001</v>
      </c>
      <c r="H100">
        <v>10</v>
      </c>
      <c r="I100">
        <v>3</v>
      </c>
      <c r="J100" t="s">
        <v>250</v>
      </c>
      <c r="K100" s="8">
        <f t="shared" si="7"/>
        <v>-0.31011538461643795</v>
      </c>
      <c r="L100" s="8">
        <f t="shared" si="8"/>
        <v>-2.3855029585879841E-2</v>
      </c>
      <c r="M100" s="8">
        <f t="shared" si="9"/>
        <v>-0.57143307692240342</v>
      </c>
      <c r="N100" s="8">
        <f t="shared" si="10"/>
        <v>-4.3956390532492569E-2</v>
      </c>
      <c r="O100" s="8"/>
      <c r="P100" t="s">
        <v>251</v>
      </c>
      <c r="Q100">
        <v>36</v>
      </c>
      <c r="R100" s="8">
        <v>2.8424700000000001</v>
      </c>
      <c r="S100">
        <v>2</v>
      </c>
      <c r="T100" s="8">
        <f t="shared" si="11"/>
        <v>5.5555555555555552E-2</v>
      </c>
      <c r="U100" s="8">
        <v>2.9427500000000002</v>
      </c>
      <c r="V100">
        <v>17</v>
      </c>
      <c r="W100" s="8">
        <f t="shared" si="12"/>
        <v>0.47222222222222221</v>
      </c>
      <c r="X100" s="8">
        <v>2.87005</v>
      </c>
      <c r="Y100">
        <v>17</v>
      </c>
      <c r="Z100" s="8">
        <f t="shared" si="13"/>
        <v>0.47222222222222221</v>
      </c>
      <c r="AA100" s="8">
        <v>2.8031000000000001</v>
      </c>
    </row>
    <row r="101" spans="2:27" ht="15" customHeight="1" x14ac:dyDescent="0.25">
      <c r="B101" t="s">
        <v>68</v>
      </c>
      <c r="C101" s="8">
        <v>-12642.9072</v>
      </c>
      <c r="D101" s="2">
        <v>-12644.142816</v>
      </c>
      <c r="F101" s="12">
        <v>0.99460400000000004</v>
      </c>
      <c r="G101" s="13">
        <v>0.17751</v>
      </c>
      <c r="H101">
        <v>10</v>
      </c>
      <c r="I101">
        <v>3</v>
      </c>
      <c r="J101" t="s">
        <v>252</v>
      </c>
      <c r="K101" s="8">
        <f t="shared" si="7"/>
        <v>-0.60851538461611199</v>
      </c>
      <c r="L101" s="8">
        <f t="shared" si="8"/>
        <v>-4.6808875739700925E-2</v>
      </c>
      <c r="M101" s="8">
        <f t="shared" si="9"/>
        <v>-0.56842507692272193</v>
      </c>
      <c r="N101" s="8">
        <f t="shared" si="10"/>
        <v>-4.3725005917132458E-2</v>
      </c>
      <c r="O101" s="8"/>
      <c r="P101" t="s">
        <v>253</v>
      </c>
      <c r="Q101">
        <v>36</v>
      </c>
      <c r="R101" s="8">
        <v>2.8385500000000001</v>
      </c>
      <c r="S101">
        <v>0</v>
      </c>
      <c r="T101" s="8">
        <f t="shared" si="11"/>
        <v>0</v>
      </c>
      <c r="U101" s="8">
        <v>0</v>
      </c>
      <c r="V101">
        <v>18</v>
      </c>
      <c r="W101" s="8">
        <f t="shared" si="12"/>
        <v>0.5</v>
      </c>
      <c r="X101" s="8">
        <v>2.86138</v>
      </c>
      <c r="Y101">
        <v>18</v>
      </c>
      <c r="Z101" s="8">
        <f t="shared" si="13"/>
        <v>0.5</v>
      </c>
      <c r="AA101" s="8">
        <v>2.8157100000000002</v>
      </c>
    </row>
    <row r="102" spans="2:27" ht="15" customHeight="1" x14ac:dyDescent="0.25">
      <c r="B102" t="s">
        <v>254</v>
      </c>
      <c r="C102" s="8">
        <v>-12642.857400000001</v>
      </c>
      <c r="D102" s="2">
        <v>-12644.142189</v>
      </c>
      <c r="F102" s="12">
        <v>0.99566600000000005</v>
      </c>
      <c r="G102" s="13">
        <v>0.183949999999999</v>
      </c>
      <c r="H102">
        <v>10</v>
      </c>
      <c r="I102">
        <v>3</v>
      </c>
      <c r="J102" t="s">
        <v>255</v>
      </c>
      <c r="K102" s="8">
        <f t="shared" si="7"/>
        <v>-0.55871538461724413</v>
      </c>
      <c r="L102" s="8">
        <f t="shared" si="8"/>
        <v>-4.2978106509018781E-2</v>
      </c>
      <c r="M102" s="8">
        <f t="shared" si="9"/>
        <v>-0.56779807692328177</v>
      </c>
      <c r="N102" s="8">
        <f t="shared" si="10"/>
        <v>-4.3676775147944755E-2</v>
      </c>
      <c r="O102" s="8"/>
      <c r="P102" t="s">
        <v>256</v>
      </c>
      <c r="Q102">
        <v>35</v>
      </c>
      <c r="R102" s="8">
        <v>2.8388499999999999</v>
      </c>
      <c r="S102">
        <v>3</v>
      </c>
      <c r="T102" s="8">
        <f t="shared" si="11"/>
        <v>8.5714285714285715E-2</v>
      </c>
      <c r="U102" s="8">
        <v>2.9282400000000002</v>
      </c>
      <c r="V102">
        <v>13</v>
      </c>
      <c r="W102" s="8">
        <f t="shared" si="12"/>
        <v>0.37142857142857144</v>
      </c>
      <c r="X102" s="8">
        <v>2.80538</v>
      </c>
      <c r="Y102">
        <v>19</v>
      </c>
      <c r="Z102" s="8">
        <f t="shared" si="13"/>
        <v>0.54285714285714282</v>
      </c>
      <c r="AA102" s="8">
        <v>2.8476300000000001</v>
      </c>
    </row>
    <row r="103" spans="2:27" ht="15" customHeight="1" x14ac:dyDescent="0.25">
      <c r="B103" t="s">
        <v>257</v>
      </c>
      <c r="C103" s="8">
        <v>-12642.8694</v>
      </c>
      <c r="D103" s="2">
        <v>-12644.135630999999</v>
      </c>
      <c r="F103" s="12">
        <v>0.99577300000000002</v>
      </c>
      <c r="G103" s="13">
        <v>0.18472999999999901</v>
      </c>
      <c r="H103">
        <v>10</v>
      </c>
      <c r="I103">
        <v>3</v>
      </c>
      <c r="J103" t="s">
        <v>258</v>
      </c>
      <c r="K103" s="8">
        <f t="shared" si="7"/>
        <v>-0.57071538461605087</v>
      </c>
      <c r="L103" s="8">
        <f t="shared" si="8"/>
        <v>-4.3901183432003915E-2</v>
      </c>
      <c r="M103" s="8">
        <f t="shared" si="9"/>
        <v>-0.56124007692233135</v>
      </c>
      <c r="N103" s="8">
        <f t="shared" si="10"/>
        <v>-4.3172313609410103E-2</v>
      </c>
      <c r="O103" s="8"/>
      <c r="P103" t="s">
        <v>259</v>
      </c>
      <c r="Q103">
        <v>34</v>
      </c>
      <c r="R103" s="8">
        <v>2.8254299999999999</v>
      </c>
      <c r="S103">
        <v>3</v>
      </c>
      <c r="T103" s="8">
        <f t="shared" si="11"/>
        <v>8.8235294117647065E-2</v>
      </c>
      <c r="U103" s="8">
        <v>2.8245</v>
      </c>
      <c r="V103">
        <v>9</v>
      </c>
      <c r="W103" s="8">
        <f t="shared" si="12"/>
        <v>0.26470588235294118</v>
      </c>
      <c r="X103" s="8">
        <v>2.8041100000000001</v>
      </c>
      <c r="Y103">
        <v>22</v>
      </c>
      <c r="Z103" s="8">
        <f t="shared" si="13"/>
        <v>0.6470588235294118</v>
      </c>
      <c r="AA103" s="8">
        <v>2.8342800000000001</v>
      </c>
    </row>
    <row r="104" spans="2:27" ht="15" customHeight="1" x14ac:dyDescent="0.25">
      <c r="B104" t="s">
        <v>260</v>
      </c>
      <c r="C104" s="8">
        <v>-12642.8719</v>
      </c>
      <c r="D104" s="2">
        <v>-12644.134040000001</v>
      </c>
      <c r="F104" s="12">
        <v>0.99592099999999995</v>
      </c>
      <c r="G104" s="13">
        <v>0.18528</v>
      </c>
      <c r="H104">
        <v>10</v>
      </c>
      <c r="I104">
        <v>3</v>
      </c>
      <c r="J104" t="s">
        <v>261</v>
      </c>
      <c r="K104" s="8">
        <f t="shared" si="7"/>
        <v>-0.57321538461656019</v>
      </c>
      <c r="L104" s="8">
        <f t="shared" si="8"/>
        <v>-4.4093491124350785E-2</v>
      </c>
      <c r="M104" s="8">
        <f t="shared" si="9"/>
        <v>-0.55964907692396082</v>
      </c>
      <c r="N104" s="8">
        <f t="shared" si="10"/>
        <v>-4.3049928994150832E-2</v>
      </c>
      <c r="O104" s="8"/>
      <c r="P104" t="s">
        <v>262</v>
      </c>
      <c r="Q104">
        <v>35</v>
      </c>
      <c r="R104" s="8">
        <v>2.83752</v>
      </c>
      <c r="S104">
        <v>2</v>
      </c>
      <c r="T104" s="8">
        <f t="shared" si="11"/>
        <v>5.7142857142857141E-2</v>
      </c>
      <c r="U104" s="8">
        <v>2.8866399999999999</v>
      </c>
      <c r="V104">
        <v>14</v>
      </c>
      <c r="W104" s="8">
        <f t="shared" si="12"/>
        <v>0.4</v>
      </c>
      <c r="X104" s="8">
        <v>2.8574899999999999</v>
      </c>
      <c r="Y104">
        <v>19</v>
      </c>
      <c r="Z104" s="8">
        <f t="shared" si="13"/>
        <v>0.54285714285714282</v>
      </c>
      <c r="AA104" s="8">
        <v>2.8176399999999999</v>
      </c>
    </row>
    <row r="105" spans="2:27" ht="15" customHeight="1" x14ac:dyDescent="0.25">
      <c r="B105" t="s">
        <v>46</v>
      </c>
      <c r="C105" s="8">
        <v>-12642.6538</v>
      </c>
      <c r="D105" s="2">
        <v>-12644.110516999999</v>
      </c>
      <c r="F105" s="12">
        <v>0.99578500000000003</v>
      </c>
      <c r="G105" s="13">
        <v>0.18484999999999999</v>
      </c>
      <c r="H105">
        <v>10</v>
      </c>
      <c r="I105">
        <v>3</v>
      </c>
      <c r="J105" t="s">
        <v>263</v>
      </c>
      <c r="K105" s="8">
        <f t="shared" si="7"/>
        <v>-0.35511538461651071</v>
      </c>
      <c r="L105" s="8">
        <f t="shared" si="8"/>
        <v>-2.7316568047423901E-2</v>
      </c>
      <c r="M105" s="8">
        <f t="shared" si="9"/>
        <v>-0.53612607692230085</v>
      </c>
      <c r="N105" s="8">
        <f t="shared" si="10"/>
        <v>-4.1240467455561605E-2</v>
      </c>
      <c r="O105" s="8"/>
      <c r="P105" t="s">
        <v>264</v>
      </c>
      <c r="Q105">
        <v>35</v>
      </c>
      <c r="R105" s="8">
        <v>2.8300700000000001</v>
      </c>
      <c r="S105">
        <v>2</v>
      </c>
      <c r="T105" s="8">
        <f t="shared" si="11"/>
        <v>5.7142857142857141E-2</v>
      </c>
      <c r="U105" s="8">
        <v>2.8248799999999998</v>
      </c>
      <c r="V105">
        <v>14</v>
      </c>
      <c r="W105" s="8">
        <f t="shared" si="12"/>
        <v>0.4</v>
      </c>
      <c r="X105" s="8">
        <v>2.8413599999999999</v>
      </c>
      <c r="Y105">
        <v>19</v>
      </c>
      <c r="Z105" s="8">
        <f t="shared" si="13"/>
        <v>0.54285714285714282</v>
      </c>
      <c r="AA105" s="8">
        <v>2.8222999999999998</v>
      </c>
    </row>
    <row r="106" spans="2:27" ht="15" customHeight="1" x14ac:dyDescent="0.25">
      <c r="B106" t="s">
        <v>38</v>
      </c>
      <c r="C106" s="8">
        <v>-12642.672500000001</v>
      </c>
      <c r="D106" s="2">
        <v>-12644.089096</v>
      </c>
      <c r="F106" s="12">
        <v>0.996421</v>
      </c>
      <c r="G106" s="13">
        <v>0.18967999999999999</v>
      </c>
      <c r="H106">
        <v>10</v>
      </c>
      <c r="I106">
        <v>3</v>
      </c>
      <c r="J106" t="s">
        <v>265</v>
      </c>
      <c r="K106" s="8">
        <f t="shared" si="7"/>
        <v>-0.37381538461704622</v>
      </c>
      <c r="L106" s="8">
        <f t="shared" si="8"/>
        <v>-2.8755029585926632E-2</v>
      </c>
      <c r="M106" s="8">
        <f t="shared" si="9"/>
        <v>-0.51470507692283718</v>
      </c>
      <c r="N106" s="8">
        <f t="shared" si="10"/>
        <v>-3.9592698224833626E-2</v>
      </c>
      <c r="O106" s="8"/>
      <c r="P106" t="s">
        <v>266</v>
      </c>
      <c r="Q106">
        <v>35</v>
      </c>
      <c r="R106" s="8">
        <v>2.8291499999999998</v>
      </c>
      <c r="S106">
        <v>1</v>
      </c>
      <c r="T106" s="8">
        <f t="shared" si="11"/>
        <v>2.8571428571428571E-2</v>
      </c>
      <c r="U106" s="8">
        <v>2.82511</v>
      </c>
      <c r="V106">
        <v>15</v>
      </c>
      <c r="W106" s="8">
        <f t="shared" si="12"/>
        <v>0.42857142857142855</v>
      </c>
      <c r="X106" s="8">
        <v>2.8403399999999999</v>
      </c>
      <c r="Y106">
        <v>19</v>
      </c>
      <c r="Z106" s="8">
        <f t="shared" si="13"/>
        <v>0.54285714285714282</v>
      </c>
      <c r="AA106" s="8">
        <v>2.8205200000000001</v>
      </c>
    </row>
    <row r="107" spans="2:27" ht="15" customHeight="1" x14ac:dyDescent="0.25">
      <c r="B107" t="s">
        <v>42</v>
      </c>
      <c r="C107" s="8">
        <v>-12642.8786</v>
      </c>
      <c r="D107" s="2">
        <v>-12644.083565000001</v>
      </c>
      <c r="F107" s="12">
        <v>0.99585800000000002</v>
      </c>
      <c r="G107" s="13">
        <v>0.18548000000000001</v>
      </c>
      <c r="H107">
        <v>10</v>
      </c>
      <c r="I107">
        <v>3</v>
      </c>
      <c r="J107" t="s">
        <v>267</v>
      </c>
      <c r="K107" s="8">
        <f t="shared" si="7"/>
        <v>-0.57991538461646996</v>
      </c>
      <c r="L107" s="8">
        <f t="shared" si="8"/>
        <v>-4.4608875739728458E-2</v>
      </c>
      <c r="M107" s="8">
        <f t="shared" si="9"/>
        <v>-0.509174076923955</v>
      </c>
      <c r="N107" s="8">
        <f t="shared" si="10"/>
        <v>-3.9167236686458079E-2</v>
      </c>
      <c r="O107" s="8"/>
      <c r="P107" t="s">
        <v>268</v>
      </c>
      <c r="Q107">
        <v>36</v>
      </c>
      <c r="R107" s="8">
        <v>2.8397100000000002</v>
      </c>
      <c r="S107">
        <v>2</v>
      </c>
      <c r="T107" s="8">
        <f t="shared" si="11"/>
        <v>5.5555555555555552E-2</v>
      </c>
      <c r="U107" s="8">
        <v>2.8230900000000001</v>
      </c>
      <c r="V107">
        <v>16</v>
      </c>
      <c r="W107" s="8">
        <f t="shared" si="12"/>
        <v>0.44444444444444442</v>
      </c>
      <c r="X107" s="8">
        <v>2.8823400000000001</v>
      </c>
      <c r="Y107">
        <v>18</v>
      </c>
      <c r="Z107" s="8">
        <f t="shared" si="13"/>
        <v>0.5</v>
      </c>
      <c r="AA107" s="8">
        <v>2.8036699999999999</v>
      </c>
    </row>
    <row r="108" spans="2:27" ht="15" customHeight="1" x14ac:dyDescent="0.25">
      <c r="B108" t="s">
        <v>269</v>
      </c>
      <c r="C108" s="8">
        <v>-12642.7601</v>
      </c>
      <c r="D108" s="2">
        <v>-12644.056547</v>
      </c>
      <c r="F108" s="12">
        <v>0.99635899999999999</v>
      </c>
      <c r="G108" s="13">
        <v>0.18915999999999999</v>
      </c>
      <c r="H108">
        <v>10</v>
      </c>
      <c r="I108">
        <v>3</v>
      </c>
      <c r="J108" t="s">
        <v>270</v>
      </c>
      <c r="K108" s="8">
        <f t="shared" si="7"/>
        <v>-0.4614153846159752</v>
      </c>
      <c r="L108" s="8">
        <f t="shared" si="8"/>
        <v>-3.5493491124305783E-2</v>
      </c>
      <c r="M108" s="8">
        <f t="shared" si="9"/>
        <v>-0.48215607692327467</v>
      </c>
      <c r="N108" s="8">
        <f t="shared" si="10"/>
        <v>-3.7088928994098054E-2</v>
      </c>
      <c r="O108" s="8"/>
      <c r="P108" t="s">
        <v>271</v>
      </c>
      <c r="Q108">
        <v>34</v>
      </c>
      <c r="R108" s="8">
        <v>2.8286500000000001</v>
      </c>
      <c r="S108">
        <v>3</v>
      </c>
      <c r="T108" s="8">
        <f t="shared" si="11"/>
        <v>8.8235294117647065E-2</v>
      </c>
      <c r="U108" s="8">
        <v>2.85358</v>
      </c>
      <c r="V108">
        <v>11</v>
      </c>
      <c r="W108" s="8">
        <f t="shared" si="12"/>
        <v>0.3235294117647059</v>
      </c>
      <c r="X108" s="8">
        <v>2.8284500000000001</v>
      </c>
      <c r="Y108">
        <v>20</v>
      </c>
      <c r="Z108" s="8">
        <f t="shared" si="13"/>
        <v>0.58823529411764708</v>
      </c>
      <c r="AA108" s="8">
        <v>2.8250099999999998</v>
      </c>
    </row>
    <row r="109" spans="2:27" ht="15" customHeight="1" x14ac:dyDescent="0.25">
      <c r="B109" t="s">
        <v>66</v>
      </c>
      <c r="C109" s="8">
        <v>-12642.8025</v>
      </c>
      <c r="D109" s="2">
        <v>-12644.054703</v>
      </c>
      <c r="F109" s="12">
        <v>0.99640399999999996</v>
      </c>
      <c r="G109" s="13">
        <v>0.189579999999999</v>
      </c>
      <c r="H109">
        <v>10</v>
      </c>
      <c r="I109">
        <v>3</v>
      </c>
      <c r="J109" t="s">
        <v>272</v>
      </c>
      <c r="K109" s="8">
        <f t="shared" si="7"/>
        <v>-0.50381538461624586</v>
      </c>
      <c r="L109" s="8">
        <f t="shared" si="8"/>
        <v>-3.8755029585865068E-2</v>
      </c>
      <c r="M109" s="8">
        <f t="shared" si="9"/>
        <v>-0.4803120769229281</v>
      </c>
      <c r="N109" s="8">
        <f t="shared" si="10"/>
        <v>-3.6947082840225236E-2</v>
      </c>
      <c r="O109" s="8"/>
      <c r="P109" t="s">
        <v>273</v>
      </c>
      <c r="Q109">
        <v>35</v>
      </c>
      <c r="R109" s="8">
        <v>2.8276699999999999</v>
      </c>
      <c r="S109">
        <v>1</v>
      </c>
      <c r="T109" s="8">
        <f t="shared" si="11"/>
        <v>2.8571428571428571E-2</v>
      </c>
      <c r="U109" s="8">
        <v>3.0463</v>
      </c>
      <c r="V109">
        <v>17</v>
      </c>
      <c r="W109" s="8">
        <f t="shared" si="12"/>
        <v>0.48571428571428571</v>
      </c>
      <c r="X109" s="8">
        <v>2.8304900000000002</v>
      </c>
      <c r="Y109">
        <v>17</v>
      </c>
      <c r="Z109" s="8">
        <f t="shared" si="13"/>
        <v>0.48571428571428571</v>
      </c>
      <c r="AA109" s="8">
        <v>2.8119900000000002</v>
      </c>
    </row>
    <row r="110" spans="2:27" ht="15" customHeight="1" x14ac:dyDescent="0.25">
      <c r="B110" t="s">
        <v>274</v>
      </c>
      <c r="C110" s="8">
        <v>-12642.7726</v>
      </c>
      <c r="D110" s="2">
        <v>-12644.042645</v>
      </c>
      <c r="F110" s="12">
        <v>0.99616199999999999</v>
      </c>
      <c r="G110" s="13">
        <v>0.18759999999999899</v>
      </c>
      <c r="H110">
        <v>10</v>
      </c>
      <c r="I110">
        <v>3</v>
      </c>
      <c r="J110" t="s">
        <v>275</v>
      </c>
      <c r="K110" s="8">
        <f t="shared" si="7"/>
        <v>-0.4739153846167028</v>
      </c>
      <c r="L110" s="8">
        <f t="shared" si="8"/>
        <v>-3.6455029585900217E-2</v>
      </c>
      <c r="M110" s="8">
        <f t="shared" si="9"/>
        <v>-0.46825407692267618</v>
      </c>
      <c r="N110" s="8">
        <f t="shared" si="10"/>
        <v>-3.6019544378667397E-2</v>
      </c>
      <c r="O110" s="8"/>
      <c r="P110" t="s">
        <v>276</v>
      </c>
      <c r="Q110">
        <v>35</v>
      </c>
      <c r="R110" s="8">
        <v>2.8325900000000002</v>
      </c>
      <c r="S110">
        <v>3</v>
      </c>
      <c r="T110" s="8">
        <f t="shared" si="11"/>
        <v>8.5714285714285715E-2</v>
      </c>
      <c r="U110" s="8">
        <v>2.7971900000000001</v>
      </c>
      <c r="V110">
        <v>10</v>
      </c>
      <c r="W110" s="8">
        <f t="shared" si="12"/>
        <v>0.2857142857142857</v>
      </c>
      <c r="X110" s="8">
        <v>2.8318699999999999</v>
      </c>
      <c r="Y110">
        <v>22</v>
      </c>
      <c r="Z110" s="8">
        <f t="shared" si="13"/>
        <v>0.62857142857142856</v>
      </c>
      <c r="AA110" s="8">
        <v>2.8377400000000002</v>
      </c>
    </row>
    <row r="111" spans="2:27" ht="15" customHeight="1" x14ac:dyDescent="0.25">
      <c r="B111" t="s">
        <v>44</v>
      </c>
      <c r="C111" s="8">
        <v>-12642.8171</v>
      </c>
      <c r="D111" s="2">
        <v>-12644.033936</v>
      </c>
      <c r="F111" s="12">
        <v>0.99657200000000001</v>
      </c>
      <c r="G111" s="13">
        <v>0.19111</v>
      </c>
      <c r="H111">
        <v>10</v>
      </c>
      <c r="I111">
        <v>3</v>
      </c>
      <c r="J111" t="s">
        <v>277</v>
      </c>
      <c r="K111" s="8">
        <f t="shared" si="7"/>
        <v>-0.51841538461667369</v>
      </c>
      <c r="L111" s="8">
        <f t="shared" si="8"/>
        <v>-3.98781065089749E-2</v>
      </c>
      <c r="M111" s="8">
        <f t="shared" si="9"/>
        <v>-0.4595450769229501</v>
      </c>
      <c r="N111" s="8">
        <f t="shared" si="10"/>
        <v>-3.5349621301765395E-2</v>
      </c>
      <c r="O111" s="8"/>
      <c r="P111" t="s">
        <v>278</v>
      </c>
      <c r="Q111">
        <v>35</v>
      </c>
      <c r="R111" s="8">
        <v>2.8314699999999999</v>
      </c>
      <c r="S111">
        <v>2</v>
      </c>
      <c r="T111" s="8">
        <f t="shared" si="11"/>
        <v>5.7142857142857141E-2</v>
      </c>
      <c r="U111" s="8">
        <v>2.86137</v>
      </c>
      <c r="V111">
        <v>15</v>
      </c>
      <c r="W111" s="8">
        <f t="shared" si="12"/>
        <v>0.42857142857142855</v>
      </c>
      <c r="X111" s="8">
        <v>2.8474200000000001</v>
      </c>
      <c r="Y111">
        <v>18</v>
      </c>
      <c r="Z111" s="8">
        <f t="shared" si="13"/>
        <v>0.51428571428571423</v>
      </c>
      <c r="AA111" s="8">
        <v>2.8148499999999999</v>
      </c>
    </row>
    <row r="112" spans="2:27" ht="15" customHeight="1" x14ac:dyDescent="0.25">
      <c r="B112" t="s">
        <v>28</v>
      </c>
      <c r="C112" s="8">
        <v>-12642.5234</v>
      </c>
      <c r="D112" s="2">
        <v>-12644.025962</v>
      </c>
      <c r="F112" s="12">
        <v>0.99717800000000001</v>
      </c>
      <c r="G112" s="13">
        <v>0.19116999999999901</v>
      </c>
      <c r="H112">
        <v>10</v>
      </c>
      <c r="I112">
        <v>3</v>
      </c>
      <c r="J112" t="s">
        <v>279</v>
      </c>
      <c r="K112" s="8">
        <f t="shared" si="7"/>
        <v>-0.22471538461650198</v>
      </c>
      <c r="L112" s="8">
        <f t="shared" si="8"/>
        <v>-1.7285798816653999E-2</v>
      </c>
      <c r="M112" s="8">
        <f t="shared" si="9"/>
        <v>-0.45157107692284626</v>
      </c>
      <c r="N112" s="8">
        <f t="shared" si="10"/>
        <v>-3.4736236686372789E-2</v>
      </c>
      <c r="O112" s="8"/>
      <c r="P112" t="s">
        <v>280</v>
      </c>
      <c r="Q112">
        <v>34</v>
      </c>
      <c r="R112" s="8">
        <v>2.819</v>
      </c>
      <c r="S112">
        <v>2</v>
      </c>
      <c r="T112" s="8">
        <f t="shared" si="11"/>
        <v>5.8823529411764705E-2</v>
      </c>
      <c r="U112" s="8">
        <v>2.7624499999999999</v>
      </c>
      <c r="V112">
        <v>13</v>
      </c>
      <c r="W112" s="8">
        <f t="shared" si="12"/>
        <v>0.38235294117647056</v>
      </c>
      <c r="X112" s="8">
        <v>2.8225199999999999</v>
      </c>
      <c r="Y112">
        <v>19</v>
      </c>
      <c r="Z112" s="8">
        <f t="shared" si="13"/>
        <v>0.55882352941176472</v>
      </c>
      <c r="AA112" s="8">
        <v>2.8225500000000001</v>
      </c>
    </row>
    <row r="113" spans="1:27" ht="15" customHeight="1" x14ac:dyDescent="0.25">
      <c r="B113" t="s">
        <v>50</v>
      </c>
      <c r="C113" s="8">
        <v>-12642.7703</v>
      </c>
      <c r="D113" s="2">
        <v>-12644.013009</v>
      </c>
      <c r="F113" s="12">
        <v>0.995834</v>
      </c>
      <c r="G113" s="13">
        <v>0.18517999999999901</v>
      </c>
      <c r="H113">
        <v>10</v>
      </c>
      <c r="I113">
        <v>3</v>
      </c>
      <c r="J113" t="s">
        <v>281</v>
      </c>
      <c r="K113" s="8">
        <f t="shared" si="7"/>
        <v>-0.47161538461659802</v>
      </c>
      <c r="L113" s="8">
        <f t="shared" si="8"/>
        <v>-3.627810650896908E-2</v>
      </c>
      <c r="M113" s="8">
        <f t="shared" si="9"/>
        <v>-0.43861807692337607</v>
      </c>
      <c r="N113" s="8">
        <f t="shared" si="10"/>
        <v>-3.3739852071028927E-2</v>
      </c>
      <c r="O113" s="8"/>
      <c r="P113" t="s">
        <v>282</v>
      </c>
      <c r="Q113">
        <v>35</v>
      </c>
      <c r="R113" s="8">
        <v>2.83182</v>
      </c>
      <c r="S113">
        <v>2</v>
      </c>
      <c r="T113" s="8">
        <f t="shared" si="11"/>
        <v>5.7142857142857141E-2</v>
      </c>
      <c r="U113" s="8">
        <v>2.95763</v>
      </c>
      <c r="V113">
        <v>16</v>
      </c>
      <c r="W113" s="8">
        <f t="shared" si="12"/>
        <v>0.45714285714285713</v>
      </c>
      <c r="X113" s="8">
        <v>2.84016</v>
      </c>
      <c r="Y113">
        <v>17</v>
      </c>
      <c r="Z113" s="8">
        <f t="shared" si="13"/>
        <v>0.48571428571428571</v>
      </c>
      <c r="AA113" s="8">
        <v>2.80918</v>
      </c>
    </row>
    <row r="114" spans="1:27" ht="15" customHeight="1" x14ac:dyDescent="0.25">
      <c r="B114" t="s">
        <v>40</v>
      </c>
      <c r="C114" s="8">
        <v>-12642.786400000001</v>
      </c>
      <c r="D114" s="2">
        <v>-12643.992367000001</v>
      </c>
      <c r="F114" s="12">
        <v>0.99619100000000005</v>
      </c>
      <c r="G114" s="13">
        <v>0.187829999999999</v>
      </c>
      <c r="H114">
        <v>10</v>
      </c>
      <c r="I114">
        <v>3</v>
      </c>
      <c r="J114" t="s">
        <v>283</v>
      </c>
      <c r="K114" s="8">
        <f t="shared" si="7"/>
        <v>-0.48771538461733144</v>
      </c>
      <c r="L114" s="8">
        <f t="shared" si="8"/>
        <v>-3.7516568047487035E-2</v>
      </c>
      <c r="M114" s="8">
        <f t="shared" si="9"/>
        <v>-0.41797607692387828</v>
      </c>
      <c r="N114" s="8">
        <f t="shared" si="10"/>
        <v>-3.2152005917221407E-2</v>
      </c>
      <c r="O114" s="8"/>
      <c r="P114" t="s">
        <v>284</v>
      </c>
      <c r="Q114">
        <v>36</v>
      </c>
      <c r="R114" s="8">
        <v>2.8417500000000002</v>
      </c>
      <c r="S114">
        <v>3</v>
      </c>
      <c r="T114" s="8">
        <f t="shared" si="11"/>
        <v>8.3333333333333329E-2</v>
      </c>
      <c r="U114" s="8">
        <v>2.88748</v>
      </c>
      <c r="V114">
        <v>14</v>
      </c>
      <c r="W114" s="8">
        <f t="shared" si="12"/>
        <v>0.3888888888888889</v>
      </c>
      <c r="X114" s="8">
        <v>2.87879</v>
      </c>
      <c r="Y114">
        <v>19</v>
      </c>
      <c r="Z114" s="8">
        <f t="shared" si="13"/>
        <v>0.52777777777777779</v>
      </c>
      <c r="AA114" s="8">
        <v>2.8072400000000002</v>
      </c>
    </row>
    <row r="115" spans="1:27" ht="15" customHeight="1" x14ac:dyDescent="0.25">
      <c r="B115" t="s">
        <v>48</v>
      </c>
      <c r="C115" s="8">
        <v>-12642.7444</v>
      </c>
      <c r="D115" s="2">
        <v>-12643.972706</v>
      </c>
      <c r="F115" s="12">
        <v>0.99486600000000003</v>
      </c>
      <c r="G115" s="13">
        <v>0.178869999999999</v>
      </c>
      <c r="H115">
        <v>10</v>
      </c>
      <c r="I115">
        <v>3</v>
      </c>
      <c r="J115" t="s">
        <v>285</v>
      </c>
      <c r="K115" s="8">
        <f t="shared" si="7"/>
        <v>-0.44571538461605087</v>
      </c>
      <c r="L115" s="8">
        <f t="shared" si="8"/>
        <v>-3.4285798816619299E-2</v>
      </c>
      <c r="M115" s="8">
        <f t="shared" si="9"/>
        <v>-0.39831507692360901</v>
      </c>
      <c r="N115" s="8">
        <f t="shared" si="10"/>
        <v>-3.0639621301816078E-2</v>
      </c>
      <c r="O115" s="8"/>
      <c r="P115" t="s">
        <v>286</v>
      </c>
      <c r="Q115">
        <v>34</v>
      </c>
      <c r="R115" s="8">
        <v>2.8149999999999999</v>
      </c>
      <c r="S115">
        <v>1</v>
      </c>
      <c r="T115" s="8">
        <f t="shared" si="11"/>
        <v>2.9411764705882353E-2</v>
      </c>
      <c r="U115" s="8">
        <v>2.83324</v>
      </c>
      <c r="V115">
        <v>16</v>
      </c>
      <c r="W115" s="8">
        <f t="shared" si="12"/>
        <v>0.47058823529411764</v>
      </c>
      <c r="X115" s="8">
        <v>2.8229099999999998</v>
      </c>
      <c r="Y115">
        <v>17</v>
      </c>
      <c r="Z115" s="8">
        <f t="shared" si="13"/>
        <v>0.5</v>
      </c>
      <c r="AA115" s="8">
        <v>2.8064800000000001</v>
      </c>
    </row>
    <row r="116" spans="1:27" ht="15" customHeight="1" x14ac:dyDescent="0.25">
      <c r="B116" t="s">
        <v>58</v>
      </c>
      <c r="C116" s="8">
        <v>-12642.658100000001</v>
      </c>
      <c r="D116" s="2">
        <v>-12643.963239999999</v>
      </c>
      <c r="F116" s="12">
        <v>0.99582400000000004</v>
      </c>
      <c r="G116" s="13">
        <v>0.18504999999999899</v>
      </c>
      <c r="H116">
        <v>10</v>
      </c>
      <c r="I116">
        <v>3</v>
      </c>
      <c r="J116" t="s">
        <v>287</v>
      </c>
      <c r="K116" s="8">
        <f t="shared" si="7"/>
        <v>-0.35941538461702294</v>
      </c>
      <c r="L116" s="8">
        <f t="shared" si="8"/>
        <v>-2.7647337278232535E-2</v>
      </c>
      <c r="M116" s="8">
        <f t="shared" si="9"/>
        <v>-0.38884907692226989</v>
      </c>
      <c r="N116" s="8">
        <f t="shared" si="10"/>
        <v>-2.9911467455559223E-2</v>
      </c>
      <c r="O116" s="8"/>
      <c r="P116" t="s">
        <v>288</v>
      </c>
      <c r="Q116">
        <v>36</v>
      </c>
      <c r="R116" s="8">
        <v>2.8436400000000002</v>
      </c>
      <c r="S116">
        <v>3</v>
      </c>
      <c r="T116" s="8">
        <f t="shared" si="11"/>
        <v>8.3333333333333329E-2</v>
      </c>
      <c r="U116" s="8">
        <v>2.9861200000000001</v>
      </c>
      <c r="V116">
        <v>16</v>
      </c>
      <c r="W116" s="8">
        <f t="shared" si="12"/>
        <v>0.44444444444444442</v>
      </c>
      <c r="X116" s="8">
        <v>2.84273</v>
      </c>
      <c r="Y116">
        <v>17</v>
      </c>
      <c r="Z116" s="8">
        <f t="shared" si="13"/>
        <v>0.47222222222222221</v>
      </c>
      <c r="AA116" s="8">
        <v>2.8193600000000001</v>
      </c>
    </row>
    <row r="117" spans="1:27" ht="15" customHeight="1" x14ac:dyDescent="0.25">
      <c r="B117" t="s">
        <v>26</v>
      </c>
      <c r="C117" s="8">
        <v>-12642.708699999999</v>
      </c>
      <c r="D117" s="2">
        <v>-12643.945189</v>
      </c>
      <c r="F117" s="12">
        <v>0.99519199999999997</v>
      </c>
      <c r="G117" s="13">
        <v>0.17968999999999899</v>
      </c>
      <c r="H117">
        <v>10</v>
      </c>
      <c r="I117">
        <v>3</v>
      </c>
      <c r="J117" t="s">
        <v>289</v>
      </c>
      <c r="K117" s="8">
        <f t="shared" si="7"/>
        <v>-0.41001538461568998</v>
      </c>
      <c r="L117" s="8">
        <f t="shared" si="8"/>
        <v>-3.1539644970437694E-2</v>
      </c>
      <c r="M117" s="8">
        <f t="shared" si="9"/>
        <v>-0.37079807692316535</v>
      </c>
      <c r="N117" s="8">
        <f t="shared" si="10"/>
        <v>-2.8522928994089643E-2</v>
      </c>
      <c r="O117" s="8"/>
      <c r="P117" t="s">
        <v>290</v>
      </c>
      <c r="Q117">
        <v>34</v>
      </c>
      <c r="R117" s="8">
        <v>2.8230499999999998</v>
      </c>
      <c r="S117">
        <v>2</v>
      </c>
      <c r="T117" s="8">
        <f t="shared" si="11"/>
        <v>5.8823529411764705E-2</v>
      </c>
      <c r="U117" s="8">
        <v>2.7938200000000002</v>
      </c>
      <c r="V117">
        <v>14</v>
      </c>
      <c r="W117" s="8">
        <f t="shared" si="12"/>
        <v>0.41176470588235292</v>
      </c>
      <c r="X117" s="8">
        <v>2.84552</v>
      </c>
      <c r="Y117">
        <v>18</v>
      </c>
      <c r="Z117" s="8">
        <f t="shared" si="13"/>
        <v>0.52941176470588236</v>
      </c>
      <c r="AA117" s="8">
        <v>2.8088199999999999</v>
      </c>
    </row>
    <row r="118" spans="1:27" ht="15" customHeight="1" x14ac:dyDescent="0.25">
      <c r="B118" t="s">
        <v>24</v>
      </c>
      <c r="C118" s="8">
        <v>-12642.6283</v>
      </c>
      <c r="D118" s="2">
        <v>-12643.842495000001</v>
      </c>
      <c r="F118" s="12">
        <v>0.99508099999999999</v>
      </c>
      <c r="G118" s="13">
        <v>0.17795</v>
      </c>
      <c r="H118">
        <v>10</v>
      </c>
      <c r="I118">
        <v>3</v>
      </c>
      <c r="J118" t="s">
        <v>291</v>
      </c>
      <c r="K118" s="8">
        <f t="shared" si="7"/>
        <v>-0.32961538461677264</v>
      </c>
      <c r="L118" s="8">
        <f t="shared" si="8"/>
        <v>-2.5355029585905589E-2</v>
      </c>
      <c r="M118" s="8">
        <f t="shared" si="9"/>
        <v>-0.26810407692391891</v>
      </c>
      <c r="N118" s="8">
        <f t="shared" si="10"/>
        <v>-2.0623390532609146E-2</v>
      </c>
      <c r="O118" s="8"/>
      <c r="P118" t="s">
        <v>292</v>
      </c>
      <c r="Q118">
        <v>36</v>
      </c>
      <c r="R118" s="8">
        <v>2.84111</v>
      </c>
      <c r="S118">
        <v>3</v>
      </c>
      <c r="T118" s="8">
        <f t="shared" si="11"/>
        <v>8.3333333333333329E-2</v>
      </c>
      <c r="U118" s="8">
        <v>2.8365900000000002</v>
      </c>
      <c r="V118">
        <v>14</v>
      </c>
      <c r="W118" s="8">
        <f t="shared" si="12"/>
        <v>0.3888888888888889</v>
      </c>
      <c r="X118" s="8">
        <v>2.8875999999999999</v>
      </c>
      <c r="Y118">
        <v>19</v>
      </c>
      <c r="Z118" s="8">
        <f t="shared" si="13"/>
        <v>0.52777777777777779</v>
      </c>
      <c r="AA118" s="8">
        <v>2.8075600000000001</v>
      </c>
    </row>
    <row r="119" spans="1:27" ht="15" customHeight="1" x14ac:dyDescent="0.25">
      <c r="B119" t="s">
        <v>60</v>
      </c>
      <c r="C119" s="8">
        <v>-12642.597599999999</v>
      </c>
      <c r="D119" s="2">
        <v>-12643.841101</v>
      </c>
      <c r="F119" s="12">
        <v>0.99464900000000001</v>
      </c>
      <c r="G119" s="13">
        <v>0.17760999999999999</v>
      </c>
      <c r="H119">
        <v>10</v>
      </c>
      <c r="I119">
        <v>3</v>
      </c>
      <c r="J119" t="s">
        <v>293</v>
      </c>
      <c r="K119" s="8">
        <f t="shared" si="7"/>
        <v>-0.2989153846156114</v>
      </c>
      <c r="L119" s="8">
        <f t="shared" si="8"/>
        <v>-2.2993491124277801E-2</v>
      </c>
      <c r="M119" s="8">
        <f t="shared" si="9"/>
        <v>-0.26671007692311832</v>
      </c>
      <c r="N119" s="8">
        <f t="shared" si="10"/>
        <v>-2.0516159763316794E-2</v>
      </c>
      <c r="O119" s="8"/>
      <c r="P119" t="s">
        <v>294</v>
      </c>
      <c r="Q119">
        <v>36</v>
      </c>
      <c r="R119" s="8">
        <v>2.8424200000000002</v>
      </c>
      <c r="S119">
        <v>3</v>
      </c>
      <c r="T119" s="8">
        <f t="shared" si="11"/>
        <v>8.3333333333333329E-2</v>
      </c>
      <c r="U119" s="8">
        <v>3.02549</v>
      </c>
      <c r="V119">
        <v>16</v>
      </c>
      <c r="W119" s="8">
        <f t="shared" si="12"/>
        <v>0.44444444444444442</v>
      </c>
      <c r="X119" s="8">
        <v>2.8364400000000001</v>
      </c>
      <c r="Y119">
        <v>17</v>
      </c>
      <c r="Z119" s="8">
        <f t="shared" si="13"/>
        <v>0.47222222222222221</v>
      </c>
      <c r="AA119" s="8">
        <v>2.8157399999999999</v>
      </c>
    </row>
    <row r="120" spans="1:27" ht="15" customHeight="1" x14ac:dyDescent="0.25">
      <c r="B120" t="s">
        <v>20</v>
      </c>
      <c r="C120" s="8">
        <v>-12642.5052</v>
      </c>
      <c r="D120" s="2">
        <v>-12643.741015</v>
      </c>
      <c r="F120" s="12">
        <v>1.000621</v>
      </c>
      <c r="G120" s="13">
        <v>0.207039999999999</v>
      </c>
      <c r="H120">
        <v>10</v>
      </c>
      <c r="I120">
        <v>3</v>
      </c>
      <c r="J120" t="s">
        <v>295</v>
      </c>
      <c r="K120" s="8">
        <f t="shared" si="7"/>
        <v>-0.20651538461606833</v>
      </c>
      <c r="L120" s="8">
        <f t="shared" si="8"/>
        <v>-1.5885798816620642E-2</v>
      </c>
      <c r="M120" s="8">
        <f t="shared" si="9"/>
        <v>-0.16662407692274428</v>
      </c>
      <c r="N120" s="8">
        <f t="shared" si="10"/>
        <v>-1.2817236686364945E-2</v>
      </c>
      <c r="O120" s="8"/>
      <c r="P120" t="s">
        <v>296</v>
      </c>
      <c r="Q120">
        <v>36</v>
      </c>
      <c r="R120" s="8">
        <v>2.8425099999999999</v>
      </c>
      <c r="S120">
        <v>2</v>
      </c>
      <c r="T120" s="8">
        <f t="shared" si="11"/>
        <v>5.5555555555555552E-2</v>
      </c>
      <c r="U120" s="8">
        <v>2.79203</v>
      </c>
      <c r="V120">
        <v>16</v>
      </c>
      <c r="W120" s="8">
        <f t="shared" si="12"/>
        <v>0.44444444444444442</v>
      </c>
      <c r="X120" s="8">
        <v>2.8979900000000001</v>
      </c>
      <c r="Y120">
        <v>18</v>
      </c>
      <c r="Z120" s="8">
        <f t="shared" si="13"/>
        <v>0.5</v>
      </c>
      <c r="AA120" s="8">
        <v>2.7988</v>
      </c>
    </row>
    <row r="121" spans="1:27" ht="15" customHeight="1" x14ac:dyDescent="0.25">
      <c r="C121" s="4"/>
      <c r="F121" s="12"/>
      <c r="G121" s="13"/>
      <c r="K121" s="8" t="str">
        <f t="shared" si="7"/>
        <v/>
      </c>
      <c r="L121" s="8" t="str">
        <f t="shared" si="8"/>
        <v/>
      </c>
      <c r="M121" s="8" t="str">
        <f t="shared" si="9"/>
        <v/>
      </c>
      <c r="N121" s="8" t="str">
        <f t="shared" si="10"/>
        <v/>
      </c>
      <c r="O121" s="8"/>
      <c r="T121" s="8" t="str">
        <f t="shared" si="11"/>
        <v/>
      </c>
      <c r="W121" s="8" t="str">
        <f t="shared" si="12"/>
        <v/>
      </c>
      <c r="Z121" s="8" t="str">
        <f t="shared" si="13"/>
        <v/>
      </c>
    </row>
    <row r="122" spans="1:27" ht="15" customHeight="1" x14ac:dyDescent="0.25">
      <c r="C122" s="5" t="s">
        <v>0</v>
      </c>
      <c r="D122" s="6" t="s">
        <v>1</v>
      </c>
      <c r="E122" s="7"/>
      <c r="F122" s="7" t="s">
        <v>2</v>
      </c>
      <c r="G122" s="7" t="s">
        <v>3</v>
      </c>
      <c r="H122" s="7" t="s">
        <v>4</v>
      </c>
      <c r="I122" s="7" t="s">
        <v>5</v>
      </c>
      <c r="K122" s="8" t="str">
        <f t="shared" si="7"/>
        <v/>
      </c>
      <c r="L122" s="8" t="str">
        <f t="shared" si="8"/>
        <v/>
      </c>
      <c r="M122" s="8" t="str">
        <f t="shared" si="9"/>
        <v/>
      </c>
      <c r="N122" s="8" t="str">
        <f t="shared" si="10"/>
        <v/>
      </c>
      <c r="O122" s="8"/>
      <c r="T122" s="8" t="str">
        <f t="shared" si="11"/>
        <v/>
      </c>
      <c r="W122" s="8" t="str">
        <f t="shared" si="12"/>
        <v/>
      </c>
      <c r="Z122" s="8" t="str">
        <f t="shared" si="13"/>
        <v/>
      </c>
    </row>
    <row r="123" spans="1:27" ht="15" customHeight="1" x14ac:dyDescent="0.25">
      <c r="A123" s="7" t="s">
        <v>297</v>
      </c>
      <c r="B123" t="s">
        <v>20</v>
      </c>
      <c r="C123" s="8">
        <v>-12549.484</v>
      </c>
      <c r="D123" s="2">
        <v>-12550.735339000001</v>
      </c>
      <c r="F123" s="12">
        <v>0.99714100000000006</v>
      </c>
      <c r="G123" s="13">
        <v>0.15032999999999899</v>
      </c>
      <c r="H123">
        <v>9</v>
      </c>
      <c r="I123">
        <v>4</v>
      </c>
      <c r="K123" s="8">
        <f t="shared" si="7"/>
        <v>-0.47065384615416406</v>
      </c>
      <c r="L123" s="8">
        <f t="shared" si="8"/>
        <v>-3.6204142011858773E-2</v>
      </c>
      <c r="M123" s="8">
        <f t="shared" si="9"/>
        <v>-0.39614776923008321</v>
      </c>
      <c r="N123" s="8">
        <f t="shared" si="10"/>
        <v>-3.0472905325391018E-2</v>
      </c>
      <c r="O123" s="8"/>
      <c r="P123" t="s">
        <v>298</v>
      </c>
      <c r="Q123">
        <v>34</v>
      </c>
      <c r="R123" s="8">
        <v>2.8239999999999998</v>
      </c>
      <c r="S123">
        <v>4</v>
      </c>
      <c r="T123" s="8">
        <f t="shared" si="11"/>
        <v>0.11764705882352941</v>
      </c>
      <c r="U123" s="8">
        <v>2.8134399999999999</v>
      </c>
      <c r="V123">
        <v>15</v>
      </c>
      <c r="W123" s="8">
        <f t="shared" si="12"/>
        <v>0.44117647058823528</v>
      </c>
      <c r="X123" s="8">
        <v>2.8438300000000001</v>
      </c>
      <c r="Y123">
        <v>15</v>
      </c>
      <c r="Z123" s="8">
        <f t="shared" si="13"/>
        <v>0.44117647058823528</v>
      </c>
      <c r="AA123" s="8">
        <v>2.8069799999999998</v>
      </c>
    </row>
    <row r="124" spans="1:27" ht="15" customHeight="1" x14ac:dyDescent="0.25">
      <c r="B124" t="s">
        <v>24</v>
      </c>
      <c r="C124" s="8">
        <v>-12549.377200000001</v>
      </c>
      <c r="D124" s="2">
        <v>-12550.916389</v>
      </c>
      <c r="F124" s="12">
        <v>0.99729299999999999</v>
      </c>
      <c r="G124" s="13">
        <v>0.18132999999999999</v>
      </c>
      <c r="H124">
        <v>9</v>
      </c>
      <c r="I124">
        <v>4</v>
      </c>
      <c r="K124" s="8">
        <f t="shared" si="7"/>
        <v>-0.3638538461545977</v>
      </c>
      <c r="L124" s="8">
        <f t="shared" si="8"/>
        <v>-2.7988757396507517E-2</v>
      </c>
      <c r="M124" s="8">
        <f t="shared" si="9"/>
        <v>-0.57719776922931487</v>
      </c>
      <c r="N124" s="8">
        <f t="shared" si="10"/>
        <v>-4.4399828402254989E-2</v>
      </c>
      <c r="O124" s="8"/>
      <c r="P124" t="s">
        <v>299</v>
      </c>
      <c r="Q124">
        <v>35</v>
      </c>
      <c r="R124" s="8">
        <v>2.8336100000000002</v>
      </c>
      <c r="S124">
        <v>4</v>
      </c>
      <c r="T124" s="8">
        <f t="shared" si="11"/>
        <v>0.11428571428571428</v>
      </c>
      <c r="U124" s="8">
        <v>2.88185</v>
      </c>
      <c r="V124">
        <v>17</v>
      </c>
      <c r="W124" s="8">
        <f t="shared" si="12"/>
        <v>0.48571428571428571</v>
      </c>
      <c r="X124" s="8">
        <v>2.8384200000000002</v>
      </c>
      <c r="Y124">
        <v>14</v>
      </c>
      <c r="Z124" s="8">
        <f t="shared" si="13"/>
        <v>0.4</v>
      </c>
      <c r="AA124" s="8">
        <v>2.81399</v>
      </c>
    </row>
    <row r="125" spans="1:27" ht="15" customHeight="1" x14ac:dyDescent="0.25">
      <c r="B125" s="14" t="s">
        <v>26</v>
      </c>
      <c r="C125" s="15">
        <v>-12549.4941</v>
      </c>
      <c r="D125" s="16">
        <v>-12550.742834999999</v>
      </c>
      <c r="E125" s="14"/>
      <c r="F125" s="17">
        <v>2.9928409999999999</v>
      </c>
      <c r="G125" s="18">
        <v>0.1696</v>
      </c>
      <c r="H125" s="14">
        <v>9</v>
      </c>
      <c r="I125" s="14">
        <v>4</v>
      </c>
      <c r="K125" s="8">
        <f t="shared" si="7"/>
        <v>-0.48075384615367511</v>
      </c>
      <c r="L125" s="8">
        <f t="shared" si="8"/>
        <v>-3.6981065088744242E-2</v>
      </c>
      <c r="M125" s="8">
        <f t="shared" si="9"/>
        <v>-0.40364376922843803</v>
      </c>
      <c r="N125" s="8">
        <f t="shared" si="10"/>
        <v>-3.104952070987985E-2</v>
      </c>
      <c r="O125" s="8"/>
      <c r="P125" t="s">
        <v>300</v>
      </c>
      <c r="Q125">
        <v>35</v>
      </c>
      <c r="R125" s="8">
        <v>2.8269799999999998</v>
      </c>
      <c r="S125">
        <v>2</v>
      </c>
      <c r="T125" s="8">
        <f t="shared" si="11"/>
        <v>5.7142857142857141E-2</v>
      </c>
      <c r="U125" s="8">
        <v>2.8062800000000001</v>
      </c>
      <c r="V125">
        <v>18</v>
      </c>
      <c r="W125" s="8">
        <f t="shared" si="12"/>
        <v>0.51428571428571423</v>
      </c>
      <c r="X125" s="8">
        <v>2.8391799999999998</v>
      </c>
      <c r="Y125">
        <v>15</v>
      </c>
      <c r="Z125" s="8">
        <f t="shared" si="13"/>
        <v>0.42857142857142855</v>
      </c>
      <c r="AA125" s="8">
        <v>2.8150900000000001</v>
      </c>
    </row>
    <row r="126" spans="1:27" ht="15" customHeight="1" x14ac:dyDescent="0.25">
      <c r="B126" t="s">
        <v>28</v>
      </c>
      <c r="C126" s="8">
        <v>-12549.537399999999</v>
      </c>
      <c r="D126" s="2">
        <v>-12550.795859</v>
      </c>
      <c r="F126" s="12">
        <v>0.99512199999999995</v>
      </c>
      <c r="G126" s="13">
        <v>0.18042</v>
      </c>
      <c r="H126">
        <v>9</v>
      </c>
      <c r="I126">
        <v>4</v>
      </c>
      <c r="K126" s="8">
        <f t="shared" si="7"/>
        <v>-0.52405384615303774</v>
      </c>
      <c r="L126" s="8">
        <f t="shared" si="8"/>
        <v>-4.0311834319464439E-2</v>
      </c>
      <c r="M126" s="8">
        <f t="shared" si="9"/>
        <v>-0.45666776922917052</v>
      </c>
      <c r="N126" s="8">
        <f t="shared" si="10"/>
        <v>-3.5128289940705423E-2</v>
      </c>
      <c r="O126" s="8"/>
      <c r="P126" t="s">
        <v>301</v>
      </c>
      <c r="Q126">
        <v>35</v>
      </c>
      <c r="R126" s="8">
        <v>2.8313600000000001</v>
      </c>
      <c r="S126">
        <v>5</v>
      </c>
      <c r="T126" s="8">
        <f t="shared" si="11"/>
        <v>0.14285714285714285</v>
      </c>
      <c r="U126" s="8">
        <v>2.8555799999999998</v>
      </c>
      <c r="V126">
        <v>14</v>
      </c>
      <c r="W126" s="8">
        <f t="shared" si="12"/>
        <v>0.4</v>
      </c>
      <c r="X126" s="8">
        <v>2.8541599999999998</v>
      </c>
      <c r="Y126">
        <v>16</v>
      </c>
      <c r="Z126" s="8">
        <f t="shared" si="13"/>
        <v>0.45714285714285713</v>
      </c>
      <c r="AA126" s="8">
        <v>2.8038500000000002</v>
      </c>
    </row>
    <row r="127" spans="1:27" ht="15" customHeight="1" x14ac:dyDescent="0.25">
      <c r="B127" t="s">
        <v>30</v>
      </c>
      <c r="C127" s="8">
        <v>-12549.5515</v>
      </c>
      <c r="D127" s="2">
        <v>-12550.804845000001</v>
      </c>
      <c r="F127" s="12">
        <v>0.99571500000000002</v>
      </c>
      <c r="G127" s="13">
        <v>0.18407999999999899</v>
      </c>
      <c r="H127">
        <v>9</v>
      </c>
      <c r="I127">
        <v>4</v>
      </c>
      <c r="K127" s="8">
        <f t="shared" si="7"/>
        <v>-0.5381538461533637</v>
      </c>
      <c r="L127" s="8">
        <f t="shared" si="8"/>
        <v>-4.1396449704104901E-2</v>
      </c>
      <c r="M127" s="8">
        <f t="shared" si="9"/>
        <v>-0.46565376922990254</v>
      </c>
      <c r="N127" s="8">
        <f t="shared" si="10"/>
        <v>-3.5819520709992503E-2</v>
      </c>
      <c r="O127" s="8"/>
      <c r="P127" t="s">
        <v>302</v>
      </c>
      <c r="Q127">
        <v>36</v>
      </c>
      <c r="R127" s="8">
        <v>2.84172</v>
      </c>
      <c r="S127">
        <v>5</v>
      </c>
      <c r="T127" s="8">
        <f t="shared" si="11"/>
        <v>0.1388888888888889</v>
      </c>
      <c r="U127" s="8">
        <v>2.83277</v>
      </c>
      <c r="V127">
        <v>15</v>
      </c>
      <c r="W127" s="8">
        <f t="shared" si="12"/>
        <v>0.41666666666666669</v>
      </c>
      <c r="X127" s="8">
        <v>2.88985</v>
      </c>
      <c r="Y127">
        <v>16</v>
      </c>
      <c r="Z127" s="8">
        <f t="shared" si="13"/>
        <v>0.44444444444444442</v>
      </c>
      <c r="AA127" s="8">
        <v>2.7993999999999999</v>
      </c>
    </row>
    <row r="128" spans="1:27" ht="15" customHeight="1" x14ac:dyDescent="0.25">
      <c r="B128" t="s">
        <v>38</v>
      </c>
      <c r="C128" s="8">
        <v>-12549.575800000001</v>
      </c>
      <c r="D128" s="2">
        <v>-12550.819025999999</v>
      </c>
      <c r="F128" s="12">
        <v>0.996475</v>
      </c>
      <c r="G128" s="13">
        <v>0.19016</v>
      </c>
      <c r="H128">
        <v>9</v>
      </c>
      <c r="I128">
        <v>4</v>
      </c>
      <c r="K128" s="8">
        <f t="shared" si="7"/>
        <v>-0.56245384615431249</v>
      </c>
      <c r="L128" s="8">
        <f t="shared" si="8"/>
        <v>-4.3265680473408653E-2</v>
      </c>
      <c r="M128" s="8">
        <f t="shared" si="9"/>
        <v>-0.47983476922854607</v>
      </c>
      <c r="N128" s="8">
        <f t="shared" si="10"/>
        <v>-3.6910366863734313E-2</v>
      </c>
      <c r="O128" s="8"/>
      <c r="P128" t="s">
        <v>303</v>
      </c>
      <c r="Q128">
        <v>34</v>
      </c>
      <c r="R128" s="8">
        <v>2.8188599999999999</v>
      </c>
      <c r="S128">
        <v>4</v>
      </c>
      <c r="T128" s="8">
        <f t="shared" si="11"/>
        <v>0.11764705882352941</v>
      </c>
      <c r="U128" s="8">
        <v>2.8590399999999998</v>
      </c>
      <c r="V128">
        <v>15</v>
      </c>
      <c r="W128" s="8">
        <f t="shared" si="12"/>
        <v>0.44117647058823528</v>
      </c>
      <c r="X128" s="8">
        <v>2.8206000000000002</v>
      </c>
      <c r="Y128">
        <v>15</v>
      </c>
      <c r="Z128" s="8">
        <f t="shared" si="13"/>
        <v>0.44117647058823528</v>
      </c>
      <c r="AA128" s="8">
        <v>2.8064</v>
      </c>
    </row>
    <row r="129" spans="2:27" ht="15" customHeight="1" x14ac:dyDescent="0.25">
      <c r="B129" t="s">
        <v>40</v>
      </c>
      <c r="C129" s="8">
        <v>-12549.331399999999</v>
      </c>
      <c r="D129" s="2">
        <v>-12550.618822</v>
      </c>
      <c r="F129" s="12">
        <v>0.99395800000000001</v>
      </c>
      <c r="G129" s="13">
        <v>0.17396</v>
      </c>
      <c r="H129">
        <v>9</v>
      </c>
      <c r="I129">
        <v>4</v>
      </c>
      <c r="K129" s="8">
        <f t="shared" si="7"/>
        <v>-0.31805384615290677</v>
      </c>
      <c r="L129" s="8">
        <f t="shared" si="8"/>
        <v>-2.446568047330052E-2</v>
      </c>
      <c r="M129" s="8">
        <f t="shared" si="9"/>
        <v>-0.27963076922969776</v>
      </c>
      <c r="N129" s="8">
        <f t="shared" si="10"/>
        <v>-2.1510059171515213E-2</v>
      </c>
      <c r="O129" s="8"/>
      <c r="P129" t="s">
        <v>304</v>
      </c>
      <c r="Q129">
        <v>36</v>
      </c>
      <c r="R129" s="8">
        <v>2.8387699999999998</v>
      </c>
      <c r="S129">
        <v>6</v>
      </c>
      <c r="T129" s="8">
        <f t="shared" si="11"/>
        <v>0.16666666666666666</v>
      </c>
      <c r="U129" s="8">
        <v>2.85669</v>
      </c>
      <c r="V129">
        <v>14</v>
      </c>
      <c r="W129" s="8">
        <f t="shared" si="12"/>
        <v>0.3888888888888889</v>
      </c>
      <c r="X129" s="8">
        <v>2.86328</v>
      </c>
      <c r="Y129">
        <v>16</v>
      </c>
      <c r="Z129" s="8">
        <f t="shared" si="13"/>
        <v>0.44444444444444442</v>
      </c>
      <c r="AA129" s="8">
        <v>2.8106100000000001</v>
      </c>
    </row>
    <row r="130" spans="2:27" ht="15" customHeight="1" x14ac:dyDescent="0.25">
      <c r="B130" t="s">
        <v>42</v>
      </c>
      <c r="C130" s="8">
        <v>-12549.4085</v>
      </c>
      <c r="D130" s="2">
        <v>-12550.679077999999</v>
      </c>
      <c r="F130" s="12">
        <v>0.99493799999999999</v>
      </c>
      <c r="G130" s="13">
        <v>0.17928999999999901</v>
      </c>
      <c r="H130">
        <v>9</v>
      </c>
      <c r="I130">
        <v>4</v>
      </c>
      <c r="K130" s="8">
        <f t="shared" si="7"/>
        <v>-0.3951538461533346</v>
      </c>
      <c r="L130" s="8">
        <f t="shared" si="8"/>
        <v>-3.0396449704102661E-2</v>
      </c>
      <c r="M130" s="8">
        <f t="shared" si="9"/>
        <v>-0.33988676922854211</v>
      </c>
      <c r="N130" s="8">
        <f t="shared" si="10"/>
        <v>-2.6145136094503238E-2</v>
      </c>
      <c r="O130" s="8"/>
      <c r="P130" t="s">
        <v>305</v>
      </c>
      <c r="Q130">
        <v>36</v>
      </c>
      <c r="R130" s="8">
        <v>2.83914</v>
      </c>
      <c r="S130">
        <v>5</v>
      </c>
      <c r="T130" s="8">
        <f t="shared" si="11"/>
        <v>0.1388888888888889</v>
      </c>
      <c r="U130" s="8">
        <v>2.8794599999999999</v>
      </c>
      <c r="V130">
        <v>16</v>
      </c>
      <c r="W130" s="8">
        <f t="shared" si="12"/>
        <v>0.44444444444444442</v>
      </c>
      <c r="X130" s="8">
        <v>2.84768</v>
      </c>
      <c r="Y130">
        <v>15</v>
      </c>
      <c r="Z130" s="8">
        <f t="shared" si="13"/>
        <v>0.41666666666666669</v>
      </c>
      <c r="AA130" s="8">
        <v>2.8165800000000001</v>
      </c>
    </row>
    <row r="131" spans="2:27" ht="15" customHeight="1" x14ac:dyDescent="0.25">
      <c r="B131" t="s">
        <v>44</v>
      </c>
      <c r="C131" s="8">
        <v>-12549.533100000001</v>
      </c>
      <c r="D131" s="2">
        <v>-12551.11125</v>
      </c>
      <c r="F131" s="12">
        <v>0.99387000000000003</v>
      </c>
      <c r="G131" s="13">
        <v>0.17344000000000001</v>
      </c>
      <c r="H131">
        <v>9</v>
      </c>
      <c r="I131">
        <v>4</v>
      </c>
      <c r="K131" s="8">
        <f t="shared" ref="K131:K194" si="14">IF(ISNUMBER(C131),C131-(($C$3-$C$2236)/($H$3-$H$2236)*H131+$C$2236),"")</f>
        <v>-0.5197538461543445</v>
      </c>
      <c r="L131" s="8">
        <f t="shared" ref="L131:L194" si="15">IF(ISNUMBER(C131),K131/(H131+I131),"")</f>
        <v>-3.9981065088795731E-2</v>
      </c>
      <c r="M131" s="8">
        <f t="shared" ref="M131:M194" si="16">IF(ISNUMBER(D131),D131-(($D$3-$D$2236)/($H$3-$H$2236)*H131+$D$2236),"")</f>
        <v>-0.77205876922926109</v>
      </c>
      <c r="N131" s="8">
        <f t="shared" ref="N131:N194" si="17">IF(ISNUMBER(D131),M131/(H131+I131),"")</f>
        <v>-5.9389136094558544E-2</v>
      </c>
      <c r="O131" s="8"/>
      <c r="P131" t="s">
        <v>306</v>
      </c>
      <c r="Q131">
        <v>36</v>
      </c>
      <c r="R131" s="8">
        <v>2.8436699999999999</v>
      </c>
      <c r="S131">
        <v>4</v>
      </c>
      <c r="T131" s="8">
        <f t="shared" ref="T131:T194" si="18">IF(ISNUMBER(S131),S131/(Q131),"")</f>
        <v>0.1111111111111111</v>
      </c>
      <c r="U131" s="8">
        <v>2.8964500000000002</v>
      </c>
      <c r="V131">
        <v>18</v>
      </c>
      <c r="W131" s="8">
        <f t="shared" ref="W131:W194" si="19">IF(ISNUMBER(V131),V131/($Q131),"")</f>
        <v>0.5</v>
      </c>
      <c r="X131" s="8">
        <v>2.8674599999999999</v>
      </c>
      <c r="Y131">
        <v>14</v>
      </c>
      <c r="Z131" s="8">
        <f t="shared" ref="Z131:Z194" si="20">IF(ISNUMBER(Y131),Y131/($Q131),"")</f>
        <v>0.3888888888888889</v>
      </c>
      <c r="AA131" s="8">
        <v>2.7980100000000001</v>
      </c>
    </row>
    <row r="132" spans="2:27" ht="15" customHeight="1" x14ac:dyDescent="0.25">
      <c r="B132" t="s">
        <v>46</v>
      </c>
      <c r="C132" s="8">
        <v>-12549.633900000001</v>
      </c>
      <c r="D132" s="2">
        <v>-12551.172455</v>
      </c>
      <c r="F132" s="12">
        <v>0.99506600000000001</v>
      </c>
      <c r="G132" s="13">
        <v>0.17960999999999899</v>
      </c>
      <c r="H132">
        <v>9</v>
      </c>
      <c r="I132">
        <v>4</v>
      </c>
      <c r="K132" s="8">
        <f t="shared" si="14"/>
        <v>-0.62055384615450748</v>
      </c>
      <c r="L132" s="8">
        <f t="shared" si="15"/>
        <v>-4.7734911242654422E-2</v>
      </c>
      <c r="M132" s="8">
        <f t="shared" si="16"/>
        <v>-0.83326376922923373</v>
      </c>
      <c r="N132" s="8">
        <f t="shared" si="17"/>
        <v>-6.4097213017633367E-2</v>
      </c>
      <c r="O132" s="8"/>
      <c r="P132" t="s">
        <v>307</v>
      </c>
      <c r="Q132">
        <v>35</v>
      </c>
      <c r="R132" s="8">
        <v>2.8328799999999998</v>
      </c>
      <c r="S132">
        <v>4</v>
      </c>
      <c r="T132" s="8">
        <f t="shared" si="18"/>
        <v>0.11428571428571428</v>
      </c>
      <c r="U132" s="8">
        <v>2.8980299999999999</v>
      </c>
      <c r="V132">
        <v>17</v>
      </c>
      <c r="W132" s="8">
        <f t="shared" si="19"/>
        <v>0.48571428571428571</v>
      </c>
      <c r="X132" s="8">
        <v>2.83236</v>
      </c>
      <c r="Y132">
        <v>14</v>
      </c>
      <c r="Z132" s="8">
        <f t="shared" si="20"/>
        <v>0.4</v>
      </c>
      <c r="AA132" s="8">
        <v>2.8149099999999998</v>
      </c>
    </row>
    <row r="133" spans="2:27" ht="15" customHeight="1" x14ac:dyDescent="0.25">
      <c r="B133" t="s">
        <v>48</v>
      </c>
      <c r="C133" s="8">
        <v>-12549.5322</v>
      </c>
      <c r="D133" s="2">
        <v>-12551.355301</v>
      </c>
      <c r="F133" s="12">
        <v>0.99697999999999998</v>
      </c>
      <c r="G133" s="13">
        <v>0.19469</v>
      </c>
      <c r="H133">
        <v>9</v>
      </c>
      <c r="I133">
        <v>4</v>
      </c>
      <c r="K133" s="8">
        <f t="shared" si="14"/>
        <v>-0.51885384615343355</v>
      </c>
      <c r="L133" s="8">
        <f t="shared" si="15"/>
        <v>-3.9911834319494889E-2</v>
      </c>
      <c r="M133" s="8">
        <f t="shared" si="16"/>
        <v>-1.0161097692289331</v>
      </c>
      <c r="N133" s="8">
        <f t="shared" si="17"/>
        <v>-7.8162289940687163E-2</v>
      </c>
      <c r="O133" s="8"/>
      <c r="P133" t="s">
        <v>308</v>
      </c>
      <c r="Q133">
        <v>36</v>
      </c>
      <c r="R133" s="8">
        <v>2.83786</v>
      </c>
      <c r="S133">
        <v>4</v>
      </c>
      <c r="T133" s="8">
        <f t="shared" si="18"/>
        <v>0.1111111111111111</v>
      </c>
      <c r="U133" s="8">
        <v>2.83236</v>
      </c>
      <c r="V133">
        <v>16</v>
      </c>
      <c r="W133" s="8">
        <f t="shared" si="19"/>
        <v>0.44444444444444442</v>
      </c>
      <c r="X133" s="8">
        <v>2.8654600000000001</v>
      </c>
      <c r="Y133">
        <v>16</v>
      </c>
      <c r="Z133" s="8">
        <f t="shared" si="20"/>
        <v>0.44444444444444442</v>
      </c>
      <c r="AA133" s="8">
        <v>2.8116300000000001</v>
      </c>
    </row>
    <row r="134" spans="2:27" ht="15" customHeight="1" x14ac:dyDescent="0.25">
      <c r="B134" t="s">
        <v>50</v>
      </c>
      <c r="C134" s="8">
        <v>-12549.662</v>
      </c>
      <c r="D134" s="2">
        <v>-12551.128446999999</v>
      </c>
      <c r="F134" s="12">
        <v>0.99646100000000004</v>
      </c>
      <c r="G134" s="13">
        <v>0.18997</v>
      </c>
      <c r="H134">
        <v>9</v>
      </c>
      <c r="I134">
        <v>4</v>
      </c>
      <c r="K134" s="8">
        <f t="shared" si="14"/>
        <v>-0.64865384615404764</v>
      </c>
      <c r="L134" s="8">
        <f t="shared" si="15"/>
        <v>-4.9896449704157513E-2</v>
      </c>
      <c r="M134" s="8">
        <f t="shared" si="16"/>
        <v>-0.7892557692284754</v>
      </c>
      <c r="N134" s="8">
        <f t="shared" si="17"/>
        <v>-6.0711982248344259E-2</v>
      </c>
      <c r="O134" s="8"/>
      <c r="P134" t="s">
        <v>309</v>
      </c>
      <c r="Q134">
        <v>36</v>
      </c>
      <c r="R134" s="8">
        <v>2.8363499999999999</v>
      </c>
      <c r="S134">
        <v>3</v>
      </c>
      <c r="T134" s="8">
        <f t="shared" si="18"/>
        <v>8.3333333333333329E-2</v>
      </c>
      <c r="U134" s="8">
        <v>2.8350499999999998</v>
      </c>
      <c r="V134">
        <v>18</v>
      </c>
      <c r="W134" s="8">
        <f t="shared" si="19"/>
        <v>0.5</v>
      </c>
      <c r="X134" s="8">
        <v>2.8563399999999999</v>
      </c>
      <c r="Y134">
        <v>15</v>
      </c>
      <c r="Z134" s="8">
        <f t="shared" si="20"/>
        <v>0.41666666666666669</v>
      </c>
      <c r="AA134" s="8">
        <v>2.8126099999999998</v>
      </c>
    </row>
    <row r="135" spans="2:27" ht="15" customHeight="1" x14ac:dyDescent="0.25">
      <c r="B135" t="s">
        <v>52</v>
      </c>
      <c r="C135" s="8">
        <v>-12549.7099</v>
      </c>
      <c r="D135" s="2">
        <v>-12550.955078000001</v>
      </c>
      <c r="F135" s="12">
        <v>0.99614199999999997</v>
      </c>
      <c r="G135" s="13">
        <v>0.184779999999999</v>
      </c>
      <c r="H135">
        <v>9</v>
      </c>
      <c r="I135">
        <v>4</v>
      </c>
      <c r="K135" s="8">
        <f t="shared" si="14"/>
        <v>-0.69655384615361982</v>
      </c>
      <c r="L135" s="8">
        <f t="shared" si="15"/>
        <v>-5.3581065088739985E-2</v>
      </c>
      <c r="M135" s="8">
        <f t="shared" si="16"/>
        <v>-0.61588676923020103</v>
      </c>
      <c r="N135" s="8">
        <f t="shared" si="17"/>
        <v>-4.7375905325400078E-2</v>
      </c>
      <c r="O135" s="8"/>
      <c r="P135" t="s">
        <v>310</v>
      </c>
      <c r="Q135">
        <v>36</v>
      </c>
      <c r="R135" s="8">
        <v>2.8435899999999998</v>
      </c>
      <c r="S135">
        <v>3</v>
      </c>
      <c r="T135" s="8">
        <f t="shared" si="18"/>
        <v>8.3333333333333329E-2</v>
      </c>
      <c r="U135" s="8">
        <v>2.8176000000000001</v>
      </c>
      <c r="V135">
        <v>19</v>
      </c>
      <c r="W135" s="8">
        <f t="shared" si="19"/>
        <v>0.52777777777777779</v>
      </c>
      <c r="X135" s="8">
        <v>2.8767</v>
      </c>
      <c r="Y135">
        <v>14</v>
      </c>
      <c r="Z135" s="8">
        <f t="shared" si="20"/>
        <v>0.3888888888888889</v>
      </c>
      <c r="AA135" s="8">
        <v>2.8042099999999999</v>
      </c>
    </row>
    <row r="136" spans="2:27" ht="15" customHeight="1" x14ac:dyDescent="0.25">
      <c r="B136" t="s">
        <v>54</v>
      </c>
      <c r="C136" s="8">
        <v>-12549.534900000001</v>
      </c>
      <c r="D136" s="2">
        <v>-12551.064374</v>
      </c>
      <c r="F136" s="12">
        <v>0.99675800000000003</v>
      </c>
      <c r="G136" s="13">
        <v>0.19267000000000001</v>
      </c>
      <c r="H136">
        <v>9</v>
      </c>
      <c r="I136">
        <v>4</v>
      </c>
      <c r="K136" s="8">
        <f t="shared" si="14"/>
        <v>-0.52155384615434741</v>
      </c>
      <c r="L136" s="8">
        <f t="shared" si="15"/>
        <v>-4.0119526627257492E-2</v>
      </c>
      <c r="M136" s="8">
        <f t="shared" si="16"/>
        <v>-0.72518276922892255</v>
      </c>
      <c r="N136" s="8">
        <f t="shared" si="17"/>
        <v>-5.5783289940686348E-2</v>
      </c>
      <c r="O136" s="8"/>
      <c r="P136" t="s">
        <v>311</v>
      </c>
      <c r="Q136">
        <v>35</v>
      </c>
      <c r="R136" s="8">
        <v>2.8355199999999998</v>
      </c>
      <c r="S136">
        <v>4</v>
      </c>
      <c r="T136" s="8">
        <f t="shared" si="18"/>
        <v>0.11428571428571428</v>
      </c>
      <c r="U136" s="8">
        <v>2.9022999999999999</v>
      </c>
      <c r="V136">
        <v>17</v>
      </c>
      <c r="W136" s="8">
        <f t="shared" si="19"/>
        <v>0.48571428571428571</v>
      </c>
      <c r="X136" s="8">
        <v>2.8270400000000002</v>
      </c>
      <c r="Y136">
        <v>14</v>
      </c>
      <c r="Z136" s="8">
        <f t="shared" si="20"/>
        <v>0.4</v>
      </c>
      <c r="AA136" s="8">
        <v>2.82674</v>
      </c>
    </row>
    <row r="137" spans="2:27" ht="15" customHeight="1" x14ac:dyDescent="0.25">
      <c r="B137" t="s">
        <v>56</v>
      </c>
      <c r="C137" s="8">
        <v>-12549.6067</v>
      </c>
      <c r="D137" s="2">
        <v>-12551.105694</v>
      </c>
      <c r="F137" s="12">
        <v>0.99689099999999997</v>
      </c>
      <c r="G137" s="13">
        <v>0.18683</v>
      </c>
      <c r="H137">
        <v>9</v>
      </c>
      <c r="I137">
        <v>4</v>
      </c>
      <c r="K137" s="8">
        <f t="shared" si="14"/>
        <v>-0.59335384615405928</v>
      </c>
      <c r="L137" s="8">
        <f t="shared" si="15"/>
        <v>-4.5642603550312251E-2</v>
      </c>
      <c r="M137" s="8">
        <f t="shared" si="16"/>
        <v>-0.76650276922919147</v>
      </c>
      <c r="N137" s="8">
        <f t="shared" si="17"/>
        <v>-5.8961751479168573E-2</v>
      </c>
      <c r="O137" s="8"/>
      <c r="P137" t="s">
        <v>312</v>
      </c>
      <c r="Q137">
        <v>35</v>
      </c>
      <c r="R137" s="8">
        <v>2.83189</v>
      </c>
      <c r="S137">
        <v>4</v>
      </c>
      <c r="T137" s="8">
        <f t="shared" si="18"/>
        <v>0.11428571428571428</v>
      </c>
      <c r="U137" s="8">
        <v>2.8985599999999998</v>
      </c>
      <c r="V137">
        <v>17</v>
      </c>
      <c r="W137" s="8">
        <f t="shared" si="19"/>
        <v>0.48571428571428571</v>
      </c>
      <c r="X137" s="8">
        <v>2.82036</v>
      </c>
      <c r="Y137">
        <v>14</v>
      </c>
      <c r="Z137" s="8">
        <f t="shared" si="20"/>
        <v>0.4</v>
      </c>
      <c r="AA137" s="8">
        <v>2.8268399999999998</v>
      </c>
    </row>
    <row r="138" spans="2:27" ht="15" customHeight="1" x14ac:dyDescent="0.25">
      <c r="B138" t="s">
        <v>58</v>
      </c>
      <c r="C138" s="8">
        <v>-12549.4966</v>
      </c>
      <c r="D138" s="2">
        <v>-12550.986434</v>
      </c>
      <c r="F138" s="12">
        <v>0.99556199999999995</v>
      </c>
      <c r="G138" s="13">
        <v>0.18325999999999901</v>
      </c>
      <c r="H138">
        <v>9</v>
      </c>
      <c r="I138">
        <v>4</v>
      </c>
      <c r="K138" s="8">
        <f t="shared" si="14"/>
        <v>-0.48325384615418443</v>
      </c>
      <c r="L138" s="8">
        <f t="shared" si="15"/>
        <v>-3.7173372781091112E-2</v>
      </c>
      <c r="M138" s="8">
        <f t="shared" si="16"/>
        <v>-0.64724276922970603</v>
      </c>
      <c r="N138" s="8">
        <f t="shared" si="17"/>
        <v>-4.9787905325362002E-2</v>
      </c>
      <c r="O138" s="8"/>
      <c r="P138" t="s">
        <v>313</v>
      </c>
      <c r="Q138">
        <v>34</v>
      </c>
      <c r="R138" s="8">
        <v>2.81846</v>
      </c>
      <c r="S138">
        <v>3</v>
      </c>
      <c r="T138" s="8">
        <f t="shared" si="18"/>
        <v>8.8235294117647065E-2</v>
      </c>
      <c r="U138" s="8">
        <v>2.87005</v>
      </c>
      <c r="V138">
        <v>18</v>
      </c>
      <c r="W138" s="8">
        <f t="shared" si="19"/>
        <v>0.52941176470588236</v>
      </c>
      <c r="X138" s="8">
        <v>2.8184399999999998</v>
      </c>
      <c r="Y138">
        <v>13</v>
      </c>
      <c r="Z138" s="8">
        <f t="shared" si="20"/>
        <v>0.38235294117647056</v>
      </c>
      <c r="AA138" s="8">
        <v>2.8065699999999998</v>
      </c>
    </row>
    <row r="139" spans="2:27" ht="15" customHeight="1" x14ac:dyDescent="0.25">
      <c r="B139" t="s">
        <v>60</v>
      </c>
      <c r="C139" s="8">
        <v>-12549.5857</v>
      </c>
      <c r="D139" s="2">
        <v>-12550.850177</v>
      </c>
      <c r="F139" s="12">
        <v>0.99388900000000002</v>
      </c>
      <c r="G139" s="13">
        <v>0.17363000000000001</v>
      </c>
      <c r="H139">
        <v>9</v>
      </c>
      <c r="I139">
        <v>4</v>
      </c>
      <c r="K139" s="8">
        <f t="shared" si="14"/>
        <v>-0.572353846153419</v>
      </c>
      <c r="L139" s="8">
        <f t="shared" si="15"/>
        <v>-4.4027218934878383E-2</v>
      </c>
      <c r="M139" s="8">
        <f t="shared" si="16"/>
        <v>-0.51098576922959182</v>
      </c>
      <c r="N139" s="8">
        <f t="shared" si="17"/>
        <v>-3.9306597633045524E-2</v>
      </c>
      <c r="O139" s="8"/>
      <c r="P139" t="s">
        <v>314</v>
      </c>
      <c r="Q139">
        <v>34</v>
      </c>
      <c r="R139" s="8">
        <v>2.8194300000000001</v>
      </c>
      <c r="S139">
        <v>2</v>
      </c>
      <c r="T139" s="8">
        <f t="shared" si="18"/>
        <v>5.8823529411764705E-2</v>
      </c>
      <c r="U139" s="8">
        <v>2.80457</v>
      </c>
      <c r="V139">
        <v>19</v>
      </c>
      <c r="W139" s="8">
        <f t="shared" si="19"/>
        <v>0.55882352941176472</v>
      </c>
      <c r="X139" s="8">
        <v>2.82409</v>
      </c>
      <c r="Y139">
        <v>13</v>
      </c>
      <c r="Z139" s="8">
        <f t="shared" si="20"/>
        <v>0.38235294117647056</v>
      </c>
      <c r="AA139" s="8">
        <v>2.8148900000000001</v>
      </c>
    </row>
    <row r="140" spans="2:27" ht="15" customHeight="1" x14ac:dyDescent="0.25">
      <c r="B140" t="s">
        <v>62</v>
      </c>
      <c r="C140" s="8">
        <v>-12549.6248</v>
      </c>
      <c r="D140" s="2">
        <v>-12551.323175</v>
      </c>
      <c r="F140" s="12">
        <v>0.99685199999999996</v>
      </c>
      <c r="G140" s="13">
        <v>0.16217000000000001</v>
      </c>
      <c r="H140">
        <v>9</v>
      </c>
      <c r="I140">
        <v>4</v>
      </c>
      <c r="K140" s="8">
        <f t="shared" si="14"/>
        <v>-0.61145384615338116</v>
      </c>
      <c r="L140" s="8">
        <f t="shared" si="15"/>
        <v>-4.7034911242567784E-2</v>
      </c>
      <c r="M140" s="8">
        <f t="shared" si="16"/>
        <v>-0.9839837692288711</v>
      </c>
      <c r="N140" s="8">
        <f t="shared" si="17"/>
        <v>-7.5691059171451622E-2</v>
      </c>
      <c r="O140" s="8"/>
      <c r="P140" t="s">
        <v>315</v>
      </c>
      <c r="Q140">
        <v>35</v>
      </c>
      <c r="R140" s="8">
        <v>2.82498</v>
      </c>
      <c r="S140">
        <v>3</v>
      </c>
      <c r="T140" s="8">
        <f t="shared" si="18"/>
        <v>8.5714285714285715E-2</v>
      </c>
      <c r="U140" s="8">
        <v>2.8103199999999999</v>
      </c>
      <c r="V140">
        <v>16</v>
      </c>
      <c r="W140" s="8">
        <f t="shared" si="19"/>
        <v>0.45714285714285713</v>
      </c>
      <c r="X140" s="8">
        <v>2.8306200000000001</v>
      </c>
      <c r="Y140">
        <v>16</v>
      </c>
      <c r="Z140" s="8">
        <f t="shared" si="20"/>
        <v>0.45714285714285713</v>
      </c>
      <c r="AA140" s="8">
        <v>2.8220900000000002</v>
      </c>
    </row>
    <row r="141" spans="2:27" ht="15" customHeight="1" x14ac:dyDescent="0.25">
      <c r="B141" t="s">
        <v>64</v>
      </c>
      <c r="C141" s="8">
        <v>-12549.7515</v>
      </c>
      <c r="D141" s="2">
        <v>-12551.006491</v>
      </c>
      <c r="F141" s="12">
        <v>0.99566900000000003</v>
      </c>
      <c r="G141" s="13">
        <v>0.18371000000000001</v>
      </c>
      <c r="H141">
        <v>9</v>
      </c>
      <c r="I141">
        <v>4</v>
      </c>
      <c r="K141" s="8">
        <f t="shared" si="14"/>
        <v>-0.7381538461540913</v>
      </c>
      <c r="L141" s="8">
        <f t="shared" si="15"/>
        <v>-5.6781065088776256E-2</v>
      </c>
      <c r="M141" s="8">
        <f t="shared" si="16"/>
        <v>-0.66729976922943024</v>
      </c>
      <c r="N141" s="8">
        <f t="shared" si="17"/>
        <v>-5.1330751479186941E-2</v>
      </c>
      <c r="O141" s="8"/>
      <c r="P141" t="s">
        <v>316</v>
      </c>
      <c r="Q141">
        <v>36</v>
      </c>
      <c r="R141" s="8">
        <v>2.8418100000000002</v>
      </c>
      <c r="S141">
        <v>2</v>
      </c>
      <c r="T141" s="8">
        <f t="shared" si="18"/>
        <v>5.5555555555555552E-2</v>
      </c>
      <c r="U141" s="8">
        <v>2.8264499999999999</v>
      </c>
      <c r="V141">
        <v>20</v>
      </c>
      <c r="W141" s="8">
        <f t="shared" si="19"/>
        <v>0.55555555555555558</v>
      </c>
      <c r="X141" s="8">
        <v>2.8641100000000002</v>
      </c>
      <c r="Y141">
        <v>14</v>
      </c>
      <c r="Z141" s="8">
        <f t="shared" si="20"/>
        <v>0.3888888888888889</v>
      </c>
      <c r="AA141" s="8">
        <v>2.8121499999999999</v>
      </c>
    </row>
    <row r="142" spans="2:27" ht="15" customHeight="1" x14ac:dyDescent="0.25">
      <c r="B142" t="s">
        <v>66</v>
      </c>
      <c r="C142" s="8">
        <v>-12549.295099999999</v>
      </c>
      <c r="D142" s="2">
        <v>-12550.662883999999</v>
      </c>
      <c r="F142" s="12">
        <v>0.99826199999999998</v>
      </c>
      <c r="G142" s="13">
        <v>0.14468</v>
      </c>
      <c r="H142">
        <v>9</v>
      </c>
      <c r="I142">
        <v>4</v>
      </c>
      <c r="K142" s="8">
        <f t="shared" si="14"/>
        <v>-0.28175384615315124</v>
      </c>
      <c r="L142" s="8">
        <f t="shared" si="15"/>
        <v>-2.1673372781011634E-2</v>
      </c>
      <c r="M142" s="8">
        <f t="shared" si="16"/>
        <v>-0.32369276922872814</v>
      </c>
      <c r="N142" s="8">
        <f t="shared" si="17"/>
        <v>-2.4899443786825241E-2</v>
      </c>
      <c r="O142" s="8"/>
      <c r="P142" t="s">
        <v>317</v>
      </c>
      <c r="Q142">
        <v>36</v>
      </c>
      <c r="R142" s="8">
        <v>2.8422299999999998</v>
      </c>
      <c r="S142">
        <v>6</v>
      </c>
      <c r="T142" s="8">
        <f t="shared" si="18"/>
        <v>0.16666666666666666</v>
      </c>
      <c r="U142" s="8">
        <v>2.8885299999999998</v>
      </c>
      <c r="V142">
        <v>15</v>
      </c>
      <c r="W142" s="8">
        <f t="shared" si="19"/>
        <v>0.41666666666666669</v>
      </c>
      <c r="X142" s="8">
        <v>2.8394400000000002</v>
      </c>
      <c r="Y142">
        <v>15</v>
      </c>
      <c r="Z142" s="8">
        <f t="shared" si="20"/>
        <v>0.41666666666666669</v>
      </c>
      <c r="AA142" s="8">
        <v>2.8265099999999999</v>
      </c>
    </row>
    <row r="143" spans="2:27" ht="15" customHeight="1" x14ac:dyDescent="0.25">
      <c r="B143" t="s">
        <v>68</v>
      </c>
      <c r="C143" s="8">
        <v>-12549.3534</v>
      </c>
      <c r="D143" s="2">
        <v>-12551.228332000001</v>
      </c>
      <c r="F143" s="12">
        <v>0.99499499999999996</v>
      </c>
      <c r="G143" s="13">
        <v>0.17963999999999999</v>
      </c>
      <c r="H143">
        <v>9</v>
      </c>
      <c r="I143">
        <v>4</v>
      </c>
      <c r="K143" s="8">
        <f t="shared" si="14"/>
        <v>-0.34005384615375078</v>
      </c>
      <c r="L143" s="8">
        <f t="shared" si="15"/>
        <v>-2.6157988165673138E-2</v>
      </c>
      <c r="M143" s="8">
        <f t="shared" si="16"/>
        <v>-0.88914076922992535</v>
      </c>
      <c r="N143" s="8">
        <f t="shared" si="17"/>
        <v>-6.8395443786917337E-2</v>
      </c>
      <c r="O143" s="8"/>
      <c r="P143" t="s">
        <v>318</v>
      </c>
      <c r="Q143">
        <v>36</v>
      </c>
      <c r="R143" s="8">
        <v>2.8401999999999998</v>
      </c>
      <c r="S143">
        <v>5</v>
      </c>
      <c r="T143" s="8">
        <f t="shared" si="18"/>
        <v>0.1388888888888889</v>
      </c>
      <c r="U143" s="8">
        <v>2.9175300000000002</v>
      </c>
      <c r="V143">
        <v>17</v>
      </c>
      <c r="W143" s="8">
        <f t="shared" si="19"/>
        <v>0.47222222222222221</v>
      </c>
      <c r="X143" s="8">
        <v>2.8315800000000002</v>
      </c>
      <c r="Y143">
        <v>14</v>
      </c>
      <c r="Z143" s="8">
        <f t="shared" si="20"/>
        <v>0.3888888888888889</v>
      </c>
      <c r="AA143" s="8">
        <v>2.8230400000000002</v>
      </c>
    </row>
    <row r="144" spans="2:27" ht="15" customHeight="1" x14ac:dyDescent="0.25">
      <c r="B144" t="s">
        <v>70</v>
      </c>
      <c r="C144" s="8">
        <v>-12549.3845</v>
      </c>
      <c r="D144" s="2">
        <v>-12550.995903999999</v>
      </c>
      <c r="F144" s="12">
        <v>0.99480400000000002</v>
      </c>
      <c r="G144" s="13">
        <v>0.17857000000000001</v>
      </c>
      <c r="H144">
        <v>9</v>
      </c>
      <c r="I144">
        <v>4</v>
      </c>
      <c r="K144" s="8">
        <f t="shared" si="14"/>
        <v>-0.37115384615390212</v>
      </c>
      <c r="L144" s="8">
        <f t="shared" si="15"/>
        <v>-2.8550295857992472E-2</v>
      </c>
      <c r="M144" s="8">
        <f t="shared" si="16"/>
        <v>-0.65671276922876132</v>
      </c>
      <c r="N144" s="8">
        <f t="shared" si="17"/>
        <v>-5.0516366863750869E-2</v>
      </c>
      <c r="O144" s="8"/>
      <c r="P144" t="s">
        <v>319</v>
      </c>
      <c r="Q144">
        <v>36</v>
      </c>
      <c r="R144" s="8">
        <v>2.8372700000000002</v>
      </c>
      <c r="S144">
        <v>4</v>
      </c>
      <c r="T144" s="8">
        <f t="shared" si="18"/>
        <v>0.1111111111111111</v>
      </c>
      <c r="U144" s="8">
        <v>2.9721099999999998</v>
      </c>
      <c r="V144">
        <v>19</v>
      </c>
      <c r="W144" s="8">
        <f t="shared" si="19"/>
        <v>0.52777777777777779</v>
      </c>
      <c r="X144" s="8">
        <v>2.81867</v>
      </c>
      <c r="Y144">
        <v>13</v>
      </c>
      <c r="Z144" s="8">
        <f t="shared" si="20"/>
        <v>0.3611111111111111</v>
      </c>
      <c r="AA144" s="8">
        <v>2.8229799999999998</v>
      </c>
    </row>
    <row r="145" spans="2:27" ht="15" customHeight="1" x14ac:dyDescent="0.25">
      <c r="B145" t="s">
        <v>72</v>
      </c>
      <c r="C145" s="8">
        <v>-12549.4064</v>
      </c>
      <c r="D145" s="2">
        <v>-12550.983501999999</v>
      </c>
      <c r="F145" s="12">
        <v>0.99625900000000001</v>
      </c>
      <c r="G145" s="13">
        <v>0.18856999999999899</v>
      </c>
      <c r="H145">
        <v>9</v>
      </c>
      <c r="I145">
        <v>4</v>
      </c>
      <c r="K145" s="8">
        <f t="shared" si="14"/>
        <v>-0.39305384615363437</v>
      </c>
      <c r="L145" s="8">
        <f t="shared" si="15"/>
        <v>-3.0234911242587259E-2</v>
      </c>
      <c r="M145" s="8">
        <f t="shared" si="16"/>
        <v>-0.64431076922846842</v>
      </c>
      <c r="N145" s="8">
        <f t="shared" si="17"/>
        <v>-4.9562366863728342E-2</v>
      </c>
      <c r="O145" s="8"/>
      <c r="P145" t="s">
        <v>320</v>
      </c>
      <c r="Q145">
        <v>35</v>
      </c>
      <c r="R145" s="8">
        <v>2.8307199999999999</v>
      </c>
      <c r="S145">
        <v>4</v>
      </c>
      <c r="T145" s="8">
        <f t="shared" si="18"/>
        <v>0.11428571428571428</v>
      </c>
      <c r="U145" s="8">
        <v>2.9161199999999998</v>
      </c>
      <c r="V145">
        <v>16</v>
      </c>
      <c r="W145" s="8">
        <f t="shared" si="19"/>
        <v>0.45714285714285713</v>
      </c>
      <c r="X145" s="8">
        <v>2.8147799999999998</v>
      </c>
      <c r="Y145">
        <v>15</v>
      </c>
      <c r="Z145" s="8">
        <f t="shared" si="20"/>
        <v>0.42857142857142855</v>
      </c>
      <c r="AA145" s="8">
        <v>2.8249499999999999</v>
      </c>
    </row>
    <row r="146" spans="2:27" ht="15" customHeight="1" x14ac:dyDescent="0.25">
      <c r="B146" t="s">
        <v>74</v>
      </c>
      <c r="C146" s="8">
        <v>-12549.553900000001</v>
      </c>
      <c r="D146" s="2">
        <v>-12550.857447</v>
      </c>
      <c r="F146" s="12">
        <v>0.996421</v>
      </c>
      <c r="G146" s="13">
        <v>0.18901999999999999</v>
      </c>
      <c r="H146">
        <v>9</v>
      </c>
      <c r="I146">
        <v>4</v>
      </c>
      <c r="K146" s="8">
        <f t="shared" si="14"/>
        <v>-0.54055384615458024</v>
      </c>
      <c r="L146" s="8">
        <f t="shared" si="15"/>
        <v>-4.1581065088813866E-2</v>
      </c>
      <c r="M146" s="8">
        <f t="shared" si="16"/>
        <v>-0.51825576922965411</v>
      </c>
      <c r="N146" s="8">
        <f t="shared" si="17"/>
        <v>-3.9865828402281082E-2</v>
      </c>
      <c r="O146" s="8"/>
      <c r="P146" t="s">
        <v>321</v>
      </c>
      <c r="Q146">
        <v>35</v>
      </c>
      <c r="R146" s="8">
        <v>2.82782</v>
      </c>
      <c r="S146">
        <v>3</v>
      </c>
      <c r="T146" s="8">
        <f t="shared" si="18"/>
        <v>8.5714285714285715E-2</v>
      </c>
      <c r="U146" s="8">
        <v>2.9432200000000002</v>
      </c>
      <c r="V146">
        <v>18</v>
      </c>
      <c r="W146" s="8">
        <f t="shared" si="19"/>
        <v>0.51428571428571423</v>
      </c>
      <c r="X146" s="8">
        <v>2.81671</v>
      </c>
      <c r="Y146">
        <v>14</v>
      </c>
      <c r="Z146" s="8">
        <f t="shared" si="20"/>
        <v>0.4</v>
      </c>
      <c r="AA146" s="8">
        <v>2.81738</v>
      </c>
    </row>
    <row r="147" spans="2:27" ht="15" customHeight="1" x14ac:dyDescent="0.25">
      <c r="B147" t="s">
        <v>76</v>
      </c>
      <c r="C147" s="8">
        <v>-12549.506799999999</v>
      </c>
      <c r="D147" s="2">
        <v>-12550.850678999999</v>
      </c>
      <c r="F147" s="12">
        <v>0.99595900000000004</v>
      </c>
      <c r="G147" s="13">
        <v>0.18434999999999899</v>
      </c>
      <c r="H147">
        <v>9</v>
      </c>
      <c r="I147">
        <v>4</v>
      </c>
      <c r="K147" s="8">
        <f t="shared" si="14"/>
        <v>-0.49345384615298826</v>
      </c>
      <c r="L147" s="8">
        <f t="shared" si="15"/>
        <v>-3.7957988165614479E-2</v>
      </c>
      <c r="M147" s="8">
        <f t="shared" si="16"/>
        <v>-0.51148776922855177</v>
      </c>
      <c r="N147" s="8">
        <f t="shared" si="17"/>
        <v>-3.9345213017580906E-2</v>
      </c>
      <c r="O147" s="8"/>
      <c r="P147" t="s">
        <v>322</v>
      </c>
      <c r="Q147">
        <v>36</v>
      </c>
      <c r="R147" s="8">
        <v>2.8399800000000002</v>
      </c>
      <c r="S147">
        <v>4</v>
      </c>
      <c r="T147" s="8">
        <f t="shared" si="18"/>
        <v>0.1111111111111111</v>
      </c>
      <c r="U147" s="8">
        <v>2.9312499999999999</v>
      </c>
      <c r="V147">
        <v>19</v>
      </c>
      <c r="W147" s="8">
        <f t="shared" si="19"/>
        <v>0.52777777777777779</v>
      </c>
      <c r="X147" s="8">
        <v>2.83928</v>
      </c>
      <c r="Y147">
        <v>13</v>
      </c>
      <c r="Z147" s="8">
        <f t="shared" si="20"/>
        <v>0.3611111111111111</v>
      </c>
      <c r="AA147" s="8">
        <v>2.8129400000000002</v>
      </c>
    </row>
    <row r="148" spans="2:27" ht="15" customHeight="1" x14ac:dyDescent="0.25">
      <c r="B148" t="s">
        <v>180</v>
      </c>
      <c r="C148" s="8">
        <v>-12549.5211</v>
      </c>
      <c r="D148" s="2">
        <v>-12551.099593000001</v>
      </c>
      <c r="F148" s="12">
        <v>0.99674700000000005</v>
      </c>
      <c r="G148" s="13">
        <v>0.18889</v>
      </c>
      <c r="H148">
        <v>9</v>
      </c>
      <c r="I148">
        <v>4</v>
      </c>
      <c r="K148" s="8">
        <f t="shared" si="14"/>
        <v>-0.50775384615371877</v>
      </c>
      <c r="L148" s="8">
        <f t="shared" si="15"/>
        <v>-3.9057988165670673E-2</v>
      </c>
      <c r="M148" s="8">
        <f t="shared" si="16"/>
        <v>-0.76040176923015679</v>
      </c>
      <c r="N148" s="8">
        <f t="shared" si="17"/>
        <v>-5.849244378693514E-2</v>
      </c>
      <c r="O148" s="8"/>
      <c r="P148" t="s">
        <v>323</v>
      </c>
      <c r="Q148">
        <v>35</v>
      </c>
      <c r="R148" s="8">
        <v>2.82918</v>
      </c>
      <c r="S148">
        <v>3</v>
      </c>
      <c r="T148" s="8">
        <f t="shared" si="18"/>
        <v>8.5714285714285715E-2</v>
      </c>
      <c r="U148" s="8">
        <v>2.9009499999999999</v>
      </c>
      <c r="V148">
        <v>18</v>
      </c>
      <c r="W148" s="8">
        <f t="shared" si="19"/>
        <v>0.51428571428571423</v>
      </c>
      <c r="X148" s="8">
        <v>2.8301799999999999</v>
      </c>
      <c r="Y148">
        <v>14</v>
      </c>
      <c r="Z148" s="8">
        <f t="shared" si="20"/>
        <v>0.4</v>
      </c>
      <c r="AA148" s="8">
        <v>2.8125200000000001</v>
      </c>
    </row>
    <row r="149" spans="2:27" ht="15" customHeight="1" x14ac:dyDescent="0.25">
      <c r="B149" t="s">
        <v>150</v>
      </c>
      <c r="C149" s="8">
        <v>-12549.6126</v>
      </c>
      <c r="D149" s="2">
        <v>-12551.158877</v>
      </c>
      <c r="F149" s="12">
        <v>0.99644100000000002</v>
      </c>
      <c r="G149" s="13">
        <v>0.18989999999999899</v>
      </c>
      <c r="H149">
        <v>9</v>
      </c>
      <c r="I149">
        <v>4</v>
      </c>
      <c r="K149" s="8">
        <f t="shared" si="14"/>
        <v>-0.59925384615416988</v>
      </c>
      <c r="L149" s="8">
        <f t="shared" si="15"/>
        <v>-4.6096449704166917E-2</v>
      </c>
      <c r="M149" s="8">
        <f t="shared" si="16"/>
        <v>-0.81968576922918146</v>
      </c>
      <c r="N149" s="8">
        <f t="shared" si="17"/>
        <v>-6.3052751479167807E-2</v>
      </c>
      <c r="O149" s="8"/>
      <c r="P149" t="s">
        <v>324</v>
      </c>
      <c r="Q149">
        <v>35</v>
      </c>
      <c r="R149" s="8">
        <v>2.82904</v>
      </c>
      <c r="S149">
        <v>2</v>
      </c>
      <c r="T149" s="8">
        <f t="shared" si="18"/>
        <v>5.7142857142857141E-2</v>
      </c>
      <c r="U149" s="8">
        <v>2.9446400000000001</v>
      </c>
      <c r="V149">
        <v>20</v>
      </c>
      <c r="W149" s="8">
        <f t="shared" si="19"/>
        <v>0.5714285714285714</v>
      </c>
      <c r="X149" s="8">
        <v>2.8294999999999999</v>
      </c>
      <c r="Y149">
        <v>13</v>
      </c>
      <c r="Z149" s="8">
        <f t="shared" si="20"/>
        <v>0.37142857142857144</v>
      </c>
      <c r="AA149" s="8">
        <v>2.81054</v>
      </c>
    </row>
    <row r="150" spans="2:27" ht="15" customHeight="1" x14ac:dyDescent="0.25">
      <c r="B150" t="s">
        <v>230</v>
      </c>
      <c r="C150" s="8">
        <v>-12549.673000000001</v>
      </c>
      <c r="D150" s="2">
        <v>-12550.990043</v>
      </c>
      <c r="F150" s="12">
        <v>0.995703</v>
      </c>
      <c r="G150" s="13">
        <v>0.18332999999999899</v>
      </c>
      <c r="H150">
        <v>9</v>
      </c>
      <c r="I150">
        <v>4</v>
      </c>
      <c r="K150" s="8">
        <f t="shared" si="14"/>
        <v>-0.65965384615446965</v>
      </c>
      <c r="L150" s="8">
        <f t="shared" si="15"/>
        <v>-5.0742603550343816E-2</v>
      </c>
      <c r="M150" s="8">
        <f t="shared" si="16"/>
        <v>-0.65085176922912069</v>
      </c>
      <c r="N150" s="8">
        <f t="shared" si="17"/>
        <v>-5.0065520709932358E-2</v>
      </c>
      <c r="O150" s="8"/>
      <c r="P150" t="s">
        <v>325</v>
      </c>
      <c r="Q150">
        <v>36</v>
      </c>
      <c r="R150" s="8">
        <v>2.8366500000000001</v>
      </c>
      <c r="S150">
        <v>1</v>
      </c>
      <c r="T150" s="8">
        <f t="shared" si="18"/>
        <v>2.7777777777777776E-2</v>
      </c>
      <c r="U150" s="8">
        <v>2.76</v>
      </c>
      <c r="V150">
        <v>21</v>
      </c>
      <c r="W150" s="8">
        <f t="shared" si="19"/>
        <v>0.58333333333333337</v>
      </c>
      <c r="X150" s="8">
        <v>2.8599899999999998</v>
      </c>
      <c r="Y150">
        <v>14</v>
      </c>
      <c r="Z150" s="8">
        <f t="shared" si="20"/>
        <v>0.3888888888888889</v>
      </c>
      <c r="AA150" s="8">
        <v>2.8071299999999999</v>
      </c>
    </row>
    <row r="151" spans="2:27" ht="15" customHeight="1" x14ac:dyDescent="0.25">
      <c r="B151" t="s">
        <v>197</v>
      </c>
      <c r="C151" s="8">
        <v>-12549.7341</v>
      </c>
      <c r="D151" s="2">
        <v>-12550.981487999999</v>
      </c>
      <c r="F151" s="12">
        <v>0.99623200000000001</v>
      </c>
      <c r="G151" s="13">
        <v>0.18822999999999901</v>
      </c>
      <c r="H151">
        <v>9</v>
      </c>
      <c r="I151">
        <v>4</v>
      </c>
      <c r="K151" s="8">
        <f t="shared" si="14"/>
        <v>-0.72075384615345683</v>
      </c>
      <c r="L151" s="8">
        <f t="shared" si="15"/>
        <v>-5.5442603550265909E-2</v>
      </c>
      <c r="M151" s="8">
        <f t="shared" si="16"/>
        <v>-0.64229676922877843</v>
      </c>
      <c r="N151" s="8">
        <f t="shared" si="17"/>
        <v>-4.9407443786829111E-2</v>
      </c>
      <c r="O151" s="8"/>
      <c r="P151" t="s">
        <v>326</v>
      </c>
      <c r="Q151">
        <v>34</v>
      </c>
      <c r="R151" s="8">
        <v>2.8205300000000002</v>
      </c>
      <c r="S151">
        <v>4</v>
      </c>
      <c r="T151" s="8">
        <f t="shared" si="18"/>
        <v>0.11764705882352941</v>
      </c>
      <c r="U151" s="8">
        <v>2.8744000000000001</v>
      </c>
      <c r="V151">
        <v>14</v>
      </c>
      <c r="W151" s="8">
        <f t="shared" si="19"/>
        <v>0.41176470588235292</v>
      </c>
      <c r="X151" s="8">
        <v>2.8070200000000001</v>
      </c>
      <c r="Y151">
        <v>16</v>
      </c>
      <c r="Z151" s="8">
        <f t="shared" si="20"/>
        <v>0.47058823529411764</v>
      </c>
      <c r="AA151" s="8">
        <v>2.8188800000000001</v>
      </c>
    </row>
    <row r="152" spans="2:27" ht="15" customHeight="1" x14ac:dyDescent="0.25">
      <c r="B152" t="s">
        <v>194</v>
      </c>
      <c r="C152" s="8">
        <v>-12549.5471</v>
      </c>
      <c r="D152" s="2">
        <v>-12551.018942000001</v>
      </c>
      <c r="F152" s="12">
        <v>0.99615299999999996</v>
      </c>
      <c r="G152" s="13">
        <v>0.187549999999999</v>
      </c>
      <c r="H152">
        <v>9</v>
      </c>
      <c r="I152">
        <v>4</v>
      </c>
      <c r="K152" s="8">
        <f t="shared" si="14"/>
        <v>-0.5337538461535587</v>
      </c>
      <c r="L152" s="8">
        <f t="shared" si="15"/>
        <v>-4.1057988165658359E-2</v>
      </c>
      <c r="M152" s="8">
        <f t="shared" si="16"/>
        <v>-0.67975076922994049</v>
      </c>
      <c r="N152" s="8">
        <f t="shared" si="17"/>
        <v>-5.2288520709995422E-2</v>
      </c>
      <c r="O152" s="8"/>
      <c r="P152" t="s">
        <v>327</v>
      </c>
      <c r="Q152">
        <v>36</v>
      </c>
      <c r="R152" s="8">
        <v>2.84239</v>
      </c>
      <c r="S152">
        <v>5</v>
      </c>
      <c r="T152" s="8">
        <f t="shared" si="18"/>
        <v>0.1388888888888889</v>
      </c>
      <c r="U152" s="8">
        <v>2.9032</v>
      </c>
      <c r="V152">
        <v>16</v>
      </c>
      <c r="W152" s="8">
        <f t="shared" si="19"/>
        <v>0.44444444444444442</v>
      </c>
      <c r="X152" s="8">
        <v>2.8519899999999998</v>
      </c>
      <c r="Y152">
        <v>15</v>
      </c>
      <c r="Z152" s="8">
        <f t="shared" si="20"/>
        <v>0.41666666666666669</v>
      </c>
      <c r="AA152" s="8">
        <v>2.81189</v>
      </c>
    </row>
    <row r="153" spans="2:27" ht="15" customHeight="1" x14ac:dyDescent="0.25">
      <c r="B153" t="s">
        <v>153</v>
      </c>
      <c r="C153" s="8">
        <v>-12549.726699999999</v>
      </c>
      <c r="D153" s="2">
        <v>-12551.222196000001</v>
      </c>
      <c r="F153" s="12">
        <v>0.995919</v>
      </c>
      <c r="G153" s="13">
        <v>0.18575</v>
      </c>
      <c r="H153">
        <v>9</v>
      </c>
      <c r="I153">
        <v>4</v>
      </c>
      <c r="K153" s="8">
        <f t="shared" si="14"/>
        <v>-0.71335384615304065</v>
      </c>
      <c r="L153" s="8">
        <f t="shared" si="15"/>
        <v>-5.4873372781003127E-2</v>
      </c>
      <c r="M153" s="8">
        <f t="shared" si="16"/>
        <v>-0.88300476922995585</v>
      </c>
      <c r="N153" s="8">
        <f t="shared" si="17"/>
        <v>-6.7923443786919682E-2</v>
      </c>
      <c r="O153" s="8"/>
      <c r="P153" t="s">
        <v>328</v>
      </c>
      <c r="Q153">
        <v>35</v>
      </c>
      <c r="R153" s="8">
        <v>2.8295699999999999</v>
      </c>
      <c r="S153">
        <v>3</v>
      </c>
      <c r="T153" s="8">
        <f t="shared" si="18"/>
        <v>8.5714285714285715E-2</v>
      </c>
      <c r="U153" s="8">
        <v>2.89669</v>
      </c>
      <c r="V153">
        <v>17</v>
      </c>
      <c r="W153" s="8">
        <f t="shared" si="19"/>
        <v>0.48571428571428571</v>
      </c>
      <c r="X153" s="8">
        <v>2.8107799999999998</v>
      </c>
      <c r="Y153">
        <v>15</v>
      </c>
      <c r="Z153" s="8">
        <f t="shared" si="20"/>
        <v>0.42857142857142855</v>
      </c>
      <c r="AA153" s="8">
        <v>2.83744</v>
      </c>
    </row>
    <row r="154" spans="2:27" ht="15" customHeight="1" x14ac:dyDescent="0.25">
      <c r="B154" t="s">
        <v>215</v>
      </c>
      <c r="C154" s="8">
        <v>-12549.5602</v>
      </c>
      <c r="D154" s="2">
        <v>-12550.808875999999</v>
      </c>
      <c r="F154" s="12">
        <v>0.99618799999999996</v>
      </c>
      <c r="G154" s="13">
        <v>0.18762999999999999</v>
      </c>
      <c r="H154">
        <v>9</v>
      </c>
      <c r="I154">
        <v>4</v>
      </c>
      <c r="K154" s="8">
        <f t="shared" si="14"/>
        <v>-0.54685384615368093</v>
      </c>
      <c r="L154" s="8">
        <f t="shared" si="15"/>
        <v>-4.2065680473360074E-2</v>
      </c>
      <c r="M154" s="8">
        <f t="shared" si="16"/>
        <v>-0.46968476922847913</v>
      </c>
      <c r="N154" s="8">
        <f t="shared" si="17"/>
        <v>-3.6129597632959934E-2</v>
      </c>
      <c r="O154" s="8"/>
      <c r="P154" t="s">
        <v>329</v>
      </c>
      <c r="Q154">
        <v>36</v>
      </c>
      <c r="R154" s="8">
        <v>2.8396699999999999</v>
      </c>
      <c r="S154">
        <v>5</v>
      </c>
      <c r="T154" s="8">
        <f t="shared" si="18"/>
        <v>0.1388888888888889</v>
      </c>
      <c r="U154" s="8">
        <v>2.84213</v>
      </c>
      <c r="V154">
        <v>14</v>
      </c>
      <c r="W154" s="8">
        <f t="shared" si="19"/>
        <v>0.3888888888888889</v>
      </c>
      <c r="X154" s="8">
        <v>2.8728600000000002</v>
      </c>
      <c r="Y154">
        <v>17</v>
      </c>
      <c r="Z154" s="8">
        <f t="shared" si="20"/>
        <v>0.47222222222222221</v>
      </c>
      <c r="AA154" s="8">
        <v>2.8116099999999999</v>
      </c>
    </row>
    <row r="155" spans="2:27" ht="15" customHeight="1" x14ac:dyDescent="0.25">
      <c r="B155" t="s">
        <v>175</v>
      </c>
      <c r="C155" s="8">
        <v>-12549.8547</v>
      </c>
      <c r="D155" s="2">
        <v>-12551.080056000001</v>
      </c>
      <c r="F155" s="12">
        <v>0.99655199999999999</v>
      </c>
      <c r="G155" s="13">
        <v>0.19084999999999999</v>
      </c>
      <c r="H155">
        <v>9</v>
      </c>
      <c r="I155">
        <v>4</v>
      </c>
      <c r="K155" s="8">
        <f t="shared" si="14"/>
        <v>-0.84135384615365183</v>
      </c>
      <c r="L155" s="8">
        <f t="shared" si="15"/>
        <v>-6.4719526627203983E-2</v>
      </c>
      <c r="M155" s="8">
        <f t="shared" si="16"/>
        <v>-0.7408647692300292</v>
      </c>
      <c r="N155" s="8">
        <f t="shared" si="17"/>
        <v>-5.6989597633079168E-2</v>
      </c>
      <c r="O155" s="8"/>
      <c r="P155" t="s">
        <v>330</v>
      </c>
      <c r="Q155">
        <v>36</v>
      </c>
      <c r="R155" s="8">
        <v>2.84049</v>
      </c>
      <c r="S155">
        <v>3</v>
      </c>
      <c r="T155" s="8">
        <f t="shared" si="18"/>
        <v>8.3333333333333329E-2</v>
      </c>
      <c r="U155" s="8">
        <v>2.8846099999999999</v>
      </c>
      <c r="V155">
        <v>18</v>
      </c>
      <c r="W155" s="8">
        <f t="shared" si="19"/>
        <v>0.5</v>
      </c>
      <c r="X155" s="8">
        <v>2.8557000000000001</v>
      </c>
      <c r="Y155">
        <v>15</v>
      </c>
      <c r="Z155" s="8">
        <f t="shared" si="20"/>
        <v>0.41666666666666669</v>
      </c>
      <c r="AA155" s="8">
        <v>2.8134100000000002</v>
      </c>
    </row>
    <row r="156" spans="2:27" ht="15" customHeight="1" x14ac:dyDescent="0.25">
      <c r="B156" t="s">
        <v>94</v>
      </c>
      <c r="C156" s="8">
        <v>-12549.6433</v>
      </c>
      <c r="D156" s="2">
        <v>-12550.928055</v>
      </c>
      <c r="F156" s="12">
        <v>0.99425300000000005</v>
      </c>
      <c r="G156" s="13">
        <v>0.17549000000000001</v>
      </c>
      <c r="H156">
        <v>9</v>
      </c>
      <c r="I156">
        <v>4</v>
      </c>
      <c r="K156" s="8">
        <f t="shared" si="14"/>
        <v>-0.62995384615351213</v>
      </c>
      <c r="L156" s="8">
        <f t="shared" si="15"/>
        <v>-4.8457988165654782E-2</v>
      </c>
      <c r="M156" s="8">
        <f t="shared" si="16"/>
        <v>-0.588863769229647</v>
      </c>
      <c r="N156" s="8">
        <f t="shared" si="17"/>
        <v>-4.5297213017665157E-2</v>
      </c>
      <c r="O156" s="8"/>
      <c r="P156" t="s">
        <v>331</v>
      </c>
      <c r="Q156">
        <v>36</v>
      </c>
      <c r="R156" s="8">
        <v>2.84402</v>
      </c>
      <c r="S156">
        <v>3</v>
      </c>
      <c r="T156" s="8">
        <f t="shared" si="18"/>
        <v>8.3333333333333329E-2</v>
      </c>
      <c r="U156" s="8">
        <v>2.9163299999999999</v>
      </c>
      <c r="V156">
        <v>20</v>
      </c>
      <c r="W156" s="8">
        <f t="shared" si="19"/>
        <v>0.55555555555555558</v>
      </c>
      <c r="X156" s="8">
        <v>2.8446600000000002</v>
      </c>
      <c r="Y156">
        <v>13</v>
      </c>
      <c r="Z156" s="8">
        <f t="shared" si="20"/>
        <v>0.3611111111111111</v>
      </c>
      <c r="AA156" s="8">
        <v>2.8263400000000001</v>
      </c>
    </row>
    <row r="157" spans="2:27" ht="15" customHeight="1" x14ac:dyDescent="0.25">
      <c r="B157" t="s">
        <v>186</v>
      </c>
      <c r="C157" s="8">
        <v>-12549.800800000001</v>
      </c>
      <c r="D157" s="2">
        <v>-12551.285271000001</v>
      </c>
      <c r="F157" s="12">
        <v>0.997004</v>
      </c>
      <c r="G157" s="13">
        <v>0.19505999999999901</v>
      </c>
      <c r="H157">
        <v>9</v>
      </c>
      <c r="I157">
        <v>4</v>
      </c>
      <c r="K157" s="8">
        <f t="shared" si="14"/>
        <v>-0.78745384615467628</v>
      </c>
      <c r="L157" s="8">
        <f t="shared" si="15"/>
        <v>-6.0573372781128947E-2</v>
      </c>
      <c r="M157" s="8">
        <f t="shared" si="16"/>
        <v>-0.94607976922998205</v>
      </c>
      <c r="N157" s="8">
        <f t="shared" si="17"/>
        <v>-7.2775366863844768E-2</v>
      </c>
      <c r="O157" s="8"/>
      <c r="P157" t="s">
        <v>332</v>
      </c>
      <c r="Q157">
        <v>34</v>
      </c>
      <c r="R157" s="8">
        <v>2.8206099999999998</v>
      </c>
      <c r="S157">
        <v>3</v>
      </c>
      <c r="T157" s="8">
        <f t="shared" si="18"/>
        <v>8.8235294117647065E-2</v>
      </c>
      <c r="U157" s="8">
        <v>2.9068800000000001</v>
      </c>
      <c r="V157">
        <v>18</v>
      </c>
      <c r="W157" s="8">
        <f t="shared" si="19"/>
        <v>0.52941176470588236</v>
      </c>
      <c r="X157" s="8">
        <v>2.8144200000000001</v>
      </c>
      <c r="Y157">
        <v>13</v>
      </c>
      <c r="Z157" s="8">
        <f t="shared" si="20"/>
        <v>0.38235294117647056</v>
      </c>
      <c r="AA157" s="8">
        <v>2.8092700000000002</v>
      </c>
    </row>
    <row r="158" spans="2:27" ht="15" customHeight="1" x14ac:dyDescent="0.25">
      <c r="B158" t="s">
        <v>135</v>
      </c>
      <c r="C158" s="8">
        <v>-12549.825699999999</v>
      </c>
      <c r="D158" s="2">
        <v>-12551.087482000001</v>
      </c>
      <c r="F158" s="12">
        <v>0.99669799999999997</v>
      </c>
      <c r="G158" s="13">
        <v>0.19206000000000001</v>
      </c>
      <c r="H158">
        <v>9</v>
      </c>
      <c r="I158">
        <v>4</v>
      </c>
      <c r="K158" s="8">
        <f t="shared" si="14"/>
        <v>-0.81235384615320072</v>
      </c>
      <c r="L158" s="8">
        <f t="shared" si="15"/>
        <v>-6.2488757396400058E-2</v>
      </c>
      <c r="M158" s="8">
        <f t="shared" si="16"/>
        <v>-0.74829076923015236</v>
      </c>
      <c r="N158" s="8">
        <f t="shared" si="17"/>
        <v>-5.7560828402319415E-2</v>
      </c>
      <c r="O158" s="8"/>
      <c r="P158" t="s">
        <v>333</v>
      </c>
      <c r="Q158">
        <v>35</v>
      </c>
      <c r="R158" s="8">
        <v>2.8235999999999999</v>
      </c>
      <c r="S158">
        <v>3</v>
      </c>
      <c r="T158" s="8">
        <f t="shared" si="18"/>
        <v>8.5714285714285715E-2</v>
      </c>
      <c r="U158" s="8">
        <v>2.8126000000000002</v>
      </c>
      <c r="V158">
        <v>16</v>
      </c>
      <c r="W158" s="8">
        <f t="shared" si="19"/>
        <v>0.45714285714285713</v>
      </c>
      <c r="X158" s="8">
        <v>2.8231000000000002</v>
      </c>
      <c r="Y158">
        <v>16</v>
      </c>
      <c r="Z158" s="8">
        <f t="shared" si="20"/>
        <v>0.45714285714285713</v>
      </c>
      <c r="AA158" s="8">
        <v>2.8261500000000002</v>
      </c>
    </row>
    <row r="159" spans="2:27" ht="15" customHeight="1" x14ac:dyDescent="0.25">
      <c r="B159" t="s">
        <v>200</v>
      </c>
      <c r="C159" s="8">
        <v>-12549.6837</v>
      </c>
      <c r="D159" s="2">
        <v>-12551.191354000001</v>
      </c>
      <c r="F159" s="12">
        <v>0.99512900000000004</v>
      </c>
      <c r="G159" s="13">
        <v>0.18048</v>
      </c>
      <c r="H159">
        <v>9</v>
      </c>
      <c r="I159">
        <v>4</v>
      </c>
      <c r="K159" s="8">
        <f t="shared" si="14"/>
        <v>-0.67035384615337534</v>
      </c>
      <c r="L159" s="8">
        <f t="shared" si="15"/>
        <v>-5.1565680473336567E-2</v>
      </c>
      <c r="M159" s="8">
        <f t="shared" si="16"/>
        <v>-0.85216276922983525</v>
      </c>
      <c r="N159" s="8">
        <f t="shared" si="17"/>
        <v>-6.5550982248448866E-2</v>
      </c>
      <c r="O159" s="8"/>
      <c r="P159" t="s">
        <v>334</v>
      </c>
      <c r="Q159">
        <v>34</v>
      </c>
      <c r="R159" s="8">
        <v>2.8226200000000001</v>
      </c>
      <c r="S159">
        <v>3</v>
      </c>
      <c r="T159" s="8">
        <f t="shared" si="18"/>
        <v>8.8235294117647065E-2</v>
      </c>
      <c r="U159" s="8">
        <v>2.8759899999999998</v>
      </c>
      <c r="V159">
        <v>16</v>
      </c>
      <c r="W159" s="8">
        <f t="shared" si="19"/>
        <v>0.47058823529411764</v>
      </c>
      <c r="X159" s="8">
        <v>2.7894399999999999</v>
      </c>
      <c r="Y159">
        <v>15</v>
      </c>
      <c r="Z159" s="8">
        <f t="shared" si="20"/>
        <v>0.44117647058823528</v>
      </c>
      <c r="AA159" s="8">
        <v>2.8473299999999999</v>
      </c>
    </row>
    <row r="160" spans="2:27" ht="15" customHeight="1" x14ac:dyDescent="0.25">
      <c r="B160" t="s">
        <v>163</v>
      </c>
      <c r="C160" s="8">
        <v>-12549.673000000001</v>
      </c>
      <c r="D160" s="2">
        <v>-12551.137015</v>
      </c>
      <c r="F160" s="12">
        <v>0.99579499999999999</v>
      </c>
      <c r="G160" s="13">
        <v>0.18487000000000001</v>
      </c>
      <c r="H160">
        <v>9</v>
      </c>
      <c r="I160">
        <v>4</v>
      </c>
      <c r="K160" s="8">
        <f t="shared" si="14"/>
        <v>-0.65965384615446965</v>
      </c>
      <c r="L160" s="8">
        <f t="shared" si="15"/>
        <v>-5.0742603550343816E-2</v>
      </c>
      <c r="M160" s="8">
        <f t="shared" si="16"/>
        <v>-0.79782376922958065</v>
      </c>
      <c r="N160" s="8">
        <f t="shared" si="17"/>
        <v>-6.1371059171506204E-2</v>
      </c>
      <c r="O160" s="8"/>
      <c r="P160" t="s">
        <v>335</v>
      </c>
      <c r="Q160">
        <v>35</v>
      </c>
      <c r="R160" s="8">
        <v>2.8349899999999999</v>
      </c>
      <c r="S160">
        <v>3</v>
      </c>
      <c r="T160" s="8">
        <f t="shared" si="18"/>
        <v>8.5714285714285715E-2</v>
      </c>
      <c r="U160" s="8">
        <v>2.9441600000000001</v>
      </c>
      <c r="V160">
        <v>19</v>
      </c>
      <c r="W160" s="8">
        <f t="shared" si="19"/>
        <v>0.54285714285714282</v>
      </c>
      <c r="X160" s="8">
        <v>2.8298399999999999</v>
      </c>
      <c r="Y160">
        <v>13</v>
      </c>
      <c r="Z160" s="8">
        <f t="shared" si="20"/>
        <v>0.37142857142857144</v>
      </c>
      <c r="AA160" s="8">
        <v>2.81732</v>
      </c>
    </row>
    <row r="161" spans="2:27" ht="15" customHeight="1" x14ac:dyDescent="0.25">
      <c r="B161" t="s">
        <v>147</v>
      </c>
      <c r="C161" s="8">
        <v>-12549.7474</v>
      </c>
      <c r="D161" s="2">
        <v>-12551.381380999999</v>
      </c>
      <c r="F161" s="12">
        <v>0.99670899999999996</v>
      </c>
      <c r="G161" s="13">
        <v>0.19223999999999999</v>
      </c>
      <c r="H161">
        <v>9</v>
      </c>
      <c r="I161">
        <v>4</v>
      </c>
      <c r="K161" s="8">
        <f t="shared" si="14"/>
        <v>-0.73405384615398361</v>
      </c>
      <c r="L161" s="8">
        <f t="shared" si="15"/>
        <v>-5.6465680473383358E-2</v>
      </c>
      <c r="M161" s="8">
        <f t="shared" si="16"/>
        <v>-1.0421897692285711</v>
      </c>
      <c r="N161" s="8">
        <f t="shared" si="17"/>
        <v>-8.0168443786813162E-2</v>
      </c>
      <c r="O161" s="8"/>
      <c r="P161" t="s">
        <v>336</v>
      </c>
      <c r="Q161">
        <v>34</v>
      </c>
      <c r="R161" s="8">
        <v>2.8187099999999998</v>
      </c>
      <c r="S161">
        <v>3</v>
      </c>
      <c r="T161" s="8">
        <f t="shared" si="18"/>
        <v>8.8235294117647065E-2</v>
      </c>
      <c r="U161" s="8">
        <v>2.85026</v>
      </c>
      <c r="V161">
        <v>16</v>
      </c>
      <c r="W161" s="8">
        <f t="shared" si="19"/>
        <v>0.47058823529411764</v>
      </c>
      <c r="X161" s="8">
        <v>2.8188200000000001</v>
      </c>
      <c r="Y161">
        <v>15</v>
      </c>
      <c r="Z161" s="8">
        <f t="shared" si="20"/>
        <v>0.44117647058823528</v>
      </c>
      <c r="AA161" s="8">
        <v>2.8122799999999999</v>
      </c>
    </row>
    <row r="162" spans="2:27" ht="15" customHeight="1" x14ac:dyDescent="0.25">
      <c r="B162" t="s">
        <v>117</v>
      </c>
      <c r="C162" s="8">
        <v>-12549.4753</v>
      </c>
      <c r="D162" s="2">
        <v>-12551.377275999999</v>
      </c>
      <c r="F162" s="12">
        <v>0.99738000000000004</v>
      </c>
      <c r="G162" s="13">
        <v>0.199129999999999</v>
      </c>
      <c r="H162">
        <v>9</v>
      </c>
      <c r="I162">
        <v>4</v>
      </c>
      <c r="K162" s="8">
        <f t="shared" si="14"/>
        <v>-0.46195384615384683</v>
      </c>
      <c r="L162" s="8">
        <f t="shared" si="15"/>
        <v>-3.5534911242603599E-2</v>
      </c>
      <c r="M162" s="8">
        <f t="shared" si="16"/>
        <v>-1.0380847692285897</v>
      </c>
      <c r="N162" s="8">
        <f t="shared" si="17"/>
        <v>-7.9852674556045361E-2</v>
      </c>
      <c r="O162" s="8"/>
      <c r="P162" t="s">
        <v>337</v>
      </c>
      <c r="Q162">
        <v>36</v>
      </c>
      <c r="R162" s="8">
        <v>2.8399399999999999</v>
      </c>
      <c r="S162">
        <v>5</v>
      </c>
      <c r="T162" s="8">
        <f t="shared" si="18"/>
        <v>0.1388888888888889</v>
      </c>
      <c r="U162" s="8">
        <v>2.9224100000000002</v>
      </c>
      <c r="V162">
        <v>17</v>
      </c>
      <c r="W162" s="8">
        <f t="shared" si="19"/>
        <v>0.47222222222222221</v>
      </c>
      <c r="X162" s="8">
        <v>2.82897</v>
      </c>
      <c r="Y162">
        <v>14</v>
      </c>
      <c r="Z162" s="8">
        <f t="shared" si="20"/>
        <v>0.3888888888888889</v>
      </c>
      <c r="AA162" s="8">
        <v>2.8237999999999999</v>
      </c>
    </row>
    <row r="163" spans="2:27" ht="15" customHeight="1" x14ac:dyDescent="0.25">
      <c r="B163" t="s">
        <v>269</v>
      </c>
      <c r="C163" s="8">
        <v>-12549.4483</v>
      </c>
      <c r="D163" s="2">
        <v>-12550.992695000001</v>
      </c>
      <c r="F163" s="12">
        <v>0.99677000000000004</v>
      </c>
      <c r="G163" s="13">
        <v>0.19284999999999999</v>
      </c>
      <c r="H163">
        <v>9</v>
      </c>
      <c r="I163">
        <v>4</v>
      </c>
      <c r="K163" s="8">
        <f t="shared" si="14"/>
        <v>-0.43495384615380317</v>
      </c>
      <c r="L163" s="8">
        <f t="shared" si="15"/>
        <v>-3.3457988165677167E-2</v>
      </c>
      <c r="M163" s="8">
        <f t="shared" si="16"/>
        <v>-0.65350376923015574</v>
      </c>
      <c r="N163" s="8">
        <f t="shared" si="17"/>
        <v>-5.0269520710011978E-2</v>
      </c>
      <c r="O163" s="8"/>
      <c r="P163" t="s">
        <v>338</v>
      </c>
      <c r="Q163">
        <v>35</v>
      </c>
      <c r="R163" s="8">
        <v>2.8275800000000002</v>
      </c>
      <c r="S163">
        <v>4</v>
      </c>
      <c r="T163" s="8">
        <f t="shared" si="18"/>
        <v>0.11428571428571428</v>
      </c>
      <c r="U163" s="8">
        <v>2.9204599999999998</v>
      </c>
      <c r="V163">
        <v>17</v>
      </c>
      <c r="W163" s="8">
        <f t="shared" si="19"/>
        <v>0.48571428571428571</v>
      </c>
      <c r="X163" s="8">
        <v>2.8028900000000001</v>
      </c>
      <c r="Y163">
        <v>14</v>
      </c>
      <c r="Z163" s="8">
        <f t="shared" si="20"/>
        <v>0.4</v>
      </c>
      <c r="AA163" s="8">
        <v>2.8310300000000002</v>
      </c>
    </row>
    <row r="164" spans="2:27" ht="15" customHeight="1" x14ac:dyDescent="0.25">
      <c r="B164" t="s">
        <v>189</v>
      </c>
      <c r="C164" s="8">
        <v>-12549.611800000001</v>
      </c>
      <c r="D164" s="2">
        <v>-12551.219383</v>
      </c>
      <c r="F164" s="12">
        <v>0.99555099999999996</v>
      </c>
      <c r="G164" s="13">
        <v>0.18323</v>
      </c>
      <c r="H164">
        <v>9</v>
      </c>
      <c r="I164">
        <v>4</v>
      </c>
      <c r="K164" s="8">
        <f t="shared" si="14"/>
        <v>-0.59845384615437069</v>
      </c>
      <c r="L164" s="8">
        <f t="shared" si="15"/>
        <v>-4.6034911242643903E-2</v>
      </c>
      <c r="M164" s="8">
        <f t="shared" si="16"/>
        <v>-0.88019176922898623</v>
      </c>
      <c r="N164" s="8">
        <f t="shared" si="17"/>
        <v>-6.7707059171460485E-2</v>
      </c>
      <c r="O164" s="8"/>
      <c r="P164" t="s">
        <v>339</v>
      </c>
      <c r="Q164">
        <v>35</v>
      </c>
      <c r="R164" s="8">
        <v>2.8272900000000001</v>
      </c>
      <c r="S164">
        <v>2</v>
      </c>
      <c r="T164" s="8">
        <f t="shared" si="18"/>
        <v>5.7142857142857141E-2</v>
      </c>
      <c r="U164" s="8">
        <v>2.8245800000000001</v>
      </c>
      <c r="V164">
        <v>19</v>
      </c>
      <c r="W164" s="8">
        <f t="shared" si="19"/>
        <v>0.54285714285714282</v>
      </c>
      <c r="X164" s="8">
        <v>2.8161</v>
      </c>
      <c r="Y164">
        <v>14</v>
      </c>
      <c r="Z164" s="8">
        <f t="shared" si="20"/>
        <v>0.4</v>
      </c>
      <c r="AA164" s="8">
        <v>2.8428599999999999</v>
      </c>
    </row>
    <row r="165" spans="2:27" ht="15" customHeight="1" x14ac:dyDescent="0.25">
      <c r="B165" t="s">
        <v>221</v>
      </c>
      <c r="C165" s="8">
        <v>-12549.468800000001</v>
      </c>
      <c r="D165" s="2">
        <v>-12551.152904</v>
      </c>
      <c r="F165" s="12">
        <v>0.996085</v>
      </c>
      <c r="G165" s="13">
        <v>0.18229000000000001</v>
      </c>
      <c r="H165">
        <v>9</v>
      </c>
      <c r="I165">
        <v>4</v>
      </c>
      <c r="K165" s="8">
        <f t="shared" si="14"/>
        <v>-0.45545384615434159</v>
      </c>
      <c r="L165" s="8">
        <f t="shared" si="15"/>
        <v>-3.5034911242641659E-2</v>
      </c>
      <c r="M165" s="8">
        <f t="shared" si="16"/>
        <v>-0.81371276922982361</v>
      </c>
      <c r="N165" s="8">
        <f t="shared" si="17"/>
        <v>-6.2593289940755664E-2</v>
      </c>
      <c r="O165" s="8"/>
      <c r="P165" t="s">
        <v>340</v>
      </c>
      <c r="Q165">
        <v>35</v>
      </c>
      <c r="R165" s="8">
        <v>2.8304399999999998</v>
      </c>
      <c r="S165">
        <v>5</v>
      </c>
      <c r="T165" s="8">
        <f t="shared" si="18"/>
        <v>0.14285714285714285</v>
      </c>
      <c r="U165" s="8">
        <v>2.87364</v>
      </c>
      <c r="V165">
        <v>14</v>
      </c>
      <c r="W165" s="8">
        <f t="shared" si="19"/>
        <v>0.4</v>
      </c>
      <c r="X165" s="8">
        <v>2.8297599999999998</v>
      </c>
      <c r="Y165">
        <v>16</v>
      </c>
      <c r="Z165" s="8">
        <f t="shared" si="20"/>
        <v>0.45714285714285713</v>
      </c>
      <c r="AA165" s="8">
        <v>2.8175300000000001</v>
      </c>
    </row>
    <row r="166" spans="2:27" ht="15" customHeight="1" x14ac:dyDescent="0.25">
      <c r="B166" t="s">
        <v>218</v>
      </c>
      <c r="C166" s="8">
        <v>-12549.7</v>
      </c>
      <c r="D166" s="2">
        <v>-12551.158359999999</v>
      </c>
      <c r="F166" s="12">
        <v>0.99586699999999995</v>
      </c>
      <c r="G166" s="13">
        <v>0.18543999999999999</v>
      </c>
      <c r="H166">
        <v>9</v>
      </c>
      <c r="I166">
        <v>4</v>
      </c>
      <c r="K166" s="8">
        <f t="shared" si="14"/>
        <v>-0.6866538461545133</v>
      </c>
      <c r="L166" s="8">
        <f t="shared" si="15"/>
        <v>-5.2819526627270255E-2</v>
      </c>
      <c r="M166" s="8">
        <f t="shared" si="16"/>
        <v>-0.81916876922878146</v>
      </c>
      <c r="N166" s="8">
        <f t="shared" si="17"/>
        <v>-6.3012982248367808E-2</v>
      </c>
      <c r="O166" s="8"/>
      <c r="P166" t="s">
        <v>341</v>
      </c>
      <c r="Q166">
        <v>36</v>
      </c>
      <c r="R166" s="8">
        <v>2.8409900000000001</v>
      </c>
      <c r="S166">
        <v>3</v>
      </c>
      <c r="T166" s="8">
        <f t="shared" si="18"/>
        <v>8.3333333333333329E-2</v>
      </c>
      <c r="U166" s="8">
        <v>2.9410099999999999</v>
      </c>
      <c r="V166">
        <v>19</v>
      </c>
      <c r="W166" s="8">
        <f t="shared" si="19"/>
        <v>0.52777777777777779</v>
      </c>
      <c r="X166" s="8">
        <v>2.83725</v>
      </c>
      <c r="Y166">
        <v>14</v>
      </c>
      <c r="Z166" s="8">
        <f t="shared" si="20"/>
        <v>0.3888888888888889</v>
      </c>
      <c r="AA166" s="8">
        <v>2.8246199999999999</v>
      </c>
    </row>
    <row r="167" spans="2:27" ht="15" customHeight="1" x14ac:dyDescent="0.25">
      <c r="B167" t="s">
        <v>82</v>
      </c>
      <c r="C167" s="8">
        <v>-12549.597299999999</v>
      </c>
      <c r="D167" s="2">
        <v>-12551.194229999999</v>
      </c>
      <c r="F167" s="12">
        <v>0.99646699999999999</v>
      </c>
      <c r="G167" s="13">
        <v>0.19001999999999999</v>
      </c>
      <c r="H167">
        <v>9</v>
      </c>
      <c r="I167">
        <v>4</v>
      </c>
      <c r="K167" s="8">
        <f t="shared" si="14"/>
        <v>-0.58395384615323565</v>
      </c>
      <c r="L167" s="8">
        <f t="shared" si="15"/>
        <v>-4.4919526627171975E-2</v>
      </c>
      <c r="M167" s="8">
        <f t="shared" si="16"/>
        <v>-0.85503876922848576</v>
      </c>
      <c r="N167" s="8">
        <f t="shared" si="17"/>
        <v>-6.5772213017575826E-2</v>
      </c>
      <c r="O167" s="8"/>
      <c r="P167" t="s">
        <v>342</v>
      </c>
      <c r="Q167">
        <v>35</v>
      </c>
      <c r="R167" s="8">
        <v>2.8295699999999999</v>
      </c>
      <c r="S167">
        <v>2</v>
      </c>
      <c r="T167" s="8">
        <f t="shared" si="18"/>
        <v>5.7142857142857141E-2</v>
      </c>
      <c r="U167" s="8">
        <v>2.9986000000000002</v>
      </c>
      <c r="V167">
        <v>21</v>
      </c>
      <c r="W167" s="8">
        <f t="shared" si="19"/>
        <v>0.6</v>
      </c>
      <c r="X167" s="8">
        <v>2.82233</v>
      </c>
      <c r="Y167">
        <v>12</v>
      </c>
      <c r="Z167" s="8">
        <f t="shared" si="20"/>
        <v>0.34285714285714286</v>
      </c>
      <c r="AA167" s="8">
        <v>2.81406</v>
      </c>
    </row>
    <row r="168" spans="2:27" ht="15" customHeight="1" x14ac:dyDescent="0.25">
      <c r="B168" t="s">
        <v>224</v>
      </c>
      <c r="C168" s="8">
        <v>-12549.6502</v>
      </c>
      <c r="D168" s="2">
        <v>-12551.164723</v>
      </c>
      <c r="F168" s="12">
        <v>0.99474600000000002</v>
      </c>
      <c r="G168" s="13">
        <v>0.17818999999999899</v>
      </c>
      <c r="H168">
        <v>9</v>
      </c>
      <c r="I168">
        <v>4</v>
      </c>
      <c r="K168" s="8">
        <f t="shared" si="14"/>
        <v>-0.63685384615382645</v>
      </c>
      <c r="L168" s="8">
        <f t="shared" si="15"/>
        <v>-4.8988757396448188E-2</v>
      </c>
      <c r="M168" s="8">
        <f t="shared" si="16"/>
        <v>-0.82553176922920102</v>
      </c>
      <c r="N168" s="8">
        <f t="shared" si="17"/>
        <v>-6.3502443786861623E-2</v>
      </c>
      <c r="O168" s="8"/>
      <c r="P168" t="s">
        <v>343</v>
      </c>
      <c r="Q168">
        <v>35</v>
      </c>
      <c r="R168" s="8">
        <v>2.8279000000000001</v>
      </c>
      <c r="S168">
        <v>4</v>
      </c>
      <c r="T168" s="8">
        <f t="shared" si="18"/>
        <v>0.11428571428571428</v>
      </c>
      <c r="U168" s="8">
        <v>2.9609800000000002</v>
      </c>
      <c r="V168">
        <v>19</v>
      </c>
      <c r="W168" s="8">
        <f t="shared" si="19"/>
        <v>0.54285714285714282</v>
      </c>
      <c r="X168" s="8">
        <v>2.81623</v>
      </c>
      <c r="Y168">
        <v>12</v>
      </c>
      <c r="Z168" s="8">
        <f t="shared" si="20"/>
        <v>0.34285714285714286</v>
      </c>
      <c r="AA168" s="8">
        <v>2.8020100000000001</v>
      </c>
    </row>
    <row r="169" spans="2:27" ht="15" customHeight="1" x14ac:dyDescent="0.25">
      <c r="B169" t="s">
        <v>245</v>
      </c>
      <c r="C169" s="8">
        <v>-12549.674300000001</v>
      </c>
      <c r="D169" s="2">
        <v>-12551.449946000001</v>
      </c>
      <c r="F169" s="12">
        <v>0.99480100000000005</v>
      </c>
      <c r="G169" s="13">
        <v>0.17851</v>
      </c>
      <c r="H169">
        <v>9</v>
      </c>
      <c r="I169">
        <v>4</v>
      </c>
      <c r="K169" s="8">
        <f t="shared" si="14"/>
        <v>-0.66095384615437069</v>
      </c>
      <c r="L169" s="8">
        <f t="shared" si="15"/>
        <v>-5.0842603550336207E-2</v>
      </c>
      <c r="M169" s="8">
        <f t="shared" si="16"/>
        <v>-1.1107547692299704</v>
      </c>
      <c r="N169" s="8">
        <f t="shared" si="17"/>
        <v>-8.5442674556151565E-2</v>
      </c>
      <c r="O169" s="8"/>
      <c r="P169" t="s">
        <v>344</v>
      </c>
      <c r="Q169">
        <v>35</v>
      </c>
      <c r="R169" s="8">
        <v>2.8276300000000001</v>
      </c>
      <c r="S169">
        <v>3</v>
      </c>
      <c r="T169" s="8">
        <f t="shared" si="18"/>
        <v>8.5714285714285715E-2</v>
      </c>
      <c r="U169" s="8">
        <v>2.9050099999999999</v>
      </c>
      <c r="V169">
        <v>18</v>
      </c>
      <c r="W169" s="8">
        <f t="shared" si="19"/>
        <v>0.51428571428571423</v>
      </c>
      <c r="X169" s="8">
        <v>2.82</v>
      </c>
      <c r="Y169">
        <v>14</v>
      </c>
      <c r="Z169" s="8">
        <f t="shared" si="20"/>
        <v>0.4</v>
      </c>
      <c r="AA169" s="8">
        <v>2.8208600000000001</v>
      </c>
    </row>
    <row r="170" spans="2:27" ht="15" customHeight="1" x14ac:dyDescent="0.25">
      <c r="B170" t="s">
        <v>203</v>
      </c>
      <c r="C170" s="8">
        <v>-12549.7001</v>
      </c>
      <c r="D170" s="2">
        <v>-12551.152797999999</v>
      </c>
      <c r="F170" s="12">
        <v>0.996112</v>
      </c>
      <c r="G170" s="13">
        <v>0.18722</v>
      </c>
      <c r="H170">
        <v>9</v>
      </c>
      <c r="I170">
        <v>4</v>
      </c>
      <c r="K170" s="8">
        <f t="shared" si="14"/>
        <v>-0.68675384615380608</v>
      </c>
      <c r="L170" s="8">
        <f t="shared" si="15"/>
        <v>-5.282721893490816E-2</v>
      </c>
      <c r="M170" s="8">
        <f t="shared" si="16"/>
        <v>-0.81360676922849962</v>
      </c>
      <c r="N170" s="8">
        <f t="shared" si="17"/>
        <v>-6.2585136094499977E-2</v>
      </c>
      <c r="O170" s="8"/>
      <c r="P170" t="s">
        <v>345</v>
      </c>
      <c r="Q170">
        <v>34</v>
      </c>
      <c r="R170" s="8">
        <v>2.8218700000000001</v>
      </c>
      <c r="S170">
        <v>3</v>
      </c>
      <c r="T170" s="8">
        <f t="shared" si="18"/>
        <v>8.8235294117647065E-2</v>
      </c>
      <c r="U170" s="8">
        <v>2.9483999999999999</v>
      </c>
      <c r="V170">
        <v>18</v>
      </c>
      <c r="W170" s="8">
        <f t="shared" si="19"/>
        <v>0.52941176470588236</v>
      </c>
      <c r="X170" s="8">
        <v>2.8177300000000001</v>
      </c>
      <c r="Y170">
        <v>13</v>
      </c>
      <c r="Z170" s="8">
        <f t="shared" si="20"/>
        <v>0.38235294117647056</v>
      </c>
      <c r="AA170" s="8">
        <v>2.7984200000000001</v>
      </c>
    </row>
    <row r="171" spans="2:27" ht="15" customHeight="1" x14ac:dyDescent="0.25">
      <c r="B171" t="s">
        <v>183</v>
      </c>
      <c r="C171" s="8">
        <v>-12549.700800000001</v>
      </c>
      <c r="D171" s="2">
        <v>-12551.234848</v>
      </c>
      <c r="F171" s="12">
        <v>0.99607800000000002</v>
      </c>
      <c r="G171" s="13">
        <v>0.18706999999999999</v>
      </c>
      <c r="H171">
        <v>9</v>
      </c>
      <c r="I171">
        <v>4</v>
      </c>
      <c r="K171" s="8">
        <f t="shared" si="14"/>
        <v>-0.68745384615431249</v>
      </c>
      <c r="L171" s="8">
        <f t="shared" si="15"/>
        <v>-5.2881065088793269E-2</v>
      </c>
      <c r="M171" s="8">
        <f t="shared" si="16"/>
        <v>-0.89565676922939019</v>
      </c>
      <c r="N171" s="8">
        <f t="shared" si="17"/>
        <v>-6.8896674556106943E-2</v>
      </c>
      <c r="O171" s="8"/>
      <c r="P171" t="s">
        <v>346</v>
      </c>
      <c r="Q171">
        <v>36</v>
      </c>
      <c r="R171" s="8">
        <v>2.8401100000000001</v>
      </c>
      <c r="S171">
        <v>4</v>
      </c>
      <c r="T171" s="8">
        <f t="shared" si="18"/>
        <v>0.1111111111111111</v>
      </c>
      <c r="U171" s="8">
        <v>2.9475099999999999</v>
      </c>
      <c r="V171">
        <v>19</v>
      </c>
      <c r="W171" s="8">
        <f t="shared" si="19"/>
        <v>0.52777777777777779</v>
      </c>
      <c r="X171" s="8">
        <v>2.8319200000000002</v>
      </c>
      <c r="Y171">
        <v>13</v>
      </c>
      <c r="Z171" s="8">
        <f t="shared" si="20"/>
        <v>0.3611111111111111</v>
      </c>
      <c r="AA171" s="8">
        <v>2.8190300000000001</v>
      </c>
    </row>
    <row r="172" spans="2:27" ht="15" customHeight="1" x14ac:dyDescent="0.25">
      <c r="B172" t="s">
        <v>102</v>
      </c>
      <c r="C172" s="8">
        <v>-12549.598900000001</v>
      </c>
      <c r="D172" s="2">
        <v>-12551.161844</v>
      </c>
      <c r="F172" s="12">
        <v>0.99625900000000001</v>
      </c>
      <c r="G172" s="13">
        <v>0.18837000000000001</v>
      </c>
      <c r="H172">
        <v>9</v>
      </c>
      <c r="I172">
        <v>4</v>
      </c>
      <c r="K172" s="8">
        <f t="shared" si="14"/>
        <v>-0.585553846154653</v>
      </c>
      <c r="L172" s="8">
        <f t="shared" si="15"/>
        <v>-4.5042603550357926E-2</v>
      </c>
      <c r="M172" s="8">
        <f t="shared" si="16"/>
        <v>-0.8226527692295349</v>
      </c>
      <c r="N172" s="8">
        <f t="shared" si="17"/>
        <v>-6.3280982248425766E-2</v>
      </c>
      <c r="O172" s="8"/>
      <c r="P172" t="s">
        <v>347</v>
      </c>
      <c r="Q172">
        <v>35</v>
      </c>
      <c r="R172" s="8">
        <v>2.8260800000000001</v>
      </c>
      <c r="S172">
        <v>4</v>
      </c>
      <c r="T172" s="8">
        <f t="shared" si="18"/>
        <v>0.11428571428571428</v>
      </c>
      <c r="U172" s="8">
        <v>2.8687299999999998</v>
      </c>
      <c r="V172">
        <v>16</v>
      </c>
      <c r="W172" s="8">
        <f t="shared" si="19"/>
        <v>0.45714285714285713</v>
      </c>
      <c r="X172" s="8">
        <v>2.8244699999999998</v>
      </c>
      <c r="Y172">
        <v>15</v>
      </c>
      <c r="Z172" s="8">
        <f t="shared" si="20"/>
        <v>0.42857142857142855</v>
      </c>
      <c r="AA172" s="8">
        <v>2.8164099999999999</v>
      </c>
    </row>
    <row r="173" spans="2:27" ht="15" customHeight="1" x14ac:dyDescent="0.25">
      <c r="B173" t="s">
        <v>206</v>
      </c>
      <c r="C173" s="8">
        <v>-12549.8243</v>
      </c>
      <c r="D173" s="2">
        <v>-12551.293170000001</v>
      </c>
      <c r="F173" s="12">
        <v>0.997201</v>
      </c>
      <c r="G173" s="13">
        <v>0.19713</v>
      </c>
      <c r="H173">
        <v>9</v>
      </c>
      <c r="I173">
        <v>4</v>
      </c>
      <c r="K173" s="8">
        <f t="shared" si="14"/>
        <v>-0.8109538461540069</v>
      </c>
      <c r="L173" s="8">
        <f t="shared" si="15"/>
        <v>-6.2381065088769762E-2</v>
      </c>
      <c r="M173" s="8">
        <f t="shared" si="16"/>
        <v>-0.95397876923016156</v>
      </c>
      <c r="N173" s="8">
        <f t="shared" si="17"/>
        <v>-7.3382982248473963E-2</v>
      </c>
      <c r="O173" s="8"/>
      <c r="P173" t="s">
        <v>348</v>
      </c>
      <c r="Q173">
        <v>35</v>
      </c>
      <c r="R173" s="8">
        <v>2.82701</v>
      </c>
      <c r="S173">
        <v>2</v>
      </c>
      <c r="T173" s="8">
        <f t="shared" si="18"/>
        <v>5.7142857142857141E-2</v>
      </c>
      <c r="U173" s="8">
        <v>2.9365399999999999</v>
      </c>
      <c r="V173">
        <v>20</v>
      </c>
      <c r="W173" s="8">
        <f t="shared" si="19"/>
        <v>0.5714285714285714</v>
      </c>
      <c r="X173" s="8">
        <v>2.82301</v>
      </c>
      <c r="Y173">
        <v>13</v>
      </c>
      <c r="Z173" s="8">
        <f t="shared" si="20"/>
        <v>0.37142857142857144</v>
      </c>
      <c r="AA173" s="8">
        <v>2.8163</v>
      </c>
    </row>
    <row r="174" spans="2:27" ht="15" customHeight="1" x14ac:dyDescent="0.25">
      <c r="B174" t="s">
        <v>126</v>
      </c>
      <c r="C174" s="8">
        <v>-12549.802</v>
      </c>
      <c r="D174" s="2">
        <v>-12551.301329</v>
      </c>
      <c r="F174" s="12">
        <v>0.99604700000000002</v>
      </c>
      <c r="G174" s="13">
        <v>0.18665999999999899</v>
      </c>
      <c r="H174">
        <v>9</v>
      </c>
      <c r="I174">
        <v>4</v>
      </c>
      <c r="K174" s="8">
        <f t="shared" si="14"/>
        <v>-0.78865384615346557</v>
      </c>
      <c r="L174" s="8">
        <f t="shared" si="15"/>
        <v>-6.0665680473343503E-2</v>
      </c>
      <c r="M174" s="8">
        <f t="shared" si="16"/>
        <v>-0.96213776922922989</v>
      </c>
      <c r="N174" s="8">
        <f t="shared" si="17"/>
        <v>-7.4010597633017677E-2</v>
      </c>
      <c r="O174" s="8"/>
      <c r="P174" t="s">
        <v>349</v>
      </c>
      <c r="Q174">
        <v>36</v>
      </c>
      <c r="R174" s="8">
        <v>2.8366600000000002</v>
      </c>
      <c r="S174">
        <v>3</v>
      </c>
      <c r="T174" s="8">
        <f t="shared" si="18"/>
        <v>8.3333333333333329E-2</v>
      </c>
      <c r="U174" s="8">
        <v>2.8903699999999999</v>
      </c>
      <c r="V174">
        <v>19</v>
      </c>
      <c r="W174" s="8">
        <f t="shared" si="19"/>
        <v>0.52777777777777779</v>
      </c>
      <c r="X174" s="8">
        <v>2.8389000000000002</v>
      </c>
      <c r="Y174">
        <v>14</v>
      </c>
      <c r="Z174" s="8">
        <f t="shared" si="20"/>
        <v>0.3888888888888889</v>
      </c>
      <c r="AA174" s="8">
        <v>2.82212</v>
      </c>
    </row>
    <row r="175" spans="2:27" ht="15" customHeight="1" x14ac:dyDescent="0.25">
      <c r="B175" t="s">
        <v>212</v>
      </c>
      <c r="C175" s="8">
        <v>-12549.826800000001</v>
      </c>
      <c r="D175" s="2">
        <v>-12551.301234</v>
      </c>
      <c r="F175" s="12">
        <v>0.99672499999999997</v>
      </c>
      <c r="G175" s="13">
        <v>0.19236999999999899</v>
      </c>
      <c r="H175">
        <v>9</v>
      </c>
      <c r="I175">
        <v>4</v>
      </c>
      <c r="K175" s="8">
        <f t="shared" si="14"/>
        <v>-0.81345384615451621</v>
      </c>
      <c r="L175" s="8">
        <f t="shared" si="15"/>
        <v>-6.2573372781116632E-2</v>
      </c>
      <c r="M175" s="8">
        <f t="shared" si="16"/>
        <v>-0.9620427692298108</v>
      </c>
      <c r="N175" s="8">
        <f t="shared" si="17"/>
        <v>-7.4003289940754682E-2</v>
      </c>
      <c r="O175" s="8"/>
      <c r="P175" t="s">
        <v>350</v>
      </c>
      <c r="Q175">
        <v>35</v>
      </c>
      <c r="R175" s="8">
        <v>2.8269799999999998</v>
      </c>
      <c r="S175">
        <v>3</v>
      </c>
      <c r="T175" s="8">
        <f t="shared" si="18"/>
        <v>8.5714285714285715E-2</v>
      </c>
      <c r="U175" s="8">
        <v>2.9280599999999999</v>
      </c>
      <c r="V175">
        <v>18</v>
      </c>
      <c r="W175" s="8">
        <f t="shared" si="19"/>
        <v>0.51428571428571423</v>
      </c>
      <c r="X175" s="8">
        <v>2.8148399999999998</v>
      </c>
      <c r="Y175">
        <v>14</v>
      </c>
      <c r="Z175" s="8">
        <f t="shared" si="20"/>
        <v>0.4</v>
      </c>
      <c r="AA175" s="8">
        <v>2.8209200000000001</v>
      </c>
    </row>
    <row r="176" spans="2:27" ht="15" customHeight="1" x14ac:dyDescent="0.25">
      <c r="B176" t="s">
        <v>97</v>
      </c>
      <c r="C176" s="8">
        <v>-12549.885899999999</v>
      </c>
      <c r="D176" s="2">
        <v>-12551.614044</v>
      </c>
      <c r="F176" s="12">
        <v>0.99506600000000001</v>
      </c>
      <c r="G176" s="13">
        <v>0.180059999999999</v>
      </c>
      <c r="H176">
        <v>9</v>
      </c>
      <c r="I176">
        <v>4</v>
      </c>
      <c r="K176" s="8">
        <f t="shared" si="14"/>
        <v>-0.87255384615309595</v>
      </c>
      <c r="L176" s="8">
        <f t="shared" si="15"/>
        <v>-6.7119526627161225E-2</v>
      </c>
      <c r="M176" s="8">
        <f t="shared" si="16"/>
        <v>-1.2748527692292555</v>
      </c>
      <c r="N176" s="8">
        <f t="shared" si="17"/>
        <v>-9.8065597633019655E-2</v>
      </c>
      <c r="O176" s="8"/>
      <c r="P176" t="s">
        <v>351</v>
      </c>
      <c r="Q176">
        <v>35</v>
      </c>
      <c r="R176" s="8">
        <v>2.8258299999999998</v>
      </c>
      <c r="S176">
        <v>2</v>
      </c>
      <c r="T176" s="8">
        <f t="shared" si="18"/>
        <v>5.7142857142857141E-2</v>
      </c>
      <c r="U176" s="8">
        <v>2.8241900000000002</v>
      </c>
      <c r="V176">
        <v>17</v>
      </c>
      <c r="W176" s="8">
        <f t="shared" si="19"/>
        <v>0.48571428571428571</v>
      </c>
      <c r="X176" s="8">
        <v>2.8169300000000002</v>
      </c>
      <c r="Y176">
        <v>16</v>
      </c>
      <c r="Z176" s="8">
        <f t="shared" si="20"/>
        <v>0.45714285714285713</v>
      </c>
      <c r="AA176" s="8">
        <v>2.83548</v>
      </c>
    </row>
    <row r="177" spans="2:27" ht="15" customHeight="1" x14ac:dyDescent="0.25">
      <c r="B177" t="s">
        <v>141</v>
      </c>
      <c r="C177" s="8">
        <v>-12549.400600000001</v>
      </c>
      <c r="D177" s="2">
        <v>-12551.051147</v>
      </c>
      <c r="F177" s="12">
        <v>0.99664200000000003</v>
      </c>
      <c r="G177" s="13">
        <v>0.19163999999999901</v>
      </c>
      <c r="H177">
        <v>9</v>
      </c>
      <c r="I177">
        <v>4</v>
      </c>
      <c r="K177" s="8">
        <f t="shared" si="14"/>
        <v>-0.38725384615463554</v>
      </c>
      <c r="L177" s="8">
        <f t="shared" si="15"/>
        <v>-2.9788757396510428E-2</v>
      </c>
      <c r="M177" s="8">
        <f t="shared" si="16"/>
        <v>-0.71195576922946202</v>
      </c>
      <c r="N177" s="8">
        <f t="shared" si="17"/>
        <v>-5.4765828402266306E-2</v>
      </c>
      <c r="O177" s="8"/>
      <c r="P177" t="s">
        <v>352</v>
      </c>
      <c r="Q177">
        <v>35</v>
      </c>
      <c r="R177" s="8">
        <v>2.82544</v>
      </c>
      <c r="S177">
        <v>3</v>
      </c>
      <c r="T177" s="8">
        <f t="shared" si="18"/>
        <v>8.5714285714285715E-2</v>
      </c>
      <c r="U177" s="8">
        <v>2.8876599999999999</v>
      </c>
      <c r="V177">
        <v>19</v>
      </c>
      <c r="W177" s="8">
        <f t="shared" si="19"/>
        <v>0.54285714285714282</v>
      </c>
      <c r="X177" s="8">
        <v>2.8185099999999998</v>
      </c>
      <c r="Y177">
        <v>13</v>
      </c>
      <c r="Z177" s="8">
        <f t="shared" si="20"/>
        <v>0.37142857142857144</v>
      </c>
      <c r="AA177" s="8">
        <v>2.8212000000000002</v>
      </c>
    </row>
    <row r="178" spans="2:27" ht="15" customHeight="1" x14ac:dyDescent="0.25">
      <c r="B178" t="s">
        <v>91</v>
      </c>
      <c r="C178" s="8">
        <v>-12549.5931</v>
      </c>
      <c r="D178" s="2">
        <v>-12550.934547999999</v>
      </c>
      <c r="F178" s="12">
        <v>0.99582899999999996</v>
      </c>
      <c r="G178" s="13">
        <v>0.18512999999999999</v>
      </c>
      <c r="H178">
        <v>9</v>
      </c>
      <c r="I178">
        <v>4</v>
      </c>
      <c r="K178" s="8">
        <f t="shared" si="14"/>
        <v>-0.57975384615383518</v>
      </c>
      <c r="L178" s="8">
        <f t="shared" si="15"/>
        <v>-4.4596449704141165E-2</v>
      </c>
      <c r="M178" s="8">
        <f t="shared" si="16"/>
        <v>-0.59535676922860148</v>
      </c>
      <c r="N178" s="8">
        <f t="shared" si="17"/>
        <v>-4.5796674556046267E-2</v>
      </c>
      <c r="O178" s="8"/>
      <c r="P178" t="s">
        <v>353</v>
      </c>
      <c r="Q178">
        <v>36</v>
      </c>
      <c r="R178" s="8">
        <v>2.83846</v>
      </c>
      <c r="S178">
        <v>4</v>
      </c>
      <c r="T178" s="8">
        <f t="shared" si="18"/>
        <v>0.1111111111111111</v>
      </c>
      <c r="U178" s="8">
        <v>2.93737</v>
      </c>
      <c r="V178">
        <v>18</v>
      </c>
      <c r="W178" s="8">
        <f t="shared" si="19"/>
        <v>0.5</v>
      </c>
      <c r="X178" s="8">
        <v>2.8263600000000002</v>
      </c>
      <c r="Y178">
        <v>14</v>
      </c>
      <c r="Z178" s="8">
        <f t="shared" si="20"/>
        <v>0.3888888888888889</v>
      </c>
      <c r="AA178" s="8">
        <v>2.8257699999999999</v>
      </c>
    </row>
    <row r="179" spans="2:27" ht="15" customHeight="1" x14ac:dyDescent="0.25">
      <c r="B179" t="s">
        <v>85</v>
      </c>
      <c r="C179" s="8">
        <v>-12549.4385</v>
      </c>
      <c r="D179" s="2">
        <v>-12550.712389</v>
      </c>
      <c r="F179" s="12">
        <v>0.99594499999999997</v>
      </c>
      <c r="G179" s="13">
        <v>0.18509999999999899</v>
      </c>
      <c r="H179">
        <v>9</v>
      </c>
      <c r="I179">
        <v>4</v>
      </c>
      <c r="K179" s="8">
        <f t="shared" si="14"/>
        <v>-0.42515384615398943</v>
      </c>
      <c r="L179" s="8">
        <f t="shared" si="15"/>
        <v>-3.2704142011845343E-2</v>
      </c>
      <c r="M179" s="8">
        <f t="shared" si="16"/>
        <v>-0.37319776922959136</v>
      </c>
      <c r="N179" s="8">
        <f t="shared" si="17"/>
        <v>-2.8707520709968567E-2</v>
      </c>
      <c r="O179" s="8"/>
      <c r="P179" t="s">
        <v>354</v>
      </c>
      <c r="Q179">
        <v>36</v>
      </c>
      <c r="R179" s="8">
        <v>2.8413599999999999</v>
      </c>
      <c r="S179">
        <v>5</v>
      </c>
      <c r="T179" s="8">
        <f t="shared" si="18"/>
        <v>0.1388888888888889</v>
      </c>
      <c r="U179" s="8">
        <v>2.9222100000000002</v>
      </c>
      <c r="V179">
        <v>16</v>
      </c>
      <c r="W179" s="8">
        <f t="shared" si="19"/>
        <v>0.44444444444444442</v>
      </c>
      <c r="X179" s="8">
        <v>2.8378199999999998</v>
      </c>
      <c r="Y179">
        <v>15</v>
      </c>
      <c r="Z179" s="8">
        <f t="shared" si="20"/>
        <v>0.41666666666666669</v>
      </c>
      <c r="AA179" s="8">
        <v>2.81819</v>
      </c>
    </row>
    <row r="180" spans="2:27" ht="15" customHeight="1" x14ac:dyDescent="0.25">
      <c r="B180" t="s">
        <v>129</v>
      </c>
      <c r="C180" s="8">
        <v>-12549.6376</v>
      </c>
      <c r="D180" s="2">
        <v>-12550.910242</v>
      </c>
      <c r="F180" s="12">
        <v>0.993645</v>
      </c>
      <c r="G180" s="13">
        <v>0.17232</v>
      </c>
      <c r="H180">
        <v>9</v>
      </c>
      <c r="I180">
        <v>4</v>
      </c>
      <c r="K180" s="8">
        <f t="shared" si="14"/>
        <v>-0.62425384615380608</v>
      </c>
      <c r="L180" s="8">
        <f t="shared" si="15"/>
        <v>-4.8019526627215856E-2</v>
      </c>
      <c r="M180" s="8">
        <f t="shared" si="16"/>
        <v>-0.57105076922925946</v>
      </c>
      <c r="N180" s="8">
        <f t="shared" si="17"/>
        <v>-4.3926982248404571E-2</v>
      </c>
      <c r="O180" s="8"/>
      <c r="P180" t="s">
        <v>355</v>
      </c>
      <c r="Q180">
        <v>36</v>
      </c>
      <c r="R180" s="8">
        <v>2.8399700000000001</v>
      </c>
      <c r="S180">
        <v>3</v>
      </c>
      <c r="T180" s="8">
        <f t="shared" si="18"/>
        <v>8.3333333333333329E-2</v>
      </c>
      <c r="U180" s="8">
        <v>3.0339100000000001</v>
      </c>
      <c r="V180">
        <v>20</v>
      </c>
      <c r="W180" s="8">
        <f t="shared" si="19"/>
        <v>0.55555555555555558</v>
      </c>
      <c r="X180" s="8">
        <v>2.8231199999999999</v>
      </c>
      <c r="Y180">
        <v>13</v>
      </c>
      <c r="Z180" s="8">
        <f t="shared" si="20"/>
        <v>0.3611111111111111</v>
      </c>
      <c r="AA180" s="8">
        <v>2.8211400000000002</v>
      </c>
    </row>
    <row r="181" spans="2:27" ht="15" customHeight="1" x14ac:dyDescent="0.25">
      <c r="B181" t="s">
        <v>138</v>
      </c>
      <c r="C181" s="8">
        <v>-12549.5273</v>
      </c>
      <c r="D181" s="2">
        <v>-12551.09397</v>
      </c>
      <c r="F181" s="12">
        <v>0.99538499999999996</v>
      </c>
      <c r="G181" s="13">
        <v>0.182119999999999</v>
      </c>
      <c r="H181">
        <v>9</v>
      </c>
      <c r="I181">
        <v>4</v>
      </c>
      <c r="K181" s="8">
        <f t="shared" si="14"/>
        <v>-0.51395384615352668</v>
      </c>
      <c r="L181" s="8">
        <f t="shared" si="15"/>
        <v>-3.9534911242578977E-2</v>
      </c>
      <c r="M181" s="8">
        <f t="shared" si="16"/>
        <v>-0.75477876922923315</v>
      </c>
      <c r="N181" s="8">
        <f t="shared" si="17"/>
        <v>-5.8059905325325629E-2</v>
      </c>
      <c r="O181" s="8"/>
      <c r="P181" t="s">
        <v>356</v>
      </c>
      <c r="Q181">
        <v>36</v>
      </c>
      <c r="R181" s="8">
        <v>2.8408099999999998</v>
      </c>
      <c r="S181">
        <v>3</v>
      </c>
      <c r="T181" s="8">
        <f t="shared" si="18"/>
        <v>8.3333333333333329E-2</v>
      </c>
      <c r="U181" s="8">
        <v>3.05267</v>
      </c>
      <c r="V181">
        <v>20</v>
      </c>
      <c r="W181" s="8">
        <f t="shared" si="19"/>
        <v>0.55555555555555558</v>
      </c>
      <c r="X181" s="8">
        <v>2.82009</v>
      </c>
      <c r="Y181">
        <v>13</v>
      </c>
      <c r="Z181" s="8">
        <f t="shared" si="20"/>
        <v>0.3611111111111111</v>
      </c>
      <c r="AA181" s="8">
        <v>2.8237899999999998</v>
      </c>
    </row>
    <row r="182" spans="2:27" ht="15" customHeight="1" x14ac:dyDescent="0.25">
      <c r="B182" t="s">
        <v>120</v>
      </c>
      <c r="C182" s="8">
        <v>-12549.725899999999</v>
      </c>
      <c r="D182" s="2">
        <v>-12551.280708</v>
      </c>
      <c r="F182" s="12">
        <v>0.99755300000000002</v>
      </c>
      <c r="G182" s="13">
        <v>0.20113</v>
      </c>
      <c r="H182">
        <v>9</v>
      </c>
      <c r="I182">
        <v>4</v>
      </c>
      <c r="K182" s="8">
        <f t="shared" si="14"/>
        <v>-0.71255384615324147</v>
      </c>
      <c r="L182" s="8">
        <f t="shared" si="15"/>
        <v>-5.4811834319480113E-2</v>
      </c>
      <c r="M182" s="8">
        <f t="shared" si="16"/>
        <v>-0.9415167692295654</v>
      </c>
      <c r="N182" s="8">
        <f t="shared" si="17"/>
        <v>-7.242436686381272E-2</v>
      </c>
      <c r="O182" s="8"/>
      <c r="P182" t="s">
        <v>357</v>
      </c>
      <c r="Q182">
        <v>35</v>
      </c>
      <c r="R182" s="8">
        <v>2.8272300000000001</v>
      </c>
      <c r="S182">
        <v>2</v>
      </c>
      <c r="T182" s="8">
        <f t="shared" si="18"/>
        <v>5.7142857142857141E-2</v>
      </c>
      <c r="U182" s="8">
        <v>3.0030399999999999</v>
      </c>
      <c r="V182">
        <v>19</v>
      </c>
      <c r="W182" s="8">
        <f t="shared" si="19"/>
        <v>0.54285714285714282</v>
      </c>
      <c r="X182" s="8">
        <v>2.8151600000000001</v>
      </c>
      <c r="Y182">
        <v>14</v>
      </c>
      <c r="Z182" s="8">
        <f t="shared" si="20"/>
        <v>0.4</v>
      </c>
      <c r="AA182" s="8">
        <v>2.8184999999999998</v>
      </c>
    </row>
    <row r="183" spans="2:27" ht="15" customHeight="1" x14ac:dyDescent="0.25">
      <c r="B183" t="s">
        <v>240</v>
      </c>
      <c r="C183" s="8">
        <v>-12549.9719</v>
      </c>
      <c r="D183" s="2">
        <v>-12551.183555</v>
      </c>
      <c r="F183" s="12">
        <v>0.99646900000000005</v>
      </c>
      <c r="G183" s="13">
        <v>0.19008</v>
      </c>
      <c r="H183">
        <v>9</v>
      </c>
      <c r="I183">
        <v>4</v>
      </c>
      <c r="K183" s="8">
        <f t="shared" si="14"/>
        <v>-0.95855384615424555</v>
      </c>
      <c r="L183" s="8">
        <f t="shared" si="15"/>
        <v>-7.3734911242634274E-2</v>
      </c>
      <c r="M183" s="8">
        <f t="shared" si="16"/>
        <v>-0.84436376922894851</v>
      </c>
      <c r="N183" s="8">
        <f t="shared" si="17"/>
        <v>-6.4951059171457576E-2</v>
      </c>
      <c r="O183" s="8"/>
      <c r="P183" t="s">
        <v>358</v>
      </c>
      <c r="Q183">
        <v>32</v>
      </c>
      <c r="R183" s="8">
        <v>2.80063</v>
      </c>
      <c r="S183">
        <v>3</v>
      </c>
      <c r="T183" s="8">
        <f t="shared" si="18"/>
        <v>9.375E-2</v>
      </c>
      <c r="U183" s="8">
        <v>2.8254899999999998</v>
      </c>
      <c r="V183">
        <v>14</v>
      </c>
      <c r="W183" s="8">
        <f t="shared" si="19"/>
        <v>0.4375</v>
      </c>
      <c r="X183" s="8">
        <v>2.7894999999999999</v>
      </c>
      <c r="Y183">
        <v>15</v>
      </c>
      <c r="Z183" s="8">
        <f t="shared" si="20"/>
        <v>0.46875</v>
      </c>
      <c r="AA183" s="8">
        <v>2.8060399999999999</v>
      </c>
    </row>
    <row r="184" spans="2:27" ht="15" customHeight="1" x14ac:dyDescent="0.25">
      <c r="B184" t="s">
        <v>254</v>
      </c>
      <c r="C184" s="8">
        <v>-12550.080900000001</v>
      </c>
      <c r="D184" s="2">
        <v>-12551.293447</v>
      </c>
      <c r="F184" s="12">
        <v>0.99591799999999997</v>
      </c>
      <c r="G184" s="13">
        <v>0.18578</v>
      </c>
      <c r="H184">
        <v>9</v>
      </c>
      <c r="I184">
        <v>4</v>
      </c>
      <c r="K184" s="8">
        <f t="shared" si="14"/>
        <v>-1.0675538461546239</v>
      </c>
      <c r="L184" s="8">
        <f t="shared" si="15"/>
        <v>-8.2119526627278755E-2</v>
      </c>
      <c r="M184" s="8">
        <f t="shared" si="16"/>
        <v>-0.95425576922934852</v>
      </c>
      <c r="N184" s="8">
        <f t="shared" si="17"/>
        <v>-7.3404289940719111E-2</v>
      </c>
      <c r="O184" s="8"/>
      <c r="P184" t="s">
        <v>359</v>
      </c>
      <c r="Q184">
        <v>32</v>
      </c>
      <c r="R184" s="8">
        <v>2.7991000000000001</v>
      </c>
      <c r="S184">
        <v>2</v>
      </c>
      <c r="T184" s="8">
        <f t="shared" si="18"/>
        <v>6.25E-2</v>
      </c>
      <c r="U184" s="8">
        <v>2.8261699999999998</v>
      </c>
      <c r="V184">
        <v>16</v>
      </c>
      <c r="W184" s="8">
        <f t="shared" si="19"/>
        <v>0.5</v>
      </c>
      <c r="X184" s="8">
        <v>2.7909299999999999</v>
      </c>
      <c r="Y184">
        <v>14</v>
      </c>
      <c r="Z184" s="8">
        <f t="shared" si="20"/>
        <v>0.4375</v>
      </c>
      <c r="AA184" s="8">
        <v>2.80457</v>
      </c>
    </row>
    <row r="185" spans="2:27" ht="15" customHeight="1" x14ac:dyDescent="0.25">
      <c r="B185" t="s">
        <v>160</v>
      </c>
      <c r="C185" s="8">
        <v>-12550.0254</v>
      </c>
      <c r="D185" s="2">
        <v>-12551.253842</v>
      </c>
      <c r="F185" s="12">
        <v>0.99620200000000003</v>
      </c>
      <c r="G185" s="13">
        <v>0.18794999999999901</v>
      </c>
      <c r="H185">
        <v>9</v>
      </c>
      <c r="I185">
        <v>4</v>
      </c>
      <c r="K185" s="8">
        <f t="shared" si="14"/>
        <v>-1.012053846154231</v>
      </c>
      <c r="L185" s="8">
        <f t="shared" si="15"/>
        <v>-7.7850295858017768E-2</v>
      </c>
      <c r="M185" s="8">
        <f t="shared" si="16"/>
        <v>-0.9146507692294108</v>
      </c>
      <c r="N185" s="8">
        <f t="shared" si="17"/>
        <v>-7.0357751479185451E-2</v>
      </c>
      <c r="O185" s="8"/>
      <c r="P185" t="s">
        <v>360</v>
      </c>
      <c r="Q185">
        <v>33</v>
      </c>
      <c r="R185" s="8">
        <v>2.81012</v>
      </c>
      <c r="S185">
        <v>2</v>
      </c>
      <c r="T185" s="8">
        <f t="shared" si="18"/>
        <v>6.0606060606060608E-2</v>
      </c>
      <c r="U185" s="8">
        <v>2.8092899999999998</v>
      </c>
      <c r="V185">
        <v>16</v>
      </c>
      <c r="W185" s="8">
        <f t="shared" si="19"/>
        <v>0.48484848484848486</v>
      </c>
      <c r="X185" s="8">
        <v>2.7945000000000002</v>
      </c>
      <c r="Y185">
        <v>15</v>
      </c>
      <c r="Z185" s="8">
        <f t="shared" si="20"/>
        <v>0.45454545454545453</v>
      </c>
      <c r="AA185" s="8">
        <v>2.8268900000000001</v>
      </c>
    </row>
    <row r="186" spans="2:27" ht="15" customHeight="1" x14ac:dyDescent="0.25">
      <c r="B186" t="s">
        <v>257</v>
      </c>
      <c r="C186" s="8">
        <v>-12549.804599999999</v>
      </c>
      <c r="D186" s="2">
        <v>-12551.066712</v>
      </c>
      <c r="F186" s="12">
        <v>0.99589899999999998</v>
      </c>
      <c r="G186" s="13">
        <v>0.18561</v>
      </c>
      <c r="H186">
        <v>9</v>
      </c>
      <c r="I186">
        <v>4</v>
      </c>
      <c r="K186" s="8">
        <f t="shared" si="14"/>
        <v>-0.79125384615326766</v>
      </c>
      <c r="L186" s="8">
        <f t="shared" si="15"/>
        <v>-6.0865680473328285E-2</v>
      </c>
      <c r="M186" s="8">
        <f t="shared" si="16"/>
        <v>-0.72752076922915876</v>
      </c>
      <c r="N186" s="8">
        <f t="shared" si="17"/>
        <v>-5.5963136094550676E-2</v>
      </c>
      <c r="O186" s="8"/>
      <c r="P186" t="s">
        <v>361</v>
      </c>
      <c r="Q186">
        <v>33</v>
      </c>
      <c r="R186" s="8">
        <v>2.8196300000000001</v>
      </c>
      <c r="S186">
        <v>3</v>
      </c>
      <c r="T186" s="8">
        <f t="shared" si="18"/>
        <v>9.0909090909090912E-2</v>
      </c>
      <c r="U186" s="8">
        <v>2.8597700000000001</v>
      </c>
      <c r="V186">
        <v>16</v>
      </c>
      <c r="W186" s="8">
        <f t="shared" si="19"/>
        <v>0.48484848484848486</v>
      </c>
      <c r="X186" s="8">
        <v>2.7885800000000001</v>
      </c>
      <c r="Y186">
        <v>14</v>
      </c>
      <c r="Z186" s="8">
        <f t="shared" si="20"/>
        <v>0.42424242424242425</v>
      </c>
      <c r="AA186" s="8">
        <v>2.84653</v>
      </c>
    </row>
    <row r="187" spans="2:27" ht="15" customHeight="1" x14ac:dyDescent="0.25">
      <c r="B187" t="s">
        <v>169</v>
      </c>
      <c r="C187" s="8">
        <v>-12549.879300000001</v>
      </c>
      <c r="D187" s="2">
        <v>-12551.125292000001</v>
      </c>
      <c r="F187" s="12">
        <v>0.99391600000000002</v>
      </c>
      <c r="G187" s="13">
        <v>0.173789999999999</v>
      </c>
      <c r="H187">
        <v>9</v>
      </c>
      <c r="I187">
        <v>4</v>
      </c>
      <c r="K187" s="8">
        <f t="shared" si="14"/>
        <v>-0.86595384615429793</v>
      </c>
      <c r="L187" s="8">
        <f t="shared" si="15"/>
        <v>-6.6611834319561386E-2</v>
      </c>
      <c r="M187" s="8">
        <f t="shared" si="16"/>
        <v>-0.78610076922996086</v>
      </c>
      <c r="N187" s="8">
        <f t="shared" si="17"/>
        <v>-6.0469289940766217E-2</v>
      </c>
      <c r="O187" s="8"/>
      <c r="P187" t="s">
        <v>362</v>
      </c>
      <c r="Q187">
        <v>34</v>
      </c>
      <c r="R187" s="8">
        <v>2.8204500000000001</v>
      </c>
      <c r="S187">
        <v>2</v>
      </c>
      <c r="T187" s="8">
        <f t="shared" si="18"/>
        <v>5.8823529411764705E-2</v>
      </c>
      <c r="U187" s="8">
        <v>2.7578200000000002</v>
      </c>
      <c r="V187">
        <v>17</v>
      </c>
      <c r="W187" s="8">
        <f t="shared" si="19"/>
        <v>0.5</v>
      </c>
      <c r="X187" s="8">
        <v>2.8070400000000002</v>
      </c>
      <c r="Y187">
        <v>15</v>
      </c>
      <c r="Z187" s="8">
        <f t="shared" si="20"/>
        <v>0.44117647058823528</v>
      </c>
      <c r="AA187" s="8">
        <v>2.8439899999999998</v>
      </c>
    </row>
    <row r="188" spans="2:27" ht="15" customHeight="1" x14ac:dyDescent="0.25">
      <c r="B188" t="s">
        <v>132</v>
      </c>
      <c r="C188" s="8">
        <v>-12549.9144</v>
      </c>
      <c r="D188" s="2">
        <v>-12551.321515</v>
      </c>
      <c r="F188" s="12">
        <v>0.99656800000000001</v>
      </c>
      <c r="G188" s="13">
        <v>0.19103000000000001</v>
      </c>
      <c r="H188">
        <v>9</v>
      </c>
      <c r="I188">
        <v>4</v>
      </c>
      <c r="K188" s="8">
        <f t="shared" si="14"/>
        <v>-0.90105384615344519</v>
      </c>
      <c r="L188" s="8">
        <f t="shared" si="15"/>
        <v>-6.931183431949578E-2</v>
      </c>
      <c r="M188" s="8">
        <f t="shared" si="16"/>
        <v>-0.98232376922896947</v>
      </c>
      <c r="N188" s="8">
        <f t="shared" si="17"/>
        <v>-7.5563366863766884E-2</v>
      </c>
      <c r="O188" s="8"/>
      <c r="P188" t="s">
        <v>363</v>
      </c>
      <c r="Q188">
        <v>36</v>
      </c>
      <c r="R188" s="8">
        <v>2.8363100000000001</v>
      </c>
      <c r="S188">
        <v>3</v>
      </c>
      <c r="T188" s="8">
        <f t="shared" si="18"/>
        <v>8.3333333333333329E-2</v>
      </c>
      <c r="U188" s="8">
        <v>2.86829</v>
      </c>
      <c r="V188">
        <v>19</v>
      </c>
      <c r="W188" s="8">
        <f t="shared" si="19"/>
        <v>0.52777777777777779</v>
      </c>
      <c r="X188" s="8">
        <v>2.82403</v>
      </c>
      <c r="Y188">
        <v>14</v>
      </c>
      <c r="Z188" s="8">
        <f t="shared" si="20"/>
        <v>0.3888888888888889</v>
      </c>
      <c r="AA188" s="8">
        <v>2.8461099999999999</v>
      </c>
    </row>
    <row r="189" spans="2:27" ht="15" customHeight="1" x14ac:dyDescent="0.25">
      <c r="B189" t="s">
        <v>172</v>
      </c>
      <c r="C189" s="8">
        <v>-12550.002699999999</v>
      </c>
      <c r="D189" s="2">
        <v>-12551.253336</v>
      </c>
      <c r="F189" s="12">
        <v>0.99592199999999997</v>
      </c>
      <c r="G189" s="13">
        <v>0.185829999999999</v>
      </c>
      <c r="H189">
        <v>9</v>
      </c>
      <c r="I189">
        <v>4</v>
      </c>
      <c r="K189" s="8">
        <f t="shared" si="14"/>
        <v>-0.98935384615288058</v>
      </c>
      <c r="L189" s="8">
        <f t="shared" si="15"/>
        <v>-7.6104142011760051E-2</v>
      </c>
      <c r="M189" s="8">
        <f t="shared" si="16"/>
        <v>-0.91414476922909671</v>
      </c>
      <c r="N189" s="8">
        <f t="shared" si="17"/>
        <v>-7.0318828402238215E-2</v>
      </c>
      <c r="O189" s="8"/>
      <c r="P189" t="s">
        <v>364</v>
      </c>
      <c r="Q189">
        <v>35</v>
      </c>
      <c r="R189" s="8">
        <v>2.8367100000000001</v>
      </c>
      <c r="S189">
        <v>2</v>
      </c>
      <c r="T189" s="8">
        <f t="shared" si="18"/>
        <v>5.7142857142857141E-2</v>
      </c>
      <c r="U189" s="8">
        <v>2.8325900000000002</v>
      </c>
      <c r="V189">
        <v>20</v>
      </c>
      <c r="W189" s="8">
        <f t="shared" si="19"/>
        <v>0.5714285714285714</v>
      </c>
      <c r="X189" s="8">
        <v>2.84273</v>
      </c>
      <c r="Y189">
        <v>13</v>
      </c>
      <c r="Z189" s="8">
        <f t="shared" si="20"/>
        <v>0.37142857142857144</v>
      </c>
      <c r="AA189" s="8">
        <v>2.8280799999999999</v>
      </c>
    </row>
    <row r="190" spans="2:27" ht="15" customHeight="1" x14ac:dyDescent="0.25">
      <c r="B190" t="s">
        <v>79</v>
      </c>
      <c r="C190" s="8">
        <v>-12549.941999999999</v>
      </c>
      <c r="D190" s="2">
        <v>-12551.191287</v>
      </c>
      <c r="F190" s="12">
        <v>0.99662399999999995</v>
      </c>
      <c r="G190" s="13">
        <v>0.19145999999999899</v>
      </c>
      <c r="H190">
        <v>9</v>
      </c>
      <c r="I190">
        <v>4</v>
      </c>
      <c r="K190" s="8">
        <f t="shared" si="14"/>
        <v>-0.92865384615288349</v>
      </c>
      <c r="L190" s="8">
        <f t="shared" si="15"/>
        <v>-7.14349112425295E-2</v>
      </c>
      <c r="M190" s="8">
        <f t="shared" si="16"/>
        <v>-0.85209576922898123</v>
      </c>
      <c r="N190" s="8">
        <f t="shared" si="17"/>
        <v>-6.554582840222932E-2</v>
      </c>
      <c r="O190" s="8"/>
      <c r="P190" t="s">
        <v>365</v>
      </c>
      <c r="Q190">
        <v>34</v>
      </c>
      <c r="R190" s="8">
        <v>2.8143500000000001</v>
      </c>
      <c r="S190">
        <v>2</v>
      </c>
      <c r="T190" s="8">
        <f t="shared" si="18"/>
        <v>5.8823529411764705E-2</v>
      </c>
      <c r="U190" s="8">
        <v>2.77949</v>
      </c>
      <c r="V190">
        <v>18</v>
      </c>
      <c r="W190" s="8">
        <f t="shared" si="19"/>
        <v>0.52941176470588236</v>
      </c>
      <c r="X190" s="8">
        <v>2.8208099999999998</v>
      </c>
      <c r="Y190">
        <v>14</v>
      </c>
      <c r="Z190" s="8">
        <f t="shared" si="20"/>
        <v>0.41176470588235292</v>
      </c>
      <c r="AA190" s="8">
        <v>2.81101</v>
      </c>
    </row>
    <row r="191" spans="2:27" ht="15" customHeight="1" x14ac:dyDescent="0.25">
      <c r="B191" t="s">
        <v>166</v>
      </c>
      <c r="C191" s="8">
        <v>-12550.0574</v>
      </c>
      <c r="D191" s="2">
        <v>-12551.281755</v>
      </c>
      <c r="F191" s="12">
        <v>0.99664299999999995</v>
      </c>
      <c r="G191" s="13">
        <v>0.19164</v>
      </c>
      <c r="H191">
        <v>9</v>
      </c>
      <c r="I191">
        <v>4</v>
      </c>
      <c r="K191" s="8">
        <f t="shared" si="14"/>
        <v>-1.0440538461534743</v>
      </c>
      <c r="L191" s="8">
        <f t="shared" si="15"/>
        <v>-8.0311834319498024E-2</v>
      </c>
      <c r="M191" s="8">
        <f t="shared" si="16"/>
        <v>-0.9425637692293094</v>
      </c>
      <c r="N191" s="8">
        <f t="shared" si="17"/>
        <v>-7.2504905325331492E-2</v>
      </c>
      <c r="O191" s="8"/>
      <c r="P191" t="s">
        <v>366</v>
      </c>
      <c r="Q191">
        <v>34</v>
      </c>
      <c r="R191" s="8">
        <v>2.8198799999999999</v>
      </c>
      <c r="S191">
        <v>1</v>
      </c>
      <c r="T191" s="8">
        <f t="shared" si="18"/>
        <v>2.9411764705882353E-2</v>
      </c>
      <c r="U191" s="8">
        <v>2.7580300000000002</v>
      </c>
      <c r="V191">
        <v>17</v>
      </c>
      <c r="W191" s="8">
        <f t="shared" si="19"/>
        <v>0.5</v>
      </c>
      <c r="X191" s="8">
        <v>2.78782</v>
      </c>
      <c r="Y191">
        <v>16</v>
      </c>
      <c r="Z191" s="8">
        <f t="shared" si="20"/>
        <v>0.47058823529411764</v>
      </c>
      <c r="AA191" s="8">
        <v>2.8578100000000002</v>
      </c>
    </row>
    <row r="192" spans="2:27" ht="15" customHeight="1" x14ac:dyDescent="0.25">
      <c r="B192" t="s">
        <v>144</v>
      </c>
      <c r="C192" s="8">
        <v>-12549.731</v>
      </c>
      <c r="D192" s="2">
        <v>-12551.024868</v>
      </c>
      <c r="F192" s="12">
        <v>0.99634500000000004</v>
      </c>
      <c r="G192" s="13">
        <v>0.18911</v>
      </c>
      <c r="H192">
        <v>9</v>
      </c>
      <c r="I192">
        <v>4</v>
      </c>
      <c r="K192" s="8">
        <f t="shared" si="14"/>
        <v>-0.71765384615355288</v>
      </c>
      <c r="L192" s="8">
        <f t="shared" si="15"/>
        <v>-5.5204142011811758E-2</v>
      </c>
      <c r="M192" s="8">
        <f t="shared" si="16"/>
        <v>-0.68567676922975807</v>
      </c>
      <c r="N192" s="8">
        <f t="shared" si="17"/>
        <v>-5.2744366863827545E-2</v>
      </c>
      <c r="O192" s="8"/>
      <c r="P192" t="s">
        <v>367</v>
      </c>
      <c r="Q192">
        <v>32</v>
      </c>
      <c r="R192" s="8">
        <v>2.80444</v>
      </c>
      <c r="S192">
        <v>3</v>
      </c>
      <c r="T192" s="8">
        <f t="shared" si="18"/>
        <v>9.375E-2</v>
      </c>
      <c r="U192" s="8">
        <v>2.8337300000000001</v>
      </c>
      <c r="V192">
        <v>14</v>
      </c>
      <c r="W192" s="8">
        <f t="shared" si="19"/>
        <v>0.4375</v>
      </c>
      <c r="X192" s="8">
        <v>2.7738900000000002</v>
      </c>
      <c r="Y192">
        <v>15</v>
      </c>
      <c r="Z192" s="8">
        <f t="shared" si="20"/>
        <v>0.46875</v>
      </c>
      <c r="AA192" s="8">
        <v>2.8271099999999998</v>
      </c>
    </row>
    <row r="193" spans="2:27" ht="15" customHeight="1" x14ac:dyDescent="0.25">
      <c r="B193" t="s">
        <v>123</v>
      </c>
      <c r="C193" s="8">
        <v>-12549.679599999999</v>
      </c>
      <c r="D193" s="2">
        <v>-12550.982671</v>
      </c>
      <c r="F193" s="12">
        <v>0.99553999999999998</v>
      </c>
      <c r="G193" s="13">
        <v>0.18312999999999999</v>
      </c>
      <c r="H193">
        <v>9</v>
      </c>
      <c r="I193">
        <v>4</v>
      </c>
      <c r="K193" s="8">
        <f t="shared" si="14"/>
        <v>-0.66625384615326766</v>
      </c>
      <c r="L193" s="8">
        <f t="shared" si="15"/>
        <v>-5.1250295857943669E-2</v>
      </c>
      <c r="M193" s="8">
        <f t="shared" si="16"/>
        <v>-0.64347976922908856</v>
      </c>
      <c r="N193" s="8">
        <f t="shared" si="17"/>
        <v>-4.9498443786852968E-2</v>
      </c>
      <c r="O193" s="8"/>
      <c r="P193" t="s">
        <v>368</v>
      </c>
      <c r="Q193">
        <v>32</v>
      </c>
      <c r="R193" s="8">
        <v>2.8027500000000001</v>
      </c>
      <c r="S193">
        <v>3</v>
      </c>
      <c r="T193" s="8">
        <f t="shared" si="18"/>
        <v>9.375E-2</v>
      </c>
      <c r="U193" s="8">
        <v>2.8446600000000002</v>
      </c>
      <c r="V193">
        <v>14</v>
      </c>
      <c r="W193" s="8">
        <f t="shared" si="19"/>
        <v>0.4375</v>
      </c>
      <c r="X193" s="8">
        <v>2.7684899999999999</v>
      </c>
      <c r="Y193">
        <v>15</v>
      </c>
      <c r="Z193" s="8">
        <f t="shared" si="20"/>
        <v>0.46875</v>
      </c>
      <c r="AA193" s="8">
        <v>2.8263400000000001</v>
      </c>
    </row>
    <row r="194" spans="2:27" ht="15" customHeight="1" x14ac:dyDescent="0.25">
      <c r="B194" t="s">
        <v>114</v>
      </c>
      <c r="C194" s="8">
        <v>-12549.7158</v>
      </c>
      <c r="D194" s="2">
        <v>-12551.022188999999</v>
      </c>
      <c r="F194" s="12">
        <v>0.99572000000000005</v>
      </c>
      <c r="G194" s="13">
        <v>0.181419999999999</v>
      </c>
      <c r="H194">
        <v>9</v>
      </c>
      <c r="I194">
        <v>4</v>
      </c>
      <c r="K194" s="8">
        <f t="shared" si="14"/>
        <v>-0.70245384615373041</v>
      </c>
      <c r="L194" s="8">
        <f t="shared" si="15"/>
        <v>-5.4034911242594644E-2</v>
      </c>
      <c r="M194" s="8">
        <f t="shared" si="16"/>
        <v>-0.6829977692286775</v>
      </c>
      <c r="N194" s="8">
        <f t="shared" si="17"/>
        <v>-5.2538289940667497E-2</v>
      </c>
      <c r="O194" s="8"/>
      <c r="P194" t="s">
        <v>369</v>
      </c>
      <c r="Q194">
        <v>34</v>
      </c>
      <c r="R194" s="8">
        <v>2.8242600000000002</v>
      </c>
      <c r="S194">
        <v>2</v>
      </c>
      <c r="T194" s="8">
        <f t="shared" si="18"/>
        <v>5.8823529411764705E-2</v>
      </c>
      <c r="U194" s="8">
        <v>2.9382999999999999</v>
      </c>
      <c r="V194">
        <v>16</v>
      </c>
      <c r="W194" s="8">
        <f t="shared" si="19"/>
        <v>0.47058823529411764</v>
      </c>
      <c r="X194" s="8">
        <v>2.77061</v>
      </c>
      <c r="Y194">
        <v>16</v>
      </c>
      <c r="Z194" s="8">
        <f t="shared" si="20"/>
        <v>0.47058823529411764</v>
      </c>
      <c r="AA194" s="8">
        <v>2.8636599999999999</v>
      </c>
    </row>
    <row r="195" spans="2:27" ht="15" customHeight="1" x14ac:dyDescent="0.25">
      <c r="B195" t="s">
        <v>108</v>
      </c>
      <c r="C195" s="8">
        <v>-12549.7634</v>
      </c>
      <c r="D195" s="2">
        <v>-12551.002702</v>
      </c>
      <c r="F195" s="12">
        <v>0.99646999999999997</v>
      </c>
      <c r="G195" s="13">
        <v>0.19016</v>
      </c>
      <c r="H195">
        <v>9</v>
      </c>
      <c r="I195">
        <v>4</v>
      </c>
      <c r="K195" s="8">
        <f t="shared" ref="K195:K258" si="21">IF(ISNUMBER(C195),C195-(($C$3-$C$2236)/($H$3-$H$2236)*H195+$C$2236),"")</f>
        <v>-0.75005384615360526</v>
      </c>
      <c r="L195" s="8">
        <f t="shared" ref="L195:L258" si="22">IF(ISNUMBER(C195),K195/(H195+I195),"")</f>
        <v>-5.7696449704123479E-2</v>
      </c>
      <c r="M195" s="8">
        <f t="shared" ref="M195:M258" si="23">IF(ISNUMBER(D195),D195-(($D$3-$D$2236)/($H$3-$H$2236)*H195+$D$2236),"")</f>
        <v>-0.66351076922910579</v>
      </c>
      <c r="N195" s="8">
        <f t="shared" ref="N195:N258" si="24">IF(ISNUMBER(D195),M195/(H195+I195),"")</f>
        <v>-5.1039289940700443E-2</v>
      </c>
      <c r="O195" s="8"/>
      <c r="P195" t="s">
        <v>370</v>
      </c>
      <c r="Q195">
        <v>34</v>
      </c>
      <c r="R195" s="8">
        <v>2.8214700000000001</v>
      </c>
      <c r="S195">
        <v>2</v>
      </c>
      <c r="T195" s="8">
        <f t="shared" ref="T195:T258" si="25">IF(ISNUMBER(S195),S195/(Q195),"")</f>
        <v>5.8823529411764705E-2</v>
      </c>
      <c r="U195" s="8">
        <v>2.9006699999999999</v>
      </c>
      <c r="V195">
        <v>17</v>
      </c>
      <c r="W195" s="8">
        <f t="shared" ref="W195:W258" si="26">IF(ISNUMBER(V195),V195/($Q195),"")</f>
        <v>0.5</v>
      </c>
      <c r="X195" s="8">
        <v>2.8105000000000002</v>
      </c>
      <c r="Y195">
        <v>15</v>
      </c>
      <c r="Z195" s="8">
        <f t="shared" ref="Z195:Z258" si="27">IF(ISNUMBER(Y195),Y195/($Q195),"")</f>
        <v>0.44117647058823528</v>
      </c>
      <c r="AA195" s="8">
        <v>2.82335</v>
      </c>
    </row>
    <row r="196" spans="2:27" ht="15" customHeight="1" x14ac:dyDescent="0.25">
      <c r="B196" t="s">
        <v>111</v>
      </c>
      <c r="C196" s="8">
        <v>-12549.886699999999</v>
      </c>
      <c r="D196" s="2">
        <v>-12551.125773</v>
      </c>
      <c r="F196" s="12">
        <v>0.99667300000000003</v>
      </c>
      <c r="G196" s="13">
        <v>0.19188999999999901</v>
      </c>
      <c r="H196">
        <v>9</v>
      </c>
      <c r="I196">
        <v>4</v>
      </c>
      <c r="K196" s="8">
        <f t="shared" si="21"/>
        <v>-0.87335384615289513</v>
      </c>
      <c r="L196" s="8">
        <f t="shared" si="22"/>
        <v>-6.7181065088684239E-2</v>
      </c>
      <c r="M196" s="8">
        <f t="shared" si="23"/>
        <v>-0.78658176922908751</v>
      </c>
      <c r="N196" s="8">
        <f t="shared" si="24"/>
        <v>-6.0506289940699037E-2</v>
      </c>
      <c r="O196" s="8"/>
      <c r="P196" t="s">
        <v>371</v>
      </c>
      <c r="Q196">
        <v>34</v>
      </c>
      <c r="R196" s="8">
        <v>2.8229700000000002</v>
      </c>
      <c r="S196">
        <v>1</v>
      </c>
      <c r="T196" s="8">
        <f t="shared" si="25"/>
        <v>2.9411764705882353E-2</v>
      </c>
      <c r="U196" s="8">
        <v>2.9626399999999999</v>
      </c>
      <c r="V196">
        <v>19</v>
      </c>
      <c r="W196" s="8">
        <f t="shared" si="26"/>
        <v>0.55882352941176472</v>
      </c>
      <c r="X196" s="8">
        <v>2.80131</v>
      </c>
      <c r="Y196">
        <v>14</v>
      </c>
      <c r="Z196" s="8">
        <f t="shared" si="27"/>
        <v>0.41176470588235292</v>
      </c>
      <c r="AA196" s="8">
        <v>2.8424</v>
      </c>
    </row>
    <row r="197" spans="2:27" ht="15" customHeight="1" x14ac:dyDescent="0.25">
      <c r="B197" t="s">
        <v>88</v>
      </c>
      <c r="C197" s="8">
        <v>-12549.9409</v>
      </c>
      <c r="D197" s="2">
        <v>-12551.116811</v>
      </c>
      <c r="F197" s="12">
        <v>0.99807699999999999</v>
      </c>
      <c r="G197" s="13">
        <v>0.12381</v>
      </c>
      <c r="H197">
        <v>9</v>
      </c>
      <c r="I197">
        <v>4</v>
      </c>
      <c r="K197" s="8">
        <f t="shared" si="21"/>
        <v>-0.92755384615338698</v>
      </c>
      <c r="L197" s="8">
        <f t="shared" si="22"/>
        <v>-7.1350295857952842E-2</v>
      </c>
      <c r="M197" s="8">
        <f t="shared" si="23"/>
        <v>-0.77761976922920439</v>
      </c>
      <c r="N197" s="8">
        <f t="shared" si="24"/>
        <v>-5.9816905325323418E-2</v>
      </c>
      <c r="O197" s="8"/>
      <c r="P197" t="s">
        <v>372</v>
      </c>
      <c r="Q197">
        <v>32</v>
      </c>
      <c r="R197" s="8">
        <v>2.79691</v>
      </c>
      <c r="S197">
        <v>0</v>
      </c>
      <c r="T197" s="8">
        <f t="shared" si="25"/>
        <v>0</v>
      </c>
      <c r="U197" s="8">
        <v>0</v>
      </c>
      <c r="V197">
        <v>18</v>
      </c>
      <c r="W197" s="8">
        <f t="shared" si="26"/>
        <v>0.5625</v>
      </c>
      <c r="X197" s="8">
        <v>2.7953800000000002</v>
      </c>
      <c r="Y197">
        <v>14</v>
      </c>
      <c r="Z197" s="8">
        <f t="shared" si="27"/>
        <v>0.4375</v>
      </c>
      <c r="AA197" s="8">
        <v>2.7988900000000001</v>
      </c>
    </row>
    <row r="198" spans="2:27" ht="15" customHeight="1" x14ac:dyDescent="0.25">
      <c r="B198" t="s">
        <v>227</v>
      </c>
      <c r="C198" s="8">
        <v>-12550.037700000001</v>
      </c>
      <c r="D198" s="2">
        <v>-12551.261074</v>
      </c>
      <c r="F198" s="12">
        <v>0.99607400000000001</v>
      </c>
      <c r="G198" s="13">
        <v>0.18690000000000001</v>
      </c>
      <c r="H198">
        <v>9</v>
      </c>
      <c r="I198">
        <v>4</v>
      </c>
      <c r="K198" s="8">
        <f t="shared" si="21"/>
        <v>-1.024353846154554</v>
      </c>
      <c r="L198" s="8">
        <f t="shared" si="22"/>
        <v>-7.879644970419647E-2</v>
      </c>
      <c r="M198" s="8">
        <f t="shared" si="23"/>
        <v>-0.92188276922934165</v>
      </c>
      <c r="N198" s="8">
        <f t="shared" si="24"/>
        <v>-7.0914059171487825E-2</v>
      </c>
      <c r="O198" s="8"/>
      <c r="P198" t="s">
        <v>373</v>
      </c>
      <c r="Q198">
        <v>35</v>
      </c>
      <c r="R198" s="8">
        <v>2.8363999999999998</v>
      </c>
      <c r="S198">
        <v>3</v>
      </c>
      <c r="T198" s="8">
        <f t="shared" si="25"/>
        <v>8.5714285714285715E-2</v>
      </c>
      <c r="U198" s="8">
        <v>2.79345</v>
      </c>
      <c r="V198">
        <v>16</v>
      </c>
      <c r="W198" s="8">
        <f t="shared" si="26"/>
        <v>0.45714285714285713</v>
      </c>
      <c r="X198" s="8">
        <v>2.8509500000000001</v>
      </c>
      <c r="Y198">
        <v>16</v>
      </c>
      <c r="Z198" s="8">
        <f t="shared" si="27"/>
        <v>0.45714285714285713</v>
      </c>
      <c r="AA198" s="8">
        <v>2.8298999999999999</v>
      </c>
    </row>
    <row r="199" spans="2:27" ht="15" customHeight="1" x14ac:dyDescent="0.25">
      <c r="B199" t="s">
        <v>233</v>
      </c>
      <c r="C199" s="8">
        <v>-12550.136699999999</v>
      </c>
      <c r="D199" s="2">
        <v>-12551.365653999999</v>
      </c>
      <c r="F199" s="12">
        <v>0.99660499999999996</v>
      </c>
      <c r="G199" s="13">
        <v>0.19131999999999899</v>
      </c>
      <c r="H199">
        <v>9</v>
      </c>
      <c r="I199">
        <v>4</v>
      </c>
      <c r="K199" s="8">
        <f t="shared" si="21"/>
        <v>-1.1233538461528951</v>
      </c>
      <c r="L199" s="8">
        <f t="shared" si="22"/>
        <v>-8.641183431945347E-2</v>
      </c>
      <c r="M199" s="8">
        <f t="shared" si="23"/>
        <v>-1.0264627692286012</v>
      </c>
      <c r="N199" s="8">
        <f t="shared" si="24"/>
        <v>-7.8958674556046243E-2</v>
      </c>
      <c r="O199" s="8"/>
      <c r="P199" t="s">
        <v>374</v>
      </c>
      <c r="Q199">
        <v>36</v>
      </c>
      <c r="R199" s="8">
        <v>2.8391999999999999</v>
      </c>
      <c r="S199">
        <v>2</v>
      </c>
      <c r="T199" s="8">
        <f t="shared" si="25"/>
        <v>5.5555555555555552E-2</v>
      </c>
      <c r="U199" s="8">
        <v>2.8075000000000001</v>
      </c>
      <c r="V199">
        <v>17</v>
      </c>
      <c r="W199" s="8">
        <f t="shared" si="26"/>
        <v>0.47222222222222221</v>
      </c>
      <c r="X199" s="8">
        <v>2.8109899999999999</v>
      </c>
      <c r="Y199">
        <v>17</v>
      </c>
      <c r="Z199" s="8">
        <f t="shared" si="27"/>
        <v>0.47222222222222221</v>
      </c>
      <c r="AA199" s="8">
        <v>2.87114</v>
      </c>
    </row>
    <row r="200" spans="2:27" ht="15" customHeight="1" x14ac:dyDescent="0.25">
      <c r="B200" t="s">
        <v>274</v>
      </c>
      <c r="C200" s="8">
        <v>-12549.794599999999</v>
      </c>
      <c r="D200" s="2">
        <v>-12551.085826</v>
      </c>
      <c r="F200" s="12">
        <v>0.99624500000000005</v>
      </c>
      <c r="G200" s="13">
        <v>0.18828</v>
      </c>
      <c r="H200">
        <v>9</v>
      </c>
      <c r="I200">
        <v>4</v>
      </c>
      <c r="K200" s="8">
        <f t="shared" si="21"/>
        <v>-0.78125384615304938</v>
      </c>
      <c r="L200" s="8">
        <f t="shared" si="22"/>
        <v>-6.0096449704080721E-2</v>
      </c>
      <c r="M200" s="8">
        <f t="shared" si="23"/>
        <v>-0.74663476922978589</v>
      </c>
      <c r="N200" s="8">
        <f t="shared" si="24"/>
        <v>-5.743344378690661E-2</v>
      </c>
      <c r="O200" s="8"/>
      <c r="P200" t="s">
        <v>375</v>
      </c>
      <c r="Q200">
        <v>36</v>
      </c>
      <c r="R200" s="8">
        <v>2.84213</v>
      </c>
      <c r="S200">
        <v>5</v>
      </c>
      <c r="T200" s="8">
        <f t="shared" si="25"/>
        <v>0.1388888888888889</v>
      </c>
      <c r="U200" s="8">
        <v>2.8728600000000002</v>
      </c>
      <c r="V200">
        <v>14</v>
      </c>
      <c r="W200" s="8">
        <f t="shared" si="26"/>
        <v>0.3888888888888889</v>
      </c>
      <c r="X200" s="8">
        <v>2.81569</v>
      </c>
      <c r="Y200">
        <v>17</v>
      </c>
      <c r="Z200" s="8">
        <f t="shared" si="27"/>
        <v>0.47222222222222221</v>
      </c>
      <c r="AA200" s="8">
        <v>2.85487</v>
      </c>
    </row>
    <row r="201" spans="2:27" ht="15" customHeight="1" x14ac:dyDescent="0.25">
      <c r="B201" t="s">
        <v>209</v>
      </c>
      <c r="C201" s="8">
        <v>-12549.955400000001</v>
      </c>
      <c r="D201" s="2">
        <v>-12551.231100999999</v>
      </c>
      <c r="F201" s="12">
        <v>0.996888</v>
      </c>
      <c r="G201" s="13">
        <v>0.19391</v>
      </c>
      <c r="H201">
        <v>9</v>
      </c>
      <c r="I201">
        <v>4</v>
      </c>
      <c r="K201" s="8">
        <f t="shared" si="21"/>
        <v>-0.94205384615452203</v>
      </c>
      <c r="L201" s="8">
        <f t="shared" si="22"/>
        <v>-7.2465680473424776E-2</v>
      </c>
      <c r="M201" s="8">
        <f t="shared" si="23"/>
        <v>-0.89190976922873233</v>
      </c>
      <c r="N201" s="8">
        <f t="shared" si="24"/>
        <v>-6.8608443786825568E-2</v>
      </c>
      <c r="O201" s="8"/>
      <c r="P201" t="s">
        <v>376</v>
      </c>
      <c r="Q201">
        <v>36</v>
      </c>
      <c r="R201" s="8">
        <v>2.8367200000000001</v>
      </c>
      <c r="S201">
        <v>3</v>
      </c>
      <c r="T201" s="8">
        <f t="shared" si="25"/>
        <v>8.3333333333333329E-2</v>
      </c>
      <c r="U201" s="8">
        <v>2.7989299999999999</v>
      </c>
      <c r="V201">
        <v>18</v>
      </c>
      <c r="W201" s="8">
        <f t="shared" si="26"/>
        <v>0.5</v>
      </c>
      <c r="X201" s="8">
        <v>2.8525999999999998</v>
      </c>
      <c r="Y201">
        <v>15</v>
      </c>
      <c r="Z201" s="8">
        <f t="shared" si="27"/>
        <v>0.41666666666666669</v>
      </c>
      <c r="AA201" s="8">
        <v>2.8252199999999998</v>
      </c>
    </row>
    <row r="202" spans="2:27" ht="15" customHeight="1" x14ac:dyDescent="0.25">
      <c r="B202" t="s">
        <v>260</v>
      </c>
      <c r="C202" s="8">
        <v>-12549.8819</v>
      </c>
      <c r="D202" s="2">
        <v>-12551.146105</v>
      </c>
      <c r="F202" s="12">
        <v>0.99581799999999998</v>
      </c>
      <c r="G202" s="13">
        <v>0.185029999999999</v>
      </c>
      <c r="H202">
        <v>9</v>
      </c>
      <c r="I202">
        <v>4</v>
      </c>
      <c r="K202" s="8">
        <f t="shared" si="21"/>
        <v>-0.86855384615410003</v>
      </c>
      <c r="L202" s="8">
        <f t="shared" si="22"/>
        <v>-6.6811834319546154E-2</v>
      </c>
      <c r="M202" s="8">
        <f t="shared" si="23"/>
        <v>-0.8069137692291406</v>
      </c>
      <c r="N202" s="8">
        <f t="shared" si="24"/>
        <v>-6.207028994070312E-2</v>
      </c>
      <c r="O202" s="8"/>
      <c r="P202" t="s">
        <v>377</v>
      </c>
      <c r="Q202">
        <v>34</v>
      </c>
      <c r="R202" s="8">
        <v>2.8215699999999999</v>
      </c>
      <c r="S202">
        <v>3</v>
      </c>
      <c r="T202" s="8">
        <f t="shared" si="25"/>
        <v>8.8235294117647065E-2</v>
      </c>
      <c r="U202" s="8">
        <v>2.7787000000000002</v>
      </c>
      <c r="V202">
        <v>16</v>
      </c>
      <c r="W202" s="8">
        <f t="shared" si="26"/>
        <v>0.47058823529411764</v>
      </c>
      <c r="X202" s="8">
        <v>2.8265600000000002</v>
      </c>
      <c r="Y202">
        <v>15</v>
      </c>
      <c r="Z202" s="8">
        <f t="shared" si="27"/>
        <v>0.44117647058823528</v>
      </c>
      <c r="AA202" s="8">
        <v>2.8248199999999999</v>
      </c>
    </row>
    <row r="203" spans="2:27" ht="15" customHeight="1" x14ac:dyDescent="0.25">
      <c r="B203" t="s">
        <v>105</v>
      </c>
      <c r="C203" s="8">
        <v>-12550.0494</v>
      </c>
      <c r="D203" s="2">
        <v>-12551.295955</v>
      </c>
      <c r="F203" s="12">
        <v>0.99630799999999997</v>
      </c>
      <c r="G203" s="13">
        <v>0.1888</v>
      </c>
      <c r="H203">
        <v>9</v>
      </c>
      <c r="I203">
        <v>4</v>
      </c>
      <c r="K203" s="8">
        <f t="shared" si="21"/>
        <v>-1.0360538461536635</v>
      </c>
      <c r="L203" s="8">
        <f t="shared" si="22"/>
        <v>-7.9696449704127953E-2</v>
      </c>
      <c r="M203" s="8">
        <f t="shared" si="23"/>
        <v>-0.95676376922892814</v>
      </c>
      <c r="N203" s="8">
        <f t="shared" si="24"/>
        <v>-7.3597213017609853E-2</v>
      </c>
      <c r="O203" s="8"/>
      <c r="P203" t="s">
        <v>378</v>
      </c>
      <c r="Q203">
        <v>33</v>
      </c>
      <c r="R203" s="8">
        <v>2.8088700000000002</v>
      </c>
      <c r="S203">
        <v>2</v>
      </c>
      <c r="T203" s="8">
        <f t="shared" si="25"/>
        <v>6.0606060606060608E-2</v>
      </c>
      <c r="U203" s="8">
        <v>2.7647599999999999</v>
      </c>
      <c r="V203">
        <v>17</v>
      </c>
      <c r="W203" s="8">
        <f t="shared" si="26"/>
        <v>0.51515151515151514</v>
      </c>
      <c r="X203" s="8">
        <v>2.8062499999999999</v>
      </c>
      <c r="Y203">
        <v>14</v>
      </c>
      <c r="Z203" s="8">
        <f t="shared" si="27"/>
        <v>0.42424242424242425</v>
      </c>
      <c r="AA203" s="8">
        <v>2.8183500000000001</v>
      </c>
    </row>
    <row r="204" spans="2:27" ht="15" customHeight="1" x14ac:dyDescent="0.25">
      <c r="B204" t="s">
        <v>379</v>
      </c>
      <c r="C204" s="8">
        <v>-12549.8482</v>
      </c>
      <c r="D204" s="2">
        <v>-12551.100528000001</v>
      </c>
      <c r="F204" s="12">
        <v>0.99672899999999998</v>
      </c>
      <c r="G204" s="13">
        <v>0.19242999999999899</v>
      </c>
      <c r="H204">
        <v>9</v>
      </c>
      <c r="I204">
        <v>4</v>
      </c>
      <c r="K204" s="8">
        <f t="shared" si="21"/>
        <v>-0.83485384615414659</v>
      </c>
      <c r="L204" s="8">
        <f t="shared" si="22"/>
        <v>-6.4219526627242049E-2</v>
      </c>
      <c r="M204" s="8">
        <f t="shared" si="23"/>
        <v>-0.76133676923018356</v>
      </c>
      <c r="N204" s="8">
        <f t="shared" si="24"/>
        <v>-5.8564366863860275E-2</v>
      </c>
      <c r="O204" s="8"/>
      <c r="P204" t="s">
        <v>380</v>
      </c>
      <c r="Q204">
        <v>35</v>
      </c>
      <c r="R204" s="8">
        <v>2.8287300000000002</v>
      </c>
      <c r="S204">
        <v>4</v>
      </c>
      <c r="T204" s="8">
        <f t="shared" si="25"/>
        <v>0.11428571428571428</v>
      </c>
      <c r="U204" s="8">
        <v>2.8338299999999998</v>
      </c>
      <c r="V204">
        <v>13</v>
      </c>
      <c r="W204" s="8">
        <f t="shared" si="26"/>
        <v>0.37142857142857144</v>
      </c>
      <c r="X204" s="8">
        <v>2.81345</v>
      </c>
      <c r="Y204">
        <v>18</v>
      </c>
      <c r="Z204" s="8">
        <f t="shared" si="27"/>
        <v>0.51428571428571423</v>
      </c>
      <c r="AA204" s="8">
        <v>2.8386499999999999</v>
      </c>
    </row>
    <row r="205" spans="2:27" ht="15" customHeight="1" x14ac:dyDescent="0.25">
      <c r="B205" t="s">
        <v>381</v>
      </c>
      <c r="C205" s="8">
        <v>-12550.1217</v>
      </c>
      <c r="D205" s="2">
        <v>-12551.357947</v>
      </c>
      <c r="F205" s="12">
        <v>0.99622999999999995</v>
      </c>
      <c r="G205" s="13">
        <v>0.188169999999999</v>
      </c>
      <c r="H205">
        <v>9</v>
      </c>
      <c r="I205">
        <v>4</v>
      </c>
      <c r="K205" s="8">
        <f t="shared" si="21"/>
        <v>-1.1083538461534772</v>
      </c>
      <c r="L205" s="8">
        <f t="shared" si="22"/>
        <v>-8.5257988165652096E-2</v>
      </c>
      <c r="M205" s="8">
        <f t="shared" si="23"/>
        <v>-1.018755769229756</v>
      </c>
      <c r="N205" s="8">
        <f t="shared" si="24"/>
        <v>-7.8365828402288923E-2</v>
      </c>
      <c r="O205" s="8"/>
      <c r="P205" t="s">
        <v>382</v>
      </c>
      <c r="Q205">
        <v>34</v>
      </c>
      <c r="R205" s="8">
        <v>2.8202699999999998</v>
      </c>
      <c r="S205">
        <v>2</v>
      </c>
      <c r="T205" s="8">
        <f t="shared" si="25"/>
        <v>5.8823529411764705E-2</v>
      </c>
      <c r="U205" s="8">
        <v>2.7718600000000002</v>
      </c>
      <c r="V205">
        <v>15</v>
      </c>
      <c r="W205" s="8">
        <f t="shared" si="26"/>
        <v>0.44117647058823528</v>
      </c>
      <c r="X205" s="8">
        <v>2.7890799999999998</v>
      </c>
      <c r="Y205">
        <v>17</v>
      </c>
      <c r="Z205" s="8">
        <f t="shared" si="27"/>
        <v>0.5</v>
      </c>
      <c r="AA205" s="8">
        <v>2.8534899999999999</v>
      </c>
    </row>
    <row r="206" spans="2:27" ht="15" customHeight="1" x14ac:dyDescent="0.25">
      <c r="B206" t="s">
        <v>383</v>
      </c>
      <c r="C206" s="8">
        <v>-12549.805</v>
      </c>
      <c r="D206" s="2">
        <v>-12551.082367000001</v>
      </c>
      <c r="F206" s="12">
        <v>0.994668</v>
      </c>
      <c r="G206" s="13">
        <v>0.17777000000000001</v>
      </c>
      <c r="H206">
        <v>9</v>
      </c>
      <c r="I206">
        <v>4</v>
      </c>
      <c r="K206" s="8">
        <f t="shared" si="21"/>
        <v>-0.79165384615407675</v>
      </c>
      <c r="L206" s="8">
        <f t="shared" si="22"/>
        <v>-6.089644970415975E-2</v>
      </c>
      <c r="M206" s="8">
        <f t="shared" si="23"/>
        <v>-0.74317576923021988</v>
      </c>
      <c r="N206" s="8">
        <f t="shared" si="24"/>
        <v>-5.7167366863863069E-2</v>
      </c>
      <c r="O206" s="8"/>
      <c r="P206" t="s">
        <v>384</v>
      </c>
      <c r="Q206">
        <v>33</v>
      </c>
      <c r="R206" s="8">
        <v>2.81175</v>
      </c>
      <c r="S206">
        <v>4</v>
      </c>
      <c r="T206" s="8">
        <f t="shared" si="25"/>
        <v>0.12121212121212122</v>
      </c>
      <c r="U206" s="8">
        <v>2.87399</v>
      </c>
      <c r="V206">
        <v>15</v>
      </c>
      <c r="W206" s="8">
        <f t="shared" si="26"/>
        <v>0.45454545454545453</v>
      </c>
      <c r="X206" s="8">
        <v>2.7945000000000002</v>
      </c>
      <c r="Y206">
        <v>14</v>
      </c>
      <c r="Z206" s="8">
        <f t="shared" si="27"/>
        <v>0.42424242424242425</v>
      </c>
      <c r="AA206" s="8">
        <v>2.8124500000000001</v>
      </c>
    </row>
    <row r="207" spans="2:27" ht="15" customHeight="1" x14ac:dyDescent="0.25">
      <c r="B207" t="s">
        <v>385</v>
      </c>
      <c r="C207" s="8">
        <v>-12550.053599999999</v>
      </c>
      <c r="D207" s="2">
        <v>-12551.307505000001</v>
      </c>
      <c r="F207" s="12">
        <v>0.99612599999999996</v>
      </c>
      <c r="G207" s="13">
        <v>0.18733999999999901</v>
      </c>
      <c r="H207">
        <v>9</v>
      </c>
      <c r="I207">
        <v>4</v>
      </c>
      <c r="K207" s="8">
        <f t="shared" si="21"/>
        <v>-1.0402538461530639</v>
      </c>
      <c r="L207" s="8">
        <f t="shared" si="22"/>
        <v>-8.0019526627158763E-2</v>
      </c>
      <c r="M207" s="8">
        <f t="shared" si="23"/>
        <v>-0.96831376923000789</v>
      </c>
      <c r="N207" s="8">
        <f t="shared" si="24"/>
        <v>-7.4485674556154458E-2</v>
      </c>
      <c r="O207" s="8"/>
      <c r="P207" t="s">
        <v>386</v>
      </c>
      <c r="Q207">
        <v>34</v>
      </c>
      <c r="R207" s="8">
        <v>2.8244600000000002</v>
      </c>
      <c r="S207">
        <v>3</v>
      </c>
      <c r="T207" s="8">
        <f t="shared" si="25"/>
        <v>8.8235294117647065E-2</v>
      </c>
      <c r="U207" s="8">
        <v>2.8878200000000001</v>
      </c>
      <c r="V207">
        <v>19</v>
      </c>
      <c r="W207" s="8">
        <f t="shared" si="26"/>
        <v>0.55882352941176472</v>
      </c>
      <c r="X207" s="8">
        <v>2.83019</v>
      </c>
      <c r="Y207">
        <v>12</v>
      </c>
      <c r="Z207" s="8">
        <f t="shared" si="27"/>
        <v>0.35294117647058826</v>
      </c>
      <c r="AA207" s="8">
        <v>2.79955</v>
      </c>
    </row>
    <row r="208" spans="2:27" ht="15" customHeight="1" x14ac:dyDescent="0.25">
      <c r="B208" t="s">
        <v>387</v>
      </c>
      <c r="C208" s="8">
        <v>-12550.0085</v>
      </c>
      <c r="D208" s="2">
        <v>-12551.234106</v>
      </c>
      <c r="F208" s="12">
        <v>0.99631899999999995</v>
      </c>
      <c r="G208" s="13">
        <v>0.189</v>
      </c>
      <c r="H208">
        <v>9</v>
      </c>
      <c r="I208">
        <v>4</v>
      </c>
      <c r="K208" s="8">
        <f t="shared" si="21"/>
        <v>-0.9951538461536984</v>
      </c>
      <c r="L208" s="8">
        <f t="shared" si="22"/>
        <v>-7.6550295857976805E-2</v>
      </c>
      <c r="M208" s="8">
        <f t="shared" si="23"/>
        <v>-0.8949147692292172</v>
      </c>
      <c r="N208" s="8">
        <f t="shared" si="24"/>
        <v>-6.8839597633016711E-2</v>
      </c>
      <c r="O208" s="8"/>
      <c r="P208" t="s">
        <v>388</v>
      </c>
      <c r="Q208">
        <v>33</v>
      </c>
      <c r="R208" s="8">
        <v>2.8105000000000002</v>
      </c>
      <c r="S208">
        <v>3</v>
      </c>
      <c r="T208" s="8">
        <f t="shared" si="25"/>
        <v>9.0909090909090912E-2</v>
      </c>
      <c r="U208" s="8">
        <v>2.7472300000000001</v>
      </c>
      <c r="V208">
        <v>14</v>
      </c>
      <c r="W208" s="8">
        <f t="shared" si="26"/>
        <v>0.42424242424242425</v>
      </c>
      <c r="X208" s="8">
        <v>2.82138</v>
      </c>
      <c r="Y208">
        <v>16</v>
      </c>
      <c r="Z208" s="8">
        <f t="shared" si="27"/>
        <v>0.48484848484848486</v>
      </c>
      <c r="AA208" s="8">
        <v>2.8128500000000001</v>
      </c>
    </row>
    <row r="209" spans="2:27" ht="15" customHeight="1" x14ac:dyDescent="0.25">
      <c r="B209" t="s">
        <v>389</v>
      </c>
      <c r="C209" s="8">
        <v>-12549.9367</v>
      </c>
      <c r="D209" s="2">
        <v>-12551.225927</v>
      </c>
      <c r="F209" s="12">
        <v>0.99615299999999996</v>
      </c>
      <c r="G209" s="13">
        <v>0.18755999999999901</v>
      </c>
      <c r="H209">
        <v>9</v>
      </c>
      <c r="I209">
        <v>4</v>
      </c>
      <c r="K209" s="8">
        <f t="shared" si="21"/>
        <v>-0.92335384615398652</v>
      </c>
      <c r="L209" s="8">
        <f t="shared" si="22"/>
        <v>-7.1027218934922046E-2</v>
      </c>
      <c r="M209" s="8">
        <f t="shared" si="23"/>
        <v>-0.88673576922883512</v>
      </c>
      <c r="N209" s="8">
        <f t="shared" si="24"/>
        <v>-6.8210443786833469E-2</v>
      </c>
      <c r="O209" s="8"/>
      <c r="P209" t="s">
        <v>390</v>
      </c>
      <c r="Q209">
        <v>34</v>
      </c>
      <c r="R209" s="8">
        <v>2.8250999999999999</v>
      </c>
      <c r="S209">
        <v>3</v>
      </c>
      <c r="T209" s="8">
        <f t="shared" si="25"/>
        <v>8.8235294117647065E-2</v>
      </c>
      <c r="U209" s="8">
        <v>2.79765</v>
      </c>
      <c r="V209">
        <v>17</v>
      </c>
      <c r="W209" s="8">
        <f t="shared" si="26"/>
        <v>0.5</v>
      </c>
      <c r="X209" s="8">
        <v>2.8476300000000001</v>
      </c>
      <c r="Y209">
        <v>14</v>
      </c>
      <c r="Z209" s="8">
        <f t="shared" si="27"/>
        <v>0.41176470588235292</v>
      </c>
      <c r="AA209" s="8">
        <v>2.80362</v>
      </c>
    </row>
    <row r="210" spans="2:27" ht="15" customHeight="1" x14ac:dyDescent="0.25">
      <c r="B210" t="s">
        <v>391</v>
      </c>
      <c r="C210" s="8">
        <v>-12549.924000000001</v>
      </c>
      <c r="D210" s="2">
        <v>-12551.312582</v>
      </c>
      <c r="F210" s="12">
        <v>0.99682599999999999</v>
      </c>
      <c r="G210" s="13">
        <v>0.193359999999999</v>
      </c>
      <c r="H210">
        <v>9</v>
      </c>
      <c r="I210">
        <v>4</v>
      </c>
      <c r="K210" s="8">
        <f t="shared" si="21"/>
        <v>-0.91065384615467337</v>
      </c>
      <c r="L210" s="8">
        <f t="shared" si="22"/>
        <v>-7.0050295858051795E-2</v>
      </c>
      <c r="M210" s="8">
        <f t="shared" si="23"/>
        <v>-0.97339076922980894</v>
      </c>
      <c r="N210" s="8">
        <f t="shared" si="24"/>
        <v>-7.4876213017677606E-2</v>
      </c>
      <c r="O210" s="8"/>
      <c r="P210" t="s">
        <v>392</v>
      </c>
      <c r="Q210">
        <v>34</v>
      </c>
      <c r="R210" s="8">
        <v>2.8185699999999998</v>
      </c>
      <c r="S210">
        <v>3</v>
      </c>
      <c r="T210" s="8">
        <f t="shared" si="25"/>
        <v>8.8235294117647065E-2</v>
      </c>
      <c r="U210" s="8">
        <v>2.8144900000000002</v>
      </c>
      <c r="V210">
        <v>16</v>
      </c>
      <c r="W210" s="8">
        <f t="shared" si="26"/>
        <v>0.47058823529411764</v>
      </c>
      <c r="X210" s="8">
        <v>2.8098399999999999</v>
      </c>
      <c r="Y210">
        <v>15</v>
      </c>
      <c r="Z210" s="8">
        <f t="shared" si="27"/>
        <v>0.44117647058823528</v>
      </c>
      <c r="AA210" s="8">
        <v>2.8287</v>
      </c>
    </row>
    <row r="211" spans="2:27" ht="15" customHeight="1" x14ac:dyDescent="0.25">
      <c r="B211" t="s">
        <v>393</v>
      </c>
      <c r="C211" s="8">
        <v>-12550.018400000001</v>
      </c>
      <c r="D211" s="2">
        <v>-12551.409948</v>
      </c>
      <c r="F211" s="12">
        <v>0.99600999999999995</v>
      </c>
      <c r="G211" s="13">
        <v>0.186469999999999</v>
      </c>
      <c r="H211">
        <v>9</v>
      </c>
      <c r="I211">
        <v>4</v>
      </c>
      <c r="K211" s="8">
        <f t="shared" si="21"/>
        <v>-1.0050538461546239</v>
      </c>
      <c r="L211" s="8">
        <f t="shared" si="22"/>
        <v>-7.731183431958645E-2</v>
      </c>
      <c r="M211" s="8">
        <f t="shared" si="23"/>
        <v>-1.0707567692297744</v>
      </c>
      <c r="N211" s="8">
        <f t="shared" si="24"/>
        <v>-8.2365905325367264E-2</v>
      </c>
      <c r="O211" s="8"/>
      <c r="P211" t="s">
        <v>394</v>
      </c>
      <c r="Q211">
        <v>34</v>
      </c>
      <c r="R211" s="8">
        <v>2.8218399999999999</v>
      </c>
      <c r="S211">
        <v>2</v>
      </c>
      <c r="T211" s="8">
        <f t="shared" si="25"/>
        <v>5.8823529411764705E-2</v>
      </c>
      <c r="U211" s="8">
        <v>2.8472900000000001</v>
      </c>
      <c r="V211">
        <v>18</v>
      </c>
      <c r="W211" s="8">
        <f t="shared" si="26"/>
        <v>0.52941176470588236</v>
      </c>
      <c r="X211" s="8">
        <v>2.80972</v>
      </c>
      <c r="Y211">
        <v>14</v>
      </c>
      <c r="Z211" s="8">
        <f t="shared" si="27"/>
        <v>0.41176470588235292</v>
      </c>
      <c r="AA211" s="8">
        <v>2.83379</v>
      </c>
    </row>
    <row r="212" spans="2:27" ht="15" customHeight="1" x14ac:dyDescent="0.25">
      <c r="B212" t="s">
        <v>395</v>
      </c>
      <c r="C212" s="8">
        <v>-12550.026900000001</v>
      </c>
      <c r="D212" s="2">
        <v>-12551.284153000001</v>
      </c>
      <c r="F212" s="12">
        <v>0.996112</v>
      </c>
      <c r="G212" s="13">
        <v>0.18714999999999901</v>
      </c>
      <c r="H212">
        <v>9</v>
      </c>
      <c r="I212">
        <v>4</v>
      </c>
      <c r="K212" s="8">
        <f t="shared" si="21"/>
        <v>-1.0135538461545366</v>
      </c>
      <c r="L212" s="8">
        <f t="shared" si="22"/>
        <v>-7.7965680473425891E-2</v>
      </c>
      <c r="M212" s="8">
        <f t="shared" si="23"/>
        <v>-0.94496176922984887</v>
      </c>
      <c r="N212" s="8">
        <f t="shared" si="24"/>
        <v>-7.2689366863834523E-2</v>
      </c>
      <c r="O212" s="8"/>
      <c r="P212" t="s">
        <v>396</v>
      </c>
      <c r="Q212">
        <v>34</v>
      </c>
      <c r="R212" s="8">
        <v>2.82951</v>
      </c>
      <c r="S212">
        <v>2</v>
      </c>
      <c r="T212" s="8">
        <f t="shared" si="25"/>
        <v>5.8823529411764705E-2</v>
      </c>
      <c r="U212" s="8">
        <v>2.81759</v>
      </c>
      <c r="V212">
        <v>19</v>
      </c>
      <c r="W212" s="8">
        <f t="shared" si="26"/>
        <v>0.55882352941176472</v>
      </c>
      <c r="X212" s="8">
        <v>2.8405100000000001</v>
      </c>
      <c r="Y212">
        <v>13</v>
      </c>
      <c r="Z212" s="8">
        <f t="shared" si="27"/>
        <v>0.38235294117647056</v>
      </c>
      <c r="AA212" s="8">
        <v>2.8152499999999998</v>
      </c>
    </row>
    <row r="213" spans="2:27" ht="15" customHeight="1" x14ac:dyDescent="0.25">
      <c r="B213" t="s">
        <v>397</v>
      </c>
      <c r="C213" s="8">
        <v>-12550.032800000001</v>
      </c>
      <c r="D213" s="2">
        <v>-12551.379056</v>
      </c>
      <c r="F213" s="12">
        <v>0.99636800000000003</v>
      </c>
      <c r="G213" s="13">
        <v>0.18928</v>
      </c>
      <c r="H213">
        <v>9</v>
      </c>
      <c r="I213">
        <v>4</v>
      </c>
      <c r="K213" s="8">
        <f t="shared" si="21"/>
        <v>-1.0194538461546472</v>
      </c>
      <c r="L213" s="8">
        <f t="shared" si="22"/>
        <v>-7.841952662728055E-2</v>
      </c>
      <c r="M213" s="8">
        <f t="shared" si="23"/>
        <v>-1.0398647692290979</v>
      </c>
      <c r="N213" s="8">
        <f t="shared" si="24"/>
        <v>-7.9989597633007531E-2</v>
      </c>
      <c r="O213" s="8"/>
      <c r="P213" t="s">
        <v>398</v>
      </c>
      <c r="Q213">
        <v>34</v>
      </c>
      <c r="R213" s="8">
        <v>2.8203499999999999</v>
      </c>
      <c r="S213">
        <v>2</v>
      </c>
      <c r="T213" s="8">
        <f t="shared" si="25"/>
        <v>5.8823529411764705E-2</v>
      </c>
      <c r="U213" s="8">
        <v>2.8322699999999998</v>
      </c>
      <c r="V213">
        <v>16</v>
      </c>
      <c r="W213" s="8">
        <f t="shared" si="26"/>
        <v>0.47058823529411764</v>
      </c>
      <c r="X213" s="8">
        <v>2.8056199999999998</v>
      </c>
      <c r="Y213">
        <v>16</v>
      </c>
      <c r="Z213" s="8">
        <f t="shared" si="27"/>
        <v>0.47058823529411764</v>
      </c>
      <c r="AA213" s="8">
        <v>2.8336000000000001</v>
      </c>
    </row>
    <row r="214" spans="2:27" ht="15" customHeight="1" x14ac:dyDescent="0.25">
      <c r="B214" t="s">
        <v>399</v>
      </c>
      <c r="C214" s="8">
        <v>-12550.045400000001</v>
      </c>
      <c r="D214" s="2">
        <v>-12551.299905</v>
      </c>
      <c r="F214" s="12">
        <v>0.99653499999999995</v>
      </c>
      <c r="G214" s="13">
        <v>0.190659999999999</v>
      </c>
      <c r="H214">
        <v>9</v>
      </c>
      <c r="I214">
        <v>4</v>
      </c>
      <c r="K214" s="8">
        <f t="shared" si="21"/>
        <v>-1.0320538461546676</v>
      </c>
      <c r="L214" s="8">
        <f t="shared" si="22"/>
        <v>-7.9388757396512882E-2</v>
      </c>
      <c r="M214" s="8">
        <f t="shared" si="23"/>
        <v>-0.96071376922918716</v>
      </c>
      <c r="N214" s="8">
        <f t="shared" si="24"/>
        <v>-7.3901059171475936E-2</v>
      </c>
      <c r="O214" s="8"/>
      <c r="P214" t="s">
        <v>400</v>
      </c>
      <c r="Q214">
        <v>34</v>
      </c>
      <c r="R214" s="8">
        <v>2.82308</v>
      </c>
      <c r="S214">
        <v>2</v>
      </c>
      <c r="T214" s="8">
        <f t="shared" si="25"/>
        <v>5.8823529411764705E-2</v>
      </c>
      <c r="U214" s="8">
        <v>2.8387699999999998</v>
      </c>
      <c r="V214">
        <v>15</v>
      </c>
      <c r="W214" s="8">
        <f t="shared" si="26"/>
        <v>0.44117647058823528</v>
      </c>
      <c r="X214" s="8">
        <v>2.7908499999999998</v>
      </c>
      <c r="Y214">
        <v>17</v>
      </c>
      <c r="Z214" s="8">
        <f t="shared" si="27"/>
        <v>0.5</v>
      </c>
      <c r="AA214" s="8">
        <v>2.8496700000000001</v>
      </c>
    </row>
    <row r="215" spans="2:27" ht="15" customHeight="1" x14ac:dyDescent="0.25">
      <c r="B215" t="s">
        <v>401</v>
      </c>
      <c r="C215" s="8">
        <v>-12549.5743</v>
      </c>
      <c r="D215" s="2">
        <v>-12550.912661</v>
      </c>
      <c r="F215" s="12">
        <v>0.99587899999999996</v>
      </c>
      <c r="G215" s="13">
        <v>0.18562000000000001</v>
      </c>
      <c r="H215">
        <v>9</v>
      </c>
      <c r="I215">
        <v>4</v>
      </c>
      <c r="K215" s="8">
        <f t="shared" si="21"/>
        <v>-0.5609538461540069</v>
      </c>
      <c r="L215" s="8">
        <f t="shared" si="22"/>
        <v>-4.315029585800053E-2</v>
      </c>
      <c r="M215" s="8">
        <f t="shared" si="23"/>
        <v>-0.57346976922963222</v>
      </c>
      <c r="N215" s="8">
        <f t="shared" si="24"/>
        <v>-4.411305917151017E-2</v>
      </c>
      <c r="O215" s="8"/>
      <c r="P215" t="s">
        <v>402</v>
      </c>
      <c r="Q215">
        <v>35</v>
      </c>
      <c r="R215" s="8">
        <v>2.83203</v>
      </c>
      <c r="S215">
        <v>5</v>
      </c>
      <c r="T215" s="8">
        <f t="shared" si="25"/>
        <v>0.14285714285714285</v>
      </c>
      <c r="U215" s="8">
        <v>2.8239700000000001</v>
      </c>
      <c r="V215">
        <v>14</v>
      </c>
      <c r="W215" s="8">
        <f t="shared" si="26"/>
        <v>0.4</v>
      </c>
      <c r="X215" s="8">
        <v>2.84924</v>
      </c>
      <c r="Y215">
        <v>16</v>
      </c>
      <c r="Z215" s="8">
        <f t="shared" si="27"/>
        <v>0.45714285714285713</v>
      </c>
      <c r="AA215" s="8">
        <v>2.8194900000000001</v>
      </c>
    </row>
    <row r="216" spans="2:27" ht="15" customHeight="1" x14ac:dyDescent="0.25">
      <c r="B216" t="s">
        <v>403</v>
      </c>
      <c r="C216" s="8">
        <v>-12549.6433</v>
      </c>
      <c r="D216" s="2">
        <v>-12550.971846</v>
      </c>
      <c r="F216" s="12">
        <v>0.99554100000000001</v>
      </c>
      <c r="G216" s="13">
        <v>0.18310000000000001</v>
      </c>
      <c r="H216">
        <v>9</v>
      </c>
      <c r="I216">
        <v>4</v>
      </c>
      <c r="K216" s="8">
        <f t="shared" si="21"/>
        <v>-0.62995384615351213</v>
      </c>
      <c r="L216" s="8">
        <f t="shared" si="22"/>
        <v>-4.8457988165654782E-2</v>
      </c>
      <c r="M216" s="8">
        <f t="shared" si="23"/>
        <v>-0.63265476922970265</v>
      </c>
      <c r="N216" s="8">
        <f t="shared" si="24"/>
        <v>-4.8665751479207896E-2</v>
      </c>
      <c r="O216" s="8"/>
      <c r="P216" t="s">
        <v>404</v>
      </c>
      <c r="Q216">
        <v>32</v>
      </c>
      <c r="R216" s="8">
        <v>2.80402</v>
      </c>
      <c r="S216">
        <v>4</v>
      </c>
      <c r="T216" s="8">
        <f t="shared" si="25"/>
        <v>0.125</v>
      </c>
      <c r="U216" s="8">
        <v>2.8497300000000001</v>
      </c>
      <c r="V216">
        <v>13</v>
      </c>
      <c r="W216" s="8">
        <f t="shared" si="26"/>
        <v>0.40625</v>
      </c>
      <c r="X216" s="8">
        <v>2.7684799999999998</v>
      </c>
      <c r="Y216">
        <v>15</v>
      </c>
      <c r="Z216" s="8">
        <f t="shared" si="27"/>
        <v>0.46875</v>
      </c>
      <c r="AA216" s="8">
        <v>2.8226300000000002</v>
      </c>
    </row>
    <row r="217" spans="2:27" ht="15" customHeight="1" x14ac:dyDescent="0.25">
      <c r="B217" t="s">
        <v>405</v>
      </c>
      <c r="C217" s="8">
        <v>-12549.807000000001</v>
      </c>
      <c r="D217" s="2">
        <v>-12551.279445</v>
      </c>
      <c r="F217" s="12">
        <v>0.99648400000000004</v>
      </c>
      <c r="G217" s="13">
        <v>0.19028</v>
      </c>
      <c r="H217">
        <v>9</v>
      </c>
      <c r="I217">
        <v>4</v>
      </c>
      <c r="K217" s="8">
        <f t="shared" si="21"/>
        <v>-0.7936538461544842</v>
      </c>
      <c r="L217" s="8">
        <f t="shared" si="22"/>
        <v>-6.1050295858037243E-2</v>
      </c>
      <c r="M217" s="8">
        <f t="shared" si="23"/>
        <v>-0.94025376922945725</v>
      </c>
      <c r="N217" s="8">
        <f t="shared" si="24"/>
        <v>-7.2327213017650563E-2</v>
      </c>
      <c r="O217" s="8"/>
      <c r="P217" t="s">
        <v>406</v>
      </c>
      <c r="Q217">
        <v>33</v>
      </c>
      <c r="R217" s="8">
        <v>2.81596</v>
      </c>
      <c r="S217">
        <v>4</v>
      </c>
      <c r="T217" s="8">
        <f t="shared" si="25"/>
        <v>0.12121212121212122</v>
      </c>
      <c r="U217" s="8">
        <v>2.8883800000000002</v>
      </c>
      <c r="V217">
        <v>16</v>
      </c>
      <c r="W217" s="8">
        <f t="shared" si="26"/>
        <v>0.48484848484848486</v>
      </c>
      <c r="X217" s="8">
        <v>2.7989099999999998</v>
      </c>
      <c r="Y217">
        <v>13</v>
      </c>
      <c r="Z217" s="8">
        <f t="shared" si="27"/>
        <v>0.39393939393939392</v>
      </c>
      <c r="AA217" s="8">
        <v>2.8146599999999999</v>
      </c>
    </row>
    <row r="218" spans="2:27" ht="15" customHeight="1" x14ac:dyDescent="0.25">
      <c r="B218" t="s">
        <v>407</v>
      </c>
      <c r="C218" s="8">
        <v>-12549.5967</v>
      </c>
      <c r="D218" s="2">
        <v>-12551.068702</v>
      </c>
      <c r="F218" s="12">
        <v>0.99617599999999995</v>
      </c>
      <c r="G218" s="13">
        <v>0.187859999999999</v>
      </c>
      <c r="H218">
        <v>9</v>
      </c>
      <c r="I218">
        <v>4</v>
      </c>
      <c r="K218" s="8">
        <f t="shared" si="21"/>
        <v>-0.583353846153841</v>
      </c>
      <c r="L218" s="8">
        <f t="shared" si="22"/>
        <v>-4.4873372781064694E-2</v>
      </c>
      <c r="M218" s="8">
        <f t="shared" si="23"/>
        <v>-0.72951076922981883</v>
      </c>
      <c r="N218" s="8">
        <f t="shared" si="24"/>
        <v>-5.6116213017678371E-2</v>
      </c>
      <c r="O218" s="8"/>
      <c r="P218" t="s">
        <v>408</v>
      </c>
      <c r="Q218">
        <v>33</v>
      </c>
      <c r="R218" s="8">
        <v>2.8130600000000001</v>
      </c>
      <c r="S218">
        <v>5</v>
      </c>
      <c r="T218" s="8">
        <f t="shared" si="25"/>
        <v>0.15151515151515152</v>
      </c>
      <c r="U218" s="8">
        <v>2.8025699999999998</v>
      </c>
      <c r="V218">
        <v>10</v>
      </c>
      <c r="W218" s="8">
        <f t="shared" si="26"/>
        <v>0.30303030303030304</v>
      </c>
      <c r="X218" s="8">
        <v>2.8056899999999998</v>
      </c>
      <c r="Y218">
        <v>18</v>
      </c>
      <c r="Z218" s="8">
        <f t="shared" si="27"/>
        <v>0.54545454545454541</v>
      </c>
      <c r="AA218" s="8">
        <v>2.8200799999999999</v>
      </c>
    </row>
    <row r="219" spans="2:27" ht="15" customHeight="1" x14ac:dyDescent="0.25">
      <c r="B219" t="s">
        <v>409</v>
      </c>
      <c r="C219" s="8">
        <v>-12549.8483</v>
      </c>
      <c r="D219" s="2">
        <v>-12551.127544000001</v>
      </c>
      <c r="F219" s="12">
        <v>0.99574099999999999</v>
      </c>
      <c r="G219" s="13">
        <v>0.18442</v>
      </c>
      <c r="H219">
        <v>9</v>
      </c>
      <c r="I219">
        <v>4</v>
      </c>
      <c r="K219" s="8">
        <f t="shared" si="21"/>
        <v>-0.83495384615343937</v>
      </c>
      <c r="L219" s="8">
        <f t="shared" si="22"/>
        <v>-6.4227218934879954E-2</v>
      </c>
      <c r="M219" s="8">
        <f t="shared" si="23"/>
        <v>-0.78835276923018682</v>
      </c>
      <c r="N219" s="8">
        <f t="shared" si="24"/>
        <v>-6.0642520710014372E-2</v>
      </c>
      <c r="O219" s="8"/>
      <c r="P219" t="s">
        <v>410</v>
      </c>
      <c r="Q219">
        <v>34</v>
      </c>
      <c r="R219" s="8">
        <v>2.8237700000000001</v>
      </c>
      <c r="S219">
        <v>3</v>
      </c>
      <c r="T219" s="8">
        <f t="shared" si="25"/>
        <v>8.8235294117647065E-2</v>
      </c>
      <c r="U219" s="8">
        <v>2.8248899999999999</v>
      </c>
      <c r="V219">
        <v>14</v>
      </c>
      <c r="W219" s="8">
        <f t="shared" si="26"/>
        <v>0.41176470588235292</v>
      </c>
      <c r="X219" s="8">
        <v>2.8007300000000002</v>
      </c>
      <c r="Y219">
        <v>17</v>
      </c>
      <c r="Z219" s="8">
        <f t="shared" si="27"/>
        <v>0.5</v>
      </c>
      <c r="AA219" s="8">
        <v>2.8425400000000001</v>
      </c>
    </row>
    <row r="220" spans="2:27" ht="15" customHeight="1" x14ac:dyDescent="0.25">
      <c r="B220" t="s">
        <v>411</v>
      </c>
      <c r="C220" s="8">
        <v>-12549.7896</v>
      </c>
      <c r="D220" s="2">
        <v>-12551.235774000001</v>
      </c>
      <c r="F220" s="12">
        <v>0.99707800000000002</v>
      </c>
      <c r="G220" s="13">
        <v>0.19585</v>
      </c>
      <c r="H220">
        <v>9</v>
      </c>
      <c r="I220">
        <v>4</v>
      </c>
      <c r="K220" s="8">
        <f t="shared" si="21"/>
        <v>-0.77625384615384974</v>
      </c>
      <c r="L220" s="8">
        <f t="shared" si="22"/>
        <v>-5.9711834319526903E-2</v>
      </c>
      <c r="M220" s="8">
        <f t="shared" si="23"/>
        <v>-0.89658276923000813</v>
      </c>
      <c r="N220" s="8">
        <f t="shared" si="24"/>
        <v>-6.8967905325385243E-2</v>
      </c>
      <c r="O220" s="8"/>
      <c r="P220" t="s">
        <v>412</v>
      </c>
      <c r="Q220">
        <v>34</v>
      </c>
      <c r="R220" s="8">
        <v>2.8243800000000001</v>
      </c>
      <c r="S220">
        <v>4</v>
      </c>
      <c r="T220" s="8">
        <f t="shared" si="25"/>
        <v>0.11764705882352941</v>
      </c>
      <c r="U220" s="8">
        <v>2.9022700000000001</v>
      </c>
      <c r="V220">
        <v>17</v>
      </c>
      <c r="W220" s="8">
        <f t="shared" si="26"/>
        <v>0.5</v>
      </c>
      <c r="X220" s="8">
        <v>2.8228399999999998</v>
      </c>
      <c r="Y220">
        <v>13</v>
      </c>
      <c r="Z220" s="8">
        <f t="shared" si="27"/>
        <v>0.38235294117647056</v>
      </c>
      <c r="AA220" s="8">
        <v>2.8024200000000001</v>
      </c>
    </row>
    <row r="221" spans="2:27" ht="15" customHeight="1" x14ac:dyDescent="0.25">
      <c r="B221" t="s">
        <v>413</v>
      </c>
      <c r="C221" s="8">
        <v>-12549.830599999999</v>
      </c>
      <c r="D221" s="2">
        <v>-12551.120674</v>
      </c>
      <c r="F221" s="12">
        <v>0.99485900000000005</v>
      </c>
      <c r="G221" s="13">
        <v>0.17887999999999901</v>
      </c>
      <c r="H221">
        <v>9</v>
      </c>
      <c r="I221">
        <v>4</v>
      </c>
      <c r="K221" s="8">
        <f t="shared" si="21"/>
        <v>-0.81725384615310759</v>
      </c>
      <c r="L221" s="8">
        <f t="shared" si="22"/>
        <v>-6.2865680473315963E-2</v>
      </c>
      <c r="M221" s="8">
        <f t="shared" si="23"/>
        <v>-0.78148276922911464</v>
      </c>
      <c r="N221" s="8">
        <f t="shared" si="24"/>
        <v>-6.0114059171470356E-2</v>
      </c>
      <c r="O221" s="8"/>
      <c r="P221" t="s">
        <v>414</v>
      </c>
      <c r="Q221">
        <v>34</v>
      </c>
      <c r="R221" s="8">
        <v>2.8209200000000001</v>
      </c>
      <c r="S221">
        <v>3</v>
      </c>
      <c r="T221" s="8">
        <f t="shared" si="25"/>
        <v>8.8235294117647065E-2</v>
      </c>
      <c r="U221" s="8">
        <v>2.8110400000000002</v>
      </c>
      <c r="V221">
        <v>16</v>
      </c>
      <c r="W221" s="8">
        <f t="shared" si="26"/>
        <v>0.47058823529411764</v>
      </c>
      <c r="X221" s="8">
        <v>2.8041299999999998</v>
      </c>
      <c r="Y221">
        <v>15</v>
      </c>
      <c r="Z221" s="8">
        <f t="shared" si="27"/>
        <v>0.44117647058823528</v>
      </c>
      <c r="AA221" s="8">
        <v>2.8408000000000002</v>
      </c>
    </row>
    <row r="222" spans="2:27" ht="15" customHeight="1" x14ac:dyDescent="0.25">
      <c r="B222" t="s">
        <v>415</v>
      </c>
      <c r="C222" s="8">
        <v>-12549.8089</v>
      </c>
      <c r="D222" s="2">
        <v>-12551.085032000001</v>
      </c>
      <c r="F222" s="12">
        <v>0.99445899999999998</v>
      </c>
      <c r="G222" s="13">
        <v>0.17654</v>
      </c>
      <c r="H222">
        <v>9</v>
      </c>
      <c r="I222">
        <v>4</v>
      </c>
      <c r="K222" s="8">
        <f t="shared" si="21"/>
        <v>-0.79555384615377989</v>
      </c>
      <c r="L222" s="8">
        <f t="shared" si="22"/>
        <v>-6.1196449704136915E-2</v>
      </c>
      <c r="M222" s="8">
        <f t="shared" si="23"/>
        <v>-0.74584076923019893</v>
      </c>
      <c r="N222" s="8">
        <f t="shared" si="24"/>
        <v>-5.7372366863861456E-2</v>
      </c>
      <c r="O222" s="8"/>
      <c r="P222" t="s">
        <v>416</v>
      </c>
      <c r="Q222">
        <v>34</v>
      </c>
      <c r="R222" s="8">
        <v>2.8234300000000001</v>
      </c>
      <c r="S222">
        <v>3</v>
      </c>
      <c r="T222" s="8">
        <f t="shared" si="25"/>
        <v>8.8235294117647065E-2</v>
      </c>
      <c r="U222" s="8">
        <v>2.8360699999999999</v>
      </c>
      <c r="V222">
        <v>15</v>
      </c>
      <c r="W222" s="8">
        <f t="shared" si="26"/>
        <v>0.44117647058823528</v>
      </c>
      <c r="X222" s="8">
        <v>2.8125800000000001</v>
      </c>
      <c r="Y222">
        <v>16</v>
      </c>
      <c r="Z222" s="8">
        <f t="shared" si="27"/>
        <v>0.47058823529411764</v>
      </c>
      <c r="AA222" s="8">
        <v>2.8312400000000002</v>
      </c>
    </row>
    <row r="223" spans="2:27" ht="15" customHeight="1" x14ac:dyDescent="0.25">
      <c r="B223" t="s">
        <v>417</v>
      </c>
      <c r="C223" s="8">
        <v>-12549.8055</v>
      </c>
      <c r="D223" s="2">
        <v>-12551.190221999999</v>
      </c>
      <c r="F223" s="12">
        <v>0.99725200000000003</v>
      </c>
      <c r="G223" s="13">
        <v>0.197629999999999</v>
      </c>
      <c r="H223">
        <v>9</v>
      </c>
      <c r="I223">
        <v>4</v>
      </c>
      <c r="K223" s="8">
        <f t="shared" si="21"/>
        <v>-0.79215384615417861</v>
      </c>
      <c r="L223" s="8">
        <f t="shared" si="22"/>
        <v>-6.0934911242629126E-2</v>
      </c>
      <c r="M223" s="8">
        <f t="shared" si="23"/>
        <v>-0.85103076922860055</v>
      </c>
      <c r="N223" s="8">
        <f t="shared" si="24"/>
        <v>-6.5463905325276961E-2</v>
      </c>
      <c r="O223" s="8"/>
      <c r="P223" t="s">
        <v>418</v>
      </c>
      <c r="Q223">
        <v>34</v>
      </c>
      <c r="R223" s="8">
        <v>2.8207499999999999</v>
      </c>
      <c r="S223">
        <v>3</v>
      </c>
      <c r="T223" s="8">
        <f t="shared" si="25"/>
        <v>8.8235294117647065E-2</v>
      </c>
      <c r="U223" s="8">
        <v>2.79481</v>
      </c>
      <c r="V223">
        <v>14</v>
      </c>
      <c r="W223" s="8">
        <f t="shared" si="26"/>
        <v>0.41176470588235292</v>
      </c>
      <c r="X223" s="8">
        <v>2.7875200000000002</v>
      </c>
      <c r="Y223">
        <v>17</v>
      </c>
      <c r="Z223" s="8">
        <f t="shared" si="27"/>
        <v>0.5</v>
      </c>
      <c r="AA223" s="8">
        <v>2.8527</v>
      </c>
    </row>
    <row r="224" spans="2:27" ht="15" customHeight="1" x14ac:dyDescent="0.25">
      <c r="B224" t="s">
        <v>419</v>
      </c>
      <c r="C224" s="8">
        <v>-12549.982099999999</v>
      </c>
      <c r="D224" s="2">
        <v>-12551.248643999999</v>
      </c>
      <c r="F224" s="12">
        <v>0.99617900000000004</v>
      </c>
      <c r="G224" s="13">
        <v>0.18775999999999901</v>
      </c>
      <c r="H224">
        <v>9</v>
      </c>
      <c r="I224">
        <v>4</v>
      </c>
      <c r="K224" s="8">
        <f t="shared" si="21"/>
        <v>-0.96875384615304938</v>
      </c>
      <c r="L224" s="8">
        <f t="shared" si="22"/>
        <v>-7.4519526627157648E-2</v>
      </c>
      <c r="M224" s="8">
        <f t="shared" si="23"/>
        <v>-0.90945276922866469</v>
      </c>
      <c r="N224" s="8">
        <f t="shared" si="24"/>
        <v>-6.9957905325281899E-2</v>
      </c>
      <c r="O224" s="8"/>
      <c r="P224" t="s">
        <v>420</v>
      </c>
      <c r="Q224">
        <v>33</v>
      </c>
      <c r="R224" s="8">
        <v>2.81073</v>
      </c>
      <c r="S224">
        <v>2</v>
      </c>
      <c r="T224" s="8">
        <f t="shared" si="25"/>
        <v>6.0606060606060608E-2</v>
      </c>
      <c r="U224" s="8">
        <v>2.78891</v>
      </c>
      <c r="V224">
        <v>18</v>
      </c>
      <c r="W224" s="8">
        <f t="shared" si="26"/>
        <v>0.54545454545454541</v>
      </c>
      <c r="X224" s="8">
        <v>2.8006000000000002</v>
      </c>
      <c r="Y224">
        <v>13</v>
      </c>
      <c r="Z224" s="8">
        <f t="shared" si="27"/>
        <v>0.39393939393939392</v>
      </c>
      <c r="AA224" s="8">
        <v>2.8281200000000002</v>
      </c>
    </row>
    <row r="225" spans="2:27" ht="15" customHeight="1" x14ac:dyDescent="0.25">
      <c r="B225" t="s">
        <v>421</v>
      </c>
      <c r="C225" s="8">
        <v>-12549.819799999999</v>
      </c>
      <c r="D225" s="2">
        <v>-12551.244685</v>
      </c>
      <c r="F225" s="12">
        <v>0.99688399999999999</v>
      </c>
      <c r="G225" s="13">
        <v>0.193849999999999</v>
      </c>
      <c r="H225">
        <v>9</v>
      </c>
      <c r="I225">
        <v>4</v>
      </c>
      <c r="K225" s="8">
        <f t="shared" si="21"/>
        <v>-0.80645384615309013</v>
      </c>
      <c r="L225" s="8">
        <f t="shared" si="22"/>
        <v>-6.2034911242545392E-2</v>
      </c>
      <c r="M225" s="8">
        <f t="shared" si="23"/>
        <v>-0.90549376922899683</v>
      </c>
      <c r="N225" s="8">
        <f t="shared" si="24"/>
        <v>-6.9653366863768981E-2</v>
      </c>
      <c r="O225" s="8"/>
      <c r="P225" t="s">
        <v>422</v>
      </c>
      <c r="Q225">
        <v>34</v>
      </c>
      <c r="R225" s="8">
        <v>2.8192200000000001</v>
      </c>
      <c r="S225">
        <v>3</v>
      </c>
      <c r="T225" s="8">
        <f t="shared" si="25"/>
        <v>8.8235294117647065E-2</v>
      </c>
      <c r="U225" s="8">
        <v>2.7770000000000001</v>
      </c>
      <c r="V225">
        <v>15</v>
      </c>
      <c r="W225" s="8">
        <f t="shared" si="26"/>
        <v>0.44117647058823528</v>
      </c>
      <c r="X225" s="8">
        <v>2.8194599999999999</v>
      </c>
      <c r="Y225">
        <v>16</v>
      </c>
      <c r="Z225" s="8">
        <f t="shared" si="27"/>
        <v>0.47058823529411764</v>
      </c>
      <c r="AA225" s="8">
        <v>2.8269199999999999</v>
      </c>
    </row>
    <row r="226" spans="2:27" ht="15" customHeight="1" x14ac:dyDescent="0.25">
      <c r="B226" t="s">
        <v>423</v>
      </c>
      <c r="C226" s="8">
        <v>-12550.034</v>
      </c>
      <c r="D226" s="2">
        <v>-12551.289002</v>
      </c>
      <c r="F226" s="12">
        <v>0.99654900000000002</v>
      </c>
      <c r="G226" s="13">
        <v>0.19089</v>
      </c>
      <c r="H226">
        <v>9</v>
      </c>
      <c r="I226">
        <v>4</v>
      </c>
      <c r="K226" s="8">
        <f t="shared" si="21"/>
        <v>-1.0206538461534365</v>
      </c>
      <c r="L226" s="8">
        <f t="shared" si="22"/>
        <v>-7.8511834319495113E-2</v>
      </c>
      <c r="M226" s="8">
        <f t="shared" si="23"/>
        <v>-0.94981076922886132</v>
      </c>
      <c r="N226" s="8">
        <f t="shared" si="24"/>
        <v>-7.3062366863758568E-2</v>
      </c>
      <c r="O226" s="8"/>
      <c r="P226" t="s">
        <v>424</v>
      </c>
      <c r="Q226">
        <v>34</v>
      </c>
      <c r="R226" s="8">
        <v>2.8223500000000001</v>
      </c>
      <c r="S226">
        <v>1</v>
      </c>
      <c r="T226" s="8">
        <f t="shared" si="25"/>
        <v>2.9411764705882353E-2</v>
      </c>
      <c r="U226" s="8">
        <v>2.77379</v>
      </c>
      <c r="V226">
        <v>19</v>
      </c>
      <c r="W226" s="8">
        <f t="shared" si="26"/>
        <v>0.55882352941176472</v>
      </c>
      <c r="X226" s="8">
        <v>2.8094000000000001</v>
      </c>
      <c r="Y226">
        <v>14</v>
      </c>
      <c r="Z226" s="8">
        <f t="shared" si="27"/>
        <v>0.41176470588235292</v>
      </c>
      <c r="AA226" s="8">
        <v>2.8433899999999999</v>
      </c>
    </row>
    <row r="227" spans="2:27" ht="15" customHeight="1" x14ac:dyDescent="0.25">
      <c r="B227" t="s">
        <v>425</v>
      </c>
      <c r="C227" s="8">
        <v>-12550.011699999999</v>
      </c>
      <c r="D227" s="2">
        <v>-12551.265566</v>
      </c>
      <c r="F227" s="12">
        <v>0.99649399999999999</v>
      </c>
      <c r="G227" s="13">
        <v>0.1903</v>
      </c>
      <c r="H227">
        <v>9</v>
      </c>
      <c r="I227">
        <v>4</v>
      </c>
      <c r="K227" s="8">
        <f t="shared" si="21"/>
        <v>-0.99835384615289513</v>
      </c>
      <c r="L227" s="8">
        <f t="shared" si="22"/>
        <v>-7.6796449704068862E-2</v>
      </c>
      <c r="M227" s="8">
        <f t="shared" si="23"/>
        <v>-0.92637476922936912</v>
      </c>
      <c r="N227" s="8">
        <f t="shared" si="24"/>
        <v>-7.1259597633028388E-2</v>
      </c>
      <c r="O227" s="8"/>
      <c r="P227" t="s">
        <v>426</v>
      </c>
      <c r="Q227">
        <v>33</v>
      </c>
      <c r="R227" s="8">
        <v>2.8088299999999999</v>
      </c>
      <c r="S227">
        <v>2</v>
      </c>
      <c r="T227" s="8">
        <f t="shared" si="25"/>
        <v>6.0606060606060608E-2</v>
      </c>
      <c r="U227" s="8">
        <v>2.76274</v>
      </c>
      <c r="V227">
        <v>17</v>
      </c>
      <c r="W227" s="8">
        <f t="shared" si="26"/>
        <v>0.51515151515151514</v>
      </c>
      <c r="X227" s="8">
        <v>2.80918</v>
      </c>
      <c r="Y227">
        <v>14</v>
      </c>
      <c r="Z227" s="8">
        <f t="shared" si="27"/>
        <v>0.42424242424242425</v>
      </c>
      <c r="AA227" s="8">
        <v>2.8149799999999998</v>
      </c>
    </row>
    <row r="228" spans="2:27" ht="15" customHeight="1" x14ac:dyDescent="0.25">
      <c r="B228" t="s">
        <v>427</v>
      </c>
      <c r="C228" s="8">
        <v>-12550.0443</v>
      </c>
      <c r="D228" s="2">
        <v>-12551.280122</v>
      </c>
      <c r="F228" s="12">
        <v>0.99676399999999998</v>
      </c>
      <c r="G228" s="13">
        <v>0.19274999999999901</v>
      </c>
      <c r="H228">
        <v>9</v>
      </c>
      <c r="I228">
        <v>4</v>
      </c>
      <c r="K228" s="8">
        <f t="shared" si="21"/>
        <v>-1.0309538461533521</v>
      </c>
      <c r="L228" s="8">
        <f t="shared" si="22"/>
        <v>-7.9304142011796308E-2</v>
      </c>
      <c r="M228" s="8">
        <f t="shared" si="23"/>
        <v>-0.94093076922945329</v>
      </c>
      <c r="N228" s="8">
        <f t="shared" si="24"/>
        <v>-7.2379289940727176E-2</v>
      </c>
      <c r="O228" s="8"/>
      <c r="P228" t="s">
        <v>428</v>
      </c>
      <c r="Q228">
        <v>34</v>
      </c>
      <c r="R228" s="8">
        <v>2.8240599999999998</v>
      </c>
      <c r="S228">
        <v>2</v>
      </c>
      <c r="T228" s="8">
        <f t="shared" si="25"/>
        <v>5.8823529411764705E-2</v>
      </c>
      <c r="U228" s="8">
        <v>2.8326199999999999</v>
      </c>
      <c r="V228">
        <v>17</v>
      </c>
      <c r="W228" s="8">
        <f t="shared" si="26"/>
        <v>0.5</v>
      </c>
      <c r="X228" s="8">
        <v>2.8063899999999999</v>
      </c>
      <c r="Y228">
        <v>15</v>
      </c>
      <c r="Z228" s="8">
        <f t="shared" si="27"/>
        <v>0.44117647058823528</v>
      </c>
      <c r="AA228" s="8">
        <v>2.84294</v>
      </c>
    </row>
    <row r="229" spans="2:27" ht="15" customHeight="1" x14ac:dyDescent="0.25">
      <c r="B229" t="s">
        <v>429</v>
      </c>
      <c r="C229" s="8">
        <v>-12550.02</v>
      </c>
      <c r="D229" s="2">
        <v>-12551.283708999999</v>
      </c>
      <c r="F229" s="12">
        <v>0.99826000000000004</v>
      </c>
      <c r="G229" s="13">
        <v>0.21138999999999999</v>
      </c>
      <c r="H229">
        <v>9</v>
      </c>
      <c r="I229">
        <v>4</v>
      </c>
      <c r="K229" s="8">
        <f t="shared" si="21"/>
        <v>-1.0066538461542223</v>
      </c>
      <c r="L229" s="8">
        <f t="shared" si="22"/>
        <v>-7.7434911242632479E-2</v>
      </c>
      <c r="M229" s="8">
        <f t="shared" si="23"/>
        <v>-0.94451776922869612</v>
      </c>
      <c r="N229" s="8">
        <f t="shared" si="24"/>
        <v>-7.2655213017592007E-2</v>
      </c>
      <c r="O229" s="8"/>
      <c r="P229" t="s">
        <v>430</v>
      </c>
      <c r="Q229">
        <v>33</v>
      </c>
      <c r="R229" s="8">
        <v>2.81366</v>
      </c>
      <c r="S229">
        <v>2</v>
      </c>
      <c r="T229" s="8">
        <f t="shared" si="25"/>
        <v>6.0606060606060608E-2</v>
      </c>
      <c r="U229" s="8">
        <v>2.7774999999999999</v>
      </c>
      <c r="V229">
        <v>14</v>
      </c>
      <c r="W229" s="8">
        <f t="shared" si="26"/>
        <v>0.42424242424242425</v>
      </c>
      <c r="X229" s="8">
        <v>2.79081</v>
      </c>
      <c r="Y229">
        <v>17</v>
      </c>
      <c r="Z229" s="8">
        <f t="shared" si="27"/>
        <v>0.51515151515151514</v>
      </c>
      <c r="AA229" s="8">
        <v>2.8367300000000002</v>
      </c>
    </row>
    <row r="230" spans="2:27" ht="15" customHeight="1" x14ac:dyDescent="0.25">
      <c r="B230" t="s">
        <v>431</v>
      </c>
      <c r="C230" s="8">
        <v>-12550.146699999999</v>
      </c>
      <c r="D230" s="2">
        <v>-12551.417527</v>
      </c>
      <c r="F230" s="12">
        <v>0.99623799999999996</v>
      </c>
      <c r="G230" s="13">
        <v>0.18815999999999899</v>
      </c>
      <c r="H230">
        <v>9</v>
      </c>
      <c r="I230">
        <v>4</v>
      </c>
      <c r="K230" s="8">
        <f t="shared" si="21"/>
        <v>-1.1333538461531134</v>
      </c>
      <c r="L230" s="8">
        <f t="shared" si="22"/>
        <v>-8.7181065088701035E-2</v>
      </c>
      <c r="M230" s="8">
        <f t="shared" si="23"/>
        <v>-1.0783357692289428</v>
      </c>
      <c r="N230" s="8">
        <f t="shared" si="24"/>
        <v>-8.2948905325303288E-2</v>
      </c>
      <c r="O230" s="8"/>
      <c r="P230" t="s">
        <v>432</v>
      </c>
      <c r="Q230">
        <v>34</v>
      </c>
      <c r="R230" s="8">
        <v>2.8224800000000001</v>
      </c>
      <c r="S230">
        <v>1</v>
      </c>
      <c r="T230" s="8">
        <f t="shared" si="25"/>
        <v>2.9411764705882353E-2</v>
      </c>
      <c r="U230" s="8">
        <v>2.8873099999999998</v>
      </c>
      <c r="V230">
        <v>20</v>
      </c>
      <c r="W230" s="8">
        <f t="shared" si="26"/>
        <v>0.58823529411764708</v>
      </c>
      <c r="X230" s="8">
        <v>2.8043499999999999</v>
      </c>
      <c r="Y230">
        <v>13</v>
      </c>
      <c r="Z230" s="8">
        <f t="shared" si="27"/>
        <v>0.38235294117647056</v>
      </c>
      <c r="AA230" s="8">
        <v>2.8454000000000002</v>
      </c>
    </row>
    <row r="231" spans="2:27" ht="15" customHeight="1" x14ac:dyDescent="0.25">
      <c r="B231" t="s">
        <v>433</v>
      </c>
      <c r="C231" s="8">
        <v>-12550.082054</v>
      </c>
      <c r="D231" s="2">
        <v>-12551.357666</v>
      </c>
      <c r="F231" s="12">
        <v>0.994591</v>
      </c>
      <c r="G231" s="13">
        <v>0.17729</v>
      </c>
      <c r="H231">
        <v>9</v>
      </c>
      <c r="I231">
        <v>4</v>
      </c>
      <c r="K231" s="8">
        <f t="shared" si="21"/>
        <v>-1.0687078461542114</v>
      </c>
      <c r="L231" s="8">
        <f t="shared" si="22"/>
        <v>-8.220829585801627E-2</v>
      </c>
      <c r="M231" s="8">
        <f t="shared" si="23"/>
        <v>-1.0184747692292149</v>
      </c>
      <c r="N231" s="8">
        <f t="shared" si="24"/>
        <v>-7.834421301763192E-2</v>
      </c>
      <c r="O231" s="8"/>
      <c r="P231" t="s">
        <v>434</v>
      </c>
      <c r="Q231">
        <v>35</v>
      </c>
      <c r="R231" s="8">
        <v>2.8339099999999999</v>
      </c>
      <c r="S231">
        <v>1</v>
      </c>
      <c r="T231" s="8">
        <f t="shared" si="25"/>
        <v>2.8571428571428571E-2</v>
      </c>
      <c r="U231" s="8">
        <v>3.14805</v>
      </c>
      <c r="V231">
        <v>21</v>
      </c>
      <c r="W231" s="8">
        <f t="shared" si="26"/>
        <v>0.6</v>
      </c>
      <c r="X231" s="8">
        <v>2.8042199999999999</v>
      </c>
      <c r="Y231">
        <v>13</v>
      </c>
      <c r="Z231" s="8">
        <f t="shared" si="27"/>
        <v>0.37142857142857144</v>
      </c>
      <c r="AA231" s="8">
        <v>2.8576999999999999</v>
      </c>
    </row>
    <row r="232" spans="2:27" ht="15" customHeight="1" x14ac:dyDescent="0.25">
      <c r="B232" t="s">
        <v>435</v>
      </c>
      <c r="C232" s="8">
        <v>-12550.2099</v>
      </c>
      <c r="D232" s="2">
        <v>-12551.585666000001</v>
      </c>
      <c r="F232" s="12">
        <v>0.99559699999999995</v>
      </c>
      <c r="G232" s="13">
        <v>0.18348999999999899</v>
      </c>
      <c r="H232">
        <v>9</v>
      </c>
      <c r="I232">
        <v>4</v>
      </c>
      <c r="K232" s="8">
        <f t="shared" si="21"/>
        <v>-1.1965538461536198</v>
      </c>
      <c r="L232" s="8">
        <f t="shared" si="22"/>
        <v>-9.2042603550278448E-2</v>
      </c>
      <c r="M232" s="8">
        <f t="shared" si="23"/>
        <v>-1.2464747692301898</v>
      </c>
      <c r="N232" s="8">
        <f t="shared" si="24"/>
        <v>-9.5882674556168446E-2</v>
      </c>
      <c r="O232" s="8"/>
      <c r="P232" t="s">
        <v>436</v>
      </c>
      <c r="Q232">
        <v>34</v>
      </c>
      <c r="R232" s="8">
        <v>2.81921</v>
      </c>
      <c r="S232">
        <v>1</v>
      </c>
      <c r="T232" s="8">
        <f t="shared" si="25"/>
        <v>2.9411764705882353E-2</v>
      </c>
      <c r="U232" s="8">
        <v>2.7668400000000002</v>
      </c>
      <c r="V232">
        <v>17</v>
      </c>
      <c r="W232" s="8">
        <f t="shared" si="26"/>
        <v>0.5</v>
      </c>
      <c r="X232" s="8">
        <v>2.7949000000000002</v>
      </c>
      <c r="Y232">
        <v>16</v>
      </c>
      <c r="Z232" s="8">
        <f t="shared" si="27"/>
        <v>0.47058823529411764</v>
      </c>
      <c r="AA232" s="8">
        <v>2.8483100000000001</v>
      </c>
    </row>
    <row r="233" spans="2:27" ht="15" customHeight="1" x14ac:dyDescent="0.25">
      <c r="B233" t="s">
        <v>437</v>
      </c>
      <c r="C233" s="8">
        <v>-12549.8806</v>
      </c>
      <c r="D233" s="2">
        <v>-12551.190506000001</v>
      </c>
      <c r="F233" s="12">
        <v>0.99601499999999998</v>
      </c>
      <c r="G233" s="13">
        <v>0.186529999999999</v>
      </c>
      <c r="H233">
        <v>9</v>
      </c>
      <c r="I233">
        <v>4</v>
      </c>
      <c r="K233" s="8">
        <f t="shared" si="21"/>
        <v>-0.86725384615419898</v>
      </c>
      <c r="L233" s="8">
        <f t="shared" si="22"/>
        <v>-6.671183431955377E-2</v>
      </c>
      <c r="M233" s="8">
        <f t="shared" si="23"/>
        <v>-0.85131476923015725</v>
      </c>
      <c r="N233" s="8">
        <f t="shared" si="24"/>
        <v>-6.5485751479242862E-2</v>
      </c>
      <c r="O233" s="8"/>
      <c r="P233" t="s">
        <v>438</v>
      </c>
      <c r="Q233">
        <v>33</v>
      </c>
      <c r="R233" s="8">
        <v>2.81568</v>
      </c>
      <c r="S233">
        <v>3</v>
      </c>
      <c r="T233" s="8">
        <f t="shared" si="25"/>
        <v>9.0909090909090912E-2</v>
      </c>
      <c r="U233" s="8">
        <v>2.8361000000000001</v>
      </c>
      <c r="V233">
        <v>15</v>
      </c>
      <c r="W233" s="8">
        <f t="shared" si="26"/>
        <v>0.45454545454545453</v>
      </c>
      <c r="X233" s="8">
        <v>2.8036099999999999</v>
      </c>
      <c r="Y233">
        <v>15</v>
      </c>
      <c r="Z233" s="8">
        <f t="shared" si="27"/>
        <v>0.45454545454545453</v>
      </c>
      <c r="AA233" s="8">
        <v>2.8236599999999998</v>
      </c>
    </row>
    <row r="234" spans="2:27" ht="15" customHeight="1" x14ac:dyDescent="0.25">
      <c r="B234" t="s">
        <v>439</v>
      </c>
      <c r="C234" s="8">
        <v>-12549.7325</v>
      </c>
      <c r="D234" s="2">
        <v>-12551.04621</v>
      </c>
      <c r="F234" s="12">
        <v>0.99549600000000005</v>
      </c>
      <c r="G234" s="13">
        <v>0.18282000000000001</v>
      </c>
      <c r="H234">
        <v>9</v>
      </c>
      <c r="I234">
        <v>4</v>
      </c>
      <c r="K234" s="8">
        <f t="shared" si="21"/>
        <v>-0.71915384615385847</v>
      </c>
      <c r="L234" s="8">
        <f t="shared" si="22"/>
        <v>-5.5319526627219881E-2</v>
      </c>
      <c r="M234" s="8">
        <f t="shared" si="23"/>
        <v>-0.70701876922976226</v>
      </c>
      <c r="N234" s="8">
        <f t="shared" si="24"/>
        <v>-5.4386059171520174E-2</v>
      </c>
      <c r="O234" s="8"/>
      <c r="P234" t="s">
        <v>440</v>
      </c>
      <c r="Q234">
        <v>33</v>
      </c>
      <c r="R234" s="8">
        <v>2.8126899999999999</v>
      </c>
      <c r="S234">
        <v>3</v>
      </c>
      <c r="T234" s="8">
        <f t="shared" si="25"/>
        <v>9.0909090909090912E-2</v>
      </c>
      <c r="U234" s="8">
        <v>2.8315899999999998</v>
      </c>
      <c r="V234">
        <v>15</v>
      </c>
      <c r="W234" s="8">
        <f t="shared" si="26"/>
        <v>0.45454545454545453</v>
      </c>
      <c r="X234" s="8">
        <v>2.7868900000000001</v>
      </c>
      <c r="Y234">
        <v>15</v>
      </c>
      <c r="Z234" s="8">
        <f t="shared" si="27"/>
        <v>0.45454545454545453</v>
      </c>
      <c r="AA234" s="8">
        <v>2.8347099999999998</v>
      </c>
    </row>
    <row r="235" spans="2:27" ht="15" customHeight="1" x14ac:dyDescent="0.25">
      <c r="B235" t="s">
        <v>441</v>
      </c>
      <c r="C235" s="8">
        <v>-12549.885700000001</v>
      </c>
      <c r="D235" s="2">
        <v>-12551.311739000001</v>
      </c>
      <c r="F235" s="12">
        <v>0.99577199999999999</v>
      </c>
      <c r="G235" s="13">
        <v>0.18471000000000001</v>
      </c>
      <c r="H235">
        <v>9</v>
      </c>
      <c r="I235">
        <v>4</v>
      </c>
      <c r="K235" s="8">
        <f t="shared" si="21"/>
        <v>-0.87235384615451039</v>
      </c>
      <c r="L235" s="8">
        <f t="shared" si="22"/>
        <v>-6.7104142011885415E-2</v>
      </c>
      <c r="M235" s="8">
        <f t="shared" si="23"/>
        <v>-0.97254776923000463</v>
      </c>
      <c r="N235" s="8">
        <f t="shared" si="24"/>
        <v>-7.4811366863846512E-2</v>
      </c>
      <c r="O235" s="8"/>
      <c r="P235" t="s">
        <v>442</v>
      </c>
      <c r="Q235">
        <v>36</v>
      </c>
      <c r="R235" s="8">
        <v>2.8372000000000002</v>
      </c>
      <c r="S235">
        <v>3</v>
      </c>
      <c r="T235" s="8">
        <f t="shared" si="25"/>
        <v>8.3333333333333329E-2</v>
      </c>
      <c r="U235" s="8">
        <v>2.9498899999999999</v>
      </c>
      <c r="V235">
        <v>17</v>
      </c>
      <c r="W235" s="8">
        <f t="shared" si="26"/>
        <v>0.47222222222222221</v>
      </c>
      <c r="X235" s="8">
        <v>2.7836699999999999</v>
      </c>
      <c r="Y235">
        <v>16</v>
      </c>
      <c r="Z235" s="8">
        <f t="shared" si="27"/>
        <v>0.44444444444444442</v>
      </c>
      <c r="AA235" s="8">
        <v>2.8729399999999998</v>
      </c>
    </row>
    <row r="236" spans="2:27" ht="15" customHeight="1" x14ac:dyDescent="0.25">
      <c r="B236" t="s">
        <v>443</v>
      </c>
      <c r="C236" s="8">
        <v>-12549.8063</v>
      </c>
      <c r="D236" s="2">
        <v>-12551.270294</v>
      </c>
      <c r="F236" s="12">
        <v>0.99515299999999995</v>
      </c>
      <c r="G236" s="13">
        <v>0.18060000000000001</v>
      </c>
      <c r="H236">
        <v>9</v>
      </c>
      <c r="I236">
        <v>4</v>
      </c>
      <c r="K236" s="8">
        <f t="shared" si="21"/>
        <v>-0.79295384615397779</v>
      </c>
      <c r="L236" s="8">
        <f t="shared" si="22"/>
        <v>-6.0996449704152141E-2</v>
      </c>
      <c r="M236" s="8">
        <f t="shared" si="23"/>
        <v>-0.9311027692292555</v>
      </c>
      <c r="N236" s="8">
        <f t="shared" si="24"/>
        <v>-7.1623289940711959E-2</v>
      </c>
      <c r="O236" s="8"/>
      <c r="P236" t="s">
        <v>444</v>
      </c>
      <c r="Q236">
        <v>34</v>
      </c>
      <c r="R236" s="8">
        <v>2.8181400000000001</v>
      </c>
      <c r="S236">
        <v>3</v>
      </c>
      <c r="T236" s="8">
        <f t="shared" si="25"/>
        <v>8.8235294117647065E-2</v>
      </c>
      <c r="U236" s="8">
        <v>2.8329</v>
      </c>
      <c r="V236">
        <v>15</v>
      </c>
      <c r="W236" s="8">
        <f t="shared" si="26"/>
        <v>0.44117647058823528</v>
      </c>
      <c r="X236" s="8">
        <v>2.8081499999999999</v>
      </c>
      <c r="Y236">
        <v>16</v>
      </c>
      <c r="Z236" s="8">
        <f t="shared" si="27"/>
        <v>0.47058823529411764</v>
      </c>
      <c r="AA236" s="8">
        <v>2.8247499999999999</v>
      </c>
    </row>
    <row r="237" spans="2:27" ht="15" customHeight="1" x14ac:dyDescent="0.25">
      <c r="B237" t="s">
        <v>445</v>
      </c>
      <c r="C237" s="8">
        <v>-12550.0537</v>
      </c>
      <c r="D237" s="2">
        <v>-12551.318826999999</v>
      </c>
      <c r="F237" s="12">
        <v>0.99649699999999997</v>
      </c>
      <c r="G237" s="13">
        <v>0.19037999999999899</v>
      </c>
      <c r="H237">
        <v>9</v>
      </c>
      <c r="I237">
        <v>4</v>
      </c>
      <c r="K237" s="8">
        <f t="shared" si="21"/>
        <v>-1.0403538461541757</v>
      </c>
      <c r="L237" s="8">
        <f t="shared" si="22"/>
        <v>-8.0027218934936598E-2</v>
      </c>
      <c r="M237" s="8">
        <f t="shared" si="23"/>
        <v>-0.97963576922848006</v>
      </c>
      <c r="N237" s="8">
        <f t="shared" si="24"/>
        <v>-7.5356597632960001E-2</v>
      </c>
      <c r="O237" s="8"/>
      <c r="P237" t="s">
        <v>446</v>
      </c>
      <c r="Q237">
        <v>34</v>
      </c>
      <c r="R237" s="8">
        <v>2.8191600000000001</v>
      </c>
      <c r="S237">
        <v>1</v>
      </c>
      <c r="T237" s="8">
        <f t="shared" si="25"/>
        <v>2.9411764705882353E-2</v>
      </c>
      <c r="U237" s="8">
        <v>2.99892</v>
      </c>
      <c r="V237">
        <v>19</v>
      </c>
      <c r="W237" s="8">
        <f t="shared" si="26"/>
        <v>0.55882352941176472</v>
      </c>
      <c r="X237" s="8">
        <v>2.7967</v>
      </c>
      <c r="Y237">
        <v>14</v>
      </c>
      <c r="Z237" s="8">
        <f t="shared" si="27"/>
        <v>0.41176470588235292</v>
      </c>
      <c r="AA237" s="8">
        <v>2.8368000000000002</v>
      </c>
    </row>
    <row r="238" spans="2:27" ht="15" customHeight="1" x14ac:dyDescent="0.25">
      <c r="B238" t="s">
        <v>447</v>
      </c>
      <c r="C238" s="8">
        <v>-12549.891799999999</v>
      </c>
      <c r="D238" s="2">
        <v>-12551.350336</v>
      </c>
      <c r="F238" s="12">
        <v>0.99620699999999995</v>
      </c>
      <c r="G238" s="13">
        <v>0.187939999999999</v>
      </c>
      <c r="H238">
        <v>9</v>
      </c>
      <c r="I238">
        <v>4</v>
      </c>
      <c r="K238" s="8">
        <f t="shared" si="21"/>
        <v>-0.87845384615320654</v>
      </c>
      <c r="L238" s="8">
        <f t="shared" si="22"/>
        <v>-6.7573372781015884E-2</v>
      </c>
      <c r="M238" s="8">
        <f t="shared" si="23"/>
        <v>-1.0111447692288493</v>
      </c>
      <c r="N238" s="8">
        <f t="shared" si="24"/>
        <v>-7.7780366863757638E-2</v>
      </c>
      <c r="O238" s="8"/>
      <c r="P238" t="s">
        <v>448</v>
      </c>
      <c r="Q238">
        <v>34</v>
      </c>
      <c r="R238" s="8">
        <v>2.82707</v>
      </c>
      <c r="S238">
        <v>3</v>
      </c>
      <c r="T238" s="8">
        <f t="shared" si="25"/>
        <v>8.8235294117647065E-2</v>
      </c>
      <c r="U238" s="8">
        <v>2.94021</v>
      </c>
      <c r="V238">
        <v>18</v>
      </c>
      <c r="W238" s="8">
        <f t="shared" si="26"/>
        <v>0.52941176470588236</v>
      </c>
      <c r="X238" s="8">
        <v>2.80463</v>
      </c>
      <c r="Y238">
        <v>13</v>
      </c>
      <c r="Z238" s="8">
        <f t="shared" si="27"/>
        <v>0.38235294117647056</v>
      </c>
      <c r="AA238" s="8">
        <v>2.83203</v>
      </c>
    </row>
    <row r="239" spans="2:27" ht="15" customHeight="1" x14ac:dyDescent="0.25">
      <c r="B239" t="s">
        <v>449</v>
      </c>
      <c r="C239" s="8">
        <v>-12549.918600000001</v>
      </c>
      <c r="D239" s="2">
        <v>-12551.241907</v>
      </c>
      <c r="F239" s="12">
        <v>0.99444100000000002</v>
      </c>
      <c r="G239" s="13">
        <v>0.17646999999999999</v>
      </c>
      <c r="H239">
        <v>9</v>
      </c>
      <c r="I239">
        <v>4</v>
      </c>
      <c r="K239" s="8">
        <f t="shared" si="21"/>
        <v>-0.90525384615466464</v>
      </c>
      <c r="L239" s="8">
        <f t="shared" si="22"/>
        <v>-6.9634911242666506E-2</v>
      </c>
      <c r="M239" s="8">
        <f t="shared" si="23"/>
        <v>-0.90271576922896202</v>
      </c>
      <c r="N239" s="8">
        <f t="shared" si="24"/>
        <v>-6.9439674556073999E-2</v>
      </c>
      <c r="O239" s="8"/>
      <c r="P239" t="s">
        <v>450</v>
      </c>
      <c r="Q239">
        <v>34</v>
      </c>
      <c r="R239" s="8">
        <v>2.8174800000000002</v>
      </c>
      <c r="S239">
        <v>2</v>
      </c>
      <c r="T239" s="8">
        <f t="shared" si="25"/>
        <v>5.8823529411764705E-2</v>
      </c>
      <c r="U239" s="8">
        <v>2.80864</v>
      </c>
      <c r="V239">
        <v>18</v>
      </c>
      <c r="W239" s="8">
        <f t="shared" si="26"/>
        <v>0.52941176470588236</v>
      </c>
      <c r="X239" s="8">
        <v>2.8050700000000002</v>
      </c>
      <c r="Y239">
        <v>14</v>
      </c>
      <c r="Z239" s="8">
        <f t="shared" si="27"/>
        <v>0.41176470588235292</v>
      </c>
      <c r="AA239" s="8">
        <v>2.8347099999999998</v>
      </c>
    </row>
    <row r="240" spans="2:27" ht="15" customHeight="1" x14ac:dyDescent="0.25">
      <c r="B240" t="s">
        <v>451</v>
      </c>
      <c r="C240" s="8">
        <v>-12550.036899999999</v>
      </c>
      <c r="D240" s="2">
        <v>-12551.346246999999</v>
      </c>
      <c r="F240" s="12">
        <v>0.99637100000000001</v>
      </c>
      <c r="G240" s="13">
        <v>0.18931000000000001</v>
      </c>
      <c r="H240">
        <v>9</v>
      </c>
      <c r="I240">
        <v>4</v>
      </c>
      <c r="K240" s="8">
        <f t="shared" si="21"/>
        <v>-1.0235538461529359</v>
      </c>
      <c r="L240" s="8">
        <f t="shared" si="22"/>
        <v>-7.8734911242533526E-2</v>
      </c>
      <c r="M240" s="8">
        <f t="shared" si="23"/>
        <v>-1.0070557692288276</v>
      </c>
      <c r="N240" s="8">
        <f t="shared" si="24"/>
        <v>-7.746582840221751E-2</v>
      </c>
      <c r="O240" s="8"/>
      <c r="P240" t="s">
        <v>452</v>
      </c>
      <c r="Q240">
        <v>34</v>
      </c>
      <c r="R240" s="8">
        <v>2.8208899999999999</v>
      </c>
      <c r="S240">
        <v>2</v>
      </c>
      <c r="T240" s="8">
        <f t="shared" si="25"/>
        <v>5.8823529411764705E-2</v>
      </c>
      <c r="U240" s="8">
        <v>2.83128</v>
      </c>
      <c r="V240">
        <v>17</v>
      </c>
      <c r="W240" s="8">
        <f t="shared" si="26"/>
        <v>0.5</v>
      </c>
      <c r="X240" s="8">
        <v>2.81846</v>
      </c>
      <c r="Y240">
        <v>15</v>
      </c>
      <c r="Z240" s="8">
        <f t="shared" si="27"/>
        <v>0.44117647058823528</v>
      </c>
      <c r="AA240" s="8">
        <v>2.8222499999999999</v>
      </c>
    </row>
    <row r="241" spans="2:27" ht="15" customHeight="1" x14ac:dyDescent="0.25">
      <c r="B241" t="s">
        <v>453</v>
      </c>
      <c r="C241" s="8">
        <v>-12550.0206</v>
      </c>
      <c r="D241" s="2">
        <v>-12551.281885</v>
      </c>
      <c r="F241" s="12">
        <v>0.99648800000000004</v>
      </c>
      <c r="G241" s="13">
        <v>0.19028999999999899</v>
      </c>
      <c r="H241">
        <v>9</v>
      </c>
      <c r="I241">
        <v>4</v>
      </c>
      <c r="K241" s="8">
        <f t="shared" si="21"/>
        <v>-1.0072538461536169</v>
      </c>
      <c r="L241" s="8">
        <f t="shared" si="22"/>
        <v>-7.7481065088739767E-2</v>
      </c>
      <c r="M241" s="8">
        <f t="shared" si="23"/>
        <v>-0.9426937692296633</v>
      </c>
      <c r="N241" s="8">
        <f t="shared" si="24"/>
        <v>-7.2514905325358717E-2</v>
      </c>
      <c r="O241" s="8"/>
      <c r="P241" t="s">
        <v>454</v>
      </c>
      <c r="Q241">
        <v>34</v>
      </c>
      <c r="R241" s="8">
        <v>2.8197999999999999</v>
      </c>
      <c r="S241">
        <v>2</v>
      </c>
      <c r="T241" s="8">
        <f t="shared" si="25"/>
        <v>5.8823529411764705E-2</v>
      </c>
      <c r="U241" s="8">
        <v>2.8718699999999999</v>
      </c>
      <c r="V241">
        <v>17</v>
      </c>
      <c r="W241" s="8">
        <f t="shared" si="26"/>
        <v>0.5</v>
      </c>
      <c r="X241" s="8">
        <v>2.8052000000000001</v>
      </c>
      <c r="Y241">
        <v>15</v>
      </c>
      <c r="Z241" s="8">
        <f t="shared" si="27"/>
        <v>0.44117647058823528</v>
      </c>
      <c r="AA241" s="8">
        <v>2.8294100000000002</v>
      </c>
    </row>
    <row r="242" spans="2:27" ht="15" customHeight="1" x14ac:dyDescent="0.25">
      <c r="B242" t="s">
        <v>455</v>
      </c>
      <c r="C242" s="8">
        <v>-12549.8498</v>
      </c>
      <c r="D242" s="2">
        <v>-12551.142717999999</v>
      </c>
      <c r="F242" s="12">
        <v>0.99599199999999999</v>
      </c>
      <c r="G242" s="13">
        <v>0.18631999999999899</v>
      </c>
      <c r="H242">
        <v>9</v>
      </c>
      <c r="I242">
        <v>4</v>
      </c>
      <c r="K242" s="8">
        <f t="shared" si="21"/>
        <v>-0.83645384615374496</v>
      </c>
      <c r="L242" s="8">
        <f t="shared" si="22"/>
        <v>-6.4342603550288077E-2</v>
      </c>
      <c r="M242" s="8">
        <f t="shared" si="23"/>
        <v>-0.80352676922848332</v>
      </c>
      <c r="N242" s="8">
        <f t="shared" si="24"/>
        <v>-6.1809751479114099E-2</v>
      </c>
      <c r="O242" s="8"/>
      <c r="P242" t="s">
        <v>456</v>
      </c>
      <c r="Q242">
        <v>34</v>
      </c>
      <c r="R242" s="8">
        <v>2.8186</v>
      </c>
      <c r="S242">
        <v>2</v>
      </c>
      <c r="T242" s="8">
        <f t="shared" si="25"/>
        <v>5.8823529411764705E-2</v>
      </c>
      <c r="U242" s="8">
        <v>2.8129300000000002</v>
      </c>
      <c r="V242">
        <v>17</v>
      </c>
      <c r="W242" s="8">
        <f t="shared" si="26"/>
        <v>0.5</v>
      </c>
      <c r="X242" s="8">
        <v>2.7962899999999999</v>
      </c>
      <c r="Y242">
        <v>15</v>
      </c>
      <c r="Z242" s="8">
        <f t="shared" si="27"/>
        <v>0.44117647058823528</v>
      </c>
      <c r="AA242" s="8">
        <v>2.84463</v>
      </c>
    </row>
    <row r="243" spans="2:27" ht="15" customHeight="1" x14ac:dyDescent="0.25">
      <c r="B243" t="s">
        <v>457</v>
      </c>
      <c r="C243" s="8">
        <v>-12549.802900000001</v>
      </c>
      <c r="D243" s="2">
        <v>-12551.097648000001</v>
      </c>
      <c r="F243" s="12">
        <v>0.99539</v>
      </c>
      <c r="G243" s="13">
        <v>0.18214</v>
      </c>
      <c r="H243">
        <v>9</v>
      </c>
      <c r="I243">
        <v>4</v>
      </c>
      <c r="K243" s="8">
        <f t="shared" si="21"/>
        <v>-0.78955384615437652</v>
      </c>
      <c r="L243" s="8">
        <f t="shared" si="22"/>
        <v>-6.0734911242644345E-2</v>
      </c>
      <c r="M243" s="8">
        <f t="shared" si="23"/>
        <v>-0.75845676923017891</v>
      </c>
      <c r="N243" s="8">
        <f t="shared" si="24"/>
        <v>-5.8342828402321453E-2</v>
      </c>
      <c r="O243" s="8"/>
      <c r="P243" t="s">
        <v>458</v>
      </c>
      <c r="Q243">
        <v>33</v>
      </c>
      <c r="R243" s="8">
        <v>2.8102100000000001</v>
      </c>
      <c r="S243">
        <v>3</v>
      </c>
      <c r="T243" s="8">
        <f t="shared" si="25"/>
        <v>9.0909090909090912E-2</v>
      </c>
      <c r="U243" s="8">
        <v>2.8045800000000001</v>
      </c>
      <c r="V243">
        <v>14</v>
      </c>
      <c r="W243" s="8">
        <f t="shared" si="26"/>
        <v>0.42424242424242425</v>
      </c>
      <c r="X243" s="8">
        <v>2.8011599999999999</v>
      </c>
      <c r="Y243">
        <v>16</v>
      </c>
      <c r="Z243" s="8">
        <f t="shared" si="27"/>
        <v>0.48484848484848486</v>
      </c>
      <c r="AA243" s="8">
        <v>2.8191899999999999</v>
      </c>
    </row>
    <row r="244" spans="2:27" ht="15" customHeight="1" x14ac:dyDescent="0.25">
      <c r="B244" t="s">
        <v>459</v>
      </c>
      <c r="C244" s="8">
        <v>-12550.0118</v>
      </c>
      <c r="D244" s="2">
        <v>-12551.263762</v>
      </c>
      <c r="F244" s="12">
        <v>0.99578199999999994</v>
      </c>
      <c r="G244" s="13">
        <v>0.18476999999999899</v>
      </c>
      <c r="H244">
        <v>9</v>
      </c>
      <c r="I244">
        <v>4</v>
      </c>
      <c r="K244" s="8">
        <f t="shared" si="21"/>
        <v>-0.9984538461540069</v>
      </c>
      <c r="L244" s="8">
        <f t="shared" si="22"/>
        <v>-7.6804142011846682E-2</v>
      </c>
      <c r="M244" s="8">
        <f t="shared" si="23"/>
        <v>-0.92457076922983106</v>
      </c>
      <c r="N244" s="8">
        <f t="shared" si="24"/>
        <v>-7.1120828402294695E-2</v>
      </c>
      <c r="O244" s="8"/>
      <c r="P244" t="s">
        <v>460</v>
      </c>
      <c r="Q244">
        <v>34</v>
      </c>
      <c r="R244" s="8">
        <v>2.8230900000000001</v>
      </c>
      <c r="S244">
        <v>1</v>
      </c>
      <c r="T244" s="8">
        <f t="shared" si="25"/>
        <v>2.9411764705882353E-2</v>
      </c>
      <c r="U244" s="8">
        <v>2.8711000000000002</v>
      </c>
      <c r="V244">
        <v>18</v>
      </c>
      <c r="W244" s="8">
        <f t="shared" si="26"/>
        <v>0.52941176470588236</v>
      </c>
      <c r="X244" s="8">
        <v>2.79311</v>
      </c>
      <c r="Y244">
        <v>15</v>
      </c>
      <c r="Z244" s="8">
        <f t="shared" si="27"/>
        <v>0.44117647058823528</v>
      </c>
      <c r="AA244" s="8">
        <v>2.85588</v>
      </c>
    </row>
    <row r="245" spans="2:27" ht="15" customHeight="1" x14ac:dyDescent="0.25">
      <c r="B245" t="s">
        <v>461</v>
      </c>
      <c r="C245" s="8">
        <v>-12549.993</v>
      </c>
      <c r="D245" s="2">
        <v>-12551.462971000001</v>
      </c>
      <c r="F245" s="12">
        <v>0.99476699999999996</v>
      </c>
      <c r="G245" s="13">
        <v>0.17827999999999999</v>
      </c>
      <c r="H245">
        <v>9</v>
      </c>
      <c r="I245">
        <v>4</v>
      </c>
      <c r="K245" s="8">
        <f t="shared" si="21"/>
        <v>-0.97965384615417861</v>
      </c>
      <c r="L245" s="8">
        <f t="shared" si="22"/>
        <v>-7.5357988165706047E-2</v>
      </c>
      <c r="M245" s="8">
        <f t="shared" si="23"/>
        <v>-1.1237797692301683</v>
      </c>
      <c r="N245" s="8">
        <f t="shared" si="24"/>
        <v>-8.644459763308987E-2</v>
      </c>
      <c r="O245" s="8"/>
      <c r="P245" t="s">
        <v>462</v>
      </c>
      <c r="Q245">
        <v>33</v>
      </c>
      <c r="R245" s="8">
        <v>2.8100100000000001</v>
      </c>
      <c r="S245">
        <v>1</v>
      </c>
      <c r="T245" s="8">
        <f t="shared" si="25"/>
        <v>3.0303030303030304E-2</v>
      </c>
      <c r="U245" s="8">
        <v>2.8004099999999998</v>
      </c>
      <c r="V245">
        <v>18</v>
      </c>
      <c r="W245" s="8">
        <f t="shared" si="26"/>
        <v>0.54545454545454541</v>
      </c>
      <c r="X245" s="8">
        <v>2.8017500000000002</v>
      </c>
      <c r="Y245">
        <v>14</v>
      </c>
      <c r="Z245" s="8">
        <f t="shared" si="27"/>
        <v>0.42424242424242425</v>
      </c>
      <c r="AA245" s="8">
        <v>2.82131</v>
      </c>
    </row>
    <row r="246" spans="2:27" ht="15" customHeight="1" x14ac:dyDescent="0.25">
      <c r="B246" t="s">
        <v>463</v>
      </c>
      <c r="C246" s="8">
        <v>-12550.012500000001</v>
      </c>
      <c r="D246" s="2">
        <v>-12551.262843</v>
      </c>
      <c r="F246" s="12">
        <v>0.99510500000000002</v>
      </c>
      <c r="G246" s="13">
        <v>0.18026</v>
      </c>
      <c r="H246">
        <v>9</v>
      </c>
      <c r="I246">
        <v>4</v>
      </c>
      <c r="K246" s="8">
        <f t="shared" si="21"/>
        <v>-0.9991538461545133</v>
      </c>
      <c r="L246" s="8">
        <f t="shared" si="22"/>
        <v>-7.6857988165731791E-2</v>
      </c>
      <c r="M246" s="8">
        <f t="shared" si="23"/>
        <v>-0.92365176922976389</v>
      </c>
      <c r="N246" s="8">
        <f t="shared" si="24"/>
        <v>-7.1050136094597219E-2</v>
      </c>
      <c r="O246" s="8"/>
      <c r="P246" t="s">
        <v>464</v>
      </c>
      <c r="Q246">
        <v>34</v>
      </c>
      <c r="R246" s="8">
        <v>2.8216100000000002</v>
      </c>
      <c r="S246">
        <v>1</v>
      </c>
      <c r="T246" s="8">
        <f t="shared" si="25"/>
        <v>2.9411764705882353E-2</v>
      </c>
      <c r="U246" s="8">
        <v>2.8946800000000001</v>
      </c>
      <c r="V246">
        <v>19</v>
      </c>
      <c r="W246" s="8">
        <f t="shared" si="26"/>
        <v>0.55882352941176472</v>
      </c>
      <c r="X246" s="8">
        <v>2.8152900000000001</v>
      </c>
      <c r="Y246">
        <v>14</v>
      </c>
      <c r="Z246" s="8">
        <f t="shared" si="27"/>
        <v>0.41176470588235292</v>
      </c>
      <c r="AA246" s="8">
        <v>2.8249599999999999</v>
      </c>
    </row>
    <row r="247" spans="2:27" ht="15" customHeight="1" x14ac:dyDescent="0.25">
      <c r="B247" t="s">
        <v>465</v>
      </c>
      <c r="C247" s="8">
        <v>-12550.1301</v>
      </c>
      <c r="D247" s="2">
        <v>-12551.42597</v>
      </c>
      <c r="F247" s="12">
        <v>0.99789099999999997</v>
      </c>
      <c r="G247" s="13">
        <v>0.205569999999999</v>
      </c>
      <c r="H247">
        <v>9</v>
      </c>
      <c r="I247">
        <v>4</v>
      </c>
      <c r="K247" s="8">
        <f t="shared" si="21"/>
        <v>-1.1167538461540971</v>
      </c>
      <c r="L247" s="8">
        <f t="shared" si="22"/>
        <v>-8.5904142011853618E-2</v>
      </c>
      <c r="M247" s="8">
        <f t="shared" si="23"/>
        <v>-1.0867787692295678</v>
      </c>
      <c r="N247" s="8">
        <f t="shared" si="24"/>
        <v>-8.3598366863812917E-2</v>
      </c>
      <c r="O247" s="8"/>
      <c r="P247" t="s">
        <v>466</v>
      </c>
      <c r="Q247">
        <v>34</v>
      </c>
      <c r="R247" s="8">
        <v>2.8195100000000002</v>
      </c>
      <c r="S247">
        <v>1</v>
      </c>
      <c r="T247" s="8">
        <f t="shared" si="25"/>
        <v>2.9411764705882353E-2</v>
      </c>
      <c r="U247" s="8">
        <v>2.7508900000000001</v>
      </c>
      <c r="V247">
        <v>16</v>
      </c>
      <c r="W247" s="8">
        <f t="shared" si="26"/>
        <v>0.47058823529411764</v>
      </c>
      <c r="X247" s="8">
        <v>2.7974399999999999</v>
      </c>
      <c r="Y247">
        <v>17</v>
      </c>
      <c r="Z247" s="8">
        <f t="shared" si="27"/>
        <v>0.5</v>
      </c>
      <c r="AA247" s="8">
        <v>2.8443100000000001</v>
      </c>
    </row>
    <row r="248" spans="2:27" ht="15" customHeight="1" x14ac:dyDescent="0.25">
      <c r="B248" t="s">
        <v>467</v>
      </c>
      <c r="C248" s="8">
        <v>-12549.5321</v>
      </c>
      <c r="D248" s="2">
        <v>-12551.010216999999</v>
      </c>
      <c r="F248" s="12">
        <v>0.99613499999999999</v>
      </c>
      <c r="G248" s="13">
        <v>0.18740999999999899</v>
      </c>
      <c r="H248">
        <v>9</v>
      </c>
      <c r="I248">
        <v>4</v>
      </c>
      <c r="K248" s="8">
        <f t="shared" si="21"/>
        <v>-0.51875384615414077</v>
      </c>
      <c r="L248" s="8">
        <f t="shared" si="22"/>
        <v>-3.9904142011856984E-2</v>
      </c>
      <c r="M248" s="8">
        <f t="shared" si="23"/>
        <v>-0.67102576922843582</v>
      </c>
      <c r="N248" s="8">
        <f t="shared" si="24"/>
        <v>-5.1617366863725832E-2</v>
      </c>
      <c r="O248" s="8"/>
      <c r="P248" t="s">
        <v>468</v>
      </c>
      <c r="Q248">
        <v>33</v>
      </c>
      <c r="R248" s="8">
        <v>2.8070900000000001</v>
      </c>
      <c r="S248">
        <v>4</v>
      </c>
      <c r="T248" s="8">
        <f t="shared" si="25"/>
        <v>0.12121212121212122</v>
      </c>
      <c r="U248" s="8">
        <v>2.8328799999999998</v>
      </c>
      <c r="V248">
        <v>14</v>
      </c>
      <c r="W248" s="8">
        <f t="shared" si="26"/>
        <v>0.42424242424242425</v>
      </c>
      <c r="X248" s="8">
        <v>2.79983</v>
      </c>
      <c r="Y248">
        <v>15</v>
      </c>
      <c r="Z248" s="8">
        <f t="shared" si="27"/>
        <v>0.45454545454545453</v>
      </c>
      <c r="AA248" s="8">
        <v>2.8069799999999998</v>
      </c>
    </row>
    <row r="249" spans="2:27" ht="15" customHeight="1" x14ac:dyDescent="0.25">
      <c r="B249" t="s">
        <v>469</v>
      </c>
      <c r="C249" s="8">
        <v>-12549.654699999999</v>
      </c>
      <c r="D249" s="2">
        <v>-12551.082265999999</v>
      </c>
      <c r="F249" s="12">
        <v>0.99579899999999999</v>
      </c>
      <c r="G249" s="13">
        <v>0.18492</v>
      </c>
      <c r="H249">
        <v>9</v>
      </c>
      <c r="I249">
        <v>4</v>
      </c>
      <c r="K249" s="8">
        <f t="shared" si="21"/>
        <v>-0.64135384615292423</v>
      </c>
      <c r="L249" s="8">
        <f t="shared" si="22"/>
        <v>-4.9334911242532635E-2</v>
      </c>
      <c r="M249" s="8">
        <f t="shared" si="23"/>
        <v>-0.74307476922876958</v>
      </c>
      <c r="N249" s="8">
        <f t="shared" si="24"/>
        <v>-5.7159597632982277E-2</v>
      </c>
      <c r="O249" s="8"/>
      <c r="P249" t="s">
        <v>470</v>
      </c>
      <c r="Q249">
        <v>34</v>
      </c>
      <c r="R249" s="8">
        <v>2.8188300000000002</v>
      </c>
      <c r="S249">
        <v>4</v>
      </c>
      <c r="T249" s="8">
        <f t="shared" si="25"/>
        <v>0.11764705882352941</v>
      </c>
      <c r="U249" s="8">
        <v>2.8424700000000001</v>
      </c>
      <c r="V249">
        <v>13</v>
      </c>
      <c r="W249" s="8">
        <f t="shared" si="26"/>
        <v>0.38235294117647056</v>
      </c>
      <c r="X249" s="8">
        <v>2.7932000000000001</v>
      </c>
      <c r="Y249">
        <v>17</v>
      </c>
      <c r="Z249" s="8">
        <f t="shared" si="27"/>
        <v>0.5</v>
      </c>
      <c r="AA249" s="8">
        <v>2.8328700000000002</v>
      </c>
    </row>
    <row r="250" spans="2:27" ht="15" customHeight="1" x14ac:dyDescent="0.25">
      <c r="B250" t="s">
        <v>471</v>
      </c>
      <c r="C250" s="8">
        <v>-12549.6312</v>
      </c>
      <c r="D250" s="2">
        <v>-12551.123586</v>
      </c>
      <c r="F250" s="12">
        <v>0.996784</v>
      </c>
      <c r="G250" s="13">
        <v>0.19292999999999999</v>
      </c>
      <c r="H250">
        <v>9</v>
      </c>
      <c r="I250">
        <v>4</v>
      </c>
      <c r="K250" s="8">
        <f t="shared" si="21"/>
        <v>-0.61785384615359362</v>
      </c>
      <c r="L250" s="8">
        <f t="shared" si="22"/>
        <v>-4.752721893489182E-2</v>
      </c>
      <c r="M250" s="8">
        <f t="shared" si="23"/>
        <v>-0.7843947692290385</v>
      </c>
      <c r="N250" s="8">
        <f t="shared" si="24"/>
        <v>-6.0338059171464502E-2</v>
      </c>
      <c r="O250" s="8"/>
      <c r="P250" t="s">
        <v>472</v>
      </c>
      <c r="Q250">
        <v>35</v>
      </c>
      <c r="R250" s="8">
        <v>2.8326899999999999</v>
      </c>
      <c r="S250">
        <v>3</v>
      </c>
      <c r="T250" s="8">
        <f t="shared" si="25"/>
        <v>8.5714285714285715E-2</v>
      </c>
      <c r="U250" s="8">
        <v>2.8066</v>
      </c>
      <c r="V250">
        <v>17</v>
      </c>
      <c r="W250" s="8">
        <f t="shared" si="26"/>
        <v>0.48571428571428571</v>
      </c>
      <c r="X250" s="8">
        <v>2.82803</v>
      </c>
      <c r="Y250">
        <v>15</v>
      </c>
      <c r="Z250" s="8">
        <f t="shared" si="27"/>
        <v>0.42857142857142855</v>
      </c>
      <c r="AA250" s="8">
        <v>2.8431899999999999</v>
      </c>
    </row>
    <row r="251" spans="2:27" ht="15" customHeight="1" x14ac:dyDescent="0.25">
      <c r="B251" t="s">
        <v>473</v>
      </c>
      <c r="C251" s="8">
        <v>-12549.5949</v>
      </c>
      <c r="D251" s="2">
        <v>-12551.1477</v>
      </c>
      <c r="F251" s="12">
        <v>0.99705699999999997</v>
      </c>
      <c r="G251" s="13">
        <v>0.19556999999999999</v>
      </c>
      <c r="H251">
        <v>9</v>
      </c>
      <c r="I251">
        <v>4</v>
      </c>
      <c r="K251" s="8">
        <f t="shared" si="21"/>
        <v>-0.58155384615383809</v>
      </c>
      <c r="L251" s="8">
        <f t="shared" si="22"/>
        <v>-4.4734911242602933E-2</v>
      </c>
      <c r="M251" s="8">
        <f t="shared" si="23"/>
        <v>-0.80850876922886528</v>
      </c>
      <c r="N251" s="8">
        <f t="shared" si="24"/>
        <v>-6.2192982248374253E-2</v>
      </c>
      <c r="O251" s="8"/>
      <c r="P251" t="s">
        <v>474</v>
      </c>
      <c r="Q251">
        <v>35</v>
      </c>
      <c r="R251" s="8">
        <v>2.8283499999999999</v>
      </c>
      <c r="S251">
        <v>4</v>
      </c>
      <c r="T251" s="8">
        <f t="shared" si="25"/>
        <v>0.11428571428571428</v>
      </c>
      <c r="U251" s="8">
        <v>2.8877999999999999</v>
      </c>
      <c r="V251">
        <v>15</v>
      </c>
      <c r="W251" s="8">
        <f t="shared" si="26"/>
        <v>0.42857142857142855</v>
      </c>
      <c r="X251" s="8">
        <v>2.8058399999999999</v>
      </c>
      <c r="Y251">
        <v>16</v>
      </c>
      <c r="Z251" s="8">
        <f t="shared" si="27"/>
        <v>0.45714285714285713</v>
      </c>
      <c r="AA251" s="8">
        <v>2.8345899999999999</v>
      </c>
    </row>
    <row r="252" spans="2:27" ht="15" customHeight="1" x14ac:dyDescent="0.25">
      <c r="B252" t="s">
        <v>475</v>
      </c>
      <c r="C252" s="8">
        <v>-12549.8177</v>
      </c>
      <c r="D252" s="2">
        <v>-12551.379774999999</v>
      </c>
      <c r="F252" s="12">
        <v>0.99576799999999999</v>
      </c>
      <c r="G252" s="13">
        <v>0.184779999999999</v>
      </c>
      <c r="H252">
        <v>9</v>
      </c>
      <c r="I252">
        <v>4</v>
      </c>
      <c r="K252" s="8">
        <f t="shared" si="21"/>
        <v>-0.8043538461533899</v>
      </c>
      <c r="L252" s="8">
        <f t="shared" si="22"/>
        <v>-6.1873372781029994E-2</v>
      </c>
      <c r="M252" s="8">
        <f t="shared" si="23"/>
        <v>-1.0405837692287605</v>
      </c>
      <c r="N252" s="8">
        <f t="shared" si="24"/>
        <v>-8.0044905325289267E-2</v>
      </c>
      <c r="O252" s="8"/>
      <c r="P252" t="s">
        <v>476</v>
      </c>
      <c r="Q252">
        <v>35</v>
      </c>
      <c r="R252" s="8">
        <v>2.83053</v>
      </c>
      <c r="S252">
        <v>2</v>
      </c>
      <c r="T252" s="8">
        <f t="shared" si="25"/>
        <v>5.7142857142857141E-2</v>
      </c>
      <c r="U252" s="8">
        <v>2.8158400000000001</v>
      </c>
      <c r="V252">
        <v>17</v>
      </c>
      <c r="W252" s="8">
        <f t="shared" si="26"/>
        <v>0.48571428571428571</v>
      </c>
      <c r="X252" s="8">
        <v>2.8213400000000002</v>
      </c>
      <c r="Y252">
        <v>16</v>
      </c>
      <c r="Z252" s="8">
        <f t="shared" si="27"/>
        <v>0.45714285714285713</v>
      </c>
      <c r="AA252" s="8">
        <v>2.8421400000000001</v>
      </c>
    </row>
    <row r="253" spans="2:27" ht="15" customHeight="1" x14ac:dyDescent="0.25">
      <c r="B253" t="s">
        <v>477</v>
      </c>
      <c r="C253" s="8">
        <v>-12549.683000000001</v>
      </c>
      <c r="D253" s="2">
        <v>-12551.099408</v>
      </c>
      <c r="F253" s="12">
        <v>0.99671100000000001</v>
      </c>
      <c r="G253" s="13">
        <v>0.19228999999999899</v>
      </c>
      <c r="H253">
        <v>9</v>
      </c>
      <c r="I253">
        <v>4</v>
      </c>
      <c r="K253" s="8">
        <f t="shared" si="21"/>
        <v>-0.66965384615468793</v>
      </c>
      <c r="L253" s="8">
        <f t="shared" si="22"/>
        <v>-5.1511834319591381E-2</v>
      </c>
      <c r="M253" s="8">
        <f t="shared" si="23"/>
        <v>-0.76021676922937331</v>
      </c>
      <c r="N253" s="8">
        <f t="shared" si="24"/>
        <v>-5.8478213017644103E-2</v>
      </c>
      <c r="O253" s="8"/>
      <c r="P253" t="s">
        <v>478</v>
      </c>
      <c r="Q253">
        <v>35</v>
      </c>
      <c r="R253" s="8">
        <v>2.82897</v>
      </c>
      <c r="S253">
        <v>3</v>
      </c>
      <c r="T253" s="8">
        <f t="shared" si="25"/>
        <v>8.5714285714285715E-2</v>
      </c>
      <c r="U253" s="8">
        <v>2.91886</v>
      </c>
      <c r="V253">
        <v>18</v>
      </c>
      <c r="W253" s="8">
        <f t="shared" si="26"/>
        <v>0.51428571428571423</v>
      </c>
      <c r="X253" s="8">
        <v>2.8163499999999999</v>
      </c>
      <c r="Y253">
        <v>14</v>
      </c>
      <c r="Z253" s="8">
        <f t="shared" si="27"/>
        <v>0.4</v>
      </c>
      <c r="AA253" s="8">
        <v>2.8259400000000001</v>
      </c>
    </row>
    <row r="254" spans="2:27" ht="15" customHeight="1" x14ac:dyDescent="0.25">
      <c r="B254" t="s">
        <v>479</v>
      </c>
      <c r="C254" s="8">
        <v>-12549.725</v>
      </c>
      <c r="D254" s="2">
        <v>-12551.013446999999</v>
      </c>
      <c r="F254" s="12">
        <v>0.99567300000000003</v>
      </c>
      <c r="G254" s="13">
        <v>0.18296999999999999</v>
      </c>
      <c r="H254">
        <v>9</v>
      </c>
      <c r="I254">
        <v>4</v>
      </c>
      <c r="K254" s="8">
        <f t="shared" si="21"/>
        <v>-0.71165384615414951</v>
      </c>
      <c r="L254" s="8">
        <f t="shared" si="22"/>
        <v>-5.4742603550319194E-2</v>
      </c>
      <c r="M254" s="8">
        <f t="shared" si="23"/>
        <v>-0.67425576922869368</v>
      </c>
      <c r="N254" s="8">
        <f t="shared" si="24"/>
        <v>-5.1865828402207208E-2</v>
      </c>
      <c r="O254" s="8"/>
      <c r="P254" t="s">
        <v>480</v>
      </c>
      <c r="Q254">
        <v>34</v>
      </c>
      <c r="R254" s="8">
        <v>2.8250299999999999</v>
      </c>
      <c r="S254">
        <v>3</v>
      </c>
      <c r="T254" s="8">
        <f t="shared" si="25"/>
        <v>8.8235294117647065E-2</v>
      </c>
      <c r="U254" s="8">
        <v>2.9316499999999999</v>
      </c>
      <c r="V254">
        <v>16</v>
      </c>
      <c r="W254" s="8">
        <f t="shared" si="26"/>
        <v>0.47058823529411764</v>
      </c>
      <c r="X254" s="8">
        <v>2.7971300000000001</v>
      </c>
      <c r="Y254">
        <v>15</v>
      </c>
      <c r="Z254" s="8">
        <f t="shared" si="27"/>
        <v>0.44117647058823528</v>
      </c>
      <c r="AA254" s="8">
        <v>2.8334800000000002</v>
      </c>
    </row>
    <row r="255" spans="2:27" ht="15" customHeight="1" x14ac:dyDescent="0.25">
      <c r="B255" t="s">
        <v>481</v>
      </c>
      <c r="C255" s="8">
        <v>-12549.828600000001</v>
      </c>
      <c r="D255" s="2">
        <v>-12551.296624000001</v>
      </c>
      <c r="F255" s="12">
        <v>0.99665999999999999</v>
      </c>
      <c r="G255" s="13">
        <v>0.19178999999999999</v>
      </c>
      <c r="H255">
        <v>9</v>
      </c>
      <c r="I255">
        <v>4</v>
      </c>
      <c r="K255" s="8">
        <f t="shared" si="21"/>
        <v>-0.81525384615451912</v>
      </c>
      <c r="L255" s="8">
        <f t="shared" si="22"/>
        <v>-6.2711834319578399E-2</v>
      </c>
      <c r="M255" s="8">
        <f t="shared" si="23"/>
        <v>-0.95743276922985388</v>
      </c>
      <c r="N255" s="8">
        <f t="shared" si="24"/>
        <v>-7.3648674556142601E-2</v>
      </c>
      <c r="O255" s="8"/>
      <c r="P255" t="s">
        <v>482</v>
      </c>
      <c r="Q255">
        <v>34</v>
      </c>
      <c r="R255" s="8">
        <v>2.81928</v>
      </c>
      <c r="S255">
        <v>2</v>
      </c>
      <c r="T255" s="8">
        <f t="shared" si="25"/>
        <v>5.8823529411764705E-2</v>
      </c>
      <c r="U255" s="8">
        <v>2.8959000000000001</v>
      </c>
      <c r="V255">
        <v>16</v>
      </c>
      <c r="W255" s="8">
        <f t="shared" si="26"/>
        <v>0.47058823529411764</v>
      </c>
      <c r="X255" s="8">
        <v>2.798</v>
      </c>
      <c r="Y255">
        <v>16</v>
      </c>
      <c r="Z255" s="8">
        <f t="shared" si="27"/>
        <v>0.47058823529411764</v>
      </c>
      <c r="AA255" s="8">
        <v>2.8309799999999998</v>
      </c>
    </row>
    <row r="256" spans="2:27" ht="15" customHeight="1" x14ac:dyDescent="0.25">
      <c r="B256" t="s">
        <v>483</v>
      </c>
      <c r="C256" s="8">
        <v>-12549.845799999999</v>
      </c>
      <c r="D256" s="2">
        <v>-12551.106796</v>
      </c>
      <c r="F256" s="12">
        <v>0.99686300000000005</v>
      </c>
      <c r="G256" s="13">
        <v>0.19369999999999901</v>
      </c>
      <c r="H256">
        <v>9</v>
      </c>
      <c r="I256">
        <v>4</v>
      </c>
      <c r="K256" s="8">
        <f t="shared" si="21"/>
        <v>-0.83245384615293005</v>
      </c>
      <c r="L256" s="8">
        <f t="shared" si="22"/>
        <v>-6.4034911242533077E-2</v>
      </c>
      <c r="M256" s="8">
        <f t="shared" si="23"/>
        <v>-0.76760476922936505</v>
      </c>
      <c r="N256" s="8">
        <f t="shared" si="24"/>
        <v>-5.9046520709951159E-2</v>
      </c>
      <c r="O256" s="8"/>
      <c r="P256" t="s">
        <v>484</v>
      </c>
      <c r="Q256">
        <v>34</v>
      </c>
      <c r="R256" s="8">
        <v>2.81752</v>
      </c>
      <c r="S256">
        <v>2</v>
      </c>
      <c r="T256" s="8">
        <f t="shared" si="25"/>
        <v>5.8823529411764705E-2</v>
      </c>
      <c r="U256" s="8">
        <v>2.81196</v>
      </c>
      <c r="V256">
        <v>17</v>
      </c>
      <c r="W256" s="8">
        <f t="shared" si="26"/>
        <v>0.5</v>
      </c>
      <c r="X256" s="8">
        <v>2.8058399999999999</v>
      </c>
      <c r="Y256">
        <v>15</v>
      </c>
      <c r="Z256" s="8">
        <f t="shared" si="27"/>
        <v>0.44117647058823528</v>
      </c>
      <c r="AA256" s="8">
        <v>2.8315000000000001</v>
      </c>
    </row>
    <row r="257" spans="2:27" ht="15" customHeight="1" x14ac:dyDescent="0.25">
      <c r="B257" t="s">
        <v>485</v>
      </c>
      <c r="C257" s="8">
        <v>-12549.9131</v>
      </c>
      <c r="D257" s="2">
        <v>-12551.375051999999</v>
      </c>
      <c r="F257" s="12">
        <v>0.99746400000000002</v>
      </c>
      <c r="G257" s="13">
        <v>0.20027</v>
      </c>
      <c r="H257">
        <v>9</v>
      </c>
      <c r="I257">
        <v>4</v>
      </c>
      <c r="K257" s="8">
        <f t="shared" si="21"/>
        <v>-0.89975384615354415</v>
      </c>
      <c r="L257" s="8">
        <f t="shared" si="22"/>
        <v>-6.9211834319503396E-2</v>
      </c>
      <c r="M257" s="8">
        <f t="shared" si="23"/>
        <v>-1.0358607692287478</v>
      </c>
      <c r="N257" s="8">
        <f t="shared" si="24"/>
        <v>-7.9681597632980605E-2</v>
      </c>
      <c r="O257" s="8"/>
      <c r="P257" t="s">
        <v>486</v>
      </c>
      <c r="Q257">
        <v>34</v>
      </c>
      <c r="R257" s="8">
        <v>2.8190499999999998</v>
      </c>
      <c r="S257">
        <v>1</v>
      </c>
      <c r="T257" s="8">
        <f t="shared" si="25"/>
        <v>2.9411764705882353E-2</v>
      </c>
      <c r="U257" s="8">
        <v>2.9081700000000001</v>
      </c>
      <c r="V257">
        <v>18</v>
      </c>
      <c r="W257" s="8">
        <f t="shared" si="26"/>
        <v>0.52941176470588236</v>
      </c>
      <c r="X257" s="8">
        <v>2.80558</v>
      </c>
      <c r="Y257">
        <v>15</v>
      </c>
      <c r="Z257" s="8">
        <f t="shared" si="27"/>
        <v>0.44117647058823528</v>
      </c>
      <c r="AA257" s="8">
        <v>2.8292799999999998</v>
      </c>
    </row>
    <row r="258" spans="2:27" ht="15" customHeight="1" x14ac:dyDescent="0.25">
      <c r="B258" t="s">
        <v>487</v>
      </c>
      <c r="C258" s="8">
        <v>-12550.178</v>
      </c>
      <c r="D258" s="2">
        <v>-12551.400297</v>
      </c>
      <c r="F258" s="12">
        <v>0.99699499999999996</v>
      </c>
      <c r="G258" s="13">
        <v>0.19495999999999999</v>
      </c>
      <c r="H258">
        <v>9</v>
      </c>
      <c r="I258">
        <v>4</v>
      </c>
      <c r="K258" s="8">
        <f t="shared" si="21"/>
        <v>-1.1646538461536693</v>
      </c>
      <c r="L258" s="8">
        <f t="shared" si="22"/>
        <v>-8.9588757396436097E-2</v>
      </c>
      <c r="M258" s="8">
        <f t="shared" si="23"/>
        <v>-1.0611057692294708</v>
      </c>
      <c r="N258" s="8">
        <f t="shared" si="24"/>
        <v>-8.1623520709959291E-2</v>
      </c>
      <c r="O258" s="8"/>
      <c r="P258" t="s">
        <v>488</v>
      </c>
      <c r="Q258">
        <v>32</v>
      </c>
      <c r="R258" s="8">
        <v>2.79549</v>
      </c>
      <c r="S258">
        <v>2</v>
      </c>
      <c r="T258" s="8">
        <f t="shared" si="25"/>
        <v>6.25E-2</v>
      </c>
      <c r="U258" s="8">
        <v>2.8724099999999999</v>
      </c>
      <c r="V258">
        <v>16</v>
      </c>
      <c r="W258" s="8">
        <f t="shared" si="26"/>
        <v>0.5</v>
      </c>
      <c r="X258" s="8">
        <v>2.8054199999999998</v>
      </c>
      <c r="Y258">
        <v>14</v>
      </c>
      <c r="Z258" s="8">
        <f t="shared" si="27"/>
        <v>0.4375</v>
      </c>
      <c r="AA258" s="8">
        <v>2.7731499999999998</v>
      </c>
    </row>
    <row r="259" spans="2:27" ht="15" customHeight="1" x14ac:dyDescent="0.25">
      <c r="B259" t="s">
        <v>489</v>
      </c>
      <c r="C259" s="8">
        <v>-12550.008</v>
      </c>
      <c r="D259" s="2">
        <v>-12551.271277</v>
      </c>
      <c r="F259" s="12">
        <v>0.99504199999999998</v>
      </c>
      <c r="G259" s="13">
        <v>0.17992</v>
      </c>
      <c r="H259">
        <v>9</v>
      </c>
      <c r="I259">
        <v>4</v>
      </c>
      <c r="K259" s="8">
        <f t="shared" ref="K259:K322" si="28">IF(ISNUMBER(C259),C259-(($C$3-$C$2236)/($H$3-$H$2236)*H259+$C$2236),"")</f>
        <v>-0.99465384615359653</v>
      </c>
      <c r="L259" s="8">
        <f t="shared" ref="L259:L322" si="29">IF(ISNUMBER(C259),K259/(H259+I259),"")</f>
        <v>-7.6511834319507421E-2</v>
      </c>
      <c r="M259" s="8">
        <f t="shared" ref="M259:M322" si="30">IF(ISNUMBER(D259),D259-(($D$3-$D$2236)/($H$3-$H$2236)*H259+$D$2236),"")</f>
        <v>-0.93208576922916109</v>
      </c>
      <c r="N259" s="8">
        <f t="shared" ref="N259:N322" si="31">IF(ISNUMBER(D259),M259/(H259+I259),"")</f>
        <v>-7.1698905325320084E-2</v>
      </c>
      <c r="O259" s="8"/>
      <c r="P259" t="s">
        <v>490</v>
      </c>
      <c r="Q259">
        <v>34</v>
      </c>
      <c r="R259" s="8">
        <v>2.8165499999999999</v>
      </c>
      <c r="S259">
        <v>2</v>
      </c>
      <c r="T259" s="8">
        <f t="shared" ref="T259:T322" si="32">IF(ISNUMBER(S259),S259/(Q259),"")</f>
        <v>5.8823529411764705E-2</v>
      </c>
      <c r="U259" s="8">
        <v>2.87677</v>
      </c>
      <c r="V259">
        <v>18</v>
      </c>
      <c r="W259" s="8">
        <f t="shared" ref="W259:W322" si="33">IF(ISNUMBER(V259),V259/($Q259),"")</f>
        <v>0.52941176470588236</v>
      </c>
      <c r="X259" s="8">
        <v>2.8022100000000001</v>
      </c>
      <c r="Y259">
        <v>14</v>
      </c>
      <c r="Z259" s="8">
        <f t="shared" ref="Z259:Z322" si="34">IF(ISNUMBER(Y259),Y259/($Q259),"")</f>
        <v>0.41176470588235292</v>
      </c>
      <c r="AA259" s="8">
        <v>2.8263799999999999</v>
      </c>
    </row>
    <row r="260" spans="2:27" ht="15" customHeight="1" x14ac:dyDescent="0.25">
      <c r="B260" t="s">
        <v>491</v>
      </c>
      <c r="C260" s="8">
        <v>-12550.0861</v>
      </c>
      <c r="D260" s="2">
        <v>-12551.340822</v>
      </c>
      <c r="F260" s="12">
        <v>0.99713399999999996</v>
      </c>
      <c r="G260" s="13">
        <v>0.19642999999999899</v>
      </c>
      <c r="H260">
        <v>9</v>
      </c>
      <c r="I260">
        <v>4</v>
      </c>
      <c r="K260" s="8">
        <f t="shared" si="28"/>
        <v>-1.0727538461542281</v>
      </c>
      <c r="L260" s="8">
        <f t="shared" si="29"/>
        <v>-8.2519526627248319E-2</v>
      </c>
      <c r="M260" s="8">
        <f t="shared" si="30"/>
        <v>-1.0016307692294504</v>
      </c>
      <c r="N260" s="8">
        <f t="shared" si="31"/>
        <v>-7.7048520709957727E-2</v>
      </c>
      <c r="O260" s="8"/>
      <c r="P260" t="s">
        <v>492</v>
      </c>
      <c r="Q260">
        <v>36</v>
      </c>
      <c r="R260" s="8">
        <v>2.8446899999999999</v>
      </c>
      <c r="S260">
        <v>2</v>
      </c>
      <c r="T260" s="8">
        <f t="shared" si="32"/>
        <v>5.5555555555555552E-2</v>
      </c>
      <c r="U260" s="8">
        <v>2.9692699999999999</v>
      </c>
      <c r="V260">
        <v>19</v>
      </c>
      <c r="W260" s="8">
        <f t="shared" si="33"/>
        <v>0.52777777777777779</v>
      </c>
      <c r="X260" s="8">
        <v>2.8150599999999999</v>
      </c>
      <c r="Y260">
        <v>15</v>
      </c>
      <c r="Z260" s="8">
        <f t="shared" si="34"/>
        <v>0.41666666666666669</v>
      </c>
      <c r="AA260" s="8">
        <v>2.8656000000000001</v>
      </c>
    </row>
    <row r="261" spans="2:27" ht="15" customHeight="1" x14ac:dyDescent="0.25">
      <c r="B261" t="s">
        <v>493</v>
      </c>
      <c r="C261" s="8">
        <v>-12550.083199999999</v>
      </c>
      <c r="D261" s="2">
        <v>-12551.332069</v>
      </c>
      <c r="F261" s="12">
        <v>0.99653099999999994</v>
      </c>
      <c r="G261" s="13">
        <v>0.19067999999999999</v>
      </c>
      <c r="H261">
        <v>9</v>
      </c>
      <c r="I261">
        <v>4</v>
      </c>
      <c r="K261" s="8">
        <f t="shared" si="28"/>
        <v>-1.0698538461529097</v>
      </c>
      <c r="L261" s="8">
        <f t="shared" si="29"/>
        <v>-8.2296449704069977E-2</v>
      </c>
      <c r="M261" s="8">
        <f t="shared" si="30"/>
        <v>-0.99287776922938065</v>
      </c>
      <c r="N261" s="8">
        <f t="shared" si="31"/>
        <v>-7.6375213017644661E-2</v>
      </c>
      <c r="O261" s="8"/>
      <c r="P261" t="s">
        <v>494</v>
      </c>
      <c r="Q261">
        <v>34</v>
      </c>
      <c r="R261" s="8">
        <v>2.8263600000000002</v>
      </c>
      <c r="S261">
        <v>3</v>
      </c>
      <c r="T261" s="8">
        <f t="shared" si="32"/>
        <v>8.8235294117647065E-2</v>
      </c>
      <c r="U261" s="8">
        <v>2.90157</v>
      </c>
      <c r="V261">
        <v>19</v>
      </c>
      <c r="W261" s="8">
        <f t="shared" si="33"/>
        <v>0.55882352941176472</v>
      </c>
      <c r="X261" s="8">
        <v>2.84057</v>
      </c>
      <c r="Y261">
        <v>12</v>
      </c>
      <c r="Z261" s="8">
        <f t="shared" si="34"/>
        <v>0.35294117647058826</v>
      </c>
      <c r="AA261" s="8">
        <v>2.7850600000000001</v>
      </c>
    </row>
    <row r="262" spans="2:27" ht="15" customHeight="1" x14ac:dyDescent="0.25">
      <c r="B262" t="s">
        <v>495</v>
      </c>
      <c r="C262" s="8">
        <v>-12550.1666</v>
      </c>
      <c r="D262" s="2">
        <v>-12551.416616</v>
      </c>
      <c r="F262" s="12">
        <v>0.99581900000000001</v>
      </c>
      <c r="G262" s="13">
        <v>0.18493000000000001</v>
      </c>
      <c r="H262">
        <v>9</v>
      </c>
      <c r="I262">
        <v>4</v>
      </c>
      <c r="K262" s="8">
        <f t="shared" si="28"/>
        <v>-1.1532538461542572</v>
      </c>
      <c r="L262" s="8">
        <f t="shared" si="29"/>
        <v>-8.8711834319558244E-2</v>
      </c>
      <c r="M262" s="8">
        <f t="shared" si="30"/>
        <v>-1.0774247692297649</v>
      </c>
      <c r="N262" s="8">
        <f t="shared" si="31"/>
        <v>-8.2878828402289606E-2</v>
      </c>
      <c r="O262" s="8"/>
      <c r="P262" t="s">
        <v>496</v>
      </c>
      <c r="Q262">
        <v>36</v>
      </c>
      <c r="R262" s="8">
        <v>2.8406400000000001</v>
      </c>
      <c r="S262">
        <v>2</v>
      </c>
      <c r="T262" s="8">
        <f t="shared" si="32"/>
        <v>5.5555555555555552E-2</v>
      </c>
      <c r="U262" s="8">
        <v>2.8033000000000001</v>
      </c>
      <c r="V262">
        <v>20</v>
      </c>
      <c r="W262" s="8">
        <f t="shared" si="33"/>
        <v>0.55555555555555558</v>
      </c>
      <c r="X262" s="8">
        <v>2.8511600000000001</v>
      </c>
      <c r="Y262">
        <v>14</v>
      </c>
      <c r="Z262" s="8">
        <f t="shared" si="34"/>
        <v>0.3888888888888889</v>
      </c>
      <c r="AA262" s="8">
        <v>2.8309500000000001</v>
      </c>
    </row>
    <row r="263" spans="2:27" ht="15" customHeight="1" x14ac:dyDescent="0.25">
      <c r="B263" t="s">
        <v>497</v>
      </c>
      <c r="C263" s="8">
        <v>-12550.067999999999</v>
      </c>
      <c r="D263" s="2">
        <v>-12551.314966</v>
      </c>
      <c r="F263" s="12">
        <v>0.99683999999999995</v>
      </c>
      <c r="G263" s="13">
        <v>0.19355</v>
      </c>
      <c r="H263">
        <v>9</v>
      </c>
      <c r="I263">
        <v>4</v>
      </c>
      <c r="K263" s="8">
        <f t="shared" si="28"/>
        <v>-1.0546538461530872</v>
      </c>
      <c r="L263" s="8">
        <f t="shared" si="29"/>
        <v>-8.1127218934852863E-2</v>
      </c>
      <c r="M263" s="8">
        <f t="shared" si="30"/>
        <v>-0.97577476922924689</v>
      </c>
      <c r="N263" s="8">
        <f t="shared" si="31"/>
        <v>-7.505959763301899E-2</v>
      </c>
      <c r="O263" s="8"/>
      <c r="P263" t="s">
        <v>498</v>
      </c>
      <c r="Q263">
        <v>36</v>
      </c>
      <c r="R263" s="8">
        <v>2.8431000000000002</v>
      </c>
      <c r="S263">
        <v>3</v>
      </c>
      <c r="T263" s="8">
        <f t="shared" si="32"/>
        <v>8.3333333333333329E-2</v>
      </c>
      <c r="U263" s="8">
        <v>2.8028300000000002</v>
      </c>
      <c r="V263">
        <v>15</v>
      </c>
      <c r="W263" s="8">
        <f t="shared" si="33"/>
        <v>0.41666666666666669</v>
      </c>
      <c r="X263" s="8">
        <v>2.8400500000000002</v>
      </c>
      <c r="Y263">
        <v>18</v>
      </c>
      <c r="Z263" s="8">
        <f t="shared" si="34"/>
        <v>0.5</v>
      </c>
      <c r="AA263" s="8">
        <v>2.8523499999999999</v>
      </c>
    </row>
    <row r="264" spans="2:27" ht="15" customHeight="1" x14ac:dyDescent="0.25">
      <c r="B264" t="s">
        <v>499</v>
      </c>
      <c r="C264" s="8">
        <v>-12550.211799999999</v>
      </c>
      <c r="D264" s="2">
        <v>-12551.453987999999</v>
      </c>
      <c r="F264" s="12">
        <v>0.99587000000000003</v>
      </c>
      <c r="G264" s="13">
        <v>0.18542999999999901</v>
      </c>
      <c r="H264">
        <v>9</v>
      </c>
      <c r="I264">
        <v>4</v>
      </c>
      <c r="K264" s="8">
        <f t="shared" si="28"/>
        <v>-1.1984538461529155</v>
      </c>
      <c r="L264" s="8">
        <f t="shared" si="29"/>
        <v>-9.2188757396378121E-2</v>
      </c>
      <c r="M264" s="8">
        <f t="shared" si="30"/>
        <v>-1.1147967692286329</v>
      </c>
      <c r="N264" s="8">
        <f t="shared" si="31"/>
        <v>-8.5753597632971759E-2</v>
      </c>
      <c r="O264" s="8"/>
      <c r="P264" t="s">
        <v>500</v>
      </c>
      <c r="Q264">
        <v>34</v>
      </c>
      <c r="R264" s="8">
        <v>2.8179500000000002</v>
      </c>
      <c r="S264">
        <v>2</v>
      </c>
      <c r="T264" s="8">
        <f t="shared" si="32"/>
        <v>5.8823529411764705E-2</v>
      </c>
      <c r="U264" s="8">
        <v>2.7867199999999999</v>
      </c>
      <c r="V264">
        <v>15</v>
      </c>
      <c r="W264" s="8">
        <f t="shared" si="33"/>
        <v>0.44117647058823528</v>
      </c>
      <c r="X264" s="8">
        <v>2.8008799999999998</v>
      </c>
      <c r="Y264">
        <v>17</v>
      </c>
      <c r="Z264" s="8">
        <f t="shared" si="34"/>
        <v>0.5</v>
      </c>
      <c r="AA264" s="8">
        <v>2.8366799999999999</v>
      </c>
    </row>
    <row r="265" spans="2:27" ht="15" customHeight="1" x14ac:dyDescent="0.25">
      <c r="B265" t="s">
        <v>501</v>
      </c>
      <c r="C265" s="8">
        <v>-12549.909471000001</v>
      </c>
      <c r="D265" s="2">
        <v>-12551.074455</v>
      </c>
      <c r="F265" s="12">
        <v>0.99851400000000001</v>
      </c>
      <c r="G265" s="13">
        <v>0.21626999999999999</v>
      </c>
      <c r="H265">
        <v>9</v>
      </c>
      <c r="I265">
        <v>4</v>
      </c>
      <c r="K265" s="8">
        <f t="shared" si="28"/>
        <v>-0.89612484615463472</v>
      </c>
      <c r="L265" s="8">
        <f t="shared" si="29"/>
        <v>-6.8932680473433441E-2</v>
      </c>
      <c r="M265" s="8">
        <f t="shared" si="30"/>
        <v>-0.73526376922927739</v>
      </c>
      <c r="N265" s="8">
        <f t="shared" si="31"/>
        <v>-5.6558751479175183E-2</v>
      </c>
      <c r="O265" s="8"/>
      <c r="P265" t="s">
        <v>502</v>
      </c>
      <c r="Q265">
        <v>35</v>
      </c>
      <c r="R265" s="8">
        <v>2.8278099999999999</v>
      </c>
      <c r="S265">
        <v>4</v>
      </c>
      <c r="T265" s="8">
        <f t="shared" si="32"/>
        <v>0.11428571428571428</v>
      </c>
      <c r="U265" s="8">
        <v>2.89438</v>
      </c>
      <c r="V265">
        <v>17</v>
      </c>
      <c r="W265" s="8">
        <f t="shared" si="33"/>
        <v>0.48571428571428571</v>
      </c>
      <c r="X265" s="8">
        <v>2.8195299999999999</v>
      </c>
      <c r="Y265">
        <v>14</v>
      </c>
      <c r="Z265" s="8">
        <f t="shared" si="34"/>
        <v>0.4</v>
      </c>
      <c r="AA265" s="8">
        <v>2.8188399999999998</v>
      </c>
    </row>
    <row r="266" spans="2:27" ht="15" customHeight="1" x14ac:dyDescent="0.25">
      <c r="B266" t="s">
        <v>503</v>
      </c>
      <c r="C266" s="8">
        <v>-12549.6584</v>
      </c>
      <c r="D266" s="2">
        <v>-12550.934517</v>
      </c>
      <c r="F266" s="12">
        <v>0.995614</v>
      </c>
      <c r="G266" s="13">
        <v>0.18365999999999999</v>
      </c>
      <c r="H266">
        <v>9</v>
      </c>
      <c r="I266">
        <v>4</v>
      </c>
      <c r="K266" s="8">
        <f t="shared" si="28"/>
        <v>-0.64505384615404182</v>
      </c>
      <c r="L266" s="8">
        <f t="shared" si="29"/>
        <v>-4.9619526627233984E-2</v>
      </c>
      <c r="M266" s="8">
        <f t="shared" si="30"/>
        <v>-0.59532576922902081</v>
      </c>
      <c r="N266" s="8">
        <f t="shared" si="31"/>
        <v>-4.5794289940693907E-2</v>
      </c>
      <c r="O266" s="8"/>
      <c r="P266" t="s">
        <v>504</v>
      </c>
      <c r="Q266">
        <v>34</v>
      </c>
      <c r="R266" s="8">
        <v>2.8180700000000001</v>
      </c>
      <c r="S266">
        <v>4</v>
      </c>
      <c r="T266" s="8">
        <f t="shared" si="32"/>
        <v>0.11764705882352941</v>
      </c>
      <c r="U266" s="8">
        <v>2.87595</v>
      </c>
      <c r="V266">
        <v>15</v>
      </c>
      <c r="W266" s="8">
        <f t="shared" si="33"/>
        <v>0.44117647058823528</v>
      </c>
      <c r="X266" s="8">
        <v>2.8076500000000002</v>
      </c>
      <c r="Y266">
        <v>15</v>
      </c>
      <c r="Z266" s="8">
        <f t="shared" si="34"/>
        <v>0.44117647058823528</v>
      </c>
      <c r="AA266" s="8">
        <v>2.8130700000000002</v>
      </c>
    </row>
    <row r="267" spans="2:27" ht="15" customHeight="1" x14ac:dyDescent="0.25">
      <c r="B267" t="s">
        <v>505</v>
      </c>
      <c r="C267" s="8">
        <v>-12549.92</v>
      </c>
      <c r="D267" s="2">
        <v>-12551.238004999999</v>
      </c>
      <c r="F267" s="12">
        <v>0.99672000000000005</v>
      </c>
      <c r="G267" s="13">
        <v>0.19225</v>
      </c>
      <c r="H267">
        <v>9</v>
      </c>
      <c r="I267">
        <v>4</v>
      </c>
      <c r="K267" s="8">
        <f t="shared" si="28"/>
        <v>-0.90665384615385847</v>
      </c>
      <c r="L267" s="8">
        <f t="shared" si="29"/>
        <v>-6.9742603550296808E-2</v>
      </c>
      <c r="M267" s="8">
        <f t="shared" si="30"/>
        <v>-0.8988137692285818</v>
      </c>
      <c r="N267" s="8">
        <f t="shared" si="31"/>
        <v>-6.9139520709890906E-2</v>
      </c>
      <c r="O267" s="8"/>
      <c r="P267" t="s">
        <v>506</v>
      </c>
      <c r="Q267">
        <v>37</v>
      </c>
      <c r="R267" s="8">
        <v>2.8509500000000001</v>
      </c>
      <c r="S267">
        <v>4</v>
      </c>
      <c r="T267" s="8">
        <f t="shared" si="32"/>
        <v>0.10810810810810811</v>
      </c>
      <c r="U267" s="8">
        <v>2.9074800000000001</v>
      </c>
      <c r="V267">
        <v>16</v>
      </c>
      <c r="W267" s="8">
        <f t="shared" si="33"/>
        <v>0.43243243243243246</v>
      </c>
      <c r="X267" s="8">
        <v>2.8097300000000001</v>
      </c>
      <c r="Y267">
        <v>17</v>
      </c>
      <c r="Z267" s="8">
        <f t="shared" si="34"/>
        <v>0.45945945945945948</v>
      </c>
      <c r="AA267" s="8">
        <v>2.8764400000000001</v>
      </c>
    </row>
    <row r="268" spans="2:27" ht="15" customHeight="1" x14ac:dyDescent="0.25">
      <c r="B268" t="s">
        <v>507</v>
      </c>
      <c r="C268" s="8">
        <v>-12549.689</v>
      </c>
      <c r="D268" s="2">
        <v>-12551.120856</v>
      </c>
      <c r="F268" s="12">
        <v>0.99756500000000004</v>
      </c>
      <c r="G268" s="13">
        <v>0.201289999999999</v>
      </c>
      <c r="H268">
        <v>9</v>
      </c>
      <c r="I268">
        <v>4</v>
      </c>
      <c r="K268" s="8">
        <f t="shared" si="28"/>
        <v>-0.6756538461540913</v>
      </c>
      <c r="L268" s="8">
        <f t="shared" si="29"/>
        <v>-5.1973372781083944E-2</v>
      </c>
      <c r="M268" s="8">
        <f t="shared" si="30"/>
        <v>-0.78166476922888251</v>
      </c>
      <c r="N268" s="8">
        <f t="shared" si="31"/>
        <v>-6.0128059171452503E-2</v>
      </c>
      <c r="O268" s="8"/>
      <c r="P268" t="s">
        <v>508</v>
      </c>
      <c r="Q268">
        <v>34</v>
      </c>
      <c r="R268" s="8">
        <v>2.82145</v>
      </c>
      <c r="S268">
        <v>5</v>
      </c>
      <c r="T268" s="8">
        <f t="shared" si="32"/>
        <v>0.14705882352941177</v>
      </c>
      <c r="U268" s="8">
        <v>2.79948</v>
      </c>
      <c r="V268">
        <v>11</v>
      </c>
      <c r="W268" s="8">
        <f t="shared" si="33"/>
        <v>0.3235294117647059</v>
      </c>
      <c r="X268" s="8">
        <v>2.8361399999999999</v>
      </c>
      <c r="Y268">
        <v>18</v>
      </c>
      <c r="Z268" s="8">
        <f t="shared" si="34"/>
        <v>0.52941176470588236</v>
      </c>
      <c r="AA268" s="8">
        <v>2.8185699999999998</v>
      </c>
    </row>
    <row r="269" spans="2:27" ht="15" customHeight="1" x14ac:dyDescent="0.25">
      <c r="B269" t="s">
        <v>509</v>
      </c>
      <c r="C269" s="8">
        <v>-12550.062400000001</v>
      </c>
      <c r="D269" s="2">
        <v>-12551.324924</v>
      </c>
      <c r="F269" s="12">
        <v>0.99587599999999998</v>
      </c>
      <c r="G269" s="13">
        <v>0.18558999999999901</v>
      </c>
      <c r="H269">
        <v>9</v>
      </c>
      <c r="I269">
        <v>4</v>
      </c>
      <c r="K269" s="8">
        <f t="shared" si="28"/>
        <v>-1.0490538461544929</v>
      </c>
      <c r="L269" s="8">
        <f t="shared" si="29"/>
        <v>-8.0696449704191764E-2</v>
      </c>
      <c r="M269" s="8">
        <f t="shared" si="30"/>
        <v>-0.98573276922979858</v>
      </c>
      <c r="N269" s="8">
        <f t="shared" si="31"/>
        <v>-7.5825597633061431E-2</v>
      </c>
      <c r="O269" s="8"/>
      <c r="P269" t="s">
        <v>510</v>
      </c>
      <c r="Q269">
        <v>34</v>
      </c>
      <c r="R269" s="8">
        <v>2.8196500000000002</v>
      </c>
      <c r="S269">
        <v>2</v>
      </c>
      <c r="T269" s="8">
        <f t="shared" si="32"/>
        <v>5.8823529411764705E-2</v>
      </c>
      <c r="U269" s="8">
        <v>2.8010199999999998</v>
      </c>
      <c r="V269">
        <v>17</v>
      </c>
      <c r="W269" s="8">
        <f t="shared" si="33"/>
        <v>0.5</v>
      </c>
      <c r="X269" s="8">
        <v>2.8126500000000001</v>
      </c>
      <c r="Y269">
        <v>15</v>
      </c>
      <c r="Z269" s="8">
        <f t="shared" si="34"/>
        <v>0.44117647058823528</v>
      </c>
      <c r="AA269" s="8">
        <v>2.8300700000000001</v>
      </c>
    </row>
    <row r="270" spans="2:27" ht="15" customHeight="1" x14ac:dyDescent="0.25">
      <c r="B270" t="s">
        <v>511</v>
      </c>
      <c r="C270" s="8">
        <v>-12550.036</v>
      </c>
      <c r="D270" s="2">
        <v>-12551.304565</v>
      </c>
      <c r="F270" s="12">
        <v>0.99658100000000005</v>
      </c>
      <c r="G270" s="13">
        <v>0.19114999999999899</v>
      </c>
      <c r="H270">
        <v>9</v>
      </c>
      <c r="I270">
        <v>4</v>
      </c>
      <c r="K270" s="8">
        <f t="shared" si="28"/>
        <v>-1.0226538461538439</v>
      </c>
      <c r="L270" s="8">
        <f t="shared" si="29"/>
        <v>-7.8665680473372607E-2</v>
      </c>
      <c r="M270" s="8">
        <f t="shared" si="30"/>
        <v>-0.96537376922969997</v>
      </c>
      <c r="N270" s="8">
        <f t="shared" si="31"/>
        <v>-7.425952070997692E-2</v>
      </c>
      <c r="O270" s="8"/>
      <c r="P270" t="s">
        <v>512</v>
      </c>
      <c r="Q270">
        <v>32</v>
      </c>
      <c r="R270" s="8">
        <v>2.8011400000000002</v>
      </c>
      <c r="S270">
        <v>2</v>
      </c>
      <c r="T270" s="8">
        <f t="shared" si="32"/>
        <v>6.25E-2</v>
      </c>
      <c r="U270" s="8">
        <v>2.8289599999999999</v>
      </c>
      <c r="V270">
        <v>16</v>
      </c>
      <c r="W270" s="8">
        <f t="shared" si="33"/>
        <v>0.5</v>
      </c>
      <c r="X270" s="8">
        <v>2.7892000000000001</v>
      </c>
      <c r="Y270">
        <v>14</v>
      </c>
      <c r="Z270" s="8">
        <f t="shared" si="34"/>
        <v>0.4375</v>
      </c>
      <c r="AA270" s="8">
        <v>2.81081</v>
      </c>
    </row>
    <row r="271" spans="2:27" ht="15" customHeight="1" x14ac:dyDescent="0.25">
      <c r="B271" t="s">
        <v>513</v>
      </c>
      <c r="C271" s="8">
        <v>-12549.977199999999</v>
      </c>
      <c r="D271" s="2">
        <v>-12551.246292</v>
      </c>
      <c r="F271" s="12">
        <v>0.99639200000000006</v>
      </c>
      <c r="G271" s="13">
        <v>0.18942000000000001</v>
      </c>
      <c r="H271">
        <v>9</v>
      </c>
      <c r="I271">
        <v>4</v>
      </c>
      <c r="K271" s="8">
        <f t="shared" si="28"/>
        <v>-0.96385384615314251</v>
      </c>
      <c r="L271" s="8">
        <f t="shared" si="29"/>
        <v>-7.4142603550241729E-2</v>
      </c>
      <c r="M271" s="8">
        <f t="shared" si="30"/>
        <v>-0.90710076922914595</v>
      </c>
      <c r="N271" s="8">
        <f t="shared" si="31"/>
        <v>-6.9776982248395847E-2</v>
      </c>
      <c r="O271" s="8"/>
      <c r="P271" t="s">
        <v>514</v>
      </c>
      <c r="Q271">
        <v>34</v>
      </c>
      <c r="R271" s="8">
        <v>2.8151600000000001</v>
      </c>
      <c r="S271">
        <v>3</v>
      </c>
      <c r="T271" s="8">
        <f t="shared" si="32"/>
        <v>8.8235294117647065E-2</v>
      </c>
      <c r="U271" s="8">
        <v>2.8175500000000002</v>
      </c>
      <c r="V271">
        <v>15</v>
      </c>
      <c r="W271" s="8">
        <f t="shared" si="33"/>
        <v>0.44117647058823528</v>
      </c>
      <c r="X271" s="8">
        <v>2.81467</v>
      </c>
      <c r="Y271">
        <v>16</v>
      </c>
      <c r="Z271" s="8">
        <f t="shared" si="34"/>
        <v>0.47058823529411764</v>
      </c>
      <c r="AA271" s="8">
        <v>2.8151700000000002</v>
      </c>
    </row>
    <row r="272" spans="2:27" ht="15" customHeight="1" x14ac:dyDescent="0.25">
      <c r="B272" t="s">
        <v>515</v>
      </c>
      <c r="C272" s="8">
        <v>-12550.1487</v>
      </c>
      <c r="D272" s="2">
        <v>-12551.393722999999</v>
      </c>
      <c r="F272" s="12">
        <v>0.99706300000000003</v>
      </c>
      <c r="G272" s="13">
        <v>0.195659999999999</v>
      </c>
      <c r="H272">
        <v>9</v>
      </c>
      <c r="I272">
        <v>4</v>
      </c>
      <c r="K272" s="8">
        <f t="shared" si="28"/>
        <v>-1.1353538461535209</v>
      </c>
      <c r="L272" s="8">
        <f t="shared" si="29"/>
        <v>-8.7334911242578528E-2</v>
      </c>
      <c r="M272" s="8">
        <f t="shared" si="30"/>
        <v>-1.0545317692285607</v>
      </c>
      <c r="N272" s="8">
        <f t="shared" si="31"/>
        <v>-8.1117828402196973E-2</v>
      </c>
      <c r="O272" s="8"/>
      <c r="P272" t="s">
        <v>516</v>
      </c>
      <c r="Q272">
        <v>34</v>
      </c>
      <c r="R272" s="8">
        <v>2.8238599999999998</v>
      </c>
      <c r="S272">
        <v>2</v>
      </c>
      <c r="T272" s="8">
        <f t="shared" si="32"/>
        <v>5.8823529411764705E-2</v>
      </c>
      <c r="U272" s="8">
        <v>2.8447900000000002</v>
      </c>
      <c r="V272">
        <v>17</v>
      </c>
      <c r="W272" s="8">
        <f t="shared" si="33"/>
        <v>0.5</v>
      </c>
      <c r="X272" s="8">
        <v>2.8176100000000002</v>
      </c>
      <c r="Y272">
        <v>15</v>
      </c>
      <c r="Z272" s="8">
        <f t="shared" si="34"/>
        <v>0.44117647058823528</v>
      </c>
      <c r="AA272" s="8">
        <v>2.82816</v>
      </c>
    </row>
    <row r="273" spans="2:27" ht="15" customHeight="1" x14ac:dyDescent="0.25">
      <c r="B273" t="s">
        <v>517</v>
      </c>
      <c r="C273" s="8">
        <v>-12550.054400000001</v>
      </c>
      <c r="D273" s="2">
        <v>-12551.292138999999</v>
      </c>
      <c r="F273" s="12">
        <v>0.99707500000000004</v>
      </c>
      <c r="G273" s="13">
        <v>0.19556999999999999</v>
      </c>
      <c r="H273">
        <v>9</v>
      </c>
      <c r="I273">
        <v>4</v>
      </c>
      <c r="K273" s="8">
        <f t="shared" si="28"/>
        <v>-1.0410538461546821</v>
      </c>
      <c r="L273" s="8">
        <f t="shared" si="29"/>
        <v>-8.0081065088821707E-2</v>
      </c>
      <c r="M273" s="8">
        <f t="shared" si="30"/>
        <v>-0.95294776922855817</v>
      </c>
      <c r="N273" s="8">
        <f t="shared" si="31"/>
        <v>-7.3303674556042933E-2</v>
      </c>
      <c r="O273" s="8"/>
      <c r="P273" t="s">
        <v>518</v>
      </c>
      <c r="Q273">
        <v>32</v>
      </c>
      <c r="R273" s="8">
        <v>2.8017500000000002</v>
      </c>
      <c r="S273">
        <v>3</v>
      </c>
      <c r="T273" s="8">
        <f t="shared" si="32"/>
        <v>9.375E-2</v>
      </c>
      <c r="U273" s="8">
        <v>2.8259599999999998</v>
      </c>
      <c r="V273">
        <v>12</v>
      </c>
      <c r="W273" s="8">
        <f t="shared" si="33"/>
        <v>0.375</v>
      </c>
      <c r="X273" s="8">
        <v>2.77989</v>
      </c>
      <c r="Y273">
        <v>17</v>
      </c>
      <c r="Z273" s="8">
        <f t="shared" si="34"/>
        <v>0.53125</v>
      </c>
      <c r="AA273" s="8">
        <v>2.81291</v>
      </c>
    </row>
    <row r="274" spans="2:27" ht="15" customHeight="1" x14ac:dyDescent="0.25">
      <c r="B274" t="s">
        <v>519</v>
      </c>
      <c r="C274" s="8">
        <v>-12549.817499999999</v>
      </c>
      <c r="D274" s="2">
        <v>-12551.116674999999</v>
      </c>
      <c r="F274" s="12">
        <v>0.99393900000000002</v>
      </c>
      <c r="G274" s="13">
        <v>0.1739</v>
      </c>
      <c r="H274">
        <v>9</v>
      </c>
      <c r="I274">
        <v>4</v>
      </c>
      <c r="K274" s="8">
        <f t="shared" si="28"/>
        <v>-0.80415384615298535</v>
      </c>
      <c r="L274" s="8">
        <f t="shared" si="29"/>
        <v>-6.1857988165614261E-2</v>
      </c>
      <c r="M274" s="8">
        <f t="shared" si="30"/>
        <v>-0.77748376922863827</v>
      </c>
      <c r="N274" s="8">
        <f t="shared" si="31"/>
        <v>-5.9806443786818327E-2</v>
      </c>
      <c r="O274" s="8"/>
      <c r="P274" t="s">
        <v>520</v>
      </c>
      <c r="Q274">
        <v>32</v>
      </c>
      <c r="R274" s="8">
        <v>2.8010000000000002</v>
      </c>
      <c r="S274">
        <v>3</v>
      </c>
      <c r="T274" s="8">
        <f t="shared" si="32"/>
        <v>9.375E-2</v>
      </c>
      <c r="U274" s="8">
        <v>2.8205900000000002</v>
      </c>
      <c r="V274">
        <v>14</v>
      </c>
      <c r="W274" s="8">
        <f t="shared" si="33"/>
        <v>0.4375</v>
      </c>
      <c r="X274" s="8">
        <v>2.7829600000000001</v>
      </c>
      <c r="Y274">
        <v>15</v>
      </c>
      <c r="Z274" s="8">
        <f t="shared" si="34"/>
        <v>0.46875</v>
      </c>
      <c r="AA274" s="8">
        <v>2.81392</v>
      </c>
    </row>
    <row r="275" spans="2:27" ht="15" customHeight="1" x14ac:dyDescent="0.25">
      <c r="B275" t="s">
        <v>521</v>
      </c>
      <c r="C275" s="8">
        <v>-12549.9568</v>
      </c>
      <c r="D275" s="2">
        <v>-12551.254433</v>
      </c>
      <c r="F275" s="12">
        <v>0.99456500000000003</v>
      </c>
      <c r="G275" s="13">
        <v>0.17716999999999899</v>
      </c>
      <c r="H275">
        <v>9</v>
      </c>
      <c r="I275">
        <v>4</v>
      </c>
      <c r="K275" s="8">
        <f t="shared" si="28"/>
        <v>-0.94345384615371586</v>
      </c>
      <c r="L275" s="8">
        <f t="shared" si="29"/>
        <v>-7.2573372781055065E-2</v>
      </c>
      <c r="M275" s="8">
        <f t="shared" si="30"/>
        <v>-0.9152417692293966</v>
      </c>
      <c r="N275" s="8">
        <f t="shared" si="31"/>
        <v>-7.0403213017645891E-2</v>
      </c>
      <c r="O275" s="8"/>
      <c r="P275" t="s">
        <v>522</v>
      </c>
      <c r="Q275">
        <v>35</v>
      </c>
      <c r="R275" s="8">
        <v>2.8346800000000001</v>
      </c>
      <c r="S275">
        <v>3</v>
      </c>
      <c r="T275" s="8">
        <f t="shared" si="32"/>
        <v>8.5714285714285715E-2</v>
      </c>
      <c r="U275" s="8">
        <v>2.9320900000000001</v>
      </c>
      <c r="V275">
        <v>19</v>
      </c>
      <c r="W275" s="8">
        <f t="shared" si="33"/>
        <v>0.54285714285714282</v>
      </c>
      <c r="X275" s="8">
        <v>2.8101400000000001</v>
      </c>
      <c r="Y275">
        <v>13</v>
      </c>
      <c r="Z275" s="8">
        <f t="shared" si="34"/>
        <v>0.37142857142857144</v>
      </c>
      <c r="AA275" s="8">
        <v>2.8480699999999999</v>
      </c>
    </row>
    <row r="276" spans="2:27" ht="15" customHeight="1" x14ac:dyDescent="0.25">
      <c r="B276" t="s">
        <v>523</v>
      </c>
      <c r="C276" s="8">
        <v>-12550.0357</v>
      </c>
      <c r="D276" s="2">
        <v>-12551.461883</v>
      </c>
      <c r="F276" s="12">
        <v>0.99800100000000003</v>
      </c>
      <c r="G276" s="13">
        <v>0.20710000000000001</v>
      </c>
      <c r="H276">
        <v>9</v>
      </c>
      <c r="I276">
        <v>4</v>
      </c>
      <c r="K276" s="8">
        <f t="shared" si="28"/>
        <v>-1.0223538461541466</v>
      </c>
      <c r="L276" s="8">
        <f t="shared" si="29"/>
        <v>-7.8642603550318962E-2</v>
      </c>
      <c r="M276" s="8">
        <f t="shared" si="30"/>
        <v>-1.1226917692292773</v>
      </c>
      <c r="N276" s="8">
        <f t="shared" si="31"/>
        <v>-8.6360905325329015E-2</v>
      </c>
      <c r="O276" s="8"/>
      <c r="P276" t="s">
        <v>524</v>
      </c>
      <c r="Q276">
        <v>36</v>
      </c>
      <c r="R276" s="8">
        <v>2.8445499999999999</v>
      </c>
      <c r="S276">
        <v>3</v>
      </c>
      <c r="T276" s="8">
        <f t="shared" si="32"/>
        <v>8.3333333333333329E-2</v>
      </c>
      <c r="U276" s="8">
        <v>3.05538</v>
      </c>
      <c r="V276">
        <v>20</v>
      </c>
      <c r="W276" s="8">
        <f t="shared" si="33"/>
        <v>0.55555555555555558</v>
      </c>
      <c r="X276" s="8">
        <v>2.8052100000000002</v>
      </c>
      <c r="Y276">
        <v>13</v>
      </c>
      <c r="Z276" s="8">
        <f t="shared" si="34"/>
        <v>0.3611111111111111</v>
      </c>
      <c r="AA276" s="8">
        <v>2.85642</v>
      </c>
    </row>
    <row r="277" spans="2:27" ht="15" customHeight="1" x14ac:dyDescent="0.25">
      <c r="B277" t="s">
        <v>525</v>
      </c>
      <c r="C277" s="8">
        <v>-12549.959500000001</v>
      </c>
      <c r="D277" s="2">
        <v>-12551.251200999999</v>
      </c>
      <c r="F277" s="12">
        <v>0.99577400000000005</v>
      </c>
      <c r="G277" s="13">
        <v>0.18468000000000001</v>
      </c>
      <c r="H277">
        <v>9</v>
      </c>
      <c r="I277">
        <v>4</v>
      </c>
      <c r="K277" s="8">
        <f t="shared" si="28"/>
        <v>-0.94615384615462972</v>
      </c>
      <c r="L277" s="8">
        <f t="shared" si="29"/>
        <v>-7.2781065088817667E-2</v>
      </c>
      <c r="M277" s="8">
        <f t="shared" si="30"/>
        <v>-0.91200976922846166</v>
      </c>
      <c r="N277" s="8">
        <f t="shared" si="31"/>
        <v>-7.0154597632958587E-2</v>
      </c>
      <c r="O277" s="8"/>
      <c r="P277" t="s">
        <v>526</v>
      </c>
      <c r="Q277">
        <v>35</v>
      </c>
      <c r="R277" s="8">
        <v>2.83291</v>
      </c>
      <c r="S277">
        <v>3</v>
      </c>
      <c r="T277" s="8">
        <f t="shared" si="32"/>
        <v>8.5714285714285715E-2</v>
      </c>
      <c r="U277" s="8">
        <v>2.8245100000000001</v>
      </c>
      <c r="V277">
        <v>15</v>
      </c>
      <c r="W277" s="8">
        <f t="shared" si="33"/>
        <v>0.42857142857142855</v>
      </c>
      <c r="X277" s="8">
        <v>2.8250799999999998</v>
      </c>
      <c r="Y277">
        <v>17</v>
      </c>
      <c r="Z277" s="8">
        <f t="shared" si="34"/>
        <v>0.48571428571428571</v>
      </c>
      <c r="AA277" s="8">
        <v>2.84131</v>
      </c>
    </row>
    <row r="278" spans="2:27" ht="15" customHeight="1" x14ac:dyDescent="0.25">
      <c r="B278" t="s">
        <v>527</v>
      </c>
      <c r="C278" s="8">
        <v>-12550.053099999999</v>
      </c>
      <c r="D278" s="2">
        <v>-12551.468042</v>
      </c>
      <c r="F278" s="12">
        <v>0.99522100000000002</v>
      </c>
      <c r="G278" s="13">
        <v>0.18106</v>
      </c>
      <c r="H278">
        <v>9</v>
      </c>
      <c r="I278">
        <v>4</v>
      </c>
      <c r="K278" s="8">
        <f t="shared" si="28"/>
        <v>-1.0397538461529621</v>
      </c>
      <c r="L278" s="8">
        <f t="shared" si="29"/>
        <v>-7.9981065088689393E-2</v>
      </c>
      <c r="M278" s="8">
        <f t="shared" si="30"/>
        <v>-1.1288507692297571</v>
      </c>
      <c r="N278" s="8">
        <f t="shared" si="31"/>
        <v>-8.6834674556135166E-2</v>
      </c>
      <c r="O278" s="8"/>
      <c r="P278" t="s">
        <v>528</v>
      </c>
      <c r="Q278">
        <v>35</v>
      </c>
      <c r="R278" s="8">
        <v>2.8342000000000001</v>
      </c>
      <c r="S278">
        <v>2</v>
      </c>
      <c r="T278" s="8">
        <f t="shared" si="32"/>
        <v>5.7142857142857141E-2</v>
      </c>
      <c r="U278" s="8">
        <v>2.8436699999999999</v>
      </c>
      <c r="V278">
        <v>17</v>
      </c>
      <c r="W278" s="8">
        <f t="shared" si="33"/>
        <v>0.48571428571428571</v>
      </c>
      <c r="X278" s="8">
        <v>2.8204799999999999</v>
      </c>
      <c r="Y278">
        <v>16</v>
      </c>
      <c r="Z278" s="8">
        <f t="shared" si="34"/>
        <v>0.45714285714285713</v>
      </c>
      <c r="AA278" s="8">
        <v>2.8475899999999998</v>
      </c>
    </row>
    <row r="279" spans="2:27" ht="15" customHeight="1" x14ac:dyDescent="0.25">
      <c r="B279" t="s">
        <v>529</v>
      </c>
      <c r="C279" s="8">
        <v>-12550.141</v>
      </c>
      <c r="D279" s="2">
        <v>-12551.39473</v>
      </c>
      <c r="F279" s="12">
        <v>0.99566699999999997</v>
      </c>
      <c r="G279" s="13">
        <v>0.18390000000000001</v>
      </c>
      <c r="H279">
        <v>9</v>
      </c>
      <c r="I279">
        <v>4</v>
      </c>
      <c r="K279" s="8">
        <f t="shared" si="28"/>
        <v>-1.1276538461534074</v>
      </c>
      <c r="L279" s="8">
        <f t="shared" si="29"/>
        <v>-8.6742603550262101E-2</v>
      </c>
      <c r="M279" s="8">
        <f t="shared" si="30"/>
        <v>-1.0555387692293152</v>
      </c>
      <c r="N279" s="8">
        <f t="shared" si="31"/>
        <v>-8.119528994071655E-2</v>
      </c>
      <c r="O279" s="8"/>
      <c r="P279" t="s">
        <v>530</v>
      </c>
      <c r="Q279">
        <v>32</v>
      </c>
      <c r="R279" s="8">
        <v>2.7993700000000001</v>
      </c>
      <c r="S279">
        <v>1</v>
      </c>
      <c r="T279" s="8">
        <f t="shared" si="32"/>
        <v>3.125E-2</v>
      </c>
      <c r="U279" s="8">
        <v>2.7964000000000002</v>
      </c>
      <c r="V279">
        <v>18</v>
      </c>
      <c r="W279" s="8">
        <f t="shared" si="33"/>
        <v>0.5625</v>
      </c>
      <c r="X279" s="8">
        <v>2.79956</v>
      </c>
      <c r="Y279">
        <v>13</v>
      </c>
      <c r="Z279" s="8">
        <f t="shared" si="34"/>
        <v>0.40625</v>
      </c>
      <c r="AA279" s="8">
        <v>2.7993399999999999</v>
      </c>
    </row>
    <row r="280" spans="2:27" ht="15" customHeight="1" x14ac:dyDescent="0.25">
      <c r="B280" t="s">
        <v>531</v>
      </c>
      <c r="C280" s="8">
        <v>-12550.0996</v>
      </c>
      <c r="D280" s="2">
        <v>-12551.465082000001</v>
      </c>
      <c r="F280" s="12">
        <v>0.99611300000000003</v>
      </c>
      <c r="G280" s="13">
        <v>0.187249999999999</v>
      </c>
      <c r="H280">
        <v>9</v>
      </c>
      <c r="I280">
        <v>4</v>
      </c>
      <c r="K280" s="8">
        <f t="shared" si="28"/>
        <v>-1.0862538461533404</v>
      </c>
      <c r="L280" s="8">
        <f t="shared" si="29"/>
        <v>-8.355798816564157E-2</v>
      </c>
      <c r="M280" s="8">
        <f t="shared" si="30"/>
        <v>-1.1258907692299545</v>
      </c>
      <c r="N280" s="8">
        <f t="shared" si="31"/>
        <v>-8.6606982248458031E-2</v>
      </c>
      <c r="O280" s="8"/>
      <c r="P280" t="s">
        <v>532</v>
      </c>
      <c r="Q280">
        <v>34</v>
      </c>
      <c r="R280" s="8">
        <v>2.8198599999999998</v>
      </c>
      <c r="S280">
        <v>2</v>
      </c>
      <c r="T280" s="8">
        <f t="shared" si="32"/>
        <v>5.8823529411764705E-2</v>
      </c>
      <c r="U280" s="8">
        <v>2.8098399999999999</v>
      </c>
      <c r="V280">
        <v>17</v>
      </c>
      <c r="W280" s="8">
        <f t="shared" si="33"/>
        <v>0.5</v>
      </c>
      <c r="X280" s="8">
        <v>2.8169200000000001</v>
      </c>
      <c r="Y280">
        <v>15</v>
      </c>
      <c r="Z280" s="8">
        <f t="shared" si="34"/>
        <v>0.44117647058823528</v>
      </c>
      <c r="AA280" s="8">
        <v>2.8245300000000002</v>
      </c>
    </row>
    <row r="281" spans="2:27" ht="15" customHeight="1" x14ac:dyDescent="0.25">
      <c r="B281" t="s">
        <v>533</v>
      </c>
      <c r="C281" s="8">
        <v>-12550.2063</v>
      </c>
      <c r="D281" s="2">
        <v>-12551.476767</v>
      </c>
      <c r="F281" s="12">
        <v>0.99617800000000001</v>
      </c>
      <c r="G281" s="13">
        <v>0.18773999999999899</v>
      </c>
      <c r="H281">
        <v>9</v>
      </c>
      <c r="I281">
        <v>4</v>
      </c>
      <c r="K281" s="8">
        <f t="shared" si="28"/>
        <v>-1.192953846153614</v>
      </c>
      <c r="L281" s="8">
        <f t="shared" si="29"/>
        <v>-9.1765680473354927E-2</v>
      </c>
      <c r="M281" s="8">
        <f t="shared" si="30"/>
        <v>-1.1375757692294428</v>
      </c>
      <c r="N281" s="8">
        <f t="shared" si="31"/>
        <v>-8.7505828402264826E-2</v>
      </c>
      <c r="O281" s="8"/>
      <c r="P281" t="s">
        <v>534</v>
      </c>
      <c r="Q281">
        <v>34</v>
      </c>
      <c r="R281" s="8">
        <v>2.8197999999999999</v>
      </c>
      <c r="S281">
        <v>1</v>
      </c>
      <c r="T281" s="8">
        <f t="shared" si="32"/>
        <v>2.9411764705882353E-2</v>
      </c>
      <c r="U281" s="8">
        <v>2.7251799999999999</v>
      </c>
      <c r="V281">
        <v>19</v>
      </c>
      <c r="W281" s="8">
        <f t="shared" si="33"/>
        <v>0.55882352941176472</v>
      </c>
      <c r="X281" s="8">
        <v>2.8178800000000002</v>
      </c>
      <c r="Y281">
        <v>14</v>
      </c>
      <c r="Z281" s="8">
        <f t="shared" si="34"/>
        <v>0.41176470588235292</v>
      </c>
      <c r="AA281" s="8">
        <v>2.82917</v>
      </c>
    </row>
    <row r="282" spans="2:27" ht="15" customHeight="1" x14ac:dyDescent="0.25">
      <c r="B282" s="7" t="s">
        <v>535</v>
      </c>
      <c r="C282" s="5">
        <v>-12550.225399999999</v>
      </c>
      <c r="D282" s="23">
        <v>-12551.492364</v>
      </c>
      <c r="E282" s="7"/>
      <c r="F282" s="21">
        <v>0.998309</v>
      </c>
      <c r="G282" s="22">
        <v>0.21232999999999999</v>
      </c>
      <c r="H282" s="7">
        <v>9</v>
      </c>
      <c r="I282" s="7">
        <v>4</v>
      </c>
      <c r="K282" s="8">
        <f t="shared" si="28"/>
        <v>-1.2120538461531396</v>
      </c>
      <c r="L282" s="8">
        <f t="shared" si="29"/>
        <v>-9.3234911242549207E-2</v>
      </c>
      <c r="M282" s="8">
        <f t="shared" si="30"/>
        <v>-1.1531727692290588</v>
      </c>
      <c r="N282" s="8">
        <f t="shared" si="31"/>
        <v>-8.8705597633004521E-2</v>
      </c>
      <c r="O282" s="8"/>
      <c r="P282" t="s">
        <v>536</v>
      </c>
      <c r="Q282">
        <v>32</v>
      </c>
      <c r="R282" s="8">
        <v>2.7981500000000001</v>
      </c>
      <c r="S282">
        <v>2</v>
      </c>
      <c r="T282" s="8">
        <f t="shared" si="32"/>
        <v>6.25E-2</v>
      </c>
      <c r="U282" s="8">
        <v>2.7662499999999999</v>
      </c>
      <c r="V282">
        <v>14</v>
      </c>
      <c r="W282" s="8">
        <f t="shared" si="33"/>
        <v>0.4375</v>
      </c>
      <c r="X282" s="8">
        <v>2.78755</v>
      </c>
      <c r="Y282">
        <v>16</v>
      </c>
      <c r="Z282" s="8">
        <f t="shared" si="34"/>
        <v>0.5</v>
      </c>
      <c r="AA282" s="8">
        <v>2.81142</v>
      </c>
    </row>
    <row r="283" spans="2:27" ht="15" customHeight="1" x14ac:dyDescent="0.25">
      <c r="B283" t="s">
        <v>537</v>
      </c>
      <c r="C283" s="8">
        <v>-12549.9725</v>
      </c>
      <c r="D283" s="2">
        <v>-12551.271616</v>
      </c>
      <c r="F283" s="12">
        <v>0.99569300000000005</v>
      </c>
      <c r="G283" s="13">
        <v>0.18412999999999999</v>
      </c>
      <c r="H283">
        <v>9</v>
      </c>
      <c r="I283">
        <v>4</v>
      </c>
      <c r="K283" s="8">
        <f t="shared" si="28"/>
        <v>-0.95915384615364019</v>
      </c>
      <c r="L283" s="8">
        <f t="shared" si="29"/>
        <v>-7.3781065088741549E-2</v>
      </c>
      <c r="M283" s="8">
        <f t="shared" si="30"/>
        <v>-0.93242476922932838</v>
      </c>
      <c r="N283" s="8">
        <f t="shared" si="31"/>
        <v>-7.1724982248409869E-2</v>
      </c>
      <c r="O283" s="8"/>
      <c r="P283" t="s">
        <v>538</v>
      </c>
      <c r="Q283">
        <v>34</v>
      </c>
      <c r="R283" s="8">
        <v>2.8193000000000001</v>
      </c>
      <c r="S283">
        <v>3</v>
      </c>
      <c r="T283" s="8">
        <f t="shared" si="32"/>
        <v>8.8235294117647065E-2</v>
      </c>
      <c r="U283" s="8">
        <v>2.82925</v>
      </c>
      <c r="V283">
        <v>18</v>
      </c>
      <c r="W283" s="8">
        <f t="shared" si="33"/>
        <v>0.52941176470588236</v>
      </c>
      <c r="X283" s="8">
        <v>2.8302700000000001</v>
      </c>
      <c r="Y283">
        <v>13</v>
      </c>
      <c r="Z283" s="8">
        <f t="shared" si="34"/>
        <v>0.38235294117647056</v>
      </c>
      <c r="AA283" s="8">
        <v>2.8018299999999998</v>
      </c>
    </row>
    <row r="284" spans="2:27" ht="15" customHeight="1" x14ac:dyDescent="0.25">
      <c r="B284" t="s">
        <v>539</v>
      </c>
      <c r="C284" s="8">
        <v>-12549.910400000001</v>
      </c>
      <c r="D284" s="2">
        <v>-12551.216777</v>
      </c>
      <c r="F284" s="12">
        <v>0.99597000000000002</v>
      </c>
      <c r="G284" s="13">
        <v>0.18615000000000001</v>
      </c>
      <c r="H284">
        <v>9</v>
      </c>
      <c r="I284">
        <v>4</v>
      </c>
      <c r="K284" s="8">
        <f t="shared" si="28"/>
        <v>-0.89705384615444927</v>
      </c>
      <c r="L284" s="8">
        <f t="shared" si="29"/>
        <v>-6.9004142011880709E-2</v>
      </c>
      <c r="M284" s="8">
        <f t="shared" si="30"/>
        <v>-0.87758576922897191</v>
      </c>
      <c r="N284" s="8">
        <f t="shared" si="31"/>
        <v>-6.7506597632997836E-2</v>
      </c>
      <c r="O284" s="8"/>
      <c r="P284" t="s">
        <v>540</v>
      </c>
      <c r="Q284">
        <v>34</v>
      </c>
      <c r="R284" s="8">
        <v>2.8202199999999999</v>
      </c>
      <c r="S284">
        <v>3</v>
      </c>
      <c r="T284" s="8">
        <f t="shared" si="32"/>
        <v>8.8235294117647065E-2</v>
      </c>
      <c r="U284" s="8">
        <v>2.8953000000000002</v>
      </c>
      <c r="V284">
        <v>17</v>
      </c>
      <c r="W284" s="8">
        <f t="shared" si="33"/>
        <v>0.5</v>
      </c>
      <c r="X284" s="8">
        <v>2.7970799999999998</v>
      </c>
      <c r="Y284">
        <v>14</v>
      </c>
      <c r="Z284" s="8">
        <f t="shared" si="34"/>
        <v>0.41176470588235292</v>
      </c>
      <c r="AA284" s="8">
        <v>2.83223</v>
      </c>
    </row>
    <row r="285" spans="2:27" ht="15" customHeight="1" x14ac:dyDescent="0.25">
      <c r="B285" t="s">
        <v>541</v>
      </c>
      <c r="C285" s="8">
        <v>-12549.9467</v>
      </c>
      <c r="D285" s="2">
        <v>-12551.223878999999</v>
      </c>
      <c r="F285" s="12">
        <v>0.99876900000000002</v>
      </c>
      <c r="G285" s="13">
        <v>0.21822999999999901</v>
      </c>
      <c r="H285">
        <v>9</v>
      </c>
      <c r="I285">
        <v>4</v>
      </c>
      <c r="K285" s="8">
        <f t="shared" si="28"/>
        <v>-0.9333538461542048</v>
      </c>
      <c r="L285" s="8">
        <f t="shared" si="29"/>
        <v>-7.1796449704169596E-2</v>
      </c>
      <c r="M285" s="8">
        <f t="shared" si="30"/>
        <v>-0.88468776922854886</v>
      </c>
      <c r="N285" s="8">
        <f t="shared" si="31"/>
        <v>-6.8052905325272986E-2</v>
      </c>
      <c r="O285" s="8"/>
      <c r="P285" t="s">
        <v>542</v>
      </c>
      <c r="Q285">
        <v>33</v>
      </c>
      <c r="R285" s="8">
        <v>2.8176000000000001</v>
      </c>
      <c r="S285">
        <v>3</v>
      </c>
      <c r="T285" s="8">
        <f t="shared" si="32"/>
        <v>9.0909090909090912E-2</v>
      </c>
      <c r="U285" s="8">
        <v>2.9224100000000002</v>
      </c>
      <c r="V285">
        <v>18</v>
      </c>
      <c r="W285" s="8">
        <f t="shared" si="33"/>
        <v>0.54545454545454541</v>
      </c>
      <c r="X285" s="8">
        <v>2.8093599999999999</v>
      </c>
      <c r="Y285">
        <v>12</v>
      </c>
      <c r="Z285" s="8">
        <f t="shared" si="34"/>
        <v>0.36363636363636365</v>
      </c>
      <c r="AA285" s="8">
        <v>2.80375</v>
      </c>
    </row>
    <row r="286" spans="2:27" ht="15" customHeight="1" x14ac:dyDescent="0.25">
      <c r="B286" t="s">
        <v>543</v>
      </c>
      <c r="C286" s="8">
        <v>-12549.979300000001</v>
      </c>
      <c r="D286" s="2">
        <v>-12551.245499000001</v>
      </c>
      <c r="F286" s="12">
        <v>0.99720600000000004</v>
      </c>
      <c r="G286" s="13">
        <v>0.19716</v>
      </c>
      <c r="H286">
        <v>9</v>
      </c>
      <c r="I286">
        <v>4</v>
      </c>
      <c r="K286" s="8">
        <f t="shared" si="28"/>
        <v>-0.96595384615466173</v>
      </c>
      <c r="L286" s="8">
        <f t="shared" si="29"/>
        <v>-7.4304142011897056E-2</v>
      </c>
      <c r="M286" s="8">
        <f t="shared" si="30"/>
        <v>-0.90630776922989753</v>
      </c>
      <c r="N286" s="8">
        <f t="shared" si="31"/>
        <v>-6.9715982248453656E-2</v>
      </c>
      <c r="O286" s="8"/>
      <c r="P286" t="s">
        <v>544</v>
      </c>
      <c r="Q286">
        <v>35</v>
      </c>
      <c r="R286" s="8">
        <v>2.8376800000000002</v>
      </c>
      <c r="S286">
        <v>3</v>
      </c>
      <c r="T286" s="8">
        <f t="shared" si="32"/>
        <v>8.5714285714285715E-2</v>
      </c>
      <c r="U286" s="8">
        <v>2.8591000000000002</v>
      </c>
      <c r="V286">
        <v>17</v>
      </c>
      <c r="W286" s="8">
        <f t="shared" si="33"/>
        <v>0.48571428571428571</v>
      </c>
      <c r="X286" s="8">
        <v>2.8517600000000001</v>
      </c>
      <c r="Y286">
        <v>15</v>
      </c>
      <c r="Z286" s="8">
        <f t="shared" si="34"/>
        <v>0.42857142857142855</v>
      </c>
      <c r="AA286" s="8">
        <v>2.8174299999999999</v>
      </c>
    </row>
    <row r="287" spans="2:27" ht="15" customHeight="1" x14ac:dyDescent="0.25">
      <c r="B287" t="s">
        <v>545</v>
      </c>
      <c r="C287" s="8">
        <v>-12550.082399999999</v>
      </c>
      <c r="D287" s="2">
        <v>-12551.365614</v>
      </c>
      <c r="F287" s="12">
        <v>0.99546800000000002</v>
      </c>
      <c r="G287" s="13">
        <v>0.18265999999999999</v>
      </c>
      <c r="H287">
        <v>9</v>
      </c>
      <c r="I287">
        <v>4</v>
      </c>
      <c r="K287" s="8">
        <f t="shared" si="28"/>
        <v>-1.0690538461531105</v>
      </c>
      <c r="L287" s="8">
        <f t="shared" si="29"/>
        <v>-8.2234911242546962E-2</v>
      </c>
      <c r="M287" s="8">
        <f t="shared" si="30"/>
        <v>-1.0264227692296117</v>
      </c>
      <c r="N287" s="8">
        <f t="shared" si="31"/>
        <v>-7.8955597633047062E-2</v>
      </c>
      <c r="O287" s="8"/>
      <c r="P287" t="s">
        <v>546</v>
      </c>
      <c r="Q287">
        <v>33</v>
      </c>
      <c r="R287" s="8">
        <v>2.8135400000000002</v>
      </c>
      <c r="S287">
        <v>2</v>
      </c>
      <c r="T287" s="8">
        <f t="shared" si="32"/>
        <v>6.0606060606060608E-2</v>
      </c>
      <c r="U287" s="8">
        <v>2.7640799999999999</v>
      </c>
      <c r="V287">
        <v>17</v>
      </c>
      <c r="W287" s="8">
        <f t="shared" si="33"/>
        <v>0.51515151515151514</v>
      </c>
      <c r="X287" s="8">
        <v>2.8339300000000001</v>
      </c>
      <c r="Y287">
        <v>14</v>
      </c>
      <c r="Z287" s="8">
        <f t="shared" si="34"/>
        <v>0.42424242424242425</v>
      </c>
      <c r="AA287" s="8">
        <v>2.7958500000000002</v>
      </c>
    </row>
    <row r="288" spans="2:27" ht="15" customHeight="1" x14ac:dyDescent="0.25">
      <c r="B288" t="s">
        <v>547</v>
      </c>
      <c r="C288" s="8">
        <v>-12549.965700000001</v>
      </c>
      <c r="D288" s="2">
        <v>-12551.280446000001</v>
      </c>
      <c r="F288" s="12">
        <v>0.99160400000000004</v>
      </c>
      <c r="G288" s="13">
        <v>0.164099999999999</v>
      </c>
      <c r="H288">
        <v>9</v>
      </c>
      <c r="I288">
        <v>4</v>
      </c>
      <c r="K288" s="8">
        <f t="shared" si="28"/>
        <v>-0.95235384615443763</v>
      </c>
      <c r="L288" s="8">
        <f t="shared" si="29"/>
        <v>-7.3257988165725971E-2</v>
      </c>
      <c r="M288" s="8">
        <f t="shared" si="30"/>
        <v>-0.94125476922999951</v>
      </c>
      <c r="N288" s="8">
        <f t="shared" si="31"/>
        <v>-7.2404213017692273E-2</v>
      </c>
      <c r="O288" s="8"/>
      <c r="P288" t="s">
        <v>548</v>
      </c>
      <c r="Q288">
        <v>35</v>
      </c>
      <c r="R288" s="8">
        <v>2.8289499999999999</v>
      </c>
      <c r="S288">
        <v>1</v>
      </c>
      <c r="T288" s="8">
        <f t="shared" si="32"/>
        <v>2.8571428571428571E-2</v>
      </c>
      <c r="U288" s="8">
        <v>2.8933599999999999</v>
      </c>
      <c r="V288">
        <v>22</v>
      </c>
      <c r="W288" s="8">
        <f t="shared" si="33"/>
        <v>0.62857142857142856</v>
      </c>
      <c r="X288" s="8">
        <v>2.8406400000000001</v>
      </c>
      <c r="Y288">
        <v>12</v>
      </c>
      <c r="Z288" s="8">
        <f t="shared" si="34"/>
        <v>0.34285714285714286</v>
      </c>
      <c r="AA288" s="8">
        <v>2.8021500000000001</v>
      </c>
    </row>
    <row r="289" spans="2:27" ht="15" customHeight="1" x14ac:dyDescent="0.25">
      <c r="B289" t="s">
        <v>549</v>
      </c>
      <c r="C289" s="8">
        <v>-12550.0746</v>
      </c>
      <c r="D289" s="2">
        <v>-12551.335714000001</v>
      </c>
      <c r="F289" s="12">
        <v>0.99512500000000004</v>
      </c>
      <c r="G289" s="13">
        <v>0.18042</v>
      </c>
      <c r="H289">
        <v>9</v>
      </c>
      <c r="I289">
        <v>4</v>
      </c>
      <c r="K289" s="8">
        <f t="shared" si="28"/>
        <v>-1.0612538461537042</v>
      </c>
      <c r="L289" s="8">
        <f t="shared" si="29"/>
        <v>-8.1634911242592631E-2</v>
      </c>
      <c r="M289" s="8">
        <f t="shared" si="30"/>
        <v>-0.99652276923006866</v>
      </c>
      <c r="N289" s="8">
        <f t="shared" si="31"/>
        <v>-7.6655597633082204E-2</v>
      </c>
      <c r="O289" s="8"/>
      <c r="P289" t="s">
        <v>550</v>
      </c>
      <c r="Q289">
        <v>34</v>
      </c>
      <c r="R289" s="8">
        <v>2.8227500000000001</v>
      </c>
      <c r="S289">
        <v>1</v>
      </c>
      <c r="T289" s="8">
        <f t="shared" si="32"/>
        <v>2.9411764705882353E-2</v>
      </c>
      <c r="U289" s="8">
        <v>2.99546</v>
      </c>
      <c r="V289">
        <v>19</v>
      </c>
      <c r="W289" s="8">
        <f t="shared" si="33"/>
        <v>0.55882352941176472</v>
      </c>
      <c r="X289" s="8">
        <v>2.8003999999999998</v>
      </c>
      <c r="Y289">
        <v>14</v>
      </c>
      <c r="Z289" s="8">
        <f t="shared" si="34"/>
        <v>0.41176470588235292</v>
      </c>
      <c r="AA289" s="8">
        <v>2.8407300000000002</v>
      </c>
    </row>
    <row r="290" spans="2:27" ht="15" customHeight="1" x14ac:dyDescent="0.25">
      <c r="B290" t="s">
        <v>551</v>
      </c>
      <c r="C290" s="8">
        <v>-12549.9719</v>
      </c>
      <c r="D290" s="2">
        <v>-12551.234397</v>
      </c>
      <c r="F290" s="12">
        <v>0.99610200000000004</v>
      </c>
      <c r="G290" s="13">
        <v>0.18712999999999999</v>
      </c>
      <c r="H290">
        <v>9</v>
      </c>
      <c r="I290">
        <v>4</v>
      </c>
      <c r="K290" s="8">
        <f t="shared" si="28"/>
        <v>-0.95855384615424555</v>
      </c>
      <c r="L290" s="8">
        <f t="shared" si="29"/>
        <v>-7.3734911242634274E-2</v>
      </c>
      <c r="M290" s="8">
        <f t="shared" si="30"/>
        <v>-0.89520576922950568</v>
      </c>
      <c r="N290" s="8">
        <f t="shared" si="31"/>
        <v>-6.886198224842352E-2</v>
      </c>
      <c r="O290" s="8"/>
      <c r="P290" t="s">
        <v>552</v>
      </c>
      <c r="Q290">
        <v>34</v>
      </c>
      <c r="R290" s="8">
        <v>2.8198799999999999</v>
      </c>
      <c r="S290">
        <v>2</v>
      </c>
      <c r="T290" s="8">
        <f t="shared" si="32"/>
        <v>5.8823529411764705E-2</v>
      </c>
      <c r="U290" s="8">
        <v>2.7699500000000001</v>
      </c>
      <c r="V290">
        <v>17</v>
      </c>
      <c r="W290" s="8">
        <f t="shared" si="33"/>
        <v>0.5</v>
      </c>
      <c r="X290" s="8">
        <v>2.82965</v>
      </c>
      <c r="Y290">
        <v>15</v>
      </c>
      <c r="Z290" s="8">
        <f t="shared" si="34"/>
        <v>0.44117647058823528</v>
      </c>
      <c r="AA290" s="8">
        <v>2.8154699999999999</v>
      </c>
    </row>
    <row r="291" spans="2:27" ht="15" customHeight="1" x14ac:dyDescent="0.25">
      <c r="B291" t="s">
        <v>553</v>
      </c>
      <c r="C291" s="8">
        <v>-12550.0898</v>
      </c>
      <c r="D291" s="2">
        <v>-12551.422585</v>
      </c>
      <c r="F291" s="12">
        <v>0.99507299999999999</v>
      </c>
      <c r="G291" s="13">
        <v>0.180139999999999</v>
      </c>
      <c r="H291">
        <v>9</v>
      </c>
      <c r="I291">
        <v>4</v>
      </c>
      <c r="K291" s="8">
        <f t="shared" si="28"/>
        <v>-1.0764538461535267</v>
      </c>
      <c r="L291" s="8">
        <f t="shared" si="29"/>
        <v>-8.2804142011809745E-2</v>
      </c>
      <c r="M291" s="8">
        <f t="shared" si="30"/>
        <v>-1.0833937692295876</v>
      </c>
      <c r="N291" s="8">
        <f t="shared" si="31"/>
        <v>-8.3337982248429823E-2</v>
      </c>
      <c r="O291" s="8"/>
      <c r="P291" t="s">
        <v>554</v>
      </c>
      <c r="Q291">
        <v>34</v>
      </c>
      <c r="R291" s="8">
        <v>2.8229899999999999</v>
      </c>
      <c r="S291">
        <v>2</v>
      </c>
      <c r="T291" s="8">
        <f t="shared" si="32"/>
        <v>5.8823529411764705E-2</v>
      </c>
      <c r="U291" s="8">
        <v>2.8281800000000001</v>
      </c>
      <c r="V291">
        <v>14</v>
      </c>
      <c r="W291" s="8">
        <f t="shared" si="33"/>
        <v>0.41176470588235292</v>
      </c>
      <c r="X291" s="8">
        <v>2.7977699999999999</v>
      </c>
      <c r="Y291">
        <v>18</v>
      </c>
      <c r="Z291" s="8">
        <f t="shared" si="34"/>
        <v>0.52941176470588236</v>
      </c>
      <c r="AA291" s="8">
        <v>2.8420299999999998</v>
      </c>
    </row>
    <row r="292" spans="2:27" ht="15" customHeight="1" x14ac:dyDescent="0.25">
      <c r="B292" t="s">
        <v>555</v>
      </c>
      <c r="C292" s="8">
        <v>-12549.621161999999</v>
      </c>
      <c r="D292" s="2">
        <v>-12550.986193000001</v>
      </c>
      <c r="F292" s="12">
        <v>0.99445099999999997</v>
      </c>
      <c r="G292" s="13">
        <v>0.17649999999999999</v>
      </c>
      <c r="H292">
        <v>9</v>
      </c>
      <c r="I292">
        <v>4</v>
      </c>
      <c r="K292" s="8">
        <f t="shared" si="28"/>
        <v>-0.60781584615324391</v>
      </c>
      <c r="L292" s="8">
        <f t="shared" si="29"/>
        <v>-4.6755065088711072E-2</v>
      </c>
      <c r="M292" s="8">
        <f t="shared" si="30"/>
        <v>-0.64700176922997343</v>
      </c>
      <c r="N292" s="8">
        <f t="shared" si="31"/>
        <v>-4.976936686384411E-2</v>
      </c>
      <c r="O292" s="8"/>
      <c r="P292" t="s">
        <v>556</v>
      </c>
      <c r="Q292">
        <v>34</v>
      </c>
      <c r="R292" s="8">
        <v>2.8243800000000001</v>
      </c>
      <c r="S292">
        <v>3</v>
      </c>
      <c r="T292" s="8">
        <f t="shared" si="32"/>
        <v>8.8235294117647065E-2</v>
      </c>
      <c r="U292" s="8">
        <v>2.8407100000000001</v>
      </c>
      <c r="V292">
        <v>15</v>
      </c>
      <c r="W292" s="8">
        <f t="shared" si="33"/>
        <v>0.44117647058823528</v>
      </c>
      <c r="X292" s="8">
        <v>2.78186</v>
      </c>
      <c r="Y292">
        <v>16</v>
      </c>
      <c r="Z292" s="8">
        <f t="shared" si="34"/>
        <v>0.47058823529411764</v>
      </c>
      <c r="AA292" s="8">
        <v>2.8611800000000001</v>
      </c>
    </row>
    <row r="293" spans="2:27" ht="15" customHeight="1" x14ac:dyDescent="0.25">
      <c r="B293" t="s">
        <v>557</v>
      </c>
      <c r="C293" s="8">
        <v>-12549.733700000001</v>
      </c>
      <c r="D293" s="2">
        <v>-12551.102424999999</v>
      </c>
      <c r="F293" s="12">
        <v>0.99563299999999999</v>
      </c>
      <c r="G293" s="13">
        <v>0.18379000000000001</v>
      </c>
      <c r="H293">
        <v>9</v>
      </c>
      <c r="I293">
        <v>4</v>
      </c>
      <c r="K293" s="8">
        <f t="shared" si="28"/>
        <v>-0.72035384615446674</v>
      </c>
      <c r="L293" s="8">
        <f t="shared" si="29"/>
        <v>-5.5411834319574367E-2</v>
      </c>
      <c r="M293" s="8">
        <f t="shared" si="30"/>
        <v>-0.76323376922846364</v>
      </c>
      <c r="N293" s="8">
        <f t="shared" si="31"/>
        <v>-5.8710289940651049E-2</v>
      </c>
      <c r="O293" s="8"/>
      <c r="P293" t="s">
        <v>558</v>
      </c>
      <c r="Q293">
        <v>34</v>
      </c>
      <c r="R293" s="8">
        <v>2.8233999999999999</v>
      </c>
      <c r="S293">
        <v>3</v>
      </c>
      <c r="T293" s="8">
        <f t="shared" si="32"/>
        <v>8.8235294117647065E-2</v>
      </c>
      <c r="U293" s="8">
        <v>2.8260700000000001</v>
      </c>
      <c r="V293">
        <v>16</v>
      </c>
      <c r="W293" s="8">
        <f t="shared" si="33"/>
        <v>0.47058823529411764</v>
      </c>
      <c r="X293" s="8">
        <v>2.8115800000000002</v>
      </c>
      <c r="Y293">
        <v>15</v>
      </c>
      <c r="Z293" s="8">
        <f t="shared" si="34"/>
        <v>0.44117647058823528</v>
      </c>
      <c r="AA293" s="8">
        <v>2.8354699999999999</v>
      </c>
    </row>
    <row r="294" spans="2:27" ht="15" customHeight="1" x14ac:dyDescent="0.25">
      <c r="B294" t="s">
        <v>559</v>
      </c>
      <c r="C294" s="8">
        <v>-12549.704900000001</v>
      </c>
      <c r="D294" s="2">
        <v>-12551.006942</v>
      </c>
      <c r="F294" s="12">
        <v>0.99629599999999996</v>
      </c>
      <c r="G294" s="13">
        <v>0.18806999999999999</v>
      </c>
      <c r="H294">
        <v>9</v>
      </c>
      <c r="I294">
        <v>4</v>
      </c>
      <c r="K294" s="8">
        <f t="shared" si="28"/>
        <v>-0.69155384615442017</v>
      </c>
      <c r="L294" s="8">
        <f t="shared" si="29"/>
        <v>-5.3196449704186168E-2</v>
      </c>
      <c r="M294" s="8">
        <f t="shared" si="30"/>
        <v>-0.66775076922931476</v>
      </c>
      <c r="N294" s="8">
        <f t="shared" si="31"/>
        <v>-5.1365443786870364E-2</v>
      </c>
      <c r="O294" s="8"/>
      <c r="P294" t="s">
        <v>560</v>
      </c>
      <c r="Q294">
        <v>34</v>
      </c>
      <c r="R294" s="8">
        <v>2.82056</v>
      </c>
      <c r="S294">
        <v>4</v>
      </c>
      <c r="T294" s="8">
        <f t="shared" si="32"/>
        <v>0.11764705882352941</v>
      </c>
      <c r="U294" s="8">
        <v>2.8266499999999999</v>
      </c>
      <c r="V294">
        <v>14</v>
      </c>
      <c r="W294" s="8">
        <f t="shared" si="33"/>
        <v>0.41176470588235292</v>
      </c>
      <c r="X294" s="8">
        <v>2.82457</v>
      </c>
      <c r="Y294">
        <v>16</v>
      </c>
      <c r="Z294" s="8">
        <f t="shared" si="34"/>
        <v>0.47058823529411764</v>
      </c>
      <c r="AA294" s="8">
        <v>2.8155299999999999</v>
      </c>
    </row>
    <row r="295" spans="2:27" ht="15" customHeight="1" x14ac:dyDescent="0.25">
      <c r="B295" t="s">
        <v>561</v>
      </c>
      <c r="C295" s="8">
        <v>-12549.8308</v>
      </c>
      <c r="D295" s="2">
        <v>-12551.117270999999</v>
      </c>
      <c r="F295" s="12">
        <v>0.996278</v>
      </c>
      <c r="G295" s="13">
        <v>0.18859000000000001</v>
      </c>
      <c r="H295">
        <v>9</v>
      </c>
      <c r="I295">
        <v>4</v>
      </c>
      <c r="K295" s="8">
        <f t="shared" si="28"/>
        <v>-0.81745384615351213</v>
      </c>
      <c r="L295" s="8">
        <f t="shared" si="29"/>
        <v>-6.2881065088731702E-2</v>
      </c>
      <c r="M295" s="8">
        <f t="shared" si="30"/>
        <v>-0.77807976922849775</v>
      </c>
      <c r="N295" s="8">
        <f t="shared" si="31"/>
        <v>-5.9852289940653676E-2</v>
      </c>
      <c r="O295" s="8"/>
      <c r="P295" t="s">
        <v>562</v>
      </c>
      <c r="Q295">
        <v>33</v>
      </c>
      <c r="R295" s="8">
        <v>2.8114699999999999</v>
      </c>
      <c r="S295">
        <v>3</v>
      </c>
      <c r="T295" s="8">
        <f t="shared" si="32"/>
        <v>9.0909090909090912E-2</v>
      </c>
      <c r="U295" s="8">
        <v>2.84</v>
      </c>
      <c r="V295">
        <v>15</v>
      </c>
      <c r="W295" s="8">
        <f t="shared" si="33"/>
        <v>0.45454545454545453</v>
      </c>
      <c r="X295" s="8">
        <v>2.8055400000000001</v>
      </c>
      <c r="Y295">
        <v>15</v>
      </c>
      <c r="Z295" s="8">
        <f t="shared" si="34"/>
        <v>0.45454545454545453</v>
      </c>
      <c r="AA295" s="8">
        <v>2.8117000000000001</v>
      </c>
    </row>
    <row r="296" spans="2:27" ht="15" customHeight="1" x14ac:dyDescent="0.25">
      <c r="B296" t="s">
        <v>563</v>
      </c>
      <c r="C296" s="8">
        <v>-12549.7619</v>
      </c>
      <c r="D296" s="2">
        <v>-12551.241158999999</v>
      </c>
      <c r="F296" s="12">
        <v>0.99776900000000002</v>
      </c>
      <c r="G296" s="13">
        <v>0.20383999999999999</v>
      </c>
      <c r="H296">
        <v>9</v>
      </c>
      <c r="I296">
        <v>4</v>
      </c>
      <c r="K296" s="8">
        <f t="shared" si="28"/>
        <v>-0.74855384615329967</v>
      </c>
      <c r="L296" s="8">
        <f t="shared" si="29"/>
        <v>-5.7581065088715362E-2</v>
      </c>
      <c r="M296" s="8">
        <f t="shared" si="30"/>
        <v>-0.9019677692285768</v>
      </c>
      <c r="N296" s="8">
        <f t="shared" si="31"/>
        <v>-6.9382136094505914E-2</v>
      </c>
      <c r="O296" s="8"/>
      <c r="P296" t="s">
        <v>564</v>
      </c>
      <c r="Q296">
        <v>34</v>
      </c>
      <c r="R296" s="8">
        <v>2.8172600000000001</v>
      </c>
      <c r="S296">
        <v>3</v>
      </c>
      <c r="T296" s="8">
        <f t="shared" si="32"/>
        <v>8.8235294117647065E-2</v>
      </c>
      <c r="U296" s="8">
        <v>2.8177699999999999</v>
      </c>
      <c r="V296">
        <v>16</v>
      </c>
      <c r="W296" s="8">
        <f t="shared" si="33"/>
        <v>0.47058823529411764</v>
      </c>
      <c r="X296" s="8">
        <v>2.80545</v>
      </c>
      <c r="Y296">
        <v>15</v>
      </c>
      <c r="Z296" s="8">
        <f t="shared" si="34"/>
        <v>0.44117647058823528</v>
      </c>
      <c r="AA296" s="8">
        <v>2.8297699999999999</v>
      </c>
    </row>
    <row r="297" spans="2:27" ht="15" customHeight="1" x14ac:dyDescent="0.25">
      <c r="B297" t="s">
        <v>565</v>
      </c>
      <c r="C297" s="8">
        <v>-12549.579400000001</v>
      </c>
      <c r="D297" s="2">
        <v>-12550.916004999999</v>
      </c>
      <c r="F297" s="12">
        <v>0.99530799999999997</v>
      </c>
      <c r="G297" s="13">
        <v>0.18154999999999999</v>
      </c>
      <c r="H297">
        <v>9</v>
      </c>
      <c r="I297">
        <v>4</v>
      </c>
      <c r="K297" s="8">
        <f t="shared" si="28"/>
        <v>-0.56605384615431831</v>
      </c>
      <c r="L297" s="8">
        <f t="shared" si="29"/>
        <v>-4.3542603550332175E-2</v>
      </c>
      <c r="M297" s="8">
        <f t="shared" si="30"/>
        <v>-0.57681376922846539</v>
      </c>
      <c r="N297" s="8">
        <f t="shared" si="31"/>
        <v>-4.4370289940651182E-2</v>
      </c>
      <c r="O297" s="8"/>
      <c r="P297" t="s">
        <v>566</v>
      </c>
      <c r="Q297">
        <v>34</v>
      </c>
      <c r="R297" s="8">
        <v>2.8208199999999999</v>
      </c>
      <c r="S297">
        <v>5</v>
      </c>
      <c r="T297" s="8">
        <f t="shared" si="32"/>
        <v>0.14705882352941177</v>
      </c>
      <c r="U297" s="8">
        <v>2.7927900000000001</v>
      </c>
      <c r="V297">
        <v>10</v>
      </c>
      <c r="W297" s="8">
        <f t="shared" si="33"/>
        <v>0.29411764705882354</v>
      </c>
      <c r="X297" s="8">
        <v>2.8089</v>
      </c>
      <c r="Y297">
        <v>19</v>
      </c>
      <c r="Z297" s="8">
        <f t="shared" si="34"/>
        <v>0.55882352941176472</v>
      </c>
      <c r="AA297" s="8">
        <v>2.83447</v>
      </c>
    </row>
    <row r="298" spans="2:27" ht="15" customHeight="1" x14ac:dyDescent="0.25">
      <c r="B298" t="s">
        <v>567</v>
      </c>
      <c r="C298" s="8">
        <v>-12549.898300000001</v>
      </c>
      <c r="D298" s="2">
        <v>-12551.205615999999</v>
      </c>
      <c r="F298" s="12">
        <v>0.995367</v>
      </c>
      <c r="G298" s="13">
        <v>0.181979999999999</v>
      </c>
      <c r="H298">
        <v>9</v>
      </c>
      <c r="I298">
        <v>4</v>
      </c>
      <c r="K298" s="8">
        <f t="shared" si="28"/>
        <v>-0.88495384615453077</v>
      </c>
      <c r="L298" s="8">
        <f t="shared" si="29"/>
        <v>-6.8073372781117747E-2</v>
      </c>
      <c r="M298" s="8">
        <f t="shared" si="30"/>
        <v>-0.86642476922861533</v>
      </c>
      <c r="N298" s="8">
        <f t="shared" si="31"/>
        <v>-6.6648059171431948E-2</v>
      </c>
      <c r="O298" s="8"/>
      <c r="P298" t="s">
        <v>568</v>
      </c>
      <c r="Q298">
        <v>34</v>
      </c>
      <c r="R298" s="8">
        <v>2.8185600000000002</v>
      </c>
      <c r="S298">
        <v>2</v>
      </c>
      <c r="T298" s="8">
        <f t="shared" si="32"/>
        <v>5.8823529411764705E-2</v>
      </c>
      <c r="U298" s="8">
        <v>2.8531900000000001</v>
      </c>
      <c r="V298">
        <v>16</v>
      </c>
      <c r="W298" s="8">
        <f t="shared" si="33"/>
        <v>0.47058823529411764</v>
      </c>
      <c r="X298" s="8">
        <v>2.7843599999999999</v>
      </c>
      <c r="Y298">
        <v>16</v>
      </c>
      <c r="Z298" s="8">
        <f t="shared" si="34"/>
        <v>0.47058823529411764</v>
      </c>
      <c r="AA298" s="8">
        <v>2.84843</v>
      </c>
    </row>
    <row r="299" spans="2:27" ht="15" customHeight="1" x14ac:dyDescent="0.25">
      <c r="B299" t="s">
        <v>569</v>
      </c>
      <c r="C299" s="8">
        <v>-12549.8325</v>
      </c>
      <c r="D299" s="2">
        <v>-12551.170067999999</v>
      </c>
      <c r="F299" s="12">
        <v>0.99610200000000004</v>
      </c>
      <c r="G299" s="13">
        <v>0.18714999999999901</v>
      </c>
      <c r="H299">
        <v>9</v>
      </c>
      <c r="I299">
        <v>4</v>
      </c>
      <c r="K299" s="8">
        <f t="shared" si="28"/>
        <v>-0.81915384615422226</v>
      </c>
      <c r="L299" s="8">
        <f t="shared" si="29"/>
        <v>-6.3011834319555565E-2</v>
      </c>
      <c r="M299" s="8">
        <f t="shared" si="30"/>
        <v>-0.83087676922878018</v>
      </c>
      <c r="N299" s="8">
        <f t="shared" si="31"/>
        <v>-6.3913597632983085E-2</v>
      </c>
      <c r="O299" s="8"/>
      <c r="P299" t="s">
        <v>570</v>
      </c>
      <c r="Q299">
        <v>34</v>
      </c>
      <c r="R299" s="8">
        <v>2.8248099999999998</v>
      </c>
      <c r="S299">
        <v>4</v>
      </c>
      <c r="T299" s="8">
        <f t="shared" si="32"/>
        <v>0.11764705882352941</v>
      </c>
      <c r="U299" s="8">
        <v>2.8394400000000002</v>
      </c>
      <c r="V299">
        <v>14</v>
      </c>
      <c r="W299" s="8">
        <f t="shared" si="33"/>
        <v>0.41176470588235292</v>
      </c>
      <c r="X299" s="8">
        <v>2.82416</v>
      </c>
      <c r="Y299">
        <v>16</v>
      </c>
      <c r="Z299" s="8">
        <f t="shared" si="34"/>
        <v>0.47058823529411764</v>
      </c>
      <c r="AA299" s="8">
        <v>2.8217300000000001</v>
      </c>
    </row>
    <row r="300" spans="2:27" ht="15" customHeight="1" x14ac:dyDescent="0.25">
      <c r="B300" t="s">
        <v>571</v>
      </c>
      <c r="C300" s="8">
        <v>-12549.9512</v>
      </c>
      <c r="D300" s="2">
        <v>-12551.386454</v>
      </c>
      <c r="F300" s="12">
        <v>0.99785400000000002</v>
      </c>
      <c r="G300" s="13">
        <v>0.20505000000000001</v>
      </c>
      <c r="H300">
        <v>9</v>
      </c>
      <c r="I300">
        <v>4</v>
      </c>
      <c r="K300" s="8">
        <f t="shared" si="28"/>
        <v>-0.93785384615330258</v>
      </c>
      <c r="L300" s="8">
        <f t="shared" si="29"/>
        <v>-7.214260355025405E-2</v>
      </c>
      <c r="M300" s="8">
        <f t="shared" si="30"/>
        <v>-1.047262769228837</v>
      </c>
      <c r="N300" s="8">
        <f t="shared" si="31"/>
        <v>-8.0558674556064386E-2</v>
      </c>
      <c r="O300" s="8"/>
      <c r="P300" t="s">
        <v>572</v>
      </c>
      <c r="Q300">
        <v>34</v>
      </c>
      <c r="R300" s="8">
        <v>2.8237800000000002</v>
      </c>
      <c r="S300">
        <v>3</v>
      </c>
      <c r="T300" s="8">
        <f t="shared" si="32"/>
        <v>8.8235294117647065E-2</v>
      </c>
      <c r="U300" s="8">
        <v>2.9069699999999998</v>
      </c>
      <c r="V300">
        <v>16</v>
      </c>
      <c r="W300" s="8">
        <f t="shared" si="33"/>
        <v>0.47058823529411764</v>
      </c>
      <c r="X300" s="8">
        <v>2.80247</v>
      </c>
      <c r="Y300">
        <v>15</v>
      </c>
      <c r="Z300" s="8">
        <f t="shared" si="34"/>
        <v>0.44117647058823528</v>
      </c>
      <c r="AA300" s="8">
        <v>2.8298800000000002</v>
      </c>
    </row>
    <row r="301" spans="2:27" ht="15" customHeight="1" x14ac:dyDescent="0.25">
      <c r="B301" t="s">
        <v>573</v>
      </c>
      <c r="C301" s="8">
        <v>-12549.890299999999</v>
      </c>
      <c r="D301" s="2">
        <v>-12551.224311</v>
      </c>
      <c r="F301" s="12">
        <v>0.99748000000000003</v>
      </c>
      <c r="G301" s="13">
        <v>0.20025999999999999</v>
      </c>
      <c r="H301">
        <v>9</v>
      </c>
      <c r="I301">
        <v>4</v>
      </c>
      <c r="K301" s="8">
        <f t="shared" si="28"/>
        <v>-0.87695384615290095</v>
      </c>
      <c r="L301" s="8">
        <f t="shared" si="29"/>
        <v>-6.745798816560776E-2</v>
      </c>
      <c r="M301" s="8">
        <f t="shared" si="30"/>
        <v>-0.88511976922927715</v>
      </c>
      <c r="N301" s="8">
        <f t="shared" si="31"/>
        <v>-6.8086136094559782E-2</v>
      </c>
      <c r="O301" s="8"/>
      <c r="P301" t="s">
        <v>574</v>
      </c>
      <c r="Q301">
        <v>35</v>
      </c>
      <c r="R301" s="8">
        <v>2.8333499999999998</v>
      </c>
      <c r="S301">
        <v>3</v>
      </c>
      <c r="T301" s="8">
        <f t="shared" si="32"/>
        <v>8.5714285714285715E-2</v>
      </c>
      <c r="U301" s="8">
        <v>2.8064200000000001</v>
      </c>
      <c r="V301">
        <v>14</v>
      </c>
      <c r="W301" s="8">
        <f t="shared" si="33"/>
        <v>0.4</v>
      </c>
      <c r="X301" s="8">
        <v>2.8259400000000001</v>
      </c>
      <c r="Y301">
        <v>18</v>
      </c>
      <c r="Z301" s="8">
        <f t="shared" si="34"/>
        <v>0.51428571428571423</v>
      </c>
      <c r="AA301" s="8">
        <v>2.84361</v>
      </c>
    </row>
    <row r="302" spans="2:27" ht="15" customHeight="1" x14ac:dyDescent="0.25">
      <c r="B302" t="s">
        <v>575</v>
      </c>
      <c r="C302" s="8">
        <v>-12549.8626</v>
      </c>
      <c r="D302" s="2">
        <v>-12551.292348999999</v>
      </c>
      <c r="F302" s="12">
        <v>0.99725900000000001</v>
      </c>
      <c r="G302" s="13">
        <v>0.19767999999999999</v>
      </c>
      <c r="H302">
        <v>9</v>
      </c>
      <c r="I302">
        <v>4</v>
      </c>
      <c r="K302" s="8">
        <f t="shared" si="28"/>
        <v>-0.84925384615416988</v>
      </c>
      <c r="L302" s="8">
        <f t="shared" si="29"/>
        <v>-6.5327218934936149E-2</v>
      </c>
      <c r="M302" s="8">
        <f t="shared" si="30"/>
        <v>-0.95315776922871009</v>
      </c>
      <c r="N302" s="8">
        <f t="shared" si="31"/>
        <v>-7.3319828402208465E-2</v>
      </c>
      <c r="O302" s="8"/>
      <c r="P302" t="s">
        <v>576</v>
      </c>
      <c r="Q302">
        <v>34</v>
      </c>
      <c r="R302" s="8">
        <v>2.8181500000000002</v>
      </c>
      <c r="S302">
        <v>2</v>
      </c>
      <c r="T302" s="8">
        <f t="shared" si="32"/>
        <v>5.8823529411764705E-2</v>
      </c>
      <c r="U302" s="8">
        <v>2.7932199999999998</v>
      </c>
      <c r="V302">
        <v>18</v>
      </c>
      <c r="W302" s="8">
        <f t="shared" si="33"/>
        <v>0.52941176470588236</v>
      </c>
      <c r="X302" s="8">
        <v>2.81677</v>
      </c>
      <c r="Y302">
        <v>14</v>
      </c>
      <c r="Z302" s="8">
        <f t="shared" si="34"/>
        <v>0.41176470588235292</v>
      </c>
      <c r="AA302" s="8">
        <v>2.82348</v>
      </c>
    </row>
    <row r="303" spans="2:27" ht="15" customHeight="1" x14ac:dyDescent="0.25">
      <c r="B303" t="s">
        <v>577</v>
      </c>
      <c r="C303" s="8">
        <v>-12549.812099999999</v>
      </c>
      <c r="D303" s="2">
        <v>-12551.130471</v>
      </c>
      <c r="F303" s="12">
        <v>0.99622999999999995</v>
      </c>
      <c r="G303" s="13">
        <v>0.18815999999999899</v>
      </c>
      <c r="H303">
        <v>9</v>
      </c>
      <c r="I303">
        <v>4</v>
      </c>
      <c r="K303" s="8">
        <f t="shared" si="28"/>
        <v>-0.79875384615297662</v>
      </c>
      <c r="L303" s="8">
        <f t="shared" si="29"/>
        <v>-6.1442603550228972E-2</v>
      </c>
      <c r="M303" s="8">
        <f t="shared" si="30"/>
        <v>-0.79127976922973176</v>
      </c>
      <c r="N303" s="8">
        <f t="shared" si="31"/>
        <v>-6.0867674556133212E-2</v>
      </c>
      <c r="O303" s="8"/>
      <c r="P303" t="s">
        <v>578</v>
      </c>
      <c r="Q303">
        <v>34</v>
      </c>
      <c r="R303" s="8">
        <v>2.8212899999999999</v>
      </c>
      <c r="S303">
        <v>3</v>
      </c>
      <c r="T303" s="8">
        <f t="shared" si="32"/>
        <v>8.8235294117647065E-2</v>
      </c>
      <c r="U303" s="8">
        <v>2.8333300000000001</v>
      </c>
      <c r="V303">
        <v>16</v>
      </c>
      <c r="W303" s="8">
        <f t="shared" si="33"/>
        <v>0.47058823529411764</v>
      </c>
      <c r="X303" s="8">
        <v>2.8272499999999998</v>
      </c>
      <c r="Y303">
        <v>15</v>
      </c>
      <c r="Z303" s="8">
        <f t="shared" si="34"/>
        <v>0.44117647058823528</v>
      </c>
      <c r="AA303" s="8">
        <v>2.8125100000000001</v>
      </c>
    </row>
    <row r="304" spans="2:27" ht="15" customHeight="1" x14ac:dyDescent="0.25">
      <c r="B304" t="s">
        <v>579</v>
      </c>
      <c r="C304" s="8">
        <v>-12549.9375</v>
      </c>
      <c r="D304" s="2">
        <v>-12551.228911</v>
      </c>
      <c r="F304" s="12">
        <v>0.99556500000000003</v>
      </c>
      <c r="G304" s="13">
        <v>0.18329999999999999</v>
      </c>
      <c r="H304">
        <v>9</v>
      </c>
      <c r="I304">
        <v>4</v>
      </c>
      <c r="K304" s="8">
        <f t="shared" si="28"/>
        <v>-0.92415384615378571</v>
      </c>
      <c r="L304" s="8">
        <f t="shared" si="29"/>
        <v>-7.108875739644506E-2</v>
      </c>
      <c r="M304" s="8">
        <f t="shared" si="30"/>
        <v>-0.8897197692294867</v>
      </c>
      <c r="N304" s="8">
        <f t="shared" si="31"/>
        <v>-6.8439982248422057E-2</v>
      </c>
      <c r="O304" s="8"/>
      <c r="P304" t="s">
        <v>580</v>
      </c>
      <c r="Q304">
        <v>34</v>
      </c>
      <c r="R304" s="8">
        <v>2.8252700000000002</v>
      </c>
      <c r="S304">
        <v>2</v>
      </c>
      <c r="T304" s="8">
        <f t="shared" si="32"/>
        <v>5.8823529411764705E-2</v>
      </c>
      <c r="U304" s="8">
        <v>2.84416</v>
      </c>
      <c r="V304">
        <v>18</v>
      </c>
      <c r="W304" s="8">
        <f t="shared" si="33"/>
        <v>0.52941176470588236</v>
      </c>
      <c r="X304" s="8">
        <v>2.82904</v>
      </c>
      <c r="Y304">
        <v>14</v>
      </c>
      <c r="Z304" s="8">
        <f t="shared" si="34"/>
        <v>0.41176470588235292</v>
      </c>
      <c r="AA304" s="8">
        <v>2.81772</v>
      </c>
    </row>
    <row r="305" spans="1:27" ht="15" customHeight="1" x14ac:dyDescent="0.25">
      <c r="B305" t="s">
        <v>581</v>
      </c>
      <c r="C305" s="8">
        <v>-12549.995999999999</v>
      </c>
      <c r="D305" s="2">
        <v>-12551.428255999999</v>
      </c>
      <c r="F305" s="12">
        <v>0.99340600000000001</v>
      </c>
      <c r="G305" s="13">
        <v>0.17133999999999999</v>
      </c>
      <c r="H305">
        <v>9</v>
      </c>
      <c r="I305">
        <v>4</v>
      </c>
      <c r="K305" s="8">
        <f t="shared" si="28"/>
        <v>-0.9826538461529708</v>
      </c>
      <c r="L305" s="8">
        <f t="shared" si="29"/>
        <v>-7.5588757396382364E-2</v>
      </c>
      <c r="M305" s="8">
        <f t="shared" si="30"/>
        <v>-1.0890647692285711</v>
      </c>
      <c r="N305" s="8">
        <f t="shared" si="31"/>
        <v>-8.3774213017582394E-2</v>
      </c>
      <c r="O305" s="8"/>
      <c r="P305" t="s">
        <v>582</v>
      </c>
      <c r="Q305">
        <v>35</v>
      </c>
      <c r="R305" s="8">
        <v>2.83121</v>
      </c>
      <c r="S305">
        <v>2</v>
      </c>
      <c r="T305" s="8">
        <f t="shared" si="32"/>
        <v>5.7142857142857141E-2</v>
      </c>
      <c r="U305" s="8">
        <v>2.8017300000000001</v>
      </c>
      <c r="V305">
        <v>17</v>
      </c>
      <c r="W305" s="8">
        <f t="shared" si="33"/>
        <v>0.48571428571428571</v>
      </c>
      <c r="X305" s="8">
        <v>2.8225899999999999</v>
      </c>
      <c r="Y305">
        <v>16</v>
      </c>
      <c r="Z305" s="8">
        <f t="shared" si="34"/>
        <v>0.45714285714285713</v>
      </c>
      <c r="AA305" s="8">
        <v>2.8440500000000002</v>
      </c>
    </row>
    <row r="306" spans="1:27" ht="15" customHeight="1" x14ac:dyDescent="0.25">
      <c r="B306" t="s">
        <v>583</v>
      </c>
      <c r="C306" s="8">
        <v>-12549.9154</v>
      </c>
      <c r="D306" s="2">
        <v>-12551.332012999999</v>
      </c>
      <c r="F306" s="12">
        <v>0.99677700000000002</v>
      </c>
      <c r="G306" s="13">
        <v>0.19288</v>
      </c>
      <c r="H306">
        <v>9</v>
      </c>
      <c r="I306">
        <v>4</v>
      </c>
      <c r="K306" s="8">
        <f t="shared" si="28"/>
        <v>-0.90205384615364892</v>
      </c>
      <c r="L306" s="8">
        <f t="shared" si="29"/>
        <v>-6.9388757396434533E-2</v>
      </c>
      <c r="M306" s="8">
        <f t="shared" si="30"/>
        <v>-0.99282176922861254</v>
      </c>
      <c r="N306" s="8">
        <f t="shared" si="31"/>
        <v>-7.6370905325277891E-2</v>
      </c>
      <c r="O306" s="8"/>
      <c r="P306" t="s">
        <v>584</v>
      </c>
      <c r="Q306">
        <v>34</v>
      </c>
      <c r="R306" s="8">
        <v>2.8222700000000001</v>
      </c>
      <c r="S306">
        <v>3</v>
      </c>
      <c r="T306" s="8">
        <f t="shared" si="32"/>
        <v>8.8235294117647065E-2</v>
      </c>
      <c r="U306" s="8">
        <v>2.8006799999999998</v>
      </c>
      <c r="V306">
        <v>15</v>
      </c>
      <c r="W306" s="8">
        <f t="shared" si="33"/>
        <v>0.44117647058823528</v>
      </c>
      <c r="X306" s="8">
        <v>2.8281399999999999</v>
      </c>
      <c r="Y306">
        <v>16</v>
      </c>
      <c r="Z306" s="8">
        <f t="shared" si="34"/>
        <v>0.47058823529411764</v>
      </c>
      <c r="AA306" s="8">
        <v>2.8208199999999999</v>
      </c>
    </row>
    <row r="307" spans="1:27" ht="15" customHeight="1" x14ac:dyDescent="0.25">
      <c r="B307" t="s">
        <v>585</v>
      </c>
      <c r="C307" s="8">
        <v>-12550.0057</v>
      </c>
      <c r="D307" s="24">
        <v>-12551.705943000001</v>
      </c>
      <c r="F307" s="12">
        <v>0.99567600000000001</v>
      </c>
      <c r="G307" s="13">
        <v>0.18406</v>
      </c>
      <c r="H307">
        <v>9</v>
      </c>
      <c r="I307">
        <v>4</v>
      </c>
      <c r="K307" s="8">
        <f t="shared" si="28"/>
        <v>-0.99235384615349176</v>
      </c>
      <c r="L307" s="8">
        <f t="shared" si="29"/>
        <v>-7.6334911242576284E-2</v>
      </c>
      <c r="M307" s="8">
        <f t="shared" si="30"/>
        <v>-1.3667517692301772</v>
      </c>
      <c r="N307" s="8">
        <f t="shared" si="31"/>
        <v>-0.10513475147924439</v>
      </c>
      <c r="O307" s="8"/>
      <c r="P307" t="s">
        <v>586</v>
      </c>
      <c r="Q307">
        <v>35</v>
      </c>
      <c r="R307" s="8">
        <v>2.8343099999999999</v>
      </c>
      <c r="S307">
        <v>2</v>
      </c>
      <c r="T307" s="8">
        <f t="shared" si="32"/>
        <v>5.7142857142857141E-2</v>
      </c>
      <c r="U307" s="8">
        <v>2.87073</v>
      </c>
      <c r="V307">
        <v>16</v>
      </c>
      <c r="W307" s="8">
        <f t="shared" si="33"/>
        <v>0.45714285714285713</v>
      </c>
      <c r="X307" s="8">
        <v>2.81209</v>
      </c>
      <c r="Y307">
        <v>17</v>
      </c>
      <c r="Z307" s="8">
        <f t="shared" si="34"/>
        <v>0.48571428571428571</v>
      </c>
      <c r="AA307" s="8">
        <v>2.85093</v>
      </c>
    </row>
    <row r="308" spans="1:27" ht="15" customHeight="1" x14ac:dyDescent="0.25">
      <c r="B308" t="s">
        <v>587</v>
      </c>
      <c r="C308" s="8">
        <v>-12549.9287</v>
      </c>
      <c r="D308" s="2">
        <v>-12551.326728</v>
      </c>
      <c r="F308" s="12">
        <v>0.99589499999999997</v>
      </c>
      <c r="G308" s="13">
        <v>0.18561</v>
      </c>
      <c r="H308">
        <v>9</v>
      </c>
      <c r="I308">
        <v>4</v>
      </c>
      <c r="K308" s="8">
        <f t="shared" si="28"/>
        <v>-0.9153538461541757</v>
      </c>
      <c r="L308" s="8">
        <f t="shared" si="29"/>
        <v>-7.0411834319551975E-2</v>
      </c>
      <c r="M308" s="8">
        <f t="shared" si="30"/>
        <v>-0.98753676922933664</v>
      </c>
      <c r="N308" s="8">
        <f t="shared" si="31"/>
        <v>-7.5964366863795124E-2</v>
      </c>
      <c r="O308" s="8"/>
      <c r="P308" t="s">
        <v>588</v>
      </c>
      <c r="Q308">
        <v>34</v>
      </c>
      <c r="R308" s="8">
        <v>2.8166099999999998</v>
      </c>
      <c r="S308">
        <v>3</v>
      </c>
      <c r="T308" s="8">
        <f t="shared" si="32"/>
        <v>8.8235294117647065E-2</v>
      </c>
      <c r="U308" s="8">
        <v>2.7925800000000001</v>
      </c>
      <c r="V308">
        <v>15</v>
      </c>
      <c r="W308" s="8">
        <f t="shared" si="33"/>
        <v>0.44117647058823528</v>
      </c>
      <c r="X308" s="8">
        <v>2.8140800000000001</v>
      </c>
      <c r="Y308">
        <v>16</v>
      </c>
      <c r="Z308" s="8">
        <f t="shared" si="34"/>
        <v>0.47058823529411764</v>
      </c>
      <c r="AA308" s="8">
        <v>2.8234900000000001</v>
      </c>
    </row>
    <row r="309" spans="1:27" ht="15" customHeight="1" x14ac:dyDescent="0.25">
      <c r="B309" t="s">
        <v>589</v>
      </c>
      <c r="C309" s="8">
        <v>-12550.0496</v>
      </c>
      <c r="D309" s="2">
        <v>-12551.321736</v>
      </c>
      <c r="F309" s="12">
        <v>0.99676699999999996</v>
      </c>
      <c r="G309" s="13">
        <v>0.19281999999999899</v>
      </c>
      <c r="H309">
        <v>9</v>
      </c>
      <c r="I309">
        <v>4</v>
      </c>
      <c r="K309" s="8">
        <f t="shared" si="28"/>
        <v>-1.036253846154068</v>
      </c>
      <c r="L309" s="8">
        <f t="shared" si="29"/>
        <v>-7.9711834319543692E-2</v>
      </c>
      <c r="M309" s="8">
        <f t="shared" si="30"/>
        <v>-0.9825447692292073</v>
      </c>
      <c r="N309" s="8">
        <f t="shared" si="31"/>
        <v>-7.5580366863785178E-2</v>
      </c>
      <c r="O309" s="8"/>
      <c r="P309" t="s">
        <v>590</v>
      </c>
      <c r="Q309">
        <v>34</v>
      </c>
      <c r="R309" s="8">
        <v>2.81941</v>
      </c>
      <c r="S309">
        <v>2</v>
      </c>
      <c r="T309" s="8">
        <f t="shared" si="32"/>
        <v>5.8823529411764705E-2</v>
      </c>
      <c r="U309" s="8">
        <v>2.8381699999999999</v>
      </c>
      <c r="V309">
        <v>17</v>
      </c>
      <c r="W309" s="8">
        <f t="shared" si="33"/>
        <v>0.5</v>
      </c>
      <c r="X309" s="8">
        <v>2.8104200000000001</v>
      </c>
      <c r="Y309">
        <v>15</v>
      </c>
      <c r="Z309" s="8">
        <f t="shared" si="34"/>
        <v>0.44117647058823528</v>
      </c>
      <c r="AA309" s="8">
        <v>2.8270900000000001</v>
      </c>
    </row>
    <row r="310" spans="1:27" ht="15" customHeight="1" x14ac:dyDescent="0.25">
      <c r="B310" t="s">
        <v>591</v>
      </c>
      <c r="C310" s="8">
        <v>-12550.027099999999</v>
      </c>
      <c r="D310" s="2">
        <v>-12551.487659</v>
      </c>
      <c r="F310" s="12">
        <v>0.99737900000000002</v>
      </c>
      <c r="G310" s="13">
        <v>0.19907</v>
      </c>
      <c r="H310">
        <v>9</v>
      </c>
      <c r="I310">
        <v>4</v>
      </c>
      <c r="K310" s="8">
        <f t="shared" si="28"/>
        <v>-1.0137538461531221</v>
      </c>
      <c r="L310" s="8">
        <f t="shared" si="29"/>
        <v>-7.7981065088701701E-2</v>
      </c>
      <c r="M310" s="8">
        <f t="shared" si="30"/>
        <v>-1.1484677692296827</v>
      </c>
      <c r="N310" s="8">
        <f t="shared" si="31"/>
        <v>-8.8343674556129445E-2</v>
      </c>
      <c r="O310" s="8"/>
      <c r="P310" t="s">
        <v>592</v>
      </c>
      <c r="Q310">
        <v>34</v>
      </c>
      <c r="R310" s="8">
        <v>2.8189000000000002</v>
      </c>
      <c r="S310">
        <v>2</v>
      </c>
      <c r="T310" s="8">
        <f t="shared" si="32"/>
        <v>5.8823529411764705E-2</v>
      </c>
      <c r="U310" s="8">
        <v>2.7843399999999998</v>
      </c>
      <c r="V310">
        <v>16</v>
      </c>
      <c r="W310" s="8">
        <f t="shared" si="33"/>
        <v>0.47058823529411764</v>
      </c>
      <c r="X310" s="8">
        <v>2.8126799999999998</v>
      </c>
      <c r="Y310">
        <v>16</v>
      </c>
      <c r="Z310" s="8">
        <f t="shared" si="34"/>
        <v>0.47058823529411764</v>
      </c>
      <c r="AA310" s="8">
        <v>2.82944</v>
      </c>
    </row>
    <row r="311" spans="1:27" ht="15" customHeight="1" x14ac:dyDescent="0.25">
      <c r="B311" t="s">
        <v>593</v>
      </c>
      <c r="C311" s="8">
        <v>-12550.132600000001</v>
      </c>
      <c r="D311" s="2">
        <v>-12551.425008</v>
      </c>
      <c r="F311" s="12">
        <v>0.99758800000000003</v>
      </c>
      <c r="G311" s="13">
        <v>0.20157999999999901</v>
      </c>
      <c r="H311">
        <v>9</v>
      </c>
      <c r="I311">
        <v>4</v>
      </c>
      <c r="K311" s="8">
        <f t="shared" si="28"/>
        <v>-1.1192538461546064</v>
      </c>
      <c r="L311" s="8">
        <f t="shared" si="29"/>
        <v>-8.6096449704200495E-2</v>
      </c>
      <c r="M311" s="8">
        <f t="shared" si="30"/>
        <v>-1.0858167692294955</v>
      </c>
      <c r="N311" s="8">
        <f t="shared" si="31"/>
        <v>-8.3524366863807348E-2</v>
      </c>
      <c r="O311" s="8"/>
      <c r="P311" t="s">
        <v>594</v>
      </c>
      <c r="Q311">
        <v>34</v>
      </c>
      <c r="R311" s="8">
        <v>2.8196400000000001</v>
      </c>
      <c r="S311">
        <v>2</v>
      </c>
      <c r="T311" s="8">
        <f t="shared" si="32"/>
        <v>5.8823529411764705E-2</v>
      </c>
      <c r="U311" s="8">
        <v>2.7850799999999998</v>
      </c>
      <c r="V311">
        <v>16</v>
      </c>
      <c r="W311" s="8">
        <f t="shared" si="33"/>
        <v>0.47058823529411764</v>
      </c>
      <c r="X311" s="8">
        <v>2.81697</v>
      </c>
      <c r="Y311">
        <v>16</v>
      </c>
      <c r="Z311" s="8">
        <f t="shared" si="34"/>
        <v>0.47058823529411764</v>
      </c>
      <c r="AA311" s="8">
        <v>2.8266300000000002</v>
      </c>
    </row>
    <row r="312" spans="1:27" ht="15" customHeight="1" x14ac:dyDescent="0.25">
      <c r="B312" t="s">
        <v>595</v>
      </c>
      <c r="C312" s="8">
        <v>-12549.436400000001</v>
      </c>
      <c r="D312" s="2">
        <v>-12550.83986</v>
      </c>
      <c r="F312" s="12">
        <v>0.99479799999999996</v>
      </c>
      <c r="G312" s="13">
        <v>0.17856999999999901</v>
      </c>
      <c r="H312">
        <v>9</v>
      </c>
      <c r="I312">
        <v>4</v>
      </c>
      <c r="K312" s="8">
        <f t="shared" si="28"/>
        <v>-0.4230538461542892</v>
      </c>
      <c r="L312" s="8">
        <f t="shared" si="29"/>
        <v>-3.2542603550329938E-2</v>
      </c>
      <c r="M312" s="8">
        <f t="shared" si="30"/>
        <v>-0.50066876922937809</v>
      </c>
      <c r="N312" s="8">
        <f t="shared" si="31"/>
        <v>-3.85129822484137E-2</v>
      </c>
      <c r="O312" s="8"/>
      <c r="P312" t="s">
        <v>596</v>
      </c>
      <c r="Q312">
        <v>36</v>
      </c>
      <c r="R312" s="8">
        <v>2.8379500000000002</v>
      </c>
      <c r="S312">
        <v>4</v>
      </c>
      <c r="T312" s="8">
        <f t="shared" si="32"/>
        <v>0.1111111111111111</v>
      </c>
      <c r="U312" s="8">
        <v>2.7827299999999999</v>
      </c>
      <c r="V312">
        <v>16</v>
      </c>
      <c r="W312" s="8">
        <f t="shared" si="33"/>
        <v>0.44444444444444442</v>
      </c>
      <c r="X312" s="8">
        <v>2.8706100000000001</v>
      </c>
      <c r="Y312">
        <v>16</v>
      </c>
      <c r="Z312" s="8">
        <f t="shared" si="34"/>
        <v>0.44444444444444442</v>
      </c>
      <c r="AA312" s="8">
        <v>2.8190900000000001</v>
      </c>
    </row>
    <row r="313" spans="1:27" ht="15" customHeight="1" x14ac:dyDescent="0.25">
      <c r="B313" t="s">
        <v>597</v>
      </c>
      <c r="C313" s="8">
        <v>-12549.5846</v>
      </c>
      <c r="D313" s="2">
        <v>-12550.934509000001</v>
      </c>
      <c r="F313" s="12">
        <v>0.99603799999999998</v>
      </c>
      <c r="G313" s="13">
        <v>0.18659999999999899</v>
      </c>
      <c r="H313">
        <v>9</v>
      </c>
      <c r="I313">
        <v>4</v>
      </c>
      <c r="K313" s="8">
        <f t="shared" si="28"/>
        <v>-0.5712538461539225</v>
      </c>
      <c r="L313" s="8">
        <f t="shared" si="29"/>
        <v>-4.3942603550301731E-2</v>
      </c>
      <c r="M313" s="8">
        <f t="shared" si="30"/>
        <v>-0.5953177692299505</v>
      </c>
      <c r="N313" s="8">
        <f t="shared" si="31"/>
        <v>-4.5793674556150035E-2</v>
      </c>
      <c r="O313" s="8"/>
      <c r="P313" t="s">
        <v>598</v>
      </c>
      <c r="Q313">
        <v>35</v>
      </c>
      <c r="R313" s="8">
        <v>2.8276699999999999</v>
      </c>
      <c r="S313">
        <v>4</v>
      </c>
      <c r="T313" s="8">
        <f t="shared" si="32"/>
        <v>0.11428571428571428</v>
      </c>
      <c r="U313" s="8">
        <v>2.8010799999999998</v>
      </c>
      <c r="V313">
        <v>13</v>
      </c>
      <c r="W313" s="8">
        <f t="shared" si="33"/>
        <v>0.37142857142857144</v>
      </c>
      <c r="X313" s="8">
        <v>2.8159399999999999</v>
      </c>
      <c r="Y313">
        <v>18</v>
      </c>
      <c r="Z313" s="8">
        <f t="shared" si="34"/>
        <v>0.51428571428571423</v>
      </c>
      <c r="AA313" s="8">
        <v>2.84206</v>
      </c>
    </row>
    <row r="314" spans="1:27" ht="15" customHeight="1" x14ac:dyDescent="0.25">
      <c r="B314" t="s">
        <v>599</v>
      </c>
      <c r="C314" s="8">
        <v>-12549.6824</v>
      </c>
      <c r="D314" s="2">
        <v>-12551.145149</v>
      </c>
      <c r="F314" s="12">
        <v>0.99804499999999996</v>
      </c>
      <c r="G314" s="13">
        <v>0.20791000000000001</v>
      </c>
      <c r="H314">
        <v>9</v>
      </c>
      <c r="I314">
        <v>4</v>
      </c>
      <c r="K314" s="8">
        <f t="shared" si="28"/>
        <v>-0.6690538461534743</v>
      </c>
      <c r="L314" s="8">
        <f t="shared" si="29"/>
        <v>-5.1465680473344176E-2</v>
      </c>
      <c r="M314" s="8">
        <f t="shared" si="30"/>
        <v>-0.80595776922928053</v>
      </c>
      <c r="N314" s="8">
        <f t="shared" si="31"/>
        <v>-6.1996751479175424E-2</v>
      </c>
      <c r="O314" s="8"/>
      <c r="P314" t="s">
        <v>600</v>
      </c>
      <c r="Q314">
        <v>34</v>
      </c>
      <c r="R314" s="8">
        <v>2.81684</v>
      </c>
      <c r="S314">
        <v>4</v>
      </c>
      <c r="T314" s="8">
        <f t="shared" si="32"/>
        <v>0.11764705882352941</v>
      </c>
      <c r="U314" s="8">
        <v>2.8330799999999998</v>
      </c>
      <c r="V314">
        <v>14</v>
      </c>
      <c r="W314" s="8">
        <f t="shared" si="33"/>
        <v>0.41176470588235292</v>
      </c>
      <c r="X314" s="8">
        <v>2.8112200000000001</v>
      </c>
      <c r="Y314">
        <v>16</v>
      </c>
      <c r="Z314" s="8">
        <f t="shared" si="34"/>
        <v>0.47058823529411764</v>
      </c>
      <c r="AA314" s="8">
        <v>2.8176999999999999</v>
      </c>
    </row>
    <row r="315" spans="1:27" ht="15" customHeight="1" x14ac:dyDescent="0.25">
      <c r="A315" s="8"/>
      <c r="B315" t="s">
        <v>601</v>
      </c>
      <c r="C315" s="8">
        <v>-12549.840099999999</v>
      </c>
      <c r="D315" s="2">
        <v>-12551.122245</v>
      </c>
      <c r="F315" s="12">
        <v>0.99655000000000005</v>
      </c>
      <c r="G315" s="13">
        <v>0.19081000000000001</v>
      </c>
      <c r="H315">
        <v>9</v>
      </c>
      <c r="I315">
        <v>4</v>
      </c>
      <c r="K315" s="8">
        <f t="shared" si="28"/>
        <v>-0.826753846153224</v>
      </c>
      <c r="L315" s="8">
        <f t="shared" si="29"/>
        <v>-6.3596449704094157E-2</v>
      </c>
      <c r="M315" s="8">
        <f t="shared" si="30"/>
        <v>-0.7830537692298094</v>
      </c>
      <c r="N315" s="8">
        <f t="shared" si="31"/>
        <v>-6.0234905325369952E-2</v>
      </c>
      <c r="O315" s="8"/>
      <c r="P315" t="s">
        <v>602</v>
      </c>
      <c r="Q315">
        <v>34</v>
      </c>
      <c r="R315" s="8">
        <v>2.8210700000000002</v>
      </c>
      <c r="S315">
        <v>3</v>
      </c>
      <c r="T315" s="8">
        <f t="shared" si="32"/>
        <v>8.8235294117647065E-2</v>
      </c>
      <c r="U315" s="8">
        <v>2.7625299999999999</v>
      </c>
      <c r="V315">
        <v>14</v>
      </c>
      <c r="W315" s="8">
        <f t="shared" si="33"/>
        <v>0.41176470588235292</v>
      </c>
      <c r="X315" s="8">
        <v>2.8302100000000001</v>
      </c>
      <c r="Y315">
        <v>17</v>
      </c>
      <c r="Z315" s="8">
        <f t="shared" si="34"/>
        <v>0.5</v>
      </c>
      <c r="AA315" s="8">
        <v>2.8238799999999999</v>
      </c>
    </row>
    <row r="316" spans="1:27" ht="15" customHeight="1" x14ac:dyDescent="0.25">
      <c r="A316" s="8"/>
      <c r="B316" t="s">
        <v>603</v>
      </c>
      <c r="C316" s="8">
        <v>-12549.7791</v>
      </c>
      <c r="D316" s="2">
        <v>-12551.068335</v>
      </c>
      <c r="F316" s="12">
        <v>0.99636999999999998</v>
      </c>
      <c r="G316" s="13">
        <v>0.18187999999999999</v>
      </c>
      <c r="H316">
        <v>9</v>
      </c>
      <c r="I316">
        <v>4</v>
      </c>
      <c r="K316" s="8">
        <f t="shared" si="28"/>
        <v>-0.76575384615352959</v>
      </c>
      <c r="L316" s="8">
        <f t="shared" si="29"/>
        <v>-5.8904142011809969E-2</v>
      </c>
      <c r="M316" s="8">
        <f t="shared" si="30"/>
        <v>-0.72914376922926749</v>
      </c>
      <c r="N316" s="8">
        <f t="shared" si="31"/>
        <v>-5.6087982248405194E-2</v>
      </c>
      <c r="O316" s="8"/>
      <c r="P316" t="s">
        <v>604</v>
      </c>
      <c r="Q316">
        <v>36</v>
      </c>
      <c r="R316" s="8">
        <v>2.8478599999999998</v>
      </c>
      <c r="S316">
        <v>3</v>
      </c>
      <c r="T316" s="8">
        <f t="shared" si="32"/>
        <v>8.3333333333333329E-2</v>
      </c>
      <c r="U316" s="8">
        <v>2.7993100000000002</v>
      </c>
      <c r="V316">
        <v>14</v>
      </c>
      <c r="W316" s="8">
        <f t="shared" si="33"/>
        <v>0.3888888888888889</v>
      </c>
      <c r="X316" s="8">
        <v>2.8408000000000002</v>
      </c>
      <c r="Y316">
        <v>19</v>
      </c>
      <c r="Z316" s="8">
        <f t="shared" si="34"/>
        <v>0.52777777777777779</v>
      </c>
      <c r="AA316" s="8">
        <v>2.8607300000000002</v>
      </c>
    </row>
    <row r="317" spans="1:27" ht="15" customHeight="1" x14ac:dyDescent="0.25">
      <c r="A317" s="8"/>
      <c r="B317" t="s">
        <v>605</v>
      </c>
      <c r="C317" s="8">
        <v>-12549.7376</v>
      </c>
      <c r="D317" s="2">
        <v>-12551.029078</v>
      </c>
      <c r="F317" s="12">
        <v>0.99613399999999996</v>
      </c>
      <c r="G317" s="13">
        <v>0.13092999999999899</v>
      </c>
      <c r="H317">
        <v>9</v>
      </c>
      <c r="I317">
        <v>4</v>
      </c>
      <c r="K317" s="8">
        <f t="shared" si="28"/>
        <v>-0.72425384615416988</v>
      </c>
      <c r="L317" s="8">
        <f t="shared" si="29"/>
        <v>-5.5711834319551526E-2</v>
      </c>
      <c r="M317" s="8">
        <f t="shared" si="30"/>
        <v>-0.68988676922890591</v>
      </c>
      <c r="N317" s="8">
        <f t="shared" si="31"/>
        <v>-5.3068213017608147E-2</v>
      </c>
      <c r="O317" s="8"/>
      <c r="P317" t="s">
        <v>606</v>
      </c>
      <c r="Q317">
        <v>35</v>
      </c>
      <c r="R317" s="8">
        <v>2.83046</v>
      </c>
      <c r="S317">
        <v>3</v>
      </c>
      <c r="T317" s="8">
        <f t="shared" si="32"/>
        <v>8.5714285714285715E-2</v>
      </c>
      <c r="U317" s="8">
        <v>2.9024999999999999</v>
      </c>
      <c r="V317">
        <v>16</v>
      </c>
      <c r="W317" s="8">
        <f t="shared" si="33"/>
        <v>0.45714285714285713</v>
      </c>
      <c r="X317" s="8">
        <v>2.8250700000000002</v>
      </c>
      <c r="Y317">
        <v>16</v>
      </c>
      <c r="Z317" s="8">
        <f t="shared" si="34"/>
        <v>0.45714285714285713</v>
      </c>
      <c r="AA317" s="8">
        <v>2.8223400000000001</v>
      </c>
    </row>
    <row r="318" spans="1:27" ht="15" customHeight="1" x14ac:dyDescent="0.25">
      <c r="A318" s="8"/>
      <c r="C318" s="4"/>
      <c r="F318" s="12"/>
      <c r="G318" s="13"/>
      <c r="K318" s="8" t="str">
        <f t="shared" si="28"/>
        <v/>
      </c>
      <c r="L318" s="8" t="str">
        <f t="shared" si="29"/>
        <v/>
      </c>
      <c r="M318" s="8" t="str">
        <f t="shared" si="30"/>
        <v/>
      </c>
      <c r="N318" s="8" t="str">
        <f t="shared" si="31"/>
        <v/>
      </c>
      <c r="O318" s="8"/>
      <c r="T318" s="8" t="str">
        <f t="shared" si="32"/>
        <v/>
      </c>
      <c r="W318" s="8" t="str">
        <f t="shared" si="33"/>
        <v/>
      </c>
      <c r="Z318" s="8" t="str">
        <f t="shared" si="34"/>
        <v/>
      </c>
    </row>
    <row r="319" spans="1:27" ht="15" customHeight="1" x14ac:dyDescent="0.25">
      <c r="C319" s="5" t="s">
        <v>0</v>
      </c>
      <c r="D319" s="6" t="s">
        <v>1</v>
      </c>
      <c r="E319" s="7"/>
      <c r="F319" s="7" t="s">
        <v>2</v>
      </c>
      <c r="G319" s="7" t="s">
        <v>3</v>
      </c>
      <c r="H319" s="7" t="s">
        <v>4</v>
      </c>
      <c r="I319" s="7" t="s">
        <v>5</v>
      </c>
      <c r="K319" s="8" t="str">
        <f t="shared" si="28"/>
        <v/>
      </c>
      <c r="L319" s="8" t="str">
        <f t="shared" si="29"/>
        <v/>
      </c>
      <c r="M319" s="8" t="str">
        <f t="shared" si="30"/>
        <v/>
      </c>
      <c r="N319" s="8" t="str">
        <f t="shared" si="31"/>
        <v/>
      </c>
      <c r="O319" s="8"/>
      <c r="T319" s="8" t="str">
        <f t="shared" si="32"/>
        <v/>
      </c>
      <c r="W319" s="8" t="str">
        <f t="shared" si="33"/>
        <v/>
      </c>
      <c r="Z319" s="8" t="str">
        <f t="shared" si="34"/>
        <v/>
      </c>
    </row>
    <row r="320" spans="1:27" ht="15" customHeight="1" x14ac:dyDescent="0.25">
      <c r="A320" t="s">
        <v>607</v>
      </c>
      <c r="B320">
        <v>301</v>
      </c>
      <c r="C320" s="8">
        <v>-12456.313899999999</v>
      </c>
      <c r="D320" s="2">
        <v>-12457.584755</v>
      </c>
      <c r="F320" s="12">
        <v>0.9929</v>
      </c>
      <c r="G320" s="13">
        <v>0.16914000000000001</v>
      </c>
      <c r="H320">
        <v>8</v>
      </c>
      <c r="I320">
        <v>5</v>
      </c>
      <c r="K320" s="8">
        <f t="shared" si="28"/>
        <v>-0.58589230769212008</v>
      </c>
      <c r="L320" s="8">
        <f t="shared" si="29"/>
        <v>-4.5068639053240003E-2</v>
      </c>
      <c r="M320" s="8">
        <f t="shared" si="30"/>
        <v>-0.48076346153720806</v>
      </c>
      <c r="N320" s="8">
        <f t="shared" si="31"/>
        <v>-3.6981804733631392E-2</v>
      </c>
      <c r="O320" s="8"/>
      <c r="P320" t="s">
        <v>608</v>
      </c>
      <c r="Q320">
        <v>36</v>
      </c>
      <c r="R320" s="8">
        <v>2.8387500000000001</v>
      </c>
      <c r="S320">
        <v>7</v>
      </c>
      <c r="T320" s="8">
        <f t="shared" si="32"/>
        <v>0.19444444444444445</v>
      </c>
      <c r="U320" s="8">
        <v>2.8446099999999999</v>
      </c>
      <c r="V320">
        <v>16</v>
      </c>
      <c r="W320" s="8">
        <f t="shared" si="33"/>
        <v>0.44444444444444442</v>
      </c>
      <c r="X320" s="8">
        <v>2.86361</v>
      </c>
      <c r="Y320">
        <v>13</v>
      </c>
      <c r="Z320" s="8">
        <f t="shared" si="34"/>
        <v>0.3611111111111111</v>
      </c>
      <c r="AA320" s="8">
        <v>2.8050199999999998</v>
      </c>
    </row>
    <row r="321" spans="2:27" ht="15" customHeight="1" x14ac:dyDescent="0.25">
      <c r="B321">
        <v>302</v>
      </c>
      <c r="C321" s="8">
        <v>-12456.412899999999</v>
      </c>
      <c r="D321" s="2">
        <v>-12457.683598</v>
      </c>
      <c r="F321" s="12">
        <v>0.997058</v>
      </c>
      <c r="G321" s="13">
        <v>0.14738999999999899</v>
      </c>
      <c r="H321">
        <v>8</v>
      </c>
      <c r="I321">
        <v>5</v>
      </c>
      <c r="K321" s="8">
        <f t="shared" si="28"/>
        <v>-0.68489230769228016</v>
      </c>
      <c r="L321" s="8">
        <f t="shared" si="29"/>
        <v>-5.2684023668636934E-2</v>
      </c>
      <c r="M321" s="8">
        <f t="shared" si="30"/>
        <v>-0.57960646153696871</v>
      </c>
      <c r="N321" s="8">
        <f t="shared" si="31"/>
        <v>-4.458511242592067E-2</v>
      </c>
      <c r="O321" s="8"/>
      <c r="P321" t="s">
        <v>609</v>
      </c>
      <c r="Q321">
        <v>36</v>
      </c>
      <c r="R321" s="8">
        <v>2.83968</v>
      </c>
      <c r="S321">
        <v>6</v>
      </c>
      <c r="T321" s="8">
        <f t="shared" si="32"/>
        <v>0.16666666666666666</v>
      </c>
      <c r="U321" s="8">
        <v>2.81724</v>
      </c>
      <c r="V321">
        <v>18</v>
      </c>
      <c r="W321" s="8">
        <f t="shared" si="33"/>
        <v>0.5</v>
      </c>
      <c r="X321" s="8">
        <v>2.8734999999999999</v>
      </c>
      <c r="Y321">
        <v>12</v>
      </c>
      <c r="Z321" s="8">
        <f t="shared" si="34"/>
        <v>0.33333333333333331</v>
      </c>
      <c r="AA321" s="8">
        <v>2.8001499999999999</v>
      </c>
    </row>
    <row r="322" spans="2:27" ht="15" customHeight="1" x14ac:dyDescent="0.25">
      <c r="B322">
        <v>303</v>
      </c>
      <c r="C322" s="8">
        <v>-12456.356100000001</v>
      </c>
      <c r="D322" s="2">
        <v>-12457.636221000001</v>
      </c>
      <c r="F322" s="12">
        <v>0.99618099999999998</v>
      </c>
      <c r="G322" s="13">
        <v>0.187749999999999</v>
      </c>
      <c r="H322">
        <v>8</v>
      </c>
      <c r="I322">
        <v>5</v>
      </c>
      <c r="K322" s="8">
        <f t="shared" si="28"/>
        <v>-0.6280923076938052</v>
      </c>
      <c r="L322" s="8">
        <f t="shared" si="29"/>
        <v>-4.8314792899523479E-2</v>
      </c>
      <c r="M322" s="8">
        <f t="shared" si="30"/>
        <v>-0.53222946153800876</v>
      </c>
      <c r="N322" s="8">
        <f t="shared" si="31"/>
        <v>-4.0940727810616057E-2</v>
      </c>
      <c r="O322" s="8"/>
      <c r="P322" t="s">
        <v>610</v>
      </c>
      <c r="Q322">
        <v>34</v>
      </c>
      <c r="R322" s="8">
        <v>2.82558</v>
      </c>
      <c r="S322">
        <v>6</v>
      </c>
      <c r="T322" s="8">
        <f t="shared" si="32"/>
        <v>0.17647058823529413</v>
      </c>
      <c r="U322" s="8">
        <v>2.8205300000000002</v>
      </c>
      <c r="V322">
        <v>16</v>
      </c>
      <c r="W322" s="8">
        <f t="shared" si="33"/>
        <v>0.47058823529411764</v>
      </c>
      <c r="X322" s="8">
        <v>2.8287100000000001</v>
      </c>
      <c r="Y322">
        <v>12</v>
      </c>
      <c r="Z322" s="8">
        <f t="shared" si="34"/>
        <v>0.35294117647058826</v>
      </c>
      <c r="AA322" s="8">
        <v>2.8239200000000002</v>
      </c>
    </row>
    <row r="323" spans="2:27" ht="15" customHeight="1" x14ac:dyDescent="0.25">
      <c r="B323">
        <v>304</v>
      </c>
      <c r="C323" s="8">
        <v>-12456.1931</v>
      </c>
      <c r="D323" s="2">
        <v>-12457.499166</v>
      </c>
      <c r="F323" s="12">
        <v>0.99220299999999995</v>
      </c>
      <c r="G323" s="13">
        <v>0.166269999999999</v>
      </c>
      <c r="H323">
        <v>8</v>
      </c>
      <c r="I323">
        <v>5</v>
      </c>
      <c r="K323" s="8">
        <f t="shared" ref="K323:K386" si="35">IF(ISNUMBER(C323),C323-(($C$3-$C$2236)/($H$3-$H$2236)*H323+$C$2236),"")</f>
        <v>-0.46509230769333954</v>
      </c>
      <c r="L323" s="8">
        <f t="shared" ref="L323:L386" si="36">IF(ISNUMBER(C323),K323/(H323+I323),"")</f>
        <v>-3.577633136102612E-2</v>
      </c>
      <c r="M323" s="8">
        <f t="shared" ref="M323:M386" si="37">IF(ISNUMBER(D323),D323-(($D$3-$D$2236)/($H$3-$H$2236)*H323+$D$2236),"")</f>
        <v>-0.39517446153695346</v>
      </c>
      <c r="N323" s="8">
        <f t="shared" ref="N323:N386" si="38">IF(ISNUMBER(D323),M323/(H323+I323),"")</f>
        <v>-3.0398035502842573E-2</v>
      </c>
      <c r="O323" s="8"/>
      <c r="P323" t="s">
        <v>611</v>
      </c>
      <c r="Q323">
        <v>34</v>
      </c>
      <c r="R323" s="8">
        <v>2.8211400000000002</v>
      </c>
      <c r="S323">
        <v>6</v>
      </c>
      <c r="T323" s="8">
        <f t="shared" ref="T323:T386" si="39">IF(ISNUMBER(S323),S323/(Q323),"")</f>
        <v>0.17647058823529413</v>
      </c>
      <c r="U323" s="8">
        <v>2.85385</v>
      </c>
      <c r="V323">
        <v>17</v>
      </c>
      <c r="W323" s="8">
        <f t="shared" ref="W323:W386" si="40">IF(ISNUMBER(V323),V323/($Q323),"")</f>
        <v>0.5</v>
      </c>
      <c r="X323" s="8">
        <v>2.80755</v>
      </c>
      <c r="Y323">
        <v>11</v>
      </c>
      <c r="Z323" s="8">
        <f t="shared" ref="Z323:Z386" si="41">IF(ISNUMBER(Y323),Y323/($Q323),"")</f>
        <v>0.3235294117647059</v>
      </c>
      <c r="AA323" s="8">
        <v>2.8243100000000001</v>
      </c>
    </row>
    <row r="324" spans="2:27" ht="15" customHeight="1" x14ac:dyDescent="0.25">
      <c r="B324">
        <v>305</v>
      </c>
      <c r="C324" s="8">
        <v>-12456.2647</v>
      </c>
      <c r="D324" s="2">
        <v>-12457.554549</v>
      </c>
      <c r="F324" s="12">
        <v>0.99379099999999998</v>
      </c>
      <c r="G324" s="13">
        <v>0.173099999999999</v>
      </c>
      <c r="H324">
        <v>8</v>
      </c>
      <c r="I324">
        <v>5</v>
      </c>
      <c r="K324" s="8">
        <f t="shared" si="35"/>
        <v>-0.53669230769264686</v>
      </c>
      <c r="L324" s="8">
        <f t="shared" si="36"/>
        <v>-4.128402366866514E-2</v>
      </c>
      <c r="M324" s="8">
        <f t="shared" si="37"/>
        <v>-0.45055746153775544</v>
      </c>
      <c r="N324" s="8">
        <f t="shared" si="38"/>
        <v>-3.4658266272135037E-2</v>
      </c>
      <c r="O324" s="8"/>
      <c r="P324" t="s">
        <v>612</v>
      </c>
      <c r="Q324">
        <v>35</v>
      </c>
      <c r="R324" s="8">
        <v>2.8332700000000002</v>
      </c>
      <c r="S324">
        <v>6</v>
      </c>
      <c r="T324" s="8">
        <f t="shared" si="39"/>
        <v>0.17142857142857143</v>
      </c>
      <c r="U324" s="8">
        <v>2.8686799999999999</v>
      </c>
      <c r="V324">
        <v>18</v>
      </c>
      <c r="W324" s="8">
        <f t="shared" si="40"/>
        <v>0.51428571428571423</v>
      </c>
      <c r="X324" s="8">
        <v>2.8344499999999999</v>
      </c>
      <c r="Y324">
        <v>11</v>
      </c>
      <c r="Z324" s="8">
        <f t="shared" si="41"/>
        <v>0.31428571428571428</v>
      </c>
      <c r="AA324" s="8">
        <v>2.81202</v>
      </c>
    </row>
    <row r="325" spans="2:27" ht="15" customHeight="1" x14ac:dyDescent="0.25">
      <c r="B325">
        <v>306</v>
      </c>
      <c r="C325" s="8">
        <v>-12456.317300000001</v>
      </c>
      <c r="D325" s="2">
        <v>-12457.860873</v>
      </c>
      <c r="F325" s="12">
        <v>0.99716099999999996</v>
      </c>
      <c r="G325" s="13">
        <v>0.17741999999999999</v>
      </c>
      <c r="H325">
        <v>8</v>
      </c>
      <c r="I325">
        <v>5</v>
      </c>
      <c r="K325" s="8">
        <f t="shared" si="35"/>
        <v>-0.58929230769354035</v>
      </c>
      <c r="L325" s="8">
        <f t="shared" si="36"/>
        <v>-4.5330177514887722E-2</v>
      </c>
      <c r="M325" s="8">
        <f t="shared" si="37"/>
        <v>-0.75688146153697744</v>
      </c>
      <c r="N325" s="8">
        <f t="shared" si="38"/>
        <v>-5.82216508874598E-2</v>
      </c>
      <c r="O325" s="8"/>
      <c r="P325" t="s">
        <v>613</v>
      </c>
      <c r="Q325">
        <v>36</v>
      </c>
      <c r="R325" s="8">
        <v>2.84151</v>
      </c>
      <c r="S325">
        <v>6</v>
      </c>
      <c r="T325" s="8">
        <f t="shared" si="39"/>
        <v>0.16666666666666666</v>
      </c>
      <c r="U325" s="8">
        <v>2.8645299999999998</v>
      </c>
      <c r="V325">
        <v>19</v>
      </c>
      <c r="W325" s="8">
        <f t="shared" si="40"/>
        <v>0.52777777777777779</v>
      </c>
      <c r="X325" s="8">
        <v>2.85223</v>
      </c>
      <c r="Y325">
        <v>11</v>
      </c>
      <c r="Z325" s="8">
        <f t="shared" si="41"/>
        <v>0.30555555555555558</v>
      </c>
      <c r="AA325" s="8">
        <v>2.8104200000000001</v>
      </c>
    </row>
    <row r="326" spans="2:27" ht="15" customHeight="1" x14ac:dyDescent="0.25">
      <c r="B326">
        <v>307</v>
      </c>
      <c r="C326" s="8">
        <v>-12456.3923</v>
      </c>
      <c r="D326" s="2">
        <v>-12457.972731</v>
      </c>
      <c r="F326" s="12">
        <v>0.99898200000000004</v>
      </c>
      <c r="G326" s="13">
        <v>0.227099999999999</v>
      </c>
      <c r="H326">
        <v>8</v>
      </c>
      <c r="I326">
        <v>5</v>
      </c>
      <c r="K326" s="8">
        <f t="shared" si="35"/>
        <v>-0.66429230769244896</v>
      </c>
      <c r="L326" s="8">
        <f t="shared" si="36"/>
        <v>-5.1099408284034538E-2</v>
      </c>
      <c r="M326" s="8">
        <f t="shared" si="37"/>
        <v>-0.86873946153718862</v>
      </c>
      <c r="N326" s="8">
        <f t="shared" si="38"/>
        <v>-6.6826112425937584E-2</v>
      </c>
      <c r="O326" s="8"/>
      <c r="P326" t="s">
        <v>614</v>
      </c>
      <c r="Q326">
        <v>35</v>
      </c>
      <c r="R326" s="8">
        <v>2.83317</v>
      </c>
      <c r="S326">
        <v>6</v>
      </c>
      <c r="T326" s="8">
        <f t="shared" si="39"/>
        <v>0.17142857142857143</v>
      </c>
      <c r="U326" s="8">
        <v>2.8685700000000001</v>
      </c>
      <c r="V326">
        <v>18</v>
      </c>
      <c r="W326" s="8">
        <f t="shared" si="40"/>
        <v>0.51428571428571423</v>
      </c>
      <c r="X326" s="8">
        <v>2.82511</v>
      </c>
      <c r="Y326">
        <v>11</v>
      </c>
      <c r="Z326" s="8">
        <f t="shared" si="41"/>
        <v>0.31428571428571428</v>
      </c>
      <c r="AA326" s="8">
        <v>2.8270499999999998</v>
      </c>
    </row>
    <row r="327" spans="2:27" ht="15" customHeight="1" x14ac:dyDescent="0.25">
      <c r="B327">
        <v>308</v>
      </c>
      <c r="C327" s="8">
        <v>-12456.3596</v>
      </c>
      <c r="D327" s="2">
        <v>-12458.241180999999</v>
      </c>
      <c r="F327" s="12">
        <v>0.99870700000000001</v>
      </c>
      <c r="G327" s="13">
        <v>0.220159999999999</v>
      </c>
      <c r="H327">
        <v>8</v>
      </c>
      <c r="I327">
        <v>5</v>
      </c>
      <c r="K327" s="8">
        <f t="shared" si="35"/>
        <v>-0.63159230769269925</v>
      </c>
      <c r="L327" s="8">
        <f t="shared" si="36"/>
        <v>-4.8584023668669173E-2</v>
      </c>
      <c r="M327" s="8">
        <f t="shared" si="37"/>
        <v>-1.1371894615367637</v>
      </c>
      <c r="N327" s="8">
        <f t="shared" si="38"/>
        <v>-8.7476112425904903E-2</v>
      </c>
      <c r="O327" s="8"/>
      <c r="P327" t="s">
        <v>615</v>
      </c>
      <c r="Q327">
        <v>36</v>
      </c>
      <c r="R327" s="8">
        <v>2.8372099999999998</v>
      </c>
      <c r="S327">
        <v>5</v>
      </c>
      <c r="T327" s="8">
        <f t="shared" si="39"/>
        <v>0.1388888888888889</v>
      </c>
      <c r="U327" s="8">
        <v>2.8084699999999998</v>
      </c>
      <c r="V327">
        <v>19</v>
      </c>
      <c r="W327" s="8">
        <f t="shared" si="40"/>
        <v>0.52777777777777779</v>
      </c>
      <c r="X327" s="8">
        <v>2.86849</v>
      </c>
      <c r="Y327">
        <v>12</v>
      </c>
      <c r="Z327" s="8">
        <f t="shared" si="41"/>
        <v>0.33333333333333331</v>
      </c>
      <c r="AA327" s="8">
        <v>2.7996500000000002</v>
      </c>
    </row>
    <row r="328" spans="2:27" ht="15" customHeight="1" x14ac:dyDescent="0.25">
      <c r="B328">
        <v>309</v>
      </c>
      <c r="C328" s="8">
        <v>-12456.4956</v>
      </c>
      <c r="D328" s="2">
        <v>-12457.78506</v>
      </c>
      <c r="F328" s="12">
        <v>0.99641599999999997</v>
      </c>
      <c r="G328" s="13">
        <v>0.18926000000000001</v>
      </c>
      <c r="H328">
        <v>8</v>
      </c>
      <c r="I328">
        <v>5</v>
      </c>
      <c r="K328" s="8">
        <f t="shared" si="35"/>
        <v>-0.76759230769312126</v>
      </c>
      <c r="L328" s="8">
        <f t="shared" si="36"/>
        <v>-5.9045562130240099E-2</v>
      </c>
      <c r="M328" s="8">
        <f t="shared" si="37"/>
        <v>-0.68106846153750666</v>
      </c>
      <c r="N328" s="8">
        <f t="shared" si="38"/>
        <v>-5.238988165673128E-2</v>
      </c>
      <c r="O328" s="8"/>
      <c r="P328" t="s">
        <v>616</v>
      </c>
      <c r="Q328">
        <v>36</v>
      </c>
      <c r="R328" s="8">
        <v>2.8345500000000001</v>
      </c>
      <c r="S328">
        <v>4</v>
      </c>
      <c r="T328" s="8">
        <f t="shared" si="39"/>
        <v>0.1111111111111111</v>
      </c>
      <c r="U328" s="8">
        <v>2.81772</v>
      </c>
      <c r="V328">
        <v>21</v>
      </c>
      <c r="W328" s="8">
        <f t="shared" si="40"/>
        <v>0.58333333333333337</v>
      </c>
      <c r="X328" s="8">
        <v>2.85006</v>
      </c>
      <c r="Y328">
        <v>11</v>
      </c>
      <c r="Z328" s="8">
        <f t="shared" si="41"/>
        <v>0.30555555555555558</v>
      </c>
      <c r="AA328" s="8">
        <v>2.8110599999999999</v>
      </c>
    </row>
    <row r="329" spans="2:27" ht="15" customHeight="1" x14ac:dyDescent="0.25">
      <c r="B329">
        <v>310</v>
      </c>
      <c r="C329" s="8">
        <v>-12456.170099999999</v>
      </c>
      <c r="D329" s="2">
        <v>-12457.543986999999</v>
      </c>
      <c r="F329" s="12">
        <v>0.997251</v>
      </c>
      <c r="G329" s="13">
        <v>0.14124</v>
      </c>
      <c r="H329">
        <v>8</v>
      </c>
      <c r="I329">
        <v>5</v>
      </c>
      <c r="K329" s="8">
        <f t="shared" si="35"/>
        <v>-0.4420923076922918</v>
      </c>
      <c r="L329" s="8">
        <f t="shared" si="36"/>
        <v>-3.4007100591714752E-2</v>
      </c>
      <c r="M329" s="8">
        <f t="shared" si="37"/>
        <v>-0.43999546153645497</v>
      </c>
      <c r="N329" s="8">
        <f t="shared" si="38"/>
        <v>-3.3845804733573459E-2</v>
      </c>
      <c r="O329" s="8"/>
      <c r="P329" t="s">
        <v>617</v>
      </c>
      <c r="Q329">
        <v>36</v>
      </c>
      <c r="R329" s="8">
        <v>2.8421699999999999</v>
      </c>
      <c r="S329">
        <v>7</v>
      </c>
      <c r="T329" s="8">
        <f t="shared" si="39"/>
        <v>0.19444444444444445</v>
      </c>
      <c r="U329" s="8">
        <v>2.8843399999999999</v>
      </c>
      <c r="V329">
        <v>18</v>
      </c>
      <c r="W329" s="8">
        <f t="shared" si="40"/>
        <v>0.5</v>
      </c>
      <c r="X329" s="8">
        <v>2.83832</v>
      </c>
      <c r="Y329">
        <v>11</v>
      </c>
      <c r="Z329" s="8">
        <f t="shared" si="41"/>
        <v>0.30555555555555558</v>
      </c>
      <c r="AA329" s="8">
        <v>2.8216399999999999</v>
      </c>
    </row>
    <row r="330" spans="2:27" ht="15" customHeight="1" x14ac:dyDescent="0.25">
      <c r="B330" s="14">
        <v>311</v>
      </c>
      <c r="C330" s="8">
        <v>-12456.126700000001</v>
      </c>
      <c r="D330" s="16">
        <v>-12457.44075</v>
      </c>
      <c r="E330" s="14"/>
      <c r="F330" s="17">
        <v>0.99472000000000005</v>
      </c>
      <c r="G330" s="18">
        <v>0.17766000000000001</v>
      </c>
      <c r="H330" s="14">
        <v>8</v>
      </c>
      <c r="I330" s="14">
        <v>5</v>
      </c>
      <c r="K330" s="8">
        <f t="shared" si="35"/>
        <v>-0.39869230769363639</v>
      </c>
      <c r="L330" s="8">
        <f t="shared" si="36"/>
        <v>-3.0668639053356647E-2</v>
      </c>
      <c r="M330" s="8">
        <f t="shared" si="37"/>
        <v>-0.33675846153710154</v>
      </c>
      <c r="N330" s="8">
        <f t="shared" si="38"/>
        <v>-2.5904497041315502E-2</v>
      </c>
      <c r="O330" s="8"/>
      <c r="P330" t="s">
        <v>618</v>
      </c>
      <c r="Q330">
        <v>36</v>
      </c>
      <c r="R330" s="8">
        <v>2.84057</v>
      </c>
      <c r="S330">
        <v>7</v>
      </c>
      <c r="T330" s="8">
        <f t="shared" si="39"/>
        <v>0.19444444444444445</v>
      </c>
      <c r="U330" s="8">
        <v>2.8997299999999999</v>
      </c>
      <c r="V330">
        <v>18</v>
      </c>
      <c r="W330" s="8">
        <f t="shared" si="40"/>
        <v>0.5</v>
      </c>
      <c r="X330" s="8">
        <v>2.8197700000000001</v>
      </c>
      <c r="Y330">
        <v>11</v>
      </c>
      <c r="Z330" s="8">
        <f t="shared" si="41"/>
        <v>0.30555555555555558</v>
      </c>
      <c r="AA330" s="8">
        <v>2.83697</v>
      </c>
    </row>
    <row r="331" spans="2:27" ht="15" customHeight="1" x14ac:dyDescent="0.25">
      <c r="B331">
        <v>312</v>
      </c>
      <c r="C331" s="8">
        <v>-12456.1513</v>
      </c>
      <c r="D331" s="2">
        <v>-12457.789596000001</v>
      </c>
      <c r="F331" s="12">
        <v>0.98771699999999996</v>
      </c>
      <c r="G331" s="13">
        <v>0.15262999999999899</v>
      </c>
      <c r="H331">
        <v>8</v>
      </c>
      <c r="I331">
        <v>5</v>
      </c>
      <c r="K331" s="8">
        <f t="shared" si="35"/>
        <v>-0.42329230769246351</v>
      </c>
      <c r="L331" s="8">
        <f t="shared" si="36"/>
        <v>-3.2560946745574117E-2</v>
      </c>
      <c r="M331" s="8">
        <f t="shared" si="37"/>
        <v>-0.6856044615378778</v>
      </c>
      <c r="N331" s="8">
        <f t="shared" si="38"/>
        <v>-5.2738804733682906E-2</v>
      </c>
      <c r="O331" s="8"/>
      <c r="P331" t="s">
        <v>619</v>
      </c>
      <c r="Q331">
        <v>36</v>
      </c>
      <c r="R331" s="8">
        <v>2.8363200000000002</v>
      </c>
      <c r="S331">
        <v>6</v>
      </c>
      <c r="T331" s="8">
        <f t="shared" si="39"/>
        <v>0.16666666666666666</v>
      </c>
      <c r="U331" s="8">
        <v>2.9300899999999999</v>
      </c>
      <c r="V331">
        <v>20</v>
      </c>
      <c r="W331" s="8">
        <f t="shared" si="40"/>
        <v>0.55555555555555558</v>
      </c>
      <c r="X331" s="8">
        <v>2.8117999999999999</v>
      </c>
      <c r="Y331">
        <v>10</v>
      </c>
      <c r="Z331" s="8">
        <f t="shared" si="41"/>
        <v>0.27777777777777779</v>
      </c>
      <c r="AA331" s="8">
        <v>2.82911</v>
      </c>
    </row>
    <row r="332" spans="2:27" ht="15" customHeight="1" x14ac:dyDescent="0.25">
      <c r="B332">
        <v>313</v>
      </c>
      <c r="C332" s="8">
        <v>-12456.234399999999</v>
      </c>
      <c r="D332" s="2">
        <v>-12458.092585</v>
      </c>
      <c r="F332" s="12">
        <v>0.99883500000000003</v>
      </c>
      <c r="G332" s="13">
        <v>0.22333999999999901</v>
      </c>
      <c r="H332">
        <v>8</v>
      </c>
      <c r="I332">
        <v>5</v>
      </c>
      <c r="K332" s="8">
        <f t="shared" si="35"/>
        <v>-0.50639230769229471</v>
      </c>
      <c r="L332" s="8">
        <f t="shared" si="36"/>
        <v>-3.8953254437868824E-2</v>
      </c>
      <c r="M332" s="8">
        <f t="shared" si="37"/>
        <v>-0.98859346153767547</v>
      </c>
      <c r="N332" s="8">
        <f t="shared" si="38"/>
        <v>-7.60456508875135E-2</v>
      </c>
      <c r="O332" s="8"/>
      <c r="P332" t="s">
        <v>620</v>
      </c>
      <c r="Q332">
        <v>35</v>
      </c>
      <c r="R332" s="8">
        <v>2.8303400000000001</v>
      </c>
      <c r="S332">
        <v>5</v>
      </c>
      <c r="T332" s="8">
        <f t="shared" si="39"/>
        <v>0.14285714285714285</v>
      </c>
      <c r="U332" s="8">
        <v>2.8975599999999999</v>
      </c>
      <c r="V332">
        <v>19</v>
      </c>
      <c r="W332" s="8">
        <f t="shared" si="40"/>
        <v>0.54285714285714282</v>
      </c>
      <c r="X332" s="8">
        <v>2.8161299999999998</v>
      </c>
      <c r="Y332">
        <v>11</v>
      </c>
      <c r="Z332" s="8">
        <f t="shared" si="41"/>
        <v>0.31428571428571428</v>
      </c>
      <c r="AA332" s="8">
        <v>2.8243499999999999</v>
      </c>
    </row>
    <row r="333" spans="2:27" ht="15" customHeight="1" x14ac:dyDescent="0.25">
      <c r="B333">
        <v>314</v>
      </c>
      <c r="C333" s="8">
        <v>-12456.1955</v>
      </c>
      <c r="D333" s="2">
        <v>-12457.953597</v>
      </c>
      <c r="F333" s="12">
        <v>0.99642799999999998</v>
      </c>
      <c r="G333" s="13">
        <v>0.18856999999999899</v>
      </c>
      <c r="H333">
        <v>8</v>
      </c>
      <c r="I333">
        <v>5</v>
      </c>
      <c r="K333" s="8">
        <f t="shared" si="35"/>
        <v>-0.46749230769273709</v>
      </c>
      <c r="L333" s="8">
        <f t="shared" si="36"/>
        <v>-3.5960946745595163E-2</v>
      </c>
      <c r="M333" s="8">
        <f t="shared" si="37"/>
        <v>-0.84960546153706673</v>
      </c>
      <c r="N333" s="8">
        <f t="shared" si="38"/>
        <v>-6.5354266272082059E-2</v>
      </c>
      <c r="O333" s="8"/>
      <c r="P333" t="s">
        <v>621</v>
      </c>
      <c r="Q333">
        <v>35</v>
      </c>
      <c r="R333" s="8">
        <v>2.8274400000000002</v>
      </c>
      <c r="S333">
        <v>4</v>
      </c>
      <c r="T333" s="8">
        <f t="shared" si="39"/>
        <v>0.11428571428571428</v>
      </c>
      <c r="U333" s="8">
        <v>2.9132699999999998</v>
      </c>
      <c r="V333">
        <v>21</v>
      </c>
      <c r="W333" s="8">
        <f t="shared" si="40"/>
        <v>0.6</v>
      </c>
      <c r="X333" s="8">
        <v>2.8151799999999998</v>
      </c>
      <c r="Y333">
        <v>10</v>
      </c>
      <c r="Z333" s="8">
        <f t="shared" si="41"/>
        <v>0.2857142857142857</v>
      </c>
      <c r="AA333" s="8">
        <v>2.8188599999999999</v>
      </c>
    </row>
    <row r="334" spans="2:27" ht="15" customHeight="1" x14ac:dyDescent="0.25">
      <c r="B334">
        <v>315</v>
      </c>
      <c r="C334" s="8">
        <v>-12456.459279999999</v>
      </c>
      <c r="D334" s="2">
        <v>-12458.097398</v>
      </c>
      <c r="F334" s="12">
        <v>0.99853099999999995</v>
      </c>
      <c r="G334" s="13">
        <v>0.21648000000000001</v>
      </c>
      <c r="H334">
        <v>8</v>
      </c>
      <c r="I334">
        <v>5</v>
      </c>
      <c r="K334" s="8">
        <f t="shared" si="35"/>
        <v>-0.73127230769205198</v>
      </c>
      <c r="L334" s="8">
        <f t="shared" si="36"/>
        <v>-5.6251715976311692E-2</v>
      </c>
      <c r="M334" s="8">
        <f t="shared" si="37"/>
        <v>-0.99340646153723355</v>
      </c>
      <c r="N334" s="8">
        <f t="shared" si="38"/>
        <v>-7.6415881656710274E-2</v>
      </c>
      <c r="O334" s="8"/>
      <c r="P334" t="s">
        <v>622</v>
      </c>
      <c r="Q334">
        <v>36</v>
      </c>
      <c r="R334" s="8">
        <v>2.8371300000000002</v>
      </c>
      <c r="S334">
        <v>2</v>
      </c>
      <c r="T334" s="8">
        <f t="shared" si="39"/>
        <v>5.5555555555555552E-2</v>
      </c>
      <c r="U334" s="8">
        <v>2.8034599999999998</v>
      </c>
      <c r="V334">
        <v>24</v>
      </c>
      <c r="W334" s="8">
        <f t="shared" si="40"/>
        <v>0.66666666666666663</v>
      </c>
      <c r="X334" s="8">
        <v>2.8580700000000001</v>
      </c>
      <c r="Y334">
        <v>10</v>
      </c>
      <c r="Z334" s="8">
        <f t="shared" si="41"/>
        <v>0.27777777777777779</v>
      </c>
      <c r="AA334" s="8">
        <v>2.7936299999999998</v>
      </c>
    </row>
    <row r="335" spans="2:27" ht="15" customHeight="1" x14ac:dyDescent="0.25">
      <c r="B335">
        <v>316</v>
      </c>
      <c r="C335" s="8">
        <v>-12456.409900000001</v>
      </c>
      <c r="D335" s="2">
        <v>-12457.694417000001</v>
      </c>
      <c r="F335" s="12">
        <v>0.99565599999999999</v>
      </c>
      <c r="G335" s="13">
        <v>0.18392</v>
      </c>
      <c r="H335">
        <v>8</v>
      </c>
      <c r="I335">
        <v>5</v>
      </c>
      <c r="K335" s="8">
        <f t="shared" si="35"/>
        <v>-0.68189230769348796</v>
      </c>
      <c r="L335" s="8">
        <f t="shared" si="36"/>
        <v>-5.245325443796061E-2</v>
      </c>
      <c r="M335" s="8">
        <f t="shared" si="37"/>
        <v>-0.59042546153796138</v>
      </c>
      <c r="N335" s="8">
        <f t="shared" si="38"/>
        <v>-4.5417343195227798E-2</v>
      </c>
      <c r="O335" s="8"/>
      <c r="P335" t="s">
        <v>623</v>
      </c>
      <c r="Q335">
        <v>36</v>
      </c>
      <c r="R335" s="8">
        <v>2.84205</v>
      </c>
      <c r="S335">
        <v>7</v>
      </c>
      <c r="T335" s="8">
        <f t="shared" si="39"/>
        <v>0.19444444444444445</v>
      </c>
      <c r="U335" s="8">
        <v>2.8534199999999998</v>
      </c>
      <c r="V335">
        <v>16</v>
      </c>
      <c r="W335" s="8">
        <f t="shared" si="40"/>
        <v>0.44444444444444442</v>
      </c>
      <c r="X335" s="8">
        <v>2.8767800000000001</v>
      </c>
      <c r="Y335">
        <v>13</v>
      </c>
      <c r="Z335" s="8">
        <f t="shared" si="41"/>
        <v>0.3611111111111111</v>
      </c>
      <c r="AA335" s="8">
        <v>2.7931900000000001</v>
      </c>
    </row>
    <row r="336" spans="2:27" ht="15" customHeight="1" x14ac:dyDescent="0.25">
      <c r="B336">
        <v>317</v>
      </c>
      <c r="C336" s="8">
        <v>-12456.4962</v>
      </c>
      <c r="D336" s="2">
        <v>-12457.786184000001</v>
      </c>
      <c r="F336" s="12">
        <v>0.99652399999999997</v>
      </c>
      <c r="G336" s="13">
        <v>0.19059999999999899</v>
      </c>
      <c r="H336">
        <v>8</v>
      </c>
      <c r="I336">
        <v>5</v>
      </c>
      <c r="K336" s="8">
        <f t="shared" si="35"/>
        <v>-0.7681923076925159</v>
      </c>
      <c r="L336" s="8">
        <f t="shared" si="36"/>
        <v>-5.9091715976347374E-2</v>
      </c>
      <c r="M336" s="8">
        <f t="shared" si="37"/>
        <v>-0.68219246153785207</v>
      </c>
      <c r="N336" s="8">
        <f t="shared" si="38"/>
        <v>-5.2476343195219391E-2</v>
      </c>
      <c r="O336" s="8"/>
      <c r="P336" t="s">
        <v>624</v>
      </c>
      <c r="Q336">
        <v>34</v>
      </c>
      <c r="R336" s="8">
        <v>2.82301</v>
      </c>
      <c r="S336">
        <v>6</v>
      </c>
      <c r="T336" s="8">
        <f t="shared" si="39"/>
        <v>0.17647058823529413</v>
      </c>
      <c r="U336" s="8">
        <v>2.8236500000000002</v>
      </c>
      <c r="V336">
        <v>16</v>
      </c>
      <c r="W336" s="8">
        <f t="shared" si="40"/>
        <v>0.47058823529411764</v>
      </c>
      <c r="X336" s="8">
        <v>2.82802</v>
      </c>
      <c r="Y336">
        <v>12</v>
      </c>
      <c r="Z336" s="8">
        <f t="shared" si="41"/>
        <v>0.35294117647058826</v>
      </c>
      <c r="AA336" s="8">
        <v>2.8160099999999999</v>
      </c>
    </row>
    <row r="337" spans="2:27" ht="15" customHeight="1" x14ac:dyDescent="0.25">
      <c r="B337">
        <v>318</v>
      </c>
      <c r="C337" s="8">
        <v>-12456.2282</v>
      </c>
      <c r="D337" s="2">
        <v>-12457.57684</v>
      </c>
      <c r="F337" s="12">
        <v>0.99558599999999997</v>
      </c>
      <c r="G337" s="13">
        <v>0.18343000000000001</v>
      </c>
      <c r="H337">
        <v>8</v>
      </c>
      <c r="I337">
        <v>5</v>
      </c>
      <c r="K337" s="8">
        <f t="shared" si="35"/>
        <v>-0.50019230769248679</v>
      </c>
      <c r="L337" s="8">
        <f t="shared" si="36"/>
        <v>-3.8476331360960521E-2</v>
      </c>
      <c r="M337" s="8">
        <f t="shared" si="37"/>
        <v>-0.47284846153706894</v>
      </c>
      <c r="N337" s="8">
        <f t="shared" si="38"/>
        <v>-3.6372958579774531E-2</v>
      </c>
      <c r="O337" s="8"/>
      <c r="P337" t="s">
        <v>625</v>
      </c>
      <c r="Q337">
        <v>36</v>
      </c>
      <c r="R337" s="8">
        <v>2.8385099999999999</v>
      </c>
      <c r="S337">
        <v>8</v>
      </c>
      <c r="T337" s="8">
        <f t="shared" si="39"/>
        <v>0.22222222222222221</v>
      </c>
      <c r="U337" s="8">
        <v>2.8499400000000001</v>
      </c>
      <c r="V337">
        <v>14</v>
      </c>
      <c r="W337" s="8">
        <f t="shared" si="40"/>
        <v>0.3888888888888889</v>
      </c>
      <c r="X337" s="8">
        <v>2.8186399999999998</v>
      </c>
      <c r="Y337">
        <v>14</v>
      </c>
      <c r="Z337" s="8">
        <f t="shared" si="41"/>
        <v>0.3888888888888889</v>
      </c>
      <c r="AA337" s="8">
        <v>2.8518500000000002</v>
      </c>
    </row>
    <row r="338" spans="2:27" ht="15" customHeight="1" x14ac:dyDescent="0.25">
      <c r="B338">
        <v>319</v>
      </c>
      <c r="C338" s="8">
        <v>-12456.379000000001</v>
      </c>
      <c r="D338" s="2">
        <v>-12457.909568999999</v>
      </c>
      <c r="F338" s="12">
        <v>0.99639800000000001</v>
      </c>
      <c r="G338" s="13">
        <v>0.18951999999999899</v>
      </c>
      <c r="H338">
        <v>8</v>
      </c>
      <c r="I338">
        <v>5</v>
      </c>
      <c r="K338" s="8">
        <f t="shared" si="35"/>
        <v>-0.65099230769374117</v>
      </c>
      <c r="L338" s="8">
        <f t="shared" si="36"/>
        <v>-5.0076331361057012E-2</v>
      </c>
      <c r="M338" s="8">
        <f t="shared" si="37"/>
        <v>-0.80557746153681364</v>
      </c>
      <c r="N338" s="8">
        <f t="shared" si="38"/>
        <v>-6.1967497041293354E-2</v>
      </c>
      <c r="O338" s="8"/>
      <c r="P338" t="s">
        <v>626</v>
      </c>
      <c r="Q338">
        <v>33</v>
      </c>
      <c r="R338" s="8">
        <v>2.8079499999999999</v>
      </c>
      <c r="S338">
        <v>6</v>
      </c>
      <c r="T338" s="8">
        <f t="shared" si="39"/>
        <v>0.18181818181818182</v>
      </c>
      <c r="U338" s="8">
        <v>2.8238599999999998</v>
      </c>
      <c r="V338">
        <v>16</v>
      </c>
      <c r="W338" s="8">
        <f t="shared" si="40"/>
        <v>0.48484848484848486</v>
      </c>
      <c r="X338" s="8">
        <v>2.8075899999999998</v>
      </c>
      <c r="Y338">
        <v>11</v>
      </c>
      <c r="Z338" s="8">
        <f t="shared" si="41"/>
        <v>0.33333333333333331</v>
      </c>
      <c r="AA338" s="8">
        <v>2.7997700000000001</v>
      </c>
    </row>
    <row r="339" spans="2:27" ht="15" customHeight="1" x14ac:dyDescent="0.25">
      <c r="B339">
        <v>320</v>
      </c>
      <c r="C339" s="8">
        <v>-12456.309600000001</v>
      </c>
      <c r="D339" s="2">
        <v>-12457.825258999999</v>
      </c>
      <c r="F339" s="12">
        <v>0.99572700000000003</v>
      </c>
      <c r="G339" s="13">
        <v>0.18440000000000001</v>
      </c>
      <c r="H339">
        <v>8</v>
      </c>
      <c r="I339">
        <v>5</v>
      </c>
      <c r="K339" s="8">
        <f t="shared" si="35"/>
        <v>-0.58159230769342685</v>
      </c>
      <c r="L339" s="8">
        <f t="shared" si="36"/>
        <v>-4.4737869822571295E-2</v>
      </c>
      <c r="M339" s="8">
        <f t="shared" si="37"/>
        <v>-0.7212674615366268</v>
      </c>
      <c r="N339" s="8">
        <f t="shared" si="38"/>
        <v>-5.5482112425894368E-2</v>
      </c>
      <c r="O339" s="8"/>
      <c r="P339" t="s">
        <v>627</v>
      </c>
      <c r="Q339">
        <v>36</v>
      </c>
      <c r="R339" s="8">
        <v>2.83928</v>
      </c>
      <c r="S339">
        <v>7</v>
      </c>
      <c r="T339" s="8">
        <f t="shared" si="39"/>
        <v>0.19444444444444445</v>
      </c>
      <c r="U339" s="8">
        <v>2.87574</v>
      </c>
      <c r="V339">
        <v>17</v>
      </c>
      <c r="W339" s="8">
        <f t="shared" si="40"/>
        <v>0.47222222222222221</v>
      </c>
      <c r="X339" s="8">
        <v>2.84945</v>
      </c>
      <c r="Y339">
        <v>12</v>
      </c>
      <c r="Z339" s="8">
        <f t="shared" si="41"/>
        <v>0.33333333333333331</v>
      </c>
      <c r="AA339" s="8">
        <v>2.8035999999999999</v>
      </c>
    </row>
    <row r="340" spans="2:27" ht="15" customHeight="1" x14ac:dyDescent="0.25">
      <c r="B340">
        <v>321</v>
      </c>
      <c r="C340" s="8">
        <v>-12456.4836</v>
      </c>
      <c r="D340" s="2">
        <v>-12458.028522000001</v>
      </c>
      <c r="F340" s="12">
        <v>0.99357600000000001</v>
      </c>
      <c r="G340" s="13">
        <v>0.17212</v>
      </c>
      <c r="H340">
        <v>8</v>
      </c>
      <c r="I340">
        <v>5</v>
      </c>
      <c r="K340" s="8">
        <f t="shared" si="35"/>
        <v>-0.75559230769249552</v>
      </c>
      <c r="L340" s="8">
        <f t="shared" si="36"/>
        <v>-5.8122485207115042E-2</v>
      </c>
      <c r="M340" s="8">
        <f t="shared" si="37"/>
        <v>-0.92453046153787</v>
      </c>
      <c r="N340" s="8">
        <f t="shared" si="38"/>
        <v>-7.111772781060538E-2</v>
      </c>
      <c r="O340" s="8"/>
      <c r="P340" t="s">
        <v>628</v>
      </c>
      <c r="Q340">
        <v>35</v>
      </c>
      <c r="R340" s="8">
        <v>2.8272200000000001</v>
      </c>
      <c r="S340">
        <v>5</v>
      </c>
      <c r="T340" s="8">
        <f t="shared" si="39"/>
        <v>0.14285714285714285</v>
      </c>
      <c r="U340" s="8">
        <v>2.8401200000000002</v>
      </c>
      <c r="V340">
        <v>18</v>
      </c>
      <c r="W340" s="8">
        <f t="shared" si="40"/>
        <v>0.51428571428571423</v>
      </c>
      <c r="X340" s="8">
        <v>2.81575</v>
      </c>
      <c r="Y340">
        <v>12</v>
      </c>
      <c r="Z340" s="8">
        <f t="shared" si="41"/>
        <v>0.34285714285714286</v>
      </c>
      <c r="AA340" s="8">
        <v>2.83907</v>
      </c>
    </row>
    <row r="341" spans="2:27" ht="15" customHeight="1" x14ac:dyDescent="0.25">
      <c r="B341">
        <v>322</v>
      </c>
      <c r="C341" s="8">
        <v>-12456.287</v>
      </c>
      <c r="D341" s="2">
        <v>-12457.601515</v>
      </c>
      <c r="F341" s="12">
        <v>0.99756699999999998</v>
      </c>
      <c r="G341" s="13">
        <v>0.20127999999999899</v>
      </c>
      <c r="H341">
        <v>8</v>
      </c>
      <c r="I341">
        <v>5</v>
      </c>
      <c r="K341" s="8">
        <f t="shared" si="35"/>
        <v>-0.5589923076931882</v>
      </c>
      <c r="L341" s="8">
        <f t="shared" si="36"/>
        <v>-4.2999408284091399E-2</v>
      </c>
      <c r="M341" s="8">
        <f t="shared" si="37"/>
        <v>-0.49752346153763938</v>
      </c>
      <c r="N341" s="8">
        <f t="shared" si="38"/>
        <v>-3.8271035502895338E-2</v>
      </c>
      <c r="O341" s="8"/>
      <c r="P341" t="s">
        <v>629</v>
      </c>
      <c r="Q341">
        <v>35</v>
      </c>
      <c r="R341" s="8">
        <v>2.82443</v>
      </c>
      <c r="S341">
        <v>7</v>
      </c>
      <c r="T341" s="8">
        <f t="shared" si="39"/>
        <v>0.2</v>
      </c>
      <c r="U341" s="8">
        <v>2.8247800000000001</v>
      </c>
      <c r="V341">
        <v>13</v>
      </c>
      <c r="W341" s="8">
        <f t="shared" si="40"/>
        <v>0.37142857142857144</v>
      </c>
      <c r="X341" s="8">
        <v>2.8226200000000001</v>
      </c>
      <c r="Y341">
        <v>15</v>
      </c>
      <c r="Z341" s="8">
        <f t="shared" si="41"/>
        <v>0.42857142857142855</v>
      </c>
      <c r="AA341" s="8">
        <v>2.8258299999999998</v>
      </c>
    </row>
    <row r="342" spans="2:27" ht="15" customHeight="1" x14ac:dyDescent="0.25">
      <c r="B342">
        <v>323</v>
      </c>
      <c r="C342" s="8">
        <v>-12456.582700000001</v>
      </c>
      <c r="D342" s="2">
        <v>-12457.864388</v>
      </c>
      <c r="F342" s="12">
        <v>0.99409499999999995</v>
      </c>
      <c r="G342" s="13">
        <v>0.17469000000000001</v>
      </c>
      <c r="H342">
        <v>8</v>
      </c>
      <c r="I342">
        <v>5</v>
      </c>
      <c r="K342" s="8">
        <f t="shared" si="35"/>
        <v>-0.85469230769376736</v>
      </c>
      <c r="L342" s="8">
        <f t="shared" si="36"/>
        <v>-6.57455621302898E-2</v>
      </c>
      <c r="M342" s="8">
        <f t="shared" si="37"/>
        <v>-0.76039646153731155</v>
      </c>
      <c r="N342" s="8">
        <f t="shared" si="38"/>
        <v>-5.8492035502870118E-2</v>
      </c>
      <c r="O342" s="8"/>
      <c r="P342" t="s">
        <v>630</v>
      </c>
      <c r="Q342">
        <v>36</v>
      </c>
      <c r="R342" s="8">
        <v>2.8369499999999999</v>
      </c>
      <c r="S342">
        <v>5</v>
      </c>
      <c r="T342" s="8">
        <f t="shared" si="39"/>
        <v>0.1388888888888889</v>
      </c>
      <c r="U342" s="8">
        <v>2.8542900000000002</v>
      </c>
      <c r="V342">
        <v>19</v>
      </c>
      <c r="W342" s="8">
        <f t="shared" si="40"/>
        <v>0.52777777777777779</v>
      </c>
      <c r="X342" s="8">
        <v>2.8477999999999999</v>
      </c>
      <c r="Y342">
        <v>12</v>
      </c>
      <c r="Z342" s="8">
        <f t="shared" si="41"/>
        <v>0.33333333333333331</v>
      </c>
      <c r="AA342" s="8">
        <v>2.8125300000000002</v>
      </c>
    </row>
    <row r="343" spans="2:27" ht="15" customHeight="1" x14ac:dyDescent="0.25">
      <c r="B343">
        <v>324</v>
      </c>
      <c r="C343" s="8">
        <v>-12456.232</v>
      </c>
      <c r="D343" s="2">
        <v>-12457.789357</v>
      </c>
      <c r="F343" s="12">
        <v>0.99362099999999998</v>
      </c>
      <c r="G343" s="13">
        <v>0.172349999999999</v>
      </c>
      <c r="H343">
        <v>8</v>
      </c>
      <c r="I343">
        <v>5</v>
      </c>
      <c r="K343" s="8">
        <f t="shared" si="35"/>
        <v>-0.50399230769289716</v>
      </c>
      <c r="L343" s="8">
        <f t="shared" si="36"/>
        <v>-3.8768639053299782E-2</v>
      </c>
      <c r="M343" s="8">
        <f t="shared" si="37"/>
        <v>-0.68536546153700328</v>
      </c>
      <c r="N343" s="8">
        <f t="shared" si="38"/>
        <v>-5.2720420118231019E-2</v>
      </c>
      <c r="O343" s="8"/>
      <c r="P343" t="s">
        <v>631</v>
      </c>
      <c r="Q343">
        <v>34</v>
      </c>
      <c r="R343" s="8">
        <v>2.8180399999999999</v>
      </c>
      <c r="S343">
        <v>8</v>
      </c>
      <c r="T343" s="8">
        <f t="shared" si="39"/>
        <v>0.23529411764705882</v>
      </c>
      <c r="U343" s="8">
        <v>2.8459599999999998</v>
      </c>
      <c r="V343">
        <v>14</v>
      </c>
      <c r="W343" s="8">
        <f t="shared" si="40"/>
        <v>0.41176470588235292</v>
      </c>
      <c r="X343" s="8">
        <v>2.81012</v>
      </c>
      <c r="Y343">
        <v>12</v>
      </c>
      <c r="Z343" s="8">
        <f t="shared" si="41"/>
        <v>0.35294117647058826</v>
      </c>
      <c r="AA343" s="8">
        <v>2.8086500000000001</v>
      </c>
    </row>
    <row r="344" spans="2:27" ht="15" customHeight="1" x14ac:dyDescent="0.25">
      <c r="B344">
        <v>325</v>
      </c>
      <c r="C344" s="8">
        <v>-12456.489799999999</v>
      </c>
      <c r="D344" s="2">
        <v>-12458.084337</v>
      </c>
      <c r="F344" s="12">
        <v>0.99300900000000003</v>
      </c>
      <c r="G344" s="13">
        <v>0.16958999999999899</v>
      </c>
      <c r="H344">
        <v>8</v>
      </c>
      <c r="I344">
        <v>5</v>
      </c>
      <c r="K344" s="8">
        <f t="shared" si="35"/>
        <v>-0.76179230769230344</v>
      </c>
      <c r="L344" s="8">
        <f t="shared" si="36"/>
        <v>-5.8599408284023338E-2</v>
      </c>
      <c r="M344" s="8">
        <f t="shared" si="37"/>
        <v>-0.98034546153758129</v>
      </c>
      <c r="N344" s="8">
        <f t="shared" si="38"/>
        <v>-7.5411189349044713E-2</v>
      </c>
      <c r="O344" s="8"/>
      <c r="P344" t="s">
        <v>632</v>
      </c>
      <c r="Q344">
        <v>35</v>
      </c>
      <c r="R344" s="8">
        <v>2.8301400000000001</v>
      </c>
      <c r="S344">
        <v>6</v>
      </c>
      <c r="T344" s="8">
        <f t="shared" si="39"/>
        <v>0.17142857142857143</v>
      </c>
      <c r="U344" s="8">
        <v>2.85025</v>
      </c>
      <c r="V344">
        <v>18</v>
      </c>
      <c r="W344" s="8">
        <f t="shared" si="40"/>
        <v>0.51428571428571423</v>
      </c>
      <c r="X344" s="8">
        <v>2.84395</v>
      </c>
      <c r="Y344">
        <v>11</v>
      </c>
      <c r="Z344" s="8">
        <f t="shared" si="41"/>
        <v>0.31428571428571428</v>
      </c>
      <c r="AA344" s="8">
        <v>2.79657</v>
      </c>
    </row>
    <row r="345" spans="2:27" ht="15" customHeight="1" x14ac:dyDescent="0.25">
      <c r="B345">
        <v>326</v>
      </c>
      <c r="C345" s="8">
        <v>-12456.4686</v>
      </c>
      <c r="D345" s="2">
        <v>-12457.767116000001</v>
      </c>
      <c r="F345" s="12">
        <v>0.995946</v>
      </c>
      <c r="G345" s="13">
        <v>0.18584999999999899</v>
      </c>
      <c r="H345">
        <v>8</v>
      </c>
      <c r="I345">
        <v>5</v>
      </c>
      <c r="K345" s="8">
        <f t="shared" si="35"/>
        <v>-0.7405923076930776</v>
      </c>
      <c r="L345" s="8">
        <f t="shared" si="36"/>
        <v>-5.6968639053313661E-2</v>
      </c>
      <c r="M345" s="8">
        <f t="shared" si="37"/>
        <v>-0.66312446153824567</v>
      </c>
      <c r="N345" s="8">
        <f t="shared" si="38"/>
        <v>-5.1009573964480436E-2</v>
      </c>
      <c r="O345" s="8"/>
      <c r="P345" t="s">
        <v>633</v>
      </c>
      <c r="Q345">
        <v>36</v>
      </c>
      <c r="R345" s="8">
        <v>2.8346200000000001</v>
      </c>
      <c r="S345">
        <v>6</v>
      </c>
      <c r="T345" s="8">
        <f t="shared" si="39"/>
        <v>0.16666666666666666</v>
      </c>
      <c r="U345" s="8">
        <v>2.8282600000000002</v>
      </c>
      <c r="V345">
        <v>17</v>
      </c>
      <c r="W345" s="8">
        <f t="shared" si="40"/>
        <v>0.47222222222222221</v>
      </c>
      <c r="X345" s="8">
        <v>2.8579699999999999</v>
      </c>
      <c r="Y345">
        <v>13</v>
      </c>
      <c r="Z345" s="8">
        <f t="shared" si="41"/>
        <v>0.3611111111111111</v>
      </c>
      <c r="AA345" s="8">
        <v>2.8070200000000001</v>
      </c>
    </row>
    <row r="346" spans="2:27" ht="15" customHeight="1" x14ac:dyDescent="0.25">
      <c r="B346">
        <v>327</v>
      </c>
      <c r="C346" s="8">
        <v>-12456.352999999999</v>
      </c>
      <c r="D346" s="2">
        <v>-12457.884923</v>
      </c>
      <c r="F346" s="12">
        <v>0.99494000000000005</v>
      </c>
      <c r="G346" s="13">
        <v>0.17938999999999899</v>
      </c>
      <c r="H346">
        <v>8</v>
      </c>
      <c r="I346">
        <v>5</v>
      </c>
      <c r="K346" s="8">
        <f t="shared" si="35"/>
        <v>-0.62499230769208225</v>
      </c>
      <c r="L346" s="8">
        <f t="shared" si="36"/>
        <v>-4.8076331360929404E-2</v>
      </c>
      <c r="M346" s="8">
        <f t="shared" si="37"/>
        <v>-0.7809314615369658</v>
      </c>
      <c r="N346" s="8">
        <f t="shared" si="38"/>
        <v>-6.0071650887458909E-2</v>
      </c>
      <c r="O346" s="8"/>
      <c r="P346" t="s">
        <v>634</v>
      </c>
      <c r="Q346">
        <v>34</v>
      </c>
      <c r="R346" s="8">
        <v>2.8226200000000001</v>
      </c>
      <c r="S346">
        <v>7</v>
      </c>
      <c r="T346" s="8">
        <f t="shared" si="39"/>
        <v>0.20588235294117646</v>
      </c>
      <c r="U346" s="8">
        <v>2.8805800000000001</v>
      </c>
      <c r="V346">
        <v>16</v>
      </c>
      <c r="W346" s="8">
        <f t="shared" si="40"/>
        <v>0.47058823529411764</v>
      </c>
      <c r="X346" s="8">
        <v>2.8189299999999999</v>
      </c>
      <c r="Y346">
        <v>11</v>
      </c>
      <c r="Z346" s="8">
        <f t="shared" si="41"/>
        <v>0.3235294117647059</v>
      </c>
      <c r="AA346" s="8">
        <v>2.7911100000000002</v>
      </c>
    </row>
    <row r="347" spans="2:27" ht="15" customHeight="1" x14ac:dyDescent="0.25">
      <c r="B347">
        <v>328</v>
      </c>
      <c r="C347" s="8">
        <v>-12456.349099999999</v>
      </c>
      <c r="D347" s="2">
        <v>-12457.895224</v>
      </c>
      <c r="F347" s="12">
        <v>0.99713099999999999</v>
      </c>
      <c r="G347" s="13">
        <v>0.19649999999999901</v>
      </c>
      <c r="H347">
        <v>8</v>
      </c>
      <c r="I347">
        <v>5</v>
      </c>
      <c r="K347" s="8">
        <f t="shared" si="35"/>
        <v>-0.62109230769237911</v>
      </c>
      <c r="L347" s="8">
        <f t="shared" si="36"/>
        <v>-4.7776331360952239E-2</v>
      </c>
      <c r="M347" s="8">
        <f t="shared" si="37"/>
        <v>-0.79123246153721993</v>
      </c>
      <c r="N347" s="8">
        <f t="shared" si="38"/>
        <v>-6.0864035502863074E-2</v>
      </c>
      <c r="O347" s="8"/>
      <c r="P347" t="s">
        <v>635</v>
      </c>
      <c r="Q347">
        <v>35</v>
      </c>
      <c r="R347" s="8">
        <v>2.8370099999999998</v>
      </c>
      <c r="S347">
        <v>5</v>
      </c>
      <c r="T347" s="8">
        <f t="shared" si="39"/>
        <v>0.14285714285714285</v>
      </c>
      <c r="U347" s="8">
        <v>2.9162400000000002</v>
      </c>
      <c r="V347">
        <v>19</v>
      </c>
      <c r="W347" s="8">
        <f t="shared" si="40"/>
        <v>0.54285714285714282</v>
      </c>
      <c r="X347" s="8">
        <v>2.8264800000000001</v>
      </c>
      <c r="Y347">
        <v>11</v>
      </c>
      <c r="Z347" s="8">
        <f t="shared" si="41"/>
        <v>0.31428571428571428</v>
      </c>
      <c r="AA347" s="8">
        <v>2.8191700000000002</v>
      </c>
    </row>
    <row r="348" spans="2:27" ht="15" customHeight="1" x14ac:dyDescent="0.25">
      <c r="B348">
        <v>329</v>
      </c>
      <c r="C348" s="8">
        <v>-12456.441199999999</v>
      </c>
      <c r="D348" s="2">
        <v>-12457.998756000001</v>
      </c>
      <c r="F348" s="12">
        <v>0.99521499999999996</v>
      </c>
      <c r="G348" s="13">
        <v>0.18101999999999899</v>
      </c>
      <c r="H348">
        <v>8</v>
      </c>
      <c r="I348">
        <v>5</v>
      </c>
      <c r="K348" s="8">
        <f t="shared" si="35"/>
        <v>-0.71319230769222486</v>
      </c>
      <c r="L348" s="8">
        <f t="shared" si="36"/>
        <v>-5.4860946745555757E-2</v>
      </c>
      <c r="M348" s="8">
        <f t="shared" si="37"/>
        <v>-0.89476446153821598</v>
      </c>
      <c r="N348" s="8">
        <f t="shared" si="38"/>
        <v>-6.8828035502939686E-2</v>
      </c>
      <c r="O348" s="8"/>
      <c r="P348" t="s">
        <v>636</v>
      </c>
      <c r="Q348">
        <v>35</v>
      </c>
      <c r="R348" s="8">
        <v>2.83168</v>
      </c>
      <c r="S348">
        <v>5</v>
      </c>
      <c r="T348" s="8">
        <f t="shared" si="39"/>
        <v>0.14285714285714285</v>
      </c>
      <c r="U348" s="8">
        <v>2.8956499999999998</v>
      </c>
      <c r="V348">
        <v>20</v>
      </c>
      <c r="W348" s="8">
        <f t="shared" si="40"/>
        <v>0.5714285714285714</v>
      </c>
      <c r="X348" s="8">
        <v>2.8244600000000002</v>
      </c>
      <c r="Y348">
        <v>10</v>
      </c>
      <c r="Z348" s="8">
        <f t="shared" si="41"/>
        <v>0.2857142857142857</v>
      </c>
      <c r="AA348" s="8">
        <v>2.81413</v>
      </c>
    </row>
    <row r="349" spans="2:27" ht="15" customHeight="1" x14ac:dyDescent="0.25">
      <c r="B349">
        <v>330</v>
      </c>
      <c r="C349" s="8">
        <v>-12456.4503</v>
      </c>
      <c r="D349" s="2">
        <v>-12457.998528</v>
      </c>
      <c r="F349" s="12">
        <v>0.99483900000000003</v>
      </c>
      <c r="G349" s="13">
        <v>0.17873999999999901</v>
      </c>
      <c r="H349">
        <v>8</v>
      </c>
      <c r="I349">
        <v>5</v>
      </c>
      <c r="K349" s="8">
        <f t="shared" si="35"/>
        <v>-0.72229230769335118</v>
      </c>
      <c r="L349" s="8">
        <f t="shared" si="36"/>
        <v>-5.5560946745642395E-2</v>
      </c>
      <c r="M349" s="8">
        <f t="shared" si="37"/>
        <v>-0.89453646153742739</v>
      </c>
      <c r="N349" s="8">
        <f t="shared" si="38"/>
        <v>-6.8810497041340568E-2</v>
      </c>
      <c r="O349" s="8"/>
      <c r="P349" t="s">
        <v>637</v>
      </c>
      <c r="Q349">
        <v>34</v>
      </c>
      <c r="R349" s="8">
        <v>2.8191999999999999</v>
      </c>
      <c r="S349">
        <v>5</v>
      </c>
      <c r="T349" s="8">
        <f t="shared" si="39"/>
        <v>0.14705882352941177</v>
      </c>
      <c r="U349" s="8">
        <v>2.8465799999999999</v>
      </c>
      <c r="V349">
        <v>18</v>
      </c>
      <c r="W349" s="8">
        <f t="shared" si="40"/>
        <v>0.52941176470588236</v>
      </c>
      <c r="X349" s="8">
        <v>2.8076500000000002</v>
      </c>
      <c r="Y349">
        <v>11</v>
      </c>
      <c r="Z349" s="8">
        <f t="shared" si="41"/>
        <v>0.3235294117647059</v>
      </c>
      <c r="AA349" s="8">
        <v>2.8256399999999999</v>
      </c>
    </row>
    <row r="350" spans="2:27" ht="15" customHeight="1" x14ac:dyDescent="0.25">
      <c r="B350">
        <v>331</v>
      </c>
      <c r="C350" s="8">
        <v>-12456.474099999999</v>
      </c>
      <c r="D350" s="2">
        <v>-12457.964604000001</v>
      </c>
      <c r="F350" s="12">
        <v>0.99612299999999998</v>
      </c>
      <c r="G350" s="13">
        <v>0.18731999999999899</v>
      </c>
      <c r="H350">
        <v>8</v>
      </c>
      <c r="I350">
        <v>5</v>
      </c>
      <c r="K350" s="8">
        <f t="shared" si="35"/>
        <v>-0.74609230769237911</v>
      </c>
      <c r="L350" s="8">
        <f t="shared" si="36"/>
        <v>-5.7391715976336855E-2</v>
      </c>
      <c r="M350" s="8">
        <f t="shared" si="37"/>
        <v>-0.8606124615380395</v>
      </c>
      <c r="N350" s="8">
        <f t="shared" si="38"/>
        <v>-6.6200958579849187E-2</v>
      </c>
      <c r="O350" s="8"/>
      <c r="P350" t="s">
        <v>638</v>
      </c>
      <c r="Q350">
        <v>36</v>
      </c>
      <c r="R350" s="8">
        <v>2.8384</v>
      </c>
      <c r="S350">
        <v>5</v>
      </c>
      <c r="T350" s="8">
        <f t="shared" si="39"/>
        <v>0.1388888888888889</v>
      </c>
      <c r="U350" s="8">
        <v>2.8660299999999999</v>
      </c>
      <c r="V350">
        <v>19</v>
      </c>
      <c r="W350" s="8">
        <f t="shared" si="40"/>
        <v>0.52777777777777779</v>
      </c>
      <c r="X350" s="8">
        <v>2.8473299999999999</v>
      </c>
      <c r="Y350">
        <v>12</v>
      </c>
      <c r="Z350" s="8">
        <f t="shared" si="41"/>
        <v>0.33333333333333331</v>
      </c>
      <c r="AA350" s="8">
        <v>2.8127599999999999</v>
      </c>
    </row>
    <row r="351" spans="2:27" ht="15" customHeight="1" x14ac:dyDescent="0.25">
      <c r="B351">
        <v>332</v>
      </c>
      <c r="C351" s="8">
        <v>-12456.485000000001</v>
      </c>
      <c r="D351" s="2">
        <v>-12458.151604999999</v>
      </c>
      <c r="F351" s="12">
        <v>0.99776100000000001</v>
      </c>
      <c r="G351" s="13">
        <v>0.20380999999999999</v>
      </c>
      <c r="H351">
        <v>8</v>
      </c>
      <c r="I351">
        <v>5</v>
      </c>
      <c r="K351" s="8">
        <f t="shared" si="35"/>
        <v>-0.75699230769350834</v>
      </c>
      <c r="L351" s="8">
        <f t="shared" si="36"/>
        <v>-5.8230177514885254E-2</v>
      </c>
      <c r="M351" s="8">
        <f t="shared" si="37"/>
        <v>-1.0476134615364572</v>
      </c>
      <c r="N351" s="8">
        <f t="shared" si="38"/>
        <v>-8.0585650887419785E-2</v>
      </c>
      <c r="O351" s="8"/>
      <c r="P351" t="s">
        <v>639</v>
      </c>
      <c r="Q351">
        <v>36</v>
      </c>
      <c r="R351" s="8">
        <v>2.8355800000000002</v>
      </c>
      <c r="S351">
        <v>5</v>
      </c>
      <c r="T351" s="8">
        <f t="shared" si="39"/>
        <v>0.1388888888888889</v>
      </c>
      <c r="U351" s="8">
        <v>2.83853</v>
      </c>
      <c r="V351">
        <v>19</v>
      </c>
      <c r="W351" s="8">
        <f t="shared" si="40"/>
        <v>0.52777777777777779</v>
      </c>
      <c r="X351" s="8">
        <v>2.8564699999999998</v>
      </c>
      <c r="Y351">
        <v>12</v>
      </c>
      <c r="Z351" s="8">
        <f t="shared" si="41"/>
        <v>0.33333333333333331</v>
      </c>
      <c r="AA351" s="8">
        <v>2.8012899999999998</v>
      </c>
    </row>
    <row r="352" spans="2:27" ht="15" customHeight="1" x14ac:dyDescent="0.25">
      <c r="B352">
        <v>333</v>
      </c>
      <c r="C352" s="8">
        <v>-12456.0473</v>
      </c>
      <c r="D352" s="2">
        <v>-12457.673048000001</v>
      </c>
      <c r="F352" s="12">
        <v>0.995417</v>
      </c>
      <c r="G352" s="13">
        <v>0.18223</v>
      </c>
      <c r="H352">
        <v>8</v>
      </c>
      <c r="I352">
        <v>5</v>
      </c>
      <c r="K352" s="8">
        <f t="shared" si="35"/>
        <v>-0.31929230769310379</v>
      </c>
      <c r="L352" s="8">
        <f t="shared" si="36"/>
        <v>-2.4560946745623369E-2</v>
      </c>
      <c r="M352" s="8">
        <f t="shared" si="37"/>
        <v>-0.56905646153791167</v>
      </c>
      <c r="N352" s="8">
        <f t="shared" si="38"/>
        <v>-4.3773573964454741E-2</v>
      </c>
      <c r="O352" s="8"/>
      <c r="P352" t="s">
        <v>640</v>
      </c>
      <c r="Q352">
        <v>36</v>
      </c>
      <c r="R352" s="8">
        <v>2.8389500000000001</v>
      </c>
      <c r="S352">
        <v>9</v>
      </c>
      <c r="T352" s="8">
        <f t="shared" si="39"/>
        <v>0.25</v>
      </c>
      <c r="U352" s="8">
        <v>2.84992</v>
      </c>
      <c r="V352">
        <v>14</v>
      </c>
      <c r="W352" s="8">
        <f t="shared" si="40"/>
        <v>0.3888888888888889</v>
      </c>
      <c r="X352" s="8">
        <v>2.8510499999999999</v>
      </c>
      <c r="Y352">
        <v>13</v>
      </c>
      <c r="Z352" s="8">
        <f t="shared" si="41"/>
        <v>0.3611111111111111</v>
      </c>
      <c r="AA352" s="8">
        <v>2.8183099999999999</v>
      </c>
    </row>
    <row r="353" spans="2:27" ht="15" customHeight="1" x14ac:dyDescent="0.25">
      <c r="B353">
        <v>334</v>
      </c>
      <c r="C353" s="8">
        <v>-12456.1345</v>
      </c>
      <c r="D353" s="2">
        <v>-12457.495007</v>
      </c>
      <c r="F353" s="12">
        <v>0.99269399999999997</v>
      </c>
      <c r="G353" s="13">
        <v>0.168239999999999</v>
      </c>
      <c r="H353">
        <v>8</v>
      </c>
      <c r="I353">
        <v>5</v>
      </c>
      <c r="K353" s="8">
        <f t="shared" si="35"/>
        <v>-0.40649230769304268</v>
      </c>
      <c r="L353" s="8">
        <f t="shared" si="36"/>
        <v>-3.1268639053310975E-2</v>
      </c>
      <c r="M353" s="8">
        <f t="shared" si="37"/>
        <v>-0.39101546153688105</v>
      </c>
      <c r="N353" s="8">
        <f t="shared" si="38"/>
        <v>-3.0078112425913926E-2</v>
      </c>
      <c r="O353" s="8"/>
      <c r="P353" t="s">
        <v>641</v>
      </c>
      <c r="Q353">
        <v>35</v>
      </c>
      <c r="R353" s="8">
        <v>2.82721</v>
      </c>
      <c r="S353">
        <v>7</v>
      </c>
      <c r="T353" s="8">
        <f t="shared" si="39"/>
        <v>0.2</v>
      </c>
      <c r="U353" s="8">
        <v>2.8632</v>
      </c>
      <c r="V353">
        <v>16</v>
      </c>
      <c r="W353" s="8">
        <f t="shared" si="40"/>
        <v>0.45714285714285713</v>
      </c>
      <c r="X353" s="8">
        <v>2.8120500000000002</v>
      </c>
      <c r="Y353">
        <v>12</v>
      </c>
      <c r="Z353" s="8">
        <f t="shared" si="41"/>
        <v>0.34285714285714286</v>
      </c>
      <c r="AA353" s="8">
        <v>2.8264399999999998</v>
      </c>
    </row>
    <row r="354" spans="2:27" ht="15" customHeight="1" x14ac:dyDescent="0.25">
      <c r="B354">
        <v>335</v>
      </c>
      <c r="C354" s="8">
        <v>-12456.2942</v>
      </c>
      <c r="D354" s="2">
        <v>-12457.975635000001</v>
      </c>
      <c r="F354" s="12">
        <v>0.99367399999999995</v>
      </c>
      <c r="G354" s="13">
        <v>0.17254</v>
      </c>
      <c r="H354">
        <v>8</v>
      </c>
      <c r="I354">
        <v>5</v>
      </c>
      <c r="K354" s="8">
        <f t="shared" si="35"/>
        <v>-0.56619230769319984</v>
      </c>
      <c r="L354" s="8">
        <f t="shared" si="36"/>
        <v>-4.3553254437938449E-2</v>
      </c>
      <c r="M354" s="8">
        <f t="shared" si="37"/>
        <v>-0.87164346153804217</v>
      </c>
      <c r="N354" s="8">
        <f t="shared" si="38"/>
        <v>-6.7049497041387865E-2</v>
      </c>
      <c r="O354" s="8"/>
      <c r="P354" t="s">
        <v>642</v>
      </c>
      <c r="Q354">
        <v>36</v>
      </c>
      <c r="R354" s="8">
        <v>2.8394699999999999</v>
      </c>
      <c r="S354">
        <v>7</v>
      </c>
      <c r="T354" s="8">
        <f t="shared" si="39"/>
        <v>0.19444444444444445</v>
      </c>
      <c r="U354" s="8">
        <v>2.9076</v>
      </c>
      <c r="V354">
        <v>18</v>
      </c>
      <c r="W354" s="8">
        <f t="shared" si="40"/>
        <v>0.5</v>
      </c>
      <c r="X354" s="8">
        <v>2.82165</v>
      </c>
      <c r="Y354">
        <v>11</v>
      </c>
      <c r="Z354" s="8">
        <f t="shared" si="41"/>
        <v>0.30555555555555558</v>
      </c>
      <c r="AA354" s="8">
        <v>2.8252600000000001</v>
      </c>
    </row>
    <row r="355" spans="2:27" ht="15" customHeight="1" x14ac:dyDescent="0.25">
      <c r="B355">
        <v>336</v>
      </c>
      <c r="C355" s="8">
        <v>-12456.097</v>
      </c>
      <c r="D355" s="2">
        <v>-12457.706595</v>
      </c>
      <c r="F355" s="12">
        <v>0.98957700000000004</v>
      </c>
      <c r="G355" s="13">
        <v>0.15689</v>
      </c>
      <c r="H355">
        <v>8</v>
      </c>
      <c r="I355">
        <v>5</v>
      </c>
      <c r="K355" s="8">
        <f t="shared" si="35"/>
        <v>-0.36899230769267888</v>
      </c>
      <c r="L355" s="8">
        <f t="shared" si="36"/>
        <v>-2.8384023668667605E-2</v>
      </c>
      <c r="M355" s="8">
        <f t="shared" si="37"/>
        <v>-0.60260346153700084</v>
      </c>
      <c r="N355" s="8">
        <f t="shared" si="38"/>
        <v>-4.635411242592314E-2</v>
      </c>
      <c r="O355" s="8"/>
      <c r="P355" t="s">
        <v>643</v>
      </c>
      <c r="Q355">
        <v>34</v>
      </c>
      <c r="R355" s="8">
        <v>2.8214999999999999</v>
      </c>
      <c r="S355">
        <v>8</v>
      </c>
      <c r="T355" s="8">
        <f t="shared" si="39"/>
        <v>0.23529411764705882</v>
      </c>
      <c r="U355" s="8">
        <v>2.8403100000000001</v>
      </c>
      <c r="V355">
        <v>13</v>
      </c>
      <c r="W355" s="8">
        <f t="shared" si="40"/>
        <v>0.38235294117647056</v>
      </c>
      <c r="X355" s="8">
        <v>2.8390399999999998</v>
      </c>
      <c r="Y355">
        <v>13</v>
      </c>
      <c r="Z355" s="8">
        <f t="shared" si="41"/>
        <v>0.38235294117647056</v>
      </c>
      <c r="AA355" s="8">
        <v>2.7923900000000001</v>
      </c>
    </row>
    <row r="356" spans="2:27" ht="15" customHeight="1" x14ac:dyDescent="0.25">
      <c r="B356">
        <v>337</v>
      </c>
      <c r="C356" s="8">
        <v>-12456.359899999999</v>
      </c>
      <c r="D356" s="2">
        <v>-12457.882871</v>
      </c>
      <c r="F356" s="12">
        <v>0.99309499999999995</v>
      </c>
      <c r="G356" s="13">
        <v>0.16988999999999899</v>
      </c>
      <c r="H356">
        <v>8</v>
      </c>
      <c r="I356">
        <v>5</v>
      </c>
      <c r="K356" s="8">
        <f t="shared" si="35"/>
        <v>-0.63189230769239657</v>
      </c>
      <c r="L356" s="8">
        <f t="shared" si="36"/>
        <v>-4.860710059172281E-2</v>
      </c>
      <c r="M356" s="8">
        <f t="shared" si="37"/>
        <v>-0.77887946153714438</v>
      </c>
      <c r="N356" s="8">
        <f t="shared" si="38"/>
        <v>-5.9913804733626494E-2</v>
      </c>
      <c r="O356" s="8"/>
      <c r="P356" t="s">
        <v>644</v>
      </c>
      <c r="Q356">
        <v>36</v>
      </c>
      <c r="R356" s="8">
        <v>2.8365900000000002</v>
      </c>
      <c r="S356">
        <v>6</v>
      </c>
      <c r="T356" s="8">
        <f t="shared" si="39"/>
        <v>0.16666666666666666</v>
      </c>
      <c r="U356" s="8">
        <v>2.8512499999999998</v>
      </c>
      <c r="V356">
        <v>18</v>
      </c>
      <c r="W356" s="8">
        <f t="shared" si="40"/>
        <v>0.5</v>
      </c>
      <c r="X356" s="8">
        <v>2.8471600000000001</v>
      </c>
      <c r="Y356">
        <v>12</v>
      </c>
      <c r="Z356" s="8">
        <f t="shared" si="41"/>
        <v>0.33333333333333331</v>
      </c>
      <c r="AA356" s="8">
        <v>2.8134000000000001</v>
      </c>
    </row>
    <row r="357" spans="2:27" ht="15" customHeight="1" x14ac:dyDescent="0.25">
      <c r="B357">
        <v>338</v>
      </c>
      <c r="C357" s="8">
        <v>-12456.272800000001</v>
      </c>
      <c r="D357" s="2">
        <v>-12457.970595000001</v>
      </c>
      <c r="F357" s="12">
        <v>0.99262399999999995</v>
      </c>
      <c r="G357" s="13">
        <v>0.16802999999999901</v>
      </c>
      <c r="H357">
        <v>8</v>
      </c>
      <c r="I357">
        <v>5</v>
      </c>
      <c r="K357" s="8">
        <f t="shared" si="35"/>
        <v>-0.54479230769356946</v>
      </c>
      <c r="L357" s="8">
        <f t="shared" si="36"/>
        <v>-4.1907100591813032E-2</v>
      </c>
      <c r="M357" s="8">
        <f t="shared" si="37"/>
        <v>-0.86660346153803403</v>
      </c>
      <c r="N357" s="8">
        <f t="shared" si="38"/>
        <v>-6.6661804733694929E-2</v>
      </c>
      <c r="O357" s="8"/>
      <c r="P357" t="s">
        <v>645</v>
      </c>
      <c r="Q357">
        <v>35</v>
      </c>
      <c r="R357" s="8">
        <v>2.8290999999999999</v>
      </c>
      <c r="S357">
        <v>5</v>
      </c>
      <c r="T357" s="8">
        <f t="shared" si="39"/>
        <v>0.14285714285714285</v>
      </c>
      <c r="U357" s="8">
        <v>2.8989099999999999</v>
      </c>
      <c r="V357">
        <v>20</v>
      </c>
      <c r="W357" s="8">
        <f t="shared" si="40"/>
        <v>0.5714285714285714</v>
      </c>
      <c r="X357" s="8">
        <v>2.81847</v>
      </c>
      <c r="Y357">
        <v>10</v>
      </c>
      <c r="Z357" s="8">
        <f t="shared" si="41"/>
        <v>0.2857142857142857</v>
      </c>
      <c r="AA357" s="8">
        <v>2.8154599999999999</v>
      </c>
    </row>
    <row r="358" spans="2:27" ht="15" customHeight="1" x14ac:dyDescent="0.25">
      <c r="B358">
        <v>339</v>
      </c>
      <c r="C358" s="8">
        <v>-12456.3177</v>
      </c>
      <c r="D358" s="2">
        <v>-12457.890586</v>
      </c>
      <c r="F358" s="12">
        <v>0.99462300000000003</v>
      </c>
      <c r="G358" s="13">
        <v>0.1774</v>
      </c>
      <c r="H358">
        <v>8</v>
      </c>
      <c r="I358">
        <v>5</v>
      </c>
      <c r="K358" s="8">
        <f t="shared" si="35"/>
        <v>-0.58969230769253045</v>
      </c>
      <c r="L358" s="8">
        <f t="shared" si="36"/>
        <v>-4.5360946745579264E-2</v>
      </c>
      <c r="M358" s="8">
        <f t="shared" si="37"/>
        <v>-0.78659446153687895</v>
      </c>
      <c r="N358" s="8">
        <f t="shared" si="38"/>
        <v>-6.0507266272067609E-2</v>
      </c>
      <c r="O358" s="8"/>
      <c r="P358" t="s">
        <v>646</v>
      </c>
      <c r="Q358">
        <v>34</v>
      </c>
      <c r="R358" s="8">
        <v>2.8191600000000001</v>
      </c>
      <c r="S358">
        <v>6</v>
      </c>
      <c r="T358" s="8">
        <f t="shared" si="39"/>
        <v>0.17647058823529413</v>
      </c>
      <c r="U358" s="8">
        <v>2.8788100000000001</v>
      </c>
      <c r="V358">
        <v>18</v>
      </c>
      <c r="W358" s="8">
        <f t="shared" si="40"/>
        <v>0.52941176470588236</v>
      </c>
      <c r="X358" s="8">
        <v>2.8034300000000001</v>
      </c>
      <c r="Y358">
        <v>10</v>
      </c>
      <c r="Z358" s="8">
        <f t="shared" si="41"/>
        <v>0.29411764705882354</v>
      </c>
      <c r="AA358" s="8">
        <v>2.81169</v>
      </c>
    </row>
    <row r="359" spans="2:27" ht="15" customHeight="1" x14ac:dyDescent="0.25">
      <c r="B359">
        <v>340</v>
      </c>
      <c r="C359" s="8">
        <v>-12456.312099999999</v>
      </c>
      <c r="D359" s="2">
        <v>-12458.24627</v>
      </c>
      <c r="F359" s="12">
        <v>0.99831599999999998</v>
      </c>
      <c r="G359" s="13">
        <v>0.21235999999999899</v>
      </c>
      <c r="H359">
        <v>8</v>
      </c>
      <c r="I359">
        <v>5</v>
      </c>
      <c r="K359" s="8">
        <f t="shared" si="35"/>
        <v>-0.58409230769211717</v>
      </c>
      <c r="L359" s="8">
        <f t="shared" si="36"/>
        <v>-4.4930177514778243E-2</v>
      </c>
      <c r="M359" s="8">
        <f t="shared" si="37"/>
        <v>-1.1422784615369892</v>
      </c>
      <c r="N359" s="8">
        <f t="shared" si="38"/>
        <v>-8.7867573964383786E-2</v>
      </c>
      <c r="O359" s="8"/>
      <c r="P359" t="s">
        <v>647</v>
      </c>
      <c r="Q359">
        <v>36</v>
      </c>
      <c r="R359" s="8">
        <v>2.8396599999999999</v>
      </c>
      <c r="S359">
        <v>6</v>
      </c>
      <c r="T359" s="8">
        <f t="shared" si="39"/>
        <v>0.16666666666666666</v>
      </c>
      <c r="U359" s="8">
        <v>2.8884599999999998</v>
      </c>
      <c r="V359">
        <v>18</v>
      </c>
      <c r="W359" s="8">
        <f t="shared" si="40"/>
        <v>0.5</v>
      </c>
      <c r="X359" s="8">
        <v>2.8349500000000001</v>
      </c>
      <c r="Y359">
        <v>12</v>
      </c>
      <c r="Z359" s="8">
        <f t="shared" si="41"/>
        <v>0.33333333333333331</v>
      </c>
      <c r="AA359" s="8">
        <v>2.8223400000000001</v>
      </c>
    </row>
    <row r="360" spans="2:27" ht="15" customHeight="1" x14ac:dyDescent="0.25">
      <c r="B360">
        <v>341</v>
      </c>
      <c r="C360" s="8">
        <v>-12456.3148</v>
      </c>
      <c r="D360" s="2">
        <v>-12457.836702000001</v>
      </c>
      <c r="F360" s="12">
        <v>0.99636599999999997</v>
      </c>
      <c r="G360" s="13">
        <v>0.18920999999999899</v>
      </c>
      <c r="H360">
        <v>8</v>
      </c>
      <c r="I360">
        <v>5</v>
      </c>
      <c r="K360" s="8">
        <f t="shared" si="35"/>
        <v>-0.58679230769303103</v>
      </c>
      <c r="L360" s="8">
        <f t="shared" si="36"/>
        <v>-4.5137869822540852E-2</v>
      </c>
      <c r="M360" s="8">
        <f t="shared" si="37"/>
        <v>-0.73271046153786301</v>
      </c>
      <c r="N360" s="8">
        <f t="shared" si="38"/>
        <v>-5.6362343195220231E-2</v>
      </c>
      <c r="O360" s="8"/>
      <c r="P360" t="s">
        <v>648</v>
      </c>
      <c r="Q360">
        <v>35</v>
      </c>
      <c r="R360" s="8">
        <v>2.8273299999999999</v>
      </c>
      <c r="S360">
        <v>6</v>
      </c>
      <c r="T360" s="8">
        <f t="shared" si="39"/>
        <v>0.17142857142857143</v>
      </c>
      <c r="U360" s="8">
        <v>2.8731599999999999</v>
      </c>
      <c r="V360">
        <v>17</v>
      </c>
      <c r="W360" s="8">
        <f t="shared" si="40"/>
        <v>0.48571428571428571</v>
      </c>
      <c r="X360" s="8">
        <v>2.8029600000000001</v>
      </c>
      <c r="Y360">
        <v>12</v>
      </c>
      <c r="Z360" s="8">
        <f t="shared" si="41"/>
        <v>0.34285714285714286</v>
      </c>
      <c r="AA360" s="8">
        <v>2.8389500000000001</v>
      </c>
    </row>
    <row r="361" spans="2:27" ht="15" customHeight="1" x14ac:dyDescent="0.25">
      <c r="B361">
        <v>342</v>
      </c>
      <c r="C361" s="8">
        <v>-12456.4792</v>
      </c>
      <c r="D361" s="2">
        <v>-12458.094185</v>
      </c>
      <c r="F361" s="12">
        <v>0.99463500000000005</v>
      </c>
      <c r="G361" s="13">
        <v>0.17749999999999899</v>
      </c>
      <c r="H361">
        <v>8</v>
      </c>
      <c r="I361">
        <v>5</v>
      </c>
      <c r="K361" s="8">
        <f t="shared" si="35"/>
        <v>-0.75119230769269052</v>
      </c>
      <c r="L361" s="8">
        <f t="shared" si="36"/>
        <v>-5.7784023668668499E-2</v>
      </c>
      <c r="M361" s="8">
        <f t="shared" si="37"/>
        <v>-0.99019346153727383</v>
      </c>
      <c r="N361" s="8">
        <f t="shared" si="38"/>
        <v>-7.6168727810559528E-2</v>
      </c>
      <c r="O361" s="8"/>
      <c r="P361" t="s">
        <v>649</v>
      </c>
      <c r="Q361">
        <v>36</v>
      </c>
      <c r="R361" s="8">
        <v>2.8390200000000001</v>
      </c>
      <c r="S361">
        <v>6</v>
      </c>
      <c r="T361" s="8">
        <f t="shared" si="39"/>
        <v>0.16666666666666666</v>
      </c>
      <c r="U361" s="8">
        <v>2.9053599999999999</v>
      </c>
      <c r="V361">
        <v>20</v>
      </c>
      <c r="W361" s="8">
        <f t="shared" si="40"/>
        <v>0.55555555555555558</v>
      </c>
      <c r="X361" s="8">
        <v>2.8365399999999998</v>
      </c>
      <c r="Y361">
        <v>10</v>
      </c>
      <c r="Z361" s="8">
        <f t="shared" si="41"/>
        <v>0.27777777777777779</v>
      </c>
      <c r="AA361" s="8">
        <v>2.8041900000000002</v>
      </c>
    </row>
    <row r="362" spans="2:27" ht="15" customHeight="1" x14ac:dyDescent="0.25">
      <c r="B362">
        <v>343</v>
      </c>
      <c r="C362" s="8">
        <v>-12456.3362</v>
      </c>
      <c r="D362" s="2">
        <v>-12457.941908000001</v>
      </c>
      <c r="F362" s="12">
        <v>0.99659399999999998</v>
      </c>
      <c r="G362" s="13">
        <v>0.18822999999999901</v>
      </c>
      <c r="H362">
        <v>8</v>
      </c>
      <c r="I362">
        <v>5</v>
      </c>
      <c r="K362" s="8">
        <f t="shared" si="35"/>
        <v>-0.60819230769266142</v>
      </c>
      <c r="L362" s="8">
        <f t="shared" si="36"/>
        <v>-4.6784023668666262E-2</v>
      </c>
      <c r="M362" s="8">
        <f t="shared" si="37"/>
        <v>-0.83791646153804322</v>
      </c>
      <c r="N362" s="8">
        <f t="shared" si="38"/>
        <v>-6.4455112426003325E-2</v>
      </c>
      <c r="O362" s="8"/>
      <c r="P362" t="s">
        <v>650</v>
      </c>
      <c r="Q362">
        <v>36</v>
      </c>
      <c r="R362" s="8">
        <v>2.8385699999999998</v>
      </c>
      <c r="S362">
        <v>6</v>
      </c>
      <c r="T362" s="8">
        <f t="shared" si="39"/>
        <v>0.16666666666666666</v>
      </c>
      <c r="U362" s="8">
        <v>2.8695900000000001</v>
      </c>
      <c r="V362">
        <v>18</v>
      </c>
      <c r="W362" s="8">
        <f t="shared" si="40"/>
        <v>0.5</v>
      </c>
      <c r="X362" s="8">
        <v>2.8529</v>
      </c>
      <c r="Y362">
        <v>12</v>
      </c>
      <c r="Z362" s="8">
        <f t="shared" si="41"/>
        <v>0.33333333333333331</v>
      </c>
      <c r="AA362" s="8">
        <v>2.8015599999999998</v>
      </c>
    </row>
    <row r="363" spans="2:27" ht="15" customHeight="1" x14ac:dyDescent="0.25">
      <c r="B363">
        <v>344</v>
      </c>
      <c r="C363" s="8">
        <v>-12456.5579</v>
      </c>
      <c r="D363" s="2">
        <v>-12458.10485</v>
      </c>
      <c r="F363" s="12">
        <v>0.99571299999999996</v>
      </c>
      <c r="G363" s="13">
        <v>0.18429000000000001</v>
      </c>
      <c r="H363">
        <v>8</v>
      </c>
      <c r="I363">
        <v>5</v>
      </c>
      <c r="K363" s="8">
        <f t="shared" si="35"/>
        <v>-0.82989230769271671</v>
      </c>
      <c r="L363" s="8">
        <f t="shared" si="36"/>
        <v>-6.3837869822516671E-2</v>
      </c>
      <c r="M363" s="8">
        <f t="shared" si="37"/>
        <v>-1.0008584615370637</v>
      </c>
      <c r="N363" s="8">
        <f t="shared" si="38"/>
        <v>-7.6989112425927972E-2</v>
      </c>
      <c r="O363" s="8"/>
      <c r="P363" t="s">
        <v>651</v>
      </c>
      <c r="Q363">
        <v>35</v>
      </c>
      <c r="R363" s="8">
        <v>2.8260399999999999</v>
      </c>
      <c r="S363">
        <v>4</v>
      </c>
      <c r="T363" s="8">
        <f t="shared" si="39"/>
        <v>0.11428571428571428</v>
      </c>
      <c r="U363" s="8">
        <v>2.8561100000000001</v>
      </c>
      <c r="V363">
        <v>21</v>
      </c>
      <c r="W363" s="8">
        <f t="shared" si="40"/>
        <v>0.6</v>
      </c>
      <c r="X363" s="8">
        <v>2.8268399999999998</v>
      </c>
      <c r="Y363">
        <v>10</v>
      </c>
      <c r="Z363" s="8">
        <f t="shared" si="41"/>
        <v>0.2857142857142857</v>
      </c>
      <c r="AA363" s="8">
        <v>2.8123399999999998</v>
      </c>
    </row>
    <row r="364" spans="2:27" ht="15" customHeight="1" x14ac:dyDescent="0.25">
      <c r="B364">
        <v>345</v>
      </c>
      <c r="C364" s="8">
        <v>-12456.529699999999</v>
      </c>
      <c r="D364" s="2">
        <v>-12458.397321</v>
      </c>
      <c r="F364" s="12">
        <v>0.99506099999999997</v>
      </c>
      <c r="G364" s="13">
        <v>0.18004999999999999</v>
      </c>
      <c r="H364">
        <v>8</v>
      </c>
      <c r="I364">
        <v>5</v>
      </c>
      <c r="K364" s="8">
        <f t="shared" si="35"/>
        <v>-0.80169230769206479</v>
      </c>
      <c r="L364" s="8">
        <f t="shared" si="36"/>
        <v>-6.1668639053235753E-2</v>
      </c>
      <c r="M364" s="8">
        <f t="shared" si="37"/>
        <v>-1.2933294615377235</v>
      </c>
      <c r="N364" s="8">
        <f t="shared" si="38"/>
        <v>-9.9486881656747961E-2</v>
      </c>
      <c r="O364" s="8"/>
      <c r="P364" t="s">
        <v>652</v>
      </c>
      <c r="Q364">
        <v>36</v>
      </c>
      <c r="R364" s="8">
        <v>2.83704</v>
      </c>
      <c r="S364">
        <v>5</v>
      </c>
      <c r="T364" s="8">
        <f t="shared" si="39"/>
        <v>0.1388888888888889</v>
      </c>
      <c r="U364" s="8">
        <v>2.87791</v>
      </c>
      <c r="V364">
        <v>20</v>
      </c>
      <c r="W364" s="8">
        <f t="shared" si="40"/>
        <v>0.55555555555555558</v>
      </c>
      <c r="X364" s="8">
        <v>2.8378100000000002</v>
      </c>
      <c r="Y364">
        <v>11</v>
      </c>
      <c r="Z364" s="8">
        <f t="shared" si="41"/>
        <v>0.30555555555555558</v>
      </c>
      <c r="AA364" s="8">
        <v>2.8170700000000002</v>
      </c>
    </row>
    <row r="365" spans="2:27" ht="15" customHeight="1" x14ac:dyDescent="0.25">
      <c r="B365">
        <v>346</v>
      </c>
      <c r="C365" s="8">
        <v>-12456.5681</v>
      </c>
      <c r="D365" s="2">
        <v>-12458.123362</v>
      </c>
      <c r="F365" s="12">
        <v>0.99595</v>
      </c>
      <c r="G365" s="13">
        <v>0.18465999999999999</v>
      </c>
      <c r="H365">
        <v>8</v>
      </c>
      <c r="I365">
        <v>5</v>
      </c>
      <c r="K365" s="8">
        <f t="shared" si="35"/>
        <v>-0.84009230769333954</v>
      </c>
      <c r="L365" s="8">
        <f t="shared" si="36"/>
        <v>-6.4622485207179961E-2</v>
      </c>
      <c r="M365" s="8">
        <f t="shared" si="37"/>
        <v>-1.0193704615376191</v>
      </c>
      <c r="N365" s="8">
        <f t="shared" si="38"/>
        <v>-7.8413112425970696E-2</v>
      </c>
      <c r="O365" s="8"/>
      <c r="P365" t="s">
        <v>653</v>
      </c>
      <c r="Q365">
        <v>36</v>
      </c>
      <c r="R365" s="8">
        <v>2.8380000000000001</v>
      </c>
      <c r="S365">
        <v>5</v>
      </c>
      <c r="T365" s="8">
        <f t="shared" si="39"/>
        <v>0.1388888888888889</v>
      </c>
      <c r="U365" s="8">
        <v>2.8771800000000001</v>
      </c>
      <c r="V365">
        <v>20</v>
      </c>
      <c r="W365" s="8">
        <f t="shared" si="40"/>
        <v>0.55555555555555558</v>
      </c>
      <c r="X365" s="8">
        <v>2.8388599999999999</v>
      </c>
      <c r="Y365">
        <v>11</v>
      </c>
      <c r="Z365" s="8">
        <f t="shared" si="41"/>
        <v>0.30555555555555558</v>
      </c>
      <c r="AA365" s="8">
        <v>2.8186200000000001</v>
      </c>
    </row>
    <row r="366" spans="2:27" ht="15" customHeight="1" x14ac:dyDescent="0.25">
      <c r="B366">
        <v>347</v>
      </c>
      <c r="C366" s="8">
        <v>-12456.5723</v>
      </c>
      <c r="D366" s="2">
        <v>-12458.443384</v>
      </c>
      <c r="F366" s="12">
        <v>0.99630799999999997</v>
      </c>
      <c r="G366" s="13">
        <v>0.18837999999999999</v>
      </c>
      <c r="H366">
        <v>8</v>
      </c>
      <c r="I366">
        <v>5</v>
      </c>
      <c r="K366" s="8">
        <f t="shared" si="35"/>
        <v>-0.84429230769274</v>
      </c>
      <c r="L366" s="8">
        <f t="shared" si="36"/>
        <v>-6.4945562130210771E-2</v>
      </c>
      <c r="M366" s="8">
        <f t="shared" si="37"/>
        <v>-1.3393924615374999</v>
      </c>
      <c r="N366" s="8">
        <f t="shared" si="38"/>
        <v>-0.10303018934903846</v>
      </c>
      <c r="O366" s="8"/>
      <c r="P366" t="s">
        <v>654</v>
      </c>
      <c r="Q366">
        <v>36</v>
      </c>
      <c r="R366" s="8">
        <v>2.8346399999999998</v>
      </c>
      <c r="S366">
        <v>4</v>
      </c>
      <c r="T366" s="8">
        <f t="shared" si="39"/>
        <v>0.1111111111111111</v>
      </c>
      <c r="U366" s="8">
        <v>2.8357100000000002</v>
      </c>
      <c r="V366">
        <v>20</v>
      </c>
      <c r="W366" s="8">
        <f t="shared" si="40"/>
        <v>0.55555555555555558</v>
      </c>
      <c r="X366" s="8">
        <v>2.8446799999999999</v>
      </c>
      <c r="Y366">
        <v>12</v>
      </c>
      <c r="Z366" s="8">
        <f t="shared" si="41"/>
        <v>0.33333333333333331</v>
      </c>
      <c r="AA366" s="8">
        <v>2.8175300000000001</v>
      </c>
    </row>
    <row r="367" spans="2:27" ht="15" customHeight="1" x14ac:dyDescent="0.25">
      <c r="B367">
        <v>348</v>
      </c>
      <c r="C367" s="8">
        <v>-12456.5558</v>
      </c>
      <c r="D367" s="2">
        <v>-12458.068988999999</v>
      </c>
      <c r="F367" s="12">
        <v>0.99634599999999995</v>
      </c>
      <c r="G367" s="13">
        <v>0.18897999999999901</v>
      </c>
      <c r="H367">
        <v>8</v>
      </c>
      <c r="I367">
        <v>5</v>
      </c>
      <c r="K367" s="8">
        <f t="shared" si="35"/>
        <v>-0.82779230769301648</v>
      </c>
      <c r="L367" s="8">
        <f t="shared" si="36"/>
        <v>-6.3676331361001273E-2</v>
      </c>
      <c r="M367" s="8">
        <f t="shared" si="37"/>
        <v>-0.96499746153676824</v>
      </c>
      <c r="N367" s="8">
        <f t="shared" si="38"/>
        <v>-7.4230573964366789E-2</v>
      </c>
      <c r="O367" s="8"/>
      <c r="P367" t="s">
        <v>655</v>
      </c>
      <c r="Q367">
        <v>35</v>
      </c>
      <c r="R367" s="8">
        <v>2.83291</v>
      </c>
      <c r="S367">
        <v>5</v>
      </c>
      <c r="T367" s="8">
        <f t="shared" si="39"/>
        <v>0.14285714285714285</v>
      </c>
      <c r="U367" s="8">
        <v>2.8753899999999999</v>
      </c>
      <c r="V367">
        <v>20</v>
      </c>
      <c r="W367" s="8">
        <f t="shared" si="40"/>
        <v>0.5714285714285714</v>
      </c>
      <c r="X367" s="8">
        <v>2.8239000000000001</v>
      </c>
      <c r="Y367">
        <v>10</v>
      </c>
      <c r="Z367" s="8">
        <f t="shared" si="41"/>
        <v>0.2857142857142857</v>
      </c>
      <c r="AA367" s="8">
        <v>2.8296999999999999</v>
      </c>
    </row>
    <row r="368" spans="2:27" ht="15" customHeight="1" x14ac:dyDescent="0.25">
      <c r="B368">
        <v>349</v>
      </c>
      <c r="C368" s="8">
        <v>-12456.4882</v>
      </c>
      <c r="D368" s="2">
        <v>-12457.800310000001</v>
      </c>
      <c r="F368" s="12">
        <v>0.99454200000000004</v>
      </c>
      <c r="G368" s="13">
        <v>0.17706</v>
      </c>
      <c r="H368">
        <v>8</v>
      </c>
      <c r="I368">
        <v>5</v>
      </c>
      <c r="K368" s="8">
        <f t="shared" si="35"/>
        <v>-0.76019230769270507</v>
      </c>
      <c r="L368" s="8">
        <f t="shared" si="36"/>
        <v>-5.847633136097731E-2</v>
      </c>
      <c r="M368" s="8">
        <f t="shared" si="37"/>
        <v>-0.69631846153788501</v>
      </c>
      <c r="N368" s="8">
        <f t="shared" si="38"/>
        <v>-5.3562958579837311E-2</v>
      </c>
      <c r="O368" s="8"/>
      <c r="P368" t="s">
        <v>656</v>
      </c>
      <c r="Q368">
        <v>35</v>
      </c>
      <c r="R368" s="8">
        <v>2.8313199999999998</v>
      </c>
      <c r="S368">
        <v>4</v>
      </c>
      <c r="T368" s="8">
        <f t="shared" si="39"/>
        <v>0.11428571428571428</v>
      </c>
      <c r="U368" s="8">
        <v>2.8782899999999998</v>
      </c>
      <c r="V368">
        <v>22</v>
      </c>
      <c r="W368" s="8">
        <f t="shared" si="40"/>
        <v>0.62857142857142856</v>
      </c>
      <c r="X368" s="8">
        <v>2.81778</v>
      </c>
      <c r="Y368">
        <v>9</v>
      </c>
      <c r="Z368" s="8">
        <f t="shared" si="41"/>
        <v>0.25714285714285712</v>
      </c>
      <c r="AA368" s="8">
        <v>2.84355</v>
      </c>
    </row>
    <row r="369" spans="2:27" ht="15" customHeight="1" x14ac:dyDescent="0.25">
      <c r="B369">
        <v>350</v>
      </c>
      <c r="C369" s="8">
        <v>-12456.6422</v>
      </c>
      <c r="D369" s="2">
        <v>-12458.142209</v>
      </c>
      <c r="F369" s="12">
        <v>0.99473500000000004</v>
      </c>
      <c r="G369" s="13">
        <v>0.177899999999999</v>
      </c>
      <c r="H369">
        <v>8</v>
      </c>
      <c r="I369">
        <v>5</v>
      </c>
      <c r="K369" s="8">
        <f t="shared" si="35"/>
        <v>-0.91419230769315618</v>
      </c>
      <c r="L369" s="8">
        <f t="shared" si="36"/>
        <v>-7.0322485207165858E-2</v>
      </c>
      <c r="M369" s="8">
        <f t="shared" si="37"/>
        <v>-1.0382174615369877</v>
      </c>
      <c r="N369" s="8">
        <f t="shared" si="38"/>
        <v>-7.9862881656691365E-2</v>
      </c>
      <c r="O369" s="8"/>
      <c r="P369" t="s">
        <v>657</v>
      </c>
      <c r="Q369">
        <v>35</v>
      </c>
      <c r="R369" s="8">
        <v>2.8246899999999999</v>
      </c>
      <c r="S369">
        <v>4</v>
      </c>
      <c r="T369" s="8">
        <f t="shared" si="39"/>
        <v>0.11428571428571428</v>
      </c>
      <c r="U369" s="8">
        <v>2.7985099999999998</v>
      </c>
      <c r="V369">
        <v>19</v>
      </c>
      <c r="W369" s="8">
        <f t="shared" si="40"/>
        <v>0.54285714285714282</v>
      </c>
      <c r="X369" s="8">
        <v>2.8273299999999999</v>
      </c>
      <c r="Y369">
        <v>12</v>
      </c>
      <c r="Z369" s="8">
        <f t="shared" si="41"/>
        <v>0.34285714285714286</v>
      </c>
      <c r="AA369" s="8">
        <v>2.82925</v>
      </c>
    </row>
    <row r="370" spans="2:27" ht="15" customHeight="1" x14ac:dyDescent="0.25">
      <c r="B370">
        <v>351</v>
      </c>
      <c r="C370" s="8">
        <v>-12456.354499999999</v>
      </c>
      <c r="D370" s="2">
        <v>-12457.929475000001</v>
      </c>
      <c r="F370" s="12">
        <v>0.99778199999999995</v>
      </c>
      <c r="G370" s="13">
        <v>0.20413999999999899</v>
      </c>
      <c r="H370">
        <v>8</v>
      </c>
      <c r="I370">
        <v>5</v>
      </c>
      <c r="K370" s="8">
        <f t="shared" si="35"/>
        <v>-0.62649230769238784</v>
      </c>
      <c r="L370" s="8">
        <f t="shared" si="36"/>
        <v>-4.8191715976337528E-2</v>
      </c>
      <c r="M370" s="8">
        <f t="shared" si="37"/>
        <v>-0.82548346153816965</v>
      </c>
      <c r="N370" s="8">
        <f t="shared" si="38"/>
        <v>-6.349872781062843E-2</v>
      </c>
      <c r="O370" s="8"/>
      <c r="P370" t="s">
        <v>658</v>
      </c>
      <c r="Q370">
        <v>35</v>
      </c>
      <c r="R370" s="8">
        <v>2.8274300000000001</v>
      </c>
      <c r="S370">
        <v>6</v>
      </c>
      <c r="T370" s="8">
        <f t="shared" si="39"/>
        <v>0.17142857142857143</v>
      </c>
      <c r="U370" s="8">
        <v>2.8641100000000002</v>
      </c>
      <c r="V370">
        <v>18</v>
      </c>
      <c r="W370" s="8">
        <f t="shared" si="40"/>
        <v>0.51428571428571423</v>
      </c>
      <c r="X370" s="8">
        <v>2.8128899999999999</v>
      </c>
      <c r="Y370">
        <v>11</v>
      </c>
      <c r="Z370" s="8">
        <f t="shared" si="41"/>
        <v>0.31428571428571428</v>
      </c>
      <c r="AA370" s="8">
        <v>2.8312300000000001</v>
      </c>
    </row>
    <row r="371" spans="2:27" ht="15" customHeight="1" x14ac:dyDescent="0.25">
      <c r="B371">
        <v>352</v>
      </c>
      <c r="C371" s="8">
        <v>-12456.216</v>
      </c>
      <c r="D371" s="2">
        <v>-12457.830156</v>
      </c>
      <c r="F371" s="12">
        <v>0.99199000000000004</v>
      </c>
      <c r="G371" s="13">
        <v>0.16547999999999999</v>
      </c>
      <c r="H371">
        <v>8</v>
      </c>
      <c r="I371">
        <v>5</v>
      </c>
      <c r="K371" s="8">
        <f t="shared" si="35"/>
        <v>-0.48799230769327551</v>
      </c>
      <c r="L371" s="8">
        <f t="shared" si="36"/>
        <v>-3.7537869822559654E-2</v>
      </c>
      <c r="M371" s="8">
        <f t="shared" si="37"/>
        <v>-0.72616446153733705</v>
      </c>
      <c r="N371" s="8">
        <f t="shared" si="38"/>
        <v>-5.5858804733641312E-2</v>
      </c>
      <c r="O371" s="8"/>
      <c r="P371" t="s">
        <v>659</v>
      </c>
      <c r="Q371">
        <v>35</v>
      </c>
      <c r="R371" s="8">
        <v>2.8307500000000001</v>
      </c>
      <c r="S371">
        <v>6</v>
      </c>
      <c r="T371" s="8">
        <f t="shared" si="39"/>
        <v>0.17142857142857143</v>
      </c>
      <c r="U371" s="8">
        <v>2.8809800000000001</v>
      </c>
      <c r="V371">
        <v>18</v>
      </c>
      <c r="W371" s="8">
        <f t="shared" si="40"/>
        <v>0.51428571428571423</v>
      </c>
      <c r="X371" s="8">
        <v>2.8050700000000002</v>
      </c>
      <c r="Y371">
        <v>11</v>
      </c>
      <c r="Z371" s="8">
        <f t="shared" si="41"/>
        <v>0.31428571428571428</v>
      </c>
      <c r="AA371" s="8">
        <v>2.8453900000000001</v>
      </c>
    </row>
    <row r="372" spans="2:27" ht="15" customHeight="1" x14ac:dyDescent="0.25">
      <c r="B372">
        <v>353</v>
      </c>
      <c r="C372" s="8">
        <v>-12456.375599999999</v>
      </c>
      <c r="D372" s="2">
        <v>-12458.030682000001</v>
      </c>
      <c r="F372" s="12">
        <v>0.99631199999999998</v>
      </c>
      <c r="G372" s="13">
        <v>0.18881000000000001</v>
      </c>
      <c r="H372">
        <v>8</v>
      </c>
      <c r="I372">
        <v>5</v>
      </c>
      <c r="K372" s="8">
        <f t="shared" si="35"/>
        <v>-0.6475923076923209</v>
      </c>
      <c r="L372" s="8">
        <f t="shared" si="36"/>
        <v>-4.9814792899409301E-2</v>
      </c>
      <c r="M372" s="8">
        <f t="shared" si="37"/>
        <v>-0.92669046153787349</v>
      </c>
      <c r="N372" s="8">
        <f t="shared" si="38"/>
        <v>-7.1283881656759501E-2</v>
      </c>
      <c r="O372" s="8"/>
      <c r="P372" t="s">
        <v>660</v>
      </c>
      <c r="Q372">
        <v>35</v>
      </c>
      <c r="R372" s="8">
        <v>2.8326799999999999</v>
      </c>
      <c r="S372">
        <v>5</v>
      </c>
      <c r="T372" s="8">
        <f t="shared" si="39"/>
        <v>0.14285714285714285</v>
      </c>
      <c r="U372" s="8">
        <v>2.9675199999999999</v>
      </c>
      <c r="V372">
        <v>21</v>
      </c>
      <c r="W372" s="8">
        <f t="shared" si="40"/>
        <v>0.6</v>
      </c>
      <c r="X372" s="8">
        <v>2.8004099999999998</v>
      </c>
      <c r="Y372">
        <v>9</v>
      </c>
      <c r="Z372" s="8">
        <f t="shared" si="41"/>
        <v>0.25714285714285712</v>
      </c>
      <c r="AA372" s="8">
        <v>2.8330700000000002</v>
      </c>
    </row>
    <row r="373" spans="2:27" ht="15" customHeight="1" x14ac:dyDescent="0.25">
      <c r="B373">
        <v>354</v>
      </c>
      <c r="C373" s="8">
        <v>-12456.311</v>
      </c>
      <c r="D373" s="2">
        <v>-12457.932416</v>
      </c>
      <c r="F373" s="12">
        <v>0.99612299999999998</v>
      </c>
      <c r="G373" s="13">
        <v>0.18564</v>
      </c>
      <c r="H373">
        <v>8</v>
      </c>
      <c r="I373">
        <v>5</v>
      </c>
      <c r="K373" s="8">
        <f t="shared" si="35"/>
        <v>-0.58299230769262067</v>
      </c>
      <c r="L373" s="8">
        <f t="shared" si="36"/>
        <v>-4.4845562130201591E-2</v>
      </c>
      <c r="M373" s="8">
        <f t="shared" si="37"/>
        <v>-0.82842446153699711</v>
      </c>
      <c r="N373" s="8">
        <f t="shared" si="38"/>
        <v>-6.3724958579769009E-2</v>
      </c>
      <c r="O373" s="8"/>
      <c r="P373" t="s">
        <v>661</v>
      </c>
      <c r="Q373">
        <v>35</v>
      </c>
      <c r="R373" s="8">
        <v>2.8293900000000001</v>
      </c>
      <c r="S373">
        <v>6</v>
      </c>
      <c r="T373" s="8">
        <f t="shared" si="39"/>
        <v>0.17142857142857143</v>
      </c>
      <c r="U373" s="8">
        <v>2.8832</v>
      </c>
      <c r="V373">
        <v>17</v>
      </c>
      <c r="W373" s="8">
        <f t="shared" si="40"/>
        <v>0.48571428571428571</v>
      </c>
      <c r="X373" s="8">
        <v>2.8141600000000002</v>
      </c>
      <c r="Y373">
        <v>12</v>
      </c>
      <c r="Z373" s="8">
        <f t="shared" si="41"/>
        <v>0.34285714285714286</v>
      </c>
      <c r="AA373" s="8">
        <v>2.8240500000000002</v>
      </c>
    </row>
    <row r="374" spans="2:27" ht="15" customHeight="1" x14ac:dyDescent="0.25">
      <c r="B374">
        <v>355</v>
      </c>
      <c r="C374" s="8">
        <v>-12456.578799999999</v>
      </c>
      <c r="D374" s="2">
        <v>-12458.089137000001</v>
      </c>
      <c r="F374" s="12">
        <v>0.99500900000000003</v>
      </c>
      <c r="G374" s="13">
        <v>0.17973999999999901</v>
      </c>
      <c r="H374">
        <v>8</v>
      </c>
      <c r="I374">
        <v>5</v>
      </c>
      <c r="K374" s="8">
        <f t="shared" si="35"/>
        <v>-0.85079230769224523</v>
      </c>
      <c r="L374" s="8">
        <f t="shared" si="36"/>
        <v>-6.5445562130172705E-2</v>
      </c>
      <c r="M374" s="8">
        <f t="shared" si="37"/>
        <v>-0.98514546153819538</v>
      </c>
      <c r="N374" s="8">
        <f t="shared" si="38"/>
        <v>-7.5780420118322728E-2</v>
      </c>
      <c r="O374" s="8"/>
      <c r="P374" t="s">
        <v>662</v>
      </c>
      <c r="Q374">
        <v>35</v>
      </c>
      <c r="R374" s="8">
        <v>2.82803</v>
      </c>
      <c r="S374">
        <v>4</v>
      </c>
      <c r="T374" s="8">
        <f t="shared" si="39"/>
        <v>0.11428571428571428</v>
      </c>
      <c r="U374" s="8">
        <v>2.93086</v>
      </c>
      <c r="V374">
        <v>21</v>
      </c>
      <c r="W374" s="8">
        <f t="shared" si="40"/>
        <v>0.6</v>
      </c>
      <c r="X374" s="8">
        <v>2.8078500000000002</v>
      </c>
      <c r="Y374">
        <v>10</v>
      </c>
      <c r="Z374" s="8">
        <f t="shared" si="41"/>
        <v>0.2857142857142857</v>
      </c>
      <c r="AA374" s="8">
        <v>2.82925</v>
      </c>
    </row>
    <row r="375" spans="2:27" ht="15" customHeight="1" x14ac:dyDescent="0.25">
      <c r="B375">
        <v>356</v>
      </c>
      <c r="C375" s="8">
        <v>-12456.360500000001</v>
      </c>
      <c r="D375" s="2">
        <v>-12458.009161</v>
      </c>
      <c r="F375" s="12">
        <v>0.99538000000000004</v>
      </c>
      <c r="G375" s="13">
        <v>0.18204999999999999</v>
      </c>
      <c r="H375">
        <v>8</v>
      </c>
      <c r="I375">
        <v>5</v>
      </c>
      <c r="K375" s="8">
        <f t="shared" si="35"/>
        <v>-0.6324923076936102</v>
      </c>
      <c r="L375" s="8">
        <f t="shared" si="36"/>
        <v>-4.8653254437970014E-2</v>
      </c>
      <c r="M375" s="8">
        <f t="shared" si="37"/>
        <v>-0.90516946153729805</v>
      </c>
      <c r="N375" s="8">
        <f t="shared" si="38"/>
        <v>-6.9628420118253695E-2</v>
      </c>
      <c r="O375" s="8"/>
      <c r="P375" t="s">
        <v>663</v>
      </c>
      <c r="Q375">
        <v>35</v>
      </c>
      <c r="R375" s="8">
        <v>2.8323100000000001</v>
      </c>
      <c r="S375">
        <v>5</v>
      </c>
      <c r="T375" s="8">
        <f t="shared" si="39"/>
        <v>0.14285714285714285</v>
      </c>
      <c r="U375" s="8">
        <v>2.88151</v>
      </c>
      <c r="V375">
        <v>20</v>
      </c>
      <c r="W375" s="8">
        <f t="shared" si="40"/>
        <v>0.5714285714285714</v>
      </c>
      <c r="X375" s="8">
        <v>2.8092700000000002</v>
      </c>
      <c r="Y375">
        <v>10</v>
      </c>
      <c r="Z375" s="8">
        <f t="shared" si="41"/>
        <v>0.2857142857142857</v>
      </c>
      <c r="AA375" s="8">
        <v>2.8538000000000001</v>
      </c>
    </row>
    <row r="376" spans="2:27" ht="15" customHeight="1" x14ac:dyDescent="0.25">
      <c r="B376">
        <v>357</v>
      </c>
      <c r="C376" s="8">
        <v>-12456.3915</v>
      </c>
      <c r="D376" s="2">
        <v>-12457.945059</v>
      </c>
      <c r="F376" s="12">
        <v>0.99416800000000005</v>
      </c>
      <c r="G376" s="13">
        <v>0.17502999999999999</v>
      </c>
      <c r="H376">
        <v>8</v>
      </c>
      <c r="I376">
        <v>5</v>
      </c>
      <c r="K376" s="8">
        <f t="shared" si="35"/>
        <v>-0.66349230769264977</v>
      </c>
      <c r="L376" s="8">
        <f t="shared" si="36"/>
        <v>-5.1037869822511524E-2</v>
      </c>
      <c r="M376" s="8">
        <f t="shared" si="37"/>
        <v>-0.84106746153702261</v>
      </c>
      <c r="N376" s="8">
        <f t="shared" si="38"/>
        <v>-6.4697497041309435E-2</v>
      </c>
      <c r="O376" s="8"/>
      <c r="P376" t="s">
        <v>664</v>
      </c>
      <c r="Q376">
        <v>34</v>
      </c>
      <c r="R376" s="8">
        <v>2.8200500000000002</v>
      </c>
      <c r="S376">
        <v>5</v>
      </c>
      <c r="T376" s="8">
        <f t="shared" si="39"/>
        <v>0.14705882352941177</v>
      </c>
      <c r="U376" s="8">
        <v>2.8664200000000002</v>
      </c>
      <c r="V376">
        <v>20</v>
      </c>
      <c r="W376" s="8">
        <f t="shared" si="40"/>
        <v>0.58823529411764708</v>
      </c>
      <c r="X376" s="8">
        <v>2.8127</v>
      </c>
      <c r="Y376">
        <v>9</v>
      </c>
      <c r="Z376" s="8">
        <f t="shared" si="41"/>
        <v>0.26470588235294118</v>
      </c>
      <c r="AA376" s="8">
        <v>2.8106300000000002</v>
      </c>
    </row>
    <row r="377" spans="2:27" ht="15" customHeight="1" x14ac:dyDescent="0.25">
      <c r="B377">
        <v>358</v>
      </c>
      <c r="C377" s="8">
        <v>-12456.5327</v>
      </c>
      <c r="D377" s="2">
        <v>-12458.279902</v>
      </c>
      <c r="F377" s="12">
        <v>0.99612999999999996</v>
      </c>
      <c r="G377" s="13">
        <v>0.18289</v>
      </c>
      <c r="H377">
        <v>8</v>
      </c>
      <c r="I377">
        <v>5</v>
      </c>
      <c r="K377" s="8">
        <f t="shared" si="35"/>
        <v>-0.80469230769267597</v>
      </c>
      <c r="L377" s="8">
        <f t="shared" si="36"/>
        <v>-6.1899408284052E-2</v>
      </c>
      <c r="M377" s="8">
        <f t="shared" si="37"/>
        <v>-1.1759104615375691</v>
      </c>
      <c r="N377" s="8">
        <f t="shared" si="38"/>
        <v>-9.0454650887505317E-2</v>
      </c>
      <c r="O377" s="8"/>
      <c r="P377" t="s">
        <v>665</v>
      </c>
      <c r="Q377">
        <v>36</v>
      </c>
      <c r="R377" s="8">
        <v>2.8391299999999999</v>
      </c>
      <c r="S377">
        <v>5</v>
      </c>
      <c r="T377" s="8">
        <f t="shared" si="39"/>
        <v>0.1388888888888889</v>
      </c>
      <c r="U377" s="8">
        <v>2.8719999999999999</v>
      </c>
      <c r="V377">
        <v>20</v>
      </c>
      <c r="W377" s="8">
        <f t="shared" si="40"/>
        <v>0.55555555555555558</v>
      </c>
      <c r="X377" s="8">
        <v>2.8391099999999998</v>
      </c>
      <c r="Y377">
        <v>11</v>
      </c>
      <c r="Z377" s="8">
        <f t="shared" si="41"/>
        <v>0.30555555555555558</v>
      </c>
      <c r="AA377" s="8">
        <v>2.8242400000000001</v>
      </c>
    </row>
    <row r="378" spans="2:27" ht="15" customHeight="1" x14ac:dyDescent="0.25">
      <c r="B378">
        <v>359</v>
      </c>
      <c r="C378" s="8">
        <v>-12456.524299999999</v>
      </c>
      <c r="D378" s="2">
        <v>-12457.869135000001</v>
      </c>
      <c r="F378" s="12">
        <v>0.99515900000000002</v>
      </c>
      <c r="G378" s="13">
        <v>0.18062</v>
      </c>
      <c r="H378">
        <v>8</v>
      </c>
      <c r="I378">
        <v>5</v>
      </c>
      <c r="K378" s="8">
        <f t="shared" si="35"/>
        <v>-0.79629230769205606</v>
      </c>
      <c r="L378" s="8">
        <f t="shared" si="36"/>
        <v>-6.1253254437850464E-2</v>
      </c>
      <c r="M378" s="8">
        <f t="shared" si="37"/>
        <v>-0.76514346153817314</v>
      </c>
      <c r="N378" s="8">
        <f t="shared" si="38"/>
        <v>-5.885718934909024E-2</v>
      </c>
      <c r="O378" s="8"/>
      <c r="P378" t="s">
        <v>666</v>
      </c>
      <c r="Q378">
        <v>35</v>
      </c>
      <c r="R378" s="8">
        <v>2.82883</v>
      </c>
      <c r="S378">
        <v>5</v>
      </c>
      <c r="T378" s="8">
        <f t="shared" si="39"/>
        <v>0.14285714285714285</v>
      </c>
      <c r="U378" s="8">
        <v>2.90286</v>
      </c>
      <c r="V378">
        <v>19</v>
      </c>
      <c r="W378" s="8">
        <f t="shared" si="40"/>
        <v>0.54285714285714282</v>
      </c>
      <c r="X378" s="8">
        <v>2.8038599999999998</v>
      </c>
      <c r="Y378">
        <v>11</v>
      </c>
      <c r="Z378" s="8">
        <f t="shared" si="41"/>
        <v>0.31428571428571428</v>
      </c>
      <c r="AA378" s="8">
        <v>2.83832</v>
      </c>
    </row>
    <row r="379" spans="2:27" ht="15" customHeight="1" x14ac:dyDescent="0.25">
      <c r="B379">
        <v>360</v>
      </c>
      <c r="C379" s="8">
        <v>-12456.3249</v>
      </c>
      <c r="D379" s="2">
        <v>-12458.308865999999</v>
      </c>
      <c r="F379" s="12">
        <v>0.99453899999999995</v>
      </c>
      <c r="G379" s="13">
        <v>0.17701999999999901</v>
      </c>
      <c r="H379">
        <v>8</v>
      </c>
      <c r="I379">
        <v>5</v>
      </c>
      <c r="K379" s="8">
        <f t="shared" si="35"/>
        <v>-0.59689230769254209</v>
      </c>
      <c r="L379" s="8">
        <f t="shared" si="36"/>
        <v>-4.5914792899426314E-2</v>
      </c>
      <c r="M379" s="8">
        <f t="shared" si="37"/>
        <v>-1.2048744615367468</v>
      </c>
      <c r="N379" s="8">
        <f t="shared" si="38"/>
        <v>-9.268265088744207E-2</v>
      </c>
      <c r="O379" s="8"/>
      <c r="P379" t="s">
        <v>667</v>
      </c>
      <c r="Q379">
        <v>34</v>
      </c>
      <c r="R379" s="8">
        <v>2.8169499999999998</v>
      </c>
      <c r="S379">
        <v>4</v>
      </c>
      <c r="T379" s="8">
        <f t="shared" si="39"/>
        <v>0.11764705882352941</v>
      </c>
      <c r="U379" s="8">
        <v>2.8321999999999998</v>
      </c>
      <c r="V379">
        <v>21</v>
      </c>
      <c r="W379" s="8">
        <f t="shared" si="40"/>
        <v>0.61764705882352944</v>
      </c>
      <c r="X379" s="8">
        <v>2.8198300000000001</v>
      </c>
      <c r="Y379">
        <v>9</v>
      </c>
      <c r="Z379" s="8">
        <f t="shared" si="41"/>
        <v>0.26470588235294118</v>
      </c>
      <c r="AA379" s="8">
        <v>2.8034300000000001</v>
      </c>
    </row>
    <row r="380" spans="2:27" ht="15" customHeight="1" x14ac:dyDescent="0.25">
      <c r="B380">
        <v>361</v>
      </c>
      <c r="C380" s="8">
        <v>-12456.2947</v>
      </c>
      <c r="D380" s="2">
        <v>-12457.994687</v>
      </c>
      <c r="F380" s="12">
        <v>0.99556100000000003</v>
      </c>
      <c r="G380" s="13">
        <v>0.18068999999999899</v>
      </c>
      <c r="H380">
        <v>8</v>
      </c>
      <c r="I380">
        <v>5</v>
      </c>
      <c r="K380" s="8">
        <f t="shared" si="35"/>
        <v>-0.5666923076933017</v>
      </c>
      <c r="L380" s="8">
        <f t="shared" si="36"/>
        <v>-4.3591715976407826E-2</v>
      </c>
      <c r="M380" s="8">
        <f t="shared" si="37"/>
        <v>-0.89069546153768897</v>
      </c>
      <c r="N380" s="8">
        <f t="shared" si="38"/>
        <v>-6.8515035502899155E-2</v>
      </c>
      <c r="O380" s="8"/>
      <c r="P380" t="s">
        <v>668</v>
      </c>
      <c r="Q380">
        <v>35</v>
      </c>
      <c r="R380" s="8">
        <v>2.8269000000000002</v>
      </c>
      <c r="S380">
        <v>6</v>
      </c>
      <c r="T380" s="8">
        <f t="shared" si="39"/>
        <v>0.17142857142857143</v>
      </c>
      <c r="U380" s="8">
        <v>2.84674</v>
      </c>
      <c r="V380">
        <v>17</v>
      </c>
      <c r="W380" s="8">
        <f t="shared" si="40"/>
        <v>0.48571428571428571</v>
      </c>
      <c r="X380" s="8">
        <v>2.8383400000000001</v>
      </c>
      <c r="Y380">
        <v>12</v>
      </c>
      <c r="Z380" s="8">
        <f t="shared" si="41"/>
        <v>0.34285714285714286</v>
      </c>
      <c r="AA380" s="8">
        <v>2.80077</v>
      </c>
    </row>
    <row r="381" spans="2:27" ht="15" customHeight="1" x14ac:dyDescent="0.25">
      <c r="B381">
        <v>362</v>
      </c>
      <c r="C381" s="8">
        <v>-12456.5193</v>
      </c>
      <c r="D381" s="2">
        <v>-12458.014494999999</v>
      </c>
      <c r="F381" s="12">
        <v>0.99568000000000001</v>
      </c>
      <c r="G381" s="13">
        <v>0.18412999999999999</v>
      </c>
      <c r="H381">
        <v>8</v>
      </c>
      <c r="I381">
        <v>5</v>
      </c>
      <c r="K381" s="8">
        <f t="shared" si="35"/>
        <v>-0.79129230769285641</v>
      </c>
      <c r="L381" s="8">
        <f t="shared" si="36"/>
        <v>-6.0868639053296647E-2</v>
      </c>
      <c r="M381" s="8">
        <f t="shared" si="37"/>
        <v>-0.91050346153679129</v>
      </c>
      <c r="N381" s="8">
        <f t="shared" si="38"/>
        <v>-7.0038727810522408E-2</v>
      </c>
      <c r="O381" s="8"/>
      <c r="P381" t="s">
        <v>669</v>
      </c>
      <c r="Q381">
        <v>35</v>
      </c>
      <c r="R381" s="8">
        <v>2.82864</v>
      </c>
      <c r="S381">
        <v>4</v>
      </c>
      <c r="T381" s="8">
        <f t="shared" si="39"/>
        <v>0.11428571428571428</v>
      </c>
      <c r="U381" s="8">
        <v>2.9079799999999998</v>
      </c>
      <c r="V381">
        <v>21</v>
      </c>
      <c r="W381" s="8">
        <f t="shared" si="40"/>
        <v>0.6</v>
      </c>
      <c r="X381" s="8">
        <v>2.8066</v>
      </c>
      <c r="Y381">
        <v>10</v>
      </c>
      <c r="Z381" s="8">
        <f t="shared" si="41"/>
        <v>0.2857142857142857</v>
      </c>
      <c r="AA381" s="8">
        <v>2.8431799999999998</v>
      </c>
    </row>
    <row r="382" spans="2:27" ht="15" customHeight="1" x14ac:dyDescent="0.25">
      <c r="B382">
        <v>363</v>
      </c>
      <c r="C382" s="8">
        <v>-12456.489299999999</v>
      </c>
      <c r="D382" s="2">
        <v>-12458.275817</v>
      </c>
      <c r="F382" s="12">
        <v>0.99515799999999999</v>
      </c>
      <c r="G382" s="13">
        <v>0.18054000000000001</v>
      </c>
      <c r="H382">
        <v>8</v>
      </c>
      <c r="I382">
        <v>5</v>
      </c>
      <c r="K382" s="8">
        <f t="shared" si="35"/>
        <v>-0.76129230769220158</v>
      </c>
      <c r="L382" s="8">
        <f t="shared" si="36"/>
        <v>-5.8560946745553968E-2</v>
      </c>
      <c r="M382" s="8">
        <f t="shared" si="37"/>
        <v>-1.1718254615370824</v>
      </c>
      <c r="N382" s="8">
        <f t="shared" si="38"/>
        <v>-9.0140420118237113E-2</v>
      </c>
      <c r="O382" s="8"/>
      <c r="P382" t="s">
        <v>670</v>
      </c>
      <c r="Q382">
        <v>35</v>
      </c>
      <c r="R382" s="8">
        <v>2.82504</v>
      </c>
      <c r="S382">
        <v>4</v>
      </c>
      <c r="T382" s="8">
        <f t="shared" si="39"/>
        <v>0.11428571428571428</v>
      </c>
      <c r="U382" s="8">
        <v>2.8756300000000001</v>
      </c>
      <c r="V382">
        <v>21</v>
      </c>
      <c r="W382" s="8">
        <f t="shared" si="40"/>
        <v>0.6</v>
      </c>
      <c r="X382" s="8">
        <v>2.8215499999999998</v>
      </c>
      <c r="Y382">
        <v>10</v>
      </c>
      <c r="Z382" s="8">
        <f t="shared" si="41"/>
        <v>0.2857142857142857</v>
      </c>
      <c r="AA382" s="8">
        <v>2.8121399999999999</v>
      </c>
    </row>
    <row r="383" spans="2:27" ht="15" customHeight="1" x14ac:dyDescent="0.25">
      <c r="B383">
        <v>364</v>
      </c>
      <c r="C383" s="8">
        <v>-12456.522300000001</v>
      </c>
      <c r="D383" s="2">
        <v>-12457.822561999999</v>
      </c>
      <c r="F383" s="12">
        <v>0.99431800000000004</v>
      </c>
      <c r="G383" s="13">
        <v>0.17584</v>
      </c>
      <c r="H383">
        <v>8</v>
      </c>
      <c r="I383">
        <v>5</v>
      </c>
      <c r="K383" s="8">
        <f t="shared" si="35"/>
        <v>-0.79429230769346759</v>
      </c>
      <c r="L383" s="8">
        <f t="shared" si="36"/>
        <v>-6.1099408284112894E-2</v>
      </c>
      <c r="M383" s="8">
        <f t="shared" si="37"/>
        <v>-0.71857046153672854</v>
      </c>
      <c r="N383" s="8">
        <f t="shared" si="38"/>
        <v>-5.5274650887440657E-2</v>
      </c>
      <c r="O383" s="8"/>
      <c r="P383" t="s">
        <v>671</v>
      </c>
      <c r="Q383">
        <v>35</v>
      </c>
      <c r="R383" s="8">
        <v>2.8301400000000001</v>
      </c>
      <c r="S383">
        <v>4</v>
      </c>
      <c r="T383" s="8">
        <f t="shared" si="39"/>
        <v>0.11428571428571428</v>
      </c>
      <c r="U383" s="8">
        <v>2.91662</v>
      </c>
      <c r="V383">
        <v>21</v>
      </c>
      <c r="W383" s="8">
        <f t="shared" si="40"/>
        <v>0.6</v>
      </c>
      <c r="X383" s="8">
        <v>2.8167399999999998</v>
      </c>
      <c r="Y383">
        <v>10</v>
      </c>
      <c r="Z383" s="8">
        <f t="shared" si="41"/>
        <v>0.2857142857142857</v>
      </c>
      <c r="AA383" s="8">
        <v>2.82369</v>
      </c>
    </row>
    <row r="384" spans="2:27" ht="15" customHeight="1" x14ac:dyDescent="0.25">
      <c r="B384">
        <v>365</v>
      </c>
      <c r="C384" s="8">
        <v>-12456.673500000001</v>
      </c>
      <c r="D384" s="2">
        <v>-12458.051262999999</v>
      </c>
      <c r="F384" s="12">
        <v>0.99712400000000001</v>
      </c>
      <c r="G384" s="13">
        <v>0.19541</v>
      </c>
      <c r="H384">
        <v>8</v>
      </c>
      <c r="I384">
        <v>5</v>
      </c>
      <c r="K384" s="8">
        <f t="shared" si="35"/>
        <v>-0.94549230769371206</v>
      </c>
      <c r="L384" s="8">
        <f t="shared" si="36"/>
        <v>-7.2730177514900934E-2</v>
      </c>
      <c r="M384" s="8">
        <f t="shared" si="37"/>
        <v>-0.94727146153672948</v>
      </c>
      <c r="N384" s="8">
        <f t="shared" si="38"/>
        <v>-7.2867035502825347E-2</v>
      </c>
      <c r="O384" s="8"/>
      <c r="P384" t="s">
        <v>672</v>
      </c>
      <c r="Q384">
        <v>36</v>
      </c>
      <c r="R384" s="8">
        <v>2.8359399999999999</v>
      </c>
      <c r="S384">
        <v>3</v>
      </c>
      <c r="T384" s="8">
        <f t="shared" si="39"/>
        <v>8.3333333333333329E-2</v>
      </c>
      <c r="U384" s="8">
        <v>2.8208099999999998</v>
      </c>
      <c r="V384">
        <v>22</v>
      </c>
      <c r="W384" s="8">
        <f t="shared" si="40"/>
        <v>0.61111111111111116</v>
      </c>
      <c r="X384" s="8">
        <v>2.8481700000000001</v>
      </c>
      <c r="Y384">
        <v>11</v>
      </c>
      <c r="Z384" s="8">
        <f t="shared" si="41"/>
        <v>0.30555555555555558</v>
      </c>
      <c r="AA384" s="8">
        <v>2.81562</v>
      </c>
    </row>
    <row r="385" spans="2:27" ht="15" customHeight="1" x14ac:dyDescent="0.25">
      <c r="B385">
        <v>366</v>
      </c>
      <c r="C385" s="8">
        <v>-12456.058000000001</v>
      </c>
      <c r="D385" s="2">
        <v>-12457.753685</v>
      </c>
      <c r="F385" s="12">
        <v>0.99729199999999996</v>
      </c>
      <c r="G385" s="13">
        <v>0.19814000000000001</v>
      </c>
      <c r="H385">
        <v>8</v>
      </c>
      <c r="I385">
        <v>5</v>
      </c>
      <c r="K385" s="8">
        <f t="shared" si="35"/>
        <v>-0.32999230769382848</v>
      </c>
      <c r="L385" s="8">
        <f t="shared" si="36"/>
        <v>-2.5384023668756035E-2</v>
      </c>
      <c r="M385" s="8">
        <f t="shared" si="37"/>
        <v>-0.64969346153702645</v>
      </c>
      <c r="N385" s="8">
        <f t="shared" si="38"/>
        <v>-4.9976420118232806E-2</v>
      </c>
      <c r="O385" s="8"/>
      <c r="P385" t="s">
        <v>673</v>
      </c>
      <c r="Q385">
        <v>35</v>
      </c>
      <c r="R385" s="8">
        <v>2.8259300000000001</v>
      </c>
      <c r="S385">
        <v>6</v>
      </c>
      <c r="T385" s="8">
        <f t="shared" si="39"/>
        <v>0.17142857142857143</v>
      </c>
      <c r="U385" s="8">
        <v>2.8567800000000001</v>
      </c>
      <c r="V385">
        <v>18</v>
      </c>
      <c r="W385" s="8">
        <f t="shared" si="40"/>
        <v>0.51428571428571423</v>
      </c>
      <c r="X385" s="8">
        <v>2.80958</v>
      </c>
      <c r="Y385">
        <v>11</v>
      </c>
      <c r="Z385" s="8">
        <f t="shared" si="41"/>
        <v>0.31428571428571428</v>
      </c>
      <c r="AA385" s="8">
        <v>2.8358500000000002</v>
      </c>
    </row>
    <row r="386" spans="2:27" ht="15" customHeight="1" x14ac:dyDescent="0.25">
      <c r="B386">
        <v>367</v>
      </c>
      <c r="C386" s="8">
        <v>-12456.21</v>
      </c>
      <c r="D386" s="2">
        <v>-12457.829616000001</v>
      </c>
      <c r="F386" s="12">
        <v>0.99820399999999998</v>
      </c>
      <c r="G386" s="13">
        <v>0.209919999999999</v>
      </c>
      <c r="H386">
        <v>8</v>
      </c>
      <c r="I386">
        <v>5</v>
      </c>
      <c r="K386" s="8">
        <f t="shared" si="35"/>
        <v>-0.48199230769205315</v>
      </c>
      <c r="L386" s="8">
        <f t="shared" si="36"/>
        <v>-3.7076331360927167E-2</v>
      </c>
      <c r="M386" s="8">
        <f t="shared" si="37"/>
        <v>-0.72562446153824567</v>
      </c>
      <c r="N386" s="8">
        <f t="shared" si="38"/>
        <v>-5.5817266272172747E-2</v>
      </c>
      <c r="O386" s="8"/>
      <c r="P386" t="s">
        <v>674</v>
      </c>
      <c r="Q386">
        <v>35</v>
      </c>
      <c r="R386" s="8">
        <v>2.82823</v>
      </c>
      <c r="S386">
        <v>6</v>
      </c>
      <c r="T386" s="8">
        <f t="shared" si="39"/>
        <v>0.17142857142857143</v>
      </c>
      <c r="U386" s="8">
        <v>2.8737499999999998</v>
      </c>
      <c r="V386">
        <v>17</v>
      </c>
      <c r="W386" s="8">
        <f t="shared" si="40"/>
        <v>0.48571428571428571</v>
      </c>
      <c r="X386" s="8">
        <v>2.80653</v>
      </c>
      <c r="Y386">
        <v>12</v>
      </c>
      <c r="Z386" s="8">
        <f t="shared" si="41"/>
        <v>0.34285714285714286</v>
      </c>
      <c r="AA386" s="8">
        <v>2.8361999999999998</v>
      </c>
    </row>
    <row r="387" spans="2:27" ht="15" customHeight="1" x14ac:dyDescent="0.25">
      <c r="B387">
        <v>368</v>
      </c>
      <c r="C387" s="8">
        <v>-12456.168600000001</v>
      </c>
      <c r="D387" s="2">
        <v>-12457.901408</v>
      </c>
      <c r="F387" s="12">
        <v>0.99400599999999995</v>
      </c>
      <c r="G387" s="13">
        <v>0.17410999999999899</v>
      </c>
      <c r="H387">
        <v>8</v>
      </c>
      <c r="I387">
        <v>5</v>
      </c>
      <c r="K387" s="8">
        <f t="shared" ref="K387:K450" si="42">IF(ISNUMBER(C387),C387-(($C$3-$C$2236)/($H$3-$H$2236)*H387+$C$2236),"")</f>
        <v>-0.4405923076938052</v>
      </c>
      <c r="L387" s="8">
        <f t="shared" ref="L387:L450" si="43">IF(ISNUMBER(C387),K387/(H387+I387),"")</f>
        <v>-3.3891715976446551E-2</v>
      </c>
      <c r="M387" s="8">
        <f t="shared" ref="M387:M450" si="44">IF(ISNUMBER(D387),D387-(($D$3-$D$2236)/($H$3-$H$2236)*H387+$D$2236),"")</f>
        <v>-0.79741646153706824</v>
      </c>
      <c r="N387" s="8">
        <f t="shared" ref="N387:N450" si="45">IF(ISNUMBER(D387),M387/(H387+I387),"")</f>
        <v>-6.1339727810543712E-2</v>
      </c>
      <c r="O387" s="8"/>
      <c r="P387" t="s">
        <v>675</v>
      </c>
      <c r="Q387">
        <v>35</v>
      </c>
      <c r="R387" s="8">
        <v>2.82348</v>
      </c>
      <c r="S387">
        <v>5</v>
      </c>
      <c r="T387" s="8">
        <f t="shared" ref="T387:T450" si="46">IF(ISNUMBER(S387),S387/(Q387),"")</f>
        <v>0.14285714285714285</v>
      </c>
      <c r="U387" s="8">
        <v>2.84965</v>
      </c>
      <c r="V387">
        <v>20</v>
      </c>
      <c r="W387" s="8">
        <f t="shared" ref="W387:W450" si="47">IF(ISNUMBER(V387),V387/($Q387),"")</f>
        <v>0.5714285714285714</v>
      </c>
      <c r="X387" s="8">
        <v>2.81867</v>
      </c>
      <c r="Y387">
        <v>10</v>
      </c>
      <c r="Z387" s="8">
        <f t="shared" ref="Z387:Z450" si="48">IF(ISNUMBER(Y387),Y387/($Q387),"")</f>
        <v>0.2857142857142857</v>
      </c>
      <c r="AA387" s="8">
        <v>2.82003</v>
      </c>
    </row>
    <row r="388" spans="2:27" ht="15" customHeight="1" x14ac:dyDescent="0.25">
      <c r="B388">
        <v>369</v>
      </c>
      <c r="C388" s="8">
        <v>-12456.156499999999</v>
      </c>
      <c r="D388" s="2">
        <v>-12458.119763000001</v>
      </c>
      <c r="F388" s="12">
        <v>0.99480100000000005</v>
      </c>
      <c r="G388" s="13">
        <v>0.17851999999999901</v>
      </c>
      <c r="H388">
        <v>8</v>
      </c>
      <c r="I388">
        <v>5</v>
      </c>
      <c r="K388" s="8">
        <f t="shared" si="42"/>
        <v>-0.4284923076920677</v>
      </c>
      <c r="L388" s="8">
        <f t="shared" si="43"/>
        <v>-3.2960946745543666E-2</v>
      </c>
      <c r="M388" s="8">
        <f t="shared" si="44"/>
        <v>-1.0157714615379518</v>
      </c>
      <c r="N388" s="8">
        <f t="shared" si="45"/>
        <v>-7.8136266272150146E-2</v>
      </c>
      <c r="O388" s="8"/>
      <c r="P388" t="s">
        <v>676</v>
      </c>
      <c r="Q388">
        <v>35</v>
      </c>
      <c r="R388" s="8">
        <v>2.82952</v>
      </c>
      <c r="S388">
        <v>6</v>
      </c>
      <c r="T388" s="8">
        <f t="shared" si="46"/>
        <v>0.17142857142857143</v>
      </c>
      <c r="U388" s="8">
        <v>2.8675299999999999</v>
      </c>
      <c r="V388">
        <v>17</v>
      </c>
      <c r="W388" s="8">
        <f t="shared" si="47"/>
        <v>0.48571428571428571</v>
      </c>
      <c r="X388" s="8">
        <v>2.8069199999999999</v>
      </c>
      <c r="Y388">
        <v>12</v>
      </c>
      <c r="Z388" s="8">
        <f t="shared" si="48"/>
        <v>0.34285714285714286</v>
      </c>
      <c r="AA388" s="8">
        <v>2.84253</v>
      </c>
    </row>
    <row r="389" spans="2:27" ht="15" customHeight="1" x14ac:dyDescent="0.25">
      <c r="B389">
        <v>370</v>
      </c>
      <c r="C389" s="8">
        <v>-12456.388800000001</v>
      </c>
      <c r="D389" s="2">
        <v>-12458.325487</v>
      </c>
      <c r="F389" s="12">
        <v>0.99629100000000004</v>
      </c>
      <c r="G389" s="13">
        <v>0.18866999999999901</v>
      </c>
      <c r="H389">
        <v>8</v>
      </c>
      <c r="I389">
        <v>5</v>
      </c>
      <c r="K389" s="8">
        <f t="shared" si="42"/>
        <v>-0.6607923076935549</v>
      </c>
      <c r="L389" s="8">
        <f t="shared" si="43"/>
        <v>-5.0830177514888837E-2</v>
      </c>
      <c r="M389" s="8">
        <f t="shared" si="44"/>
        <v>-1.2214954615374154</v>
      </c>
      <c r="N389" s="8">
        <f t="shared" si="45"/>
        <v>-9.3961189349031957E-2</v>
      </c>
      <c r="O389" s="8"/>
      <c r="P389" t="s">
        <v>677</v>
      </c>
      <c r="Q389">
        <v>35</v>
      </c>
      <c r="R389" s="8">
        <v>2.82429</v>
      </c>
      <c r="S389">
        <v>4</v>
      </c>
      <c r="T389" s="8">
        <f t="shared" si="46"/>
        <v>0.11428571428571428</v>
      </c>
      <c r="U389" s="8">
        <v>2.8692099999999998</v>
      </c>
      <c r="V389">
        <v>21</v>
      </c>
      <c r="W389" s="8">
        <f t="shared" si="47"/>
        <v>0.6</v>
      </c>
      <c r="X389" s="8">
        <v>2.8182700000000001</v>
      </c>
      <c r="Y389">
        <v>10</v>
      </c>
      <c r="Z389" s="8">
        <f t="shared" si="48"/>
        <v>0.2857142857142857</v>
      </c>
      <c r="AA389" s="8">
        <v>2.8189600000000001</v>
      </c>
    </row>
    <row r="390" spans="2:27" ht="15" customHeight="1" x14ac:dyDescent="0.25">
      <c r="B390">
        <v>371</v>
      </c>
      <c r="C390" s="8">
        <v>-12456.2348</v>
      </c>
      <c r="D390" s="2">
        <v>-12457.852621</v>
      </c>
      <c r="F390" s="12">
        <v>0.99510900000000002</v>
      </c>
      <c r="G390" s="13">
        <v>0.18035000000000001</v>
      </c>
      <c r="H390">
        <v>8</v>
      </c>
      <c r="I390">
        <v>5</v>
      </c>
      <c r="K390" s="8">
        <f t="shared" si="42"/>
        <v>-0.50679230769310379</v>
      </c>
      <c r="L390" s="8">
        <f t="shared" si="43"/>
        <v>-3.8984023668700289E-2</v>
      </c>
      <c r="M390" s="8">
        <f t="shared" si="44"/>
        <v>-0.74862946153734811</v>
      </c>
      <c r="N390" s="8">
        <f t="shared" si="45"/>
        <v>-5.7586881656719088E-2</v>
      </c>
      <c r="O390" s="8"/>
      <c r="P390" t="s">
        <v>678</v>
      </c>
      <c r="Q390">
        <v>36</v>
      </c>
      <c r="R390" s="8">
        <v>2.8378299999999999</v>
      </c>
      <c r="S390">
        <v>5</v>
      </c>
      <c r="T390" s="8">
        <f t="shared" si="46"/>
        <v>0.1388888888888889</v>
      </c>
      <c r="U390" s="8">
        <v>2.9333200000000001</v>
      </c>
      <c r="V390">
        <v>21</v>
      </c>
      <c r="W390" s="8">
        <f t="shared" si="47"/>
        <v>0.58333333333333337</v>
      </c>
      <c r="X390" s="8">
        <v>2.8165100000000001</v>
      </c>
      <c r="Y390">
        <v>10</v>
      </c>
      <c r="Z390" s="8">
        <f t="shared" si="48"/>
        <v>0.27777777777777779</v>
      </c>
      <c r="AA390" s="8">
        <v>2.8348300000000002</v>
      </c>
    </row>
    <row r="391" spans="2:27" ht="15" customHeight="1" x14ac:dyDescent="0.25">
      <c r="B391">
        <v>372</v>
      </c>
      <c r="C391" s="8">
        <v>-12456.2814</v>
      </c>
      <c r="D391" s="2">
        <v>-12457.914676</v>
      </c>
      <c r="F391" s="12">
        <v>0.99141699999999999</v>
      </c>
      <c r="G391" s="13">
        <v>0.16341999999999901</v>
      </c>
      <c r="H391">
        <v>8</v>
      </c>
      <c r="I391">
        <v>5</v>
      </c>
      <c r="K391" s="8">
        <f t="shared" si="42"/>
        <v>-0.55339230769277492</v>
      </c>
      <c r="L391" s="8">
        <f t="shared" si="43"/>
        <v>-4.2568639053290377E-2</v>
      </c>
      <c r="M391" s="8">
        <f t="shared" si="44"/>
        <v>-0.81068446153767582</v>
      </c>
      <c r="N391" s="8">
        <f t="shared" si="45"/>
        <v>-6.2360343195205829E-2</v>
      </c>
      <c r="O391" s="8"/>
      <c r="P391" t="s">
        <v>679</v>
      </c>
      <c r="Q391">
        <v>35</v>
      </c>
      <c r="R391" s="8">
        <v>2.8334100000000002</v>
      </c>
      <c r="S391">
        <v>6</v>
      </c>
      <c r="T391" s="8">
        <f t="shared" si="46"/>
        <v>0.17142857142857143</v>
      </c>
      <c r="U391" s="8">
        <v>2.9895200000000002</v>
      </c>
      <c r="V391">
        <v>19</v>
      </c>
      <c r="W391" s="8">
        <f t="shared" si="47"/>
        <v>0.54285714285714282</v>
      </c>
      <c r="X391" s="8">
        <v>2.7893300000000001</v>
      </c>
      <c r="Y391">
        <v>10</v>
      </c>
      <c r="Z391" s="8">
        <f t="shared" si="48"/>
        <v>0.2857142857142857</v>
      </c>
      <c r="AA391" s="8">
        <v>2.8235000000000001</v>
      </c>
    </row>
    <row r="392" spans="2:27" ht="15" customHeight="1" x14ac:dyDescent="0.25">
      <c r="B392">
        <v>373</v>
      </c>
      <c r="C392" s="8">
        <v>-12456.4267</v>
      </c>
      <c r="D392" s="2">
        <v>-12458.079546000001</v>
      </c>
      <c r="F392" s="12">
        <v>0.99740399999999996</v>
      </c>
      <c r="G392" s="13">
        <v>0.19941999999999899</v>
      </c>
      <c r="H392">
        <v>8</v>
      </c>
      <c r="I392">
        <v>5</v>
      </c>
      <c r="K392" s="8">
        <f t="shared" si="42"/>
        <v>-0.6986923076929088</v>
      </c>
      <c r="L392" s="8">
        <f t="shared" si="43"/>
        <v>-5.3745562130223752E-2</v>
      </c>
      <c r="M392" s="8">
        <f t="shared" si="44"/>
        <v>-0.97555446153819503</v>
      </c>
      <c r="N392" s="8">
        <f t="shared" si="45"/>
        <v>-7.5042650887553464E-2</v>
      </c>
      <c r="O392" s="8"/>
      <c r="P392" t="s">
        <v>680</v>
      </c>
      <c r="Q392">
        <v>35</v>
      </c>
      <c r="R392" s="8">
        <v>2.8257300000000001</v>
      </c>
      <c r="S392">
        <v>4</v>
      </c>
      <c r="T392" s="8">
        <f t="shared" si="46"/>
        <v>0.11428571428571428</v>
      </c>
      <c r="U392" s="8">
        <v>2.9269699999999998</v>
      </c>
      <c r="V392">
        <v>20</v>
      </c>
      <c r="W392" s="8">
        <f t="shared" si="47"/>
        <v>0.5714285714285714</v>
      </c>
      <c r="X392" s="8">
        <v>2.8023899999999999</v>
      </c>
      <c r="Y392">
        <v>11</v>
      </c>
      <c r="Z392" s="8">
        <f t="shared" si="48"/>
        <v>0.31428571428571428</v>
      </c>
      <c r="AA392" s="8">
        <v>2.8313700000000002</v>
      </c>
    </row>
    <row r="393" spans="2:27" ht="15" customHeight="1" x14ac:dyDescent="0.25">
      <c r="B393">
        <v>374</v>
      </c>
      <c r="C393" s="8">
        <v>-12456.416999999999</v>
      </c>
      <c r="D393" s="2">
        <v>-12458.067317999999</v>
      </c>
      <c r="F393" s="12">
        <v>0.99544200000000005</v>
      </c>
      <c r="G393" s="13">
        <v>0.18243000000000001</v>
      </c>
      <c r="H393">
        <v>8</v>
      </c>
      <c r="I393">
        <v>5</v>
      </c>
      <c r="K393" s="8">
        <f t="shared" si="42"/>
        <v>-0.68899230769238784</v>
      </c>
      <c r="L393" s="8">
        <f t="shared" si="43"/>
        <v>-5.2999408284029832E-2</v>
      </c>
      <c r="M393" s="8">
        <f t="shared" si="44"/>
        <v>-0.9633264615367807</v>
      </c>
      <c r="N393" s="8">
        <f t="shared" si="45"/>
        <v>-7.4102035502829289E-2</v>
      </c>
      <c r="O393" s="8"/>
      <c r="P393" t="s">
        <v>681</v>
      </c>
      <c r="Q393">
        <v>36</v>
      </c>
      <c r="R393" s="8">
        <v>2.8374700000000002</v>
      </c>
      <c r="S393">
        <v>5</v>
      </c>
      <c r="T393" s="8">
        <f t="shared" si="46"/>
        <v>0.1388888888888889</v>
      </c>
      <c r="U393" s="8">
        <v>2.9175</v>
      </c>
      <c r="V393">
        <v>21</v>
      </c>
      <c r="W393" s="8">
        <f t="shared" si="47"/>
        <v>0.58333333333333337</v>
      </c>
      <c r="X393" s="8">
        <v>2.8292000000000002</v>
      </c>
      <c r="Y393">
        <v>10</v>
      </c>
      <c r="Z393" s="8">
        <f t="shared" si="48"/>
        <v>0.27777777777777779</v>
      </c>
      <c r="AA393" s="8">
        <v>2.8148200000000001</v>
      </c>
    </row>
    <row r="394" spans="2:27" ht="15" customHeight="1" x14ac:dyDescent="0.25">
      <c r="B394">
        <v>375</v>
      </c>
      <c r="C394" s="8">
        <v>-12456.503923</v>
      </c>
      <c r="D394" s="2">
        <v>-12458.137855999999</v>
      </c>
      <c r="F394" s="12">
        <v>0.99734699999999998</v>
      </c>
      <c r="G394" s="13">
        <v>0.198569999999999</v>
      </c>
      <c r="H394">
        <v>8</v>
      </c>
      <c r="I394">
        <v>5</v>
      </c>
      <c r="K394" s="8">
        <f t="shared" si="42"/>
        <v>-0.77591530769313977</v>
      </c>
      <c r="L394" s="8">
        <f t="shared" si="43"/>
        <v>-5.968579289947229E-2</v>
      </c>
      <c r="M394" s="8">
        <f t="shared" si="44"/>
        <v>-1.033864461536723</v>
      </c>
      <c r="N394" s="8">
        <f t="shared" si="45"/>
        <v>-7.9528035502824848E-2</v>
      </c>
      <c r="O394" s="8"/>
      <c r="P394" t="s">
        <v>682</v>
      </c>
      <c r="Q394">
        <v>35</v>
      </c>
      <c r="R394" s="8">
        <v>2.82423</v>
      </c>
      <c r="S394">
        <v>3</v>
      </c>
      <c r="T394" s="8">
        <f t="shared" si="46"/>
        <v>8.5714285714285715E-2</v>
      </c>
      <c r="U394" s="8">
        <v>2.9057599999999999</v>
      </c>
      <c r="V394">
        <v>22</v>
      </c>
      <c r="W394" s="8">
        <f t="shared" si="47"/>
        <v>0.62857142857142856</v>
      </c>
      <c r="X394" s="8">
        <v>2.8170999999999999</v>
      </c>
      <c r="Y394">
        <v>10</v>
      </c>
      <c r="Z394" s="8">
        <f t="shared" si="48"/>
        <v>0.2857142857142857</v>
      </c>
      <c r="AA394" s="8">
        <v>2.8154599999999999</v>
      </c>
    </row>
    <row r="395" spans="2:27" ht="15" customHeight="1" x14ac:dyDescent="0.25">
      <c r="B395">
        <v>376</v>
      </c>
      <c r="C395" s="8">
        <v>-12456.586300000001</v>
      </c>
      <c r="D395" s="2">
        <v>-12457.831455</v>
      </c>
      <c r="F395" s="12">
        <v>0.99683100000000002</v>
      </c>
      <c r="G395" s="13">
        <v>0.193379999999999</v>
      </c>
      <c r="H395">
        <v>8</v>
      </c>
      <c r="I395">
        <v>5</v>
      </c>
      <c r="K395" s="8">
        <f t="shared" si="42"/>
        <v>-0.85829230769377318</v>
      </c>
      <c r="L395" s="8">
        <f t="shared" si="43"/>
        <v>-6.6022485207213322E-2</v>
      </c>
      <c r="M395" s="8">
        <f t="shared" si="44"/>
        <v>-0.72746346153689956</v>
      </c>
      <c r="N395" s="8">
        <f t="shared" si="45"/>
        <v>-5.5958727810530733E-2</v>
      </c>
      <c r="O395" s="8"/>
      <c r="P395" t="s">
        <v>683</v>
      </c>
      <c r="Q395">
        <v>36</v>
      </c>
      <c r="R395" s="8">
        <v>2.83155</v>
      </c>
      <c r="S395">
        <v>6</v>
      </c>
      <c r="T395" s="8">
        <f t="shared" si="46"/>
        <v>0.16666666666666666</v>
      </c>
      <c r="U395" s="8">
        <v>2.88727</v>
      </c>
      <c r="V395">
        <v>18</v>
      </c>
      <c r="W395" s="8">
        <f t="shared" si="47"/>
        <v>0.5</v>
      </c>
      <c r="X395" s="8">
        <v>2.8393600000000001</v>
      </c>
      <c r="Y395">
        <v>12</v>
      </c>
      <c r="Z395" s="8">
        <f t="shared" si="48"/>
        <v>0.33333333333333331</v>
      </c>
      <c r="AA395" s="8">
        <v>2.7919700000000001</v>
      </c>
    </row>
    <row r="396" spans="2:27" ht="15" customHeight="1" x14ac:dyDescent="0.25">
      <c r="B396">
        <v>377</v>
      </c>
      <c r="C396" s="8">
        <v>-12456.468800000001</v>
      </c>
      <c r="D396" s="2">
        <v>-12457.773208000001</v>
      </c>
      <c r="F396" s="12">
        <v>0.99449299999999996</v>
      </c>
      <c r="G396" s="13">
        <v>0.17680999999999999</v>
      </c>
      <c r="H396">
        <v>8</v>
      </c>
      <c r="I396">
        <v>5</v>
      </c>
      <c r="K396" s="8">
        <f t="shared" si="42"/>
        <v>-0.74079230769348214</v>
      </c>
      <c r="L396" s="8">
        <f t="shared" si="43"/>
        <v>-5.6984023668729393E-2</v>
      </c>
      <c r="M396" s="8">
        <f t="shared" si="44"/>
        <v>-0.66921646153787151</v>
      </c>
      <c r="N396" s="8">
        <f t="shared" si="45"/>
        <v>-5.147818934906704E-2</v>
      </c>
      <c r="O396" s="8"/>
      <c r="P396" t="s">
        <v>684</v>
      </c>
      <c r="Q396">
        <v>34</v>
      </c>
      <c r="R396" s="8">
        <v>2.8143899999999999</v>
      </c>
      <c r="S396">
        <v>5</v>
      </c>
      <c r="T396" s="8">
        <f t="shared" si="46"/>
        <v>0.14705882352941177</v>
      </c>
      <c r="U396" s="8">
        <v>2.85737</v>
      </c>
      <c r="V396">
        <v>18</v>
      </c>
      <c r="W396" s="8">
        <f t="shared" si="47"/>
        <v>0.52941176470588236</v>
      </c>
      <c r="X396" s="8">
        <v>2.8004699999999998</v>
      </c>
      <c r="Y396">
        <v>11</v>
      </c>
      <c r="Z396" s="8">
        <f t="shared" si="48"/>
        <v>0.3235294117647059</v>
      </c>
      <c r="AA396" s="8">
        <v>2.81765</v>
      </c>
    </row>
    <row r="397" spans="2:27" ht="15" customHeight="1" x14ac:dyDescent="0.25">
      <c r="B397">
        <v>378</v>
      </c>
      <c r="C397" s="8">
        <v>-12456.5452</v>
      </c>
      <c r="D397" s="2">
        <v>-12457.841874</v>
      </c>
      <c r="F397" s="12">
        <v>0.997054</v>
      </c>
      <c r="G397" s="13">
        <v>0.195599999999999</v>
      </c>
      <c r="H397">
        <v>8</v>
      </c>
      <c r="I397">
        <v>5</v>
      </c>
      <c r="K397" s="8">
        <f t="shared" si="42"/>
        <v>-0.81719230769340356</v>
      </c>
      <c r="L397" s="8">
        <f t="shared" si="43"/>
        <v>-6.2860946745646434E-2</v>
      </c>
      <c r="M397" s="8">
        <f t="shared" si="44"/>
        <v>-0.73788246153708315</v>
      </c>
      <c r="N397" s="8">
        <f t="shared" si="45"/>
        <v>-5.6760189349006396E-2</v>
      </c>
      <c r="O397" s="8"/>
      <c r="P397" t="s">
        <v>685</v>
      </c>
      <c r="Q397">
        <v>36</v>
      </c>
      <c r="R397" s="8">
        <v>2.8429199999999999</v>
      </c>
      <c r="S397">
        <v>5</v>
      </c>
      <c r="T397" s="8">
        <f t="shared" si="46"/>
        <v>0.1388888888888889</v>
      </c>
      <c r="U397" s="8">
        <v>2.94286</v>
      </c>
      <c r="V397">
        <v>21</v>
      </c>
      <c r="W397" s="8">
        <f t="shared" si="47"/>
        <v>0.58333333333333337</v>
      </c>
      <c r="X397" s="8">
        <v>2.82436</v>
      </c>
      <c r="Y397">
        <v>10</v>
      </c>
      <c r="Z397" s="8">
        <f t="shared" si="48"/>
        <v>0.27777777777777779</v>
      </c>
      <c r="AA397" s="8">
        <v>2.8319200000000002</v>
      </c>
    </row>
    <row r="398" spans="2:27" ht="15" customHeight="1" x14ac:dyDescent="0.25">
      <c r="B398">
        <v>379</v>
      </c>
      <c r="C398" s="8">
        <v>-12456.548500000001</v>
      </c>
      <c r="D398" s="2">
        <v>-12458.064122</v>
      </c>
      <c r="F398" s="12">
        <v>0.99587999999999999</v>
      </c>
      <c r="G398" s="13">
        <v>0.18547999999999901</v>
      </c>
      <c r="H398">
        <v>8</v>
      </c>
      <c r="I398">
        <v>5</v>
      </c>
      <c r="K398" s="8">
        <f t="shared" si="42"/>
        <v>-0.82049230769371206</v>
      </c>
      <c r="L398" s="8">
        <f t="shared" si="43"/>
        <v>-6.3114792899516312E-2</v>
      </c>
      <c r="M398" s="8">
        <f t="shared" si="44"/>
        <v>-0.96013046153711912</v>
      </c>
      <c r="N398" s="8">
        <f t="shared" si="45"/>
        <v>-7.3856189349009158E-2</v>
      </c>
      <c r="O398" s="8"/>
      <c r="P398" t="s">
        <v>686</v>
      </c>
      <c r="Q398">
        <v>34</v>
      </c>
      <c r="R398" s="8">
        <v>2.8225600000000002</v>
      </c>
      <c r="S398">
        <v>6</v>
      </c>
      <c r="T398" s="8">
        <f t="shared" si="46"/>
        <v>0.17647058823529413</v>
      </c>
      <c r="U398" s="8">
        <v>2.8799000000000001</v>
      </c>
      <c r="V398">
        <v>17</v>
      </c>
      <c r="W398" s="8">
        <f t="shared" si="47"/>
        <v>0.5</v>
      </c>
      <c r="X398" s="8">
        <v>2.8018399999999999</v>
      </c>
      <c r="Y398">
        <v>11</v>
      </c>
      <c r="Z398" s="8">
        <f t="shared" si="48"/>
        <v>0.3235294117647059</v>
      </c>
      <c r="AA398" s="8">
        <v>2.8233100000000002</v>
      </c>
    </row>
    <row r="399" spans="2:27" ht="15" customHeight="1" x14ac:dyDescent="0.25">
      <c r="B399">
        <v>380</v>
      </c>
      <c r="C399" s="8">
        <v>-12456.6376</v>
      </c>
      <c r="D399" s="2">
        <v>-12458.151532</v>
      </c>
      <c r="F399" s="12">
        <v>0.99634900000000004</v>
      </c>
      <c r="G399" s="13">
        <v>0.18912000000000001</v>
      </c>
      <c r="H399">
        <v>8</v>
      </c>
      <c r="I399">
        <v>5</v>
      </c>
      <c r="K399" s="8">
        <f t="shared" si="42"/>
        <v>-0.90959230769294663</v>
      </c>
      <c r="L399" s="8">
        <f t="shared" si="43"/>
        <v>-6.9968639053303583E-2</v>
      </c>
      <c r="M399" s="8">
        <f t="shared" si="44"/>
        <v>-1.0475404615372099</v>
      </c>
      <c r="N399" s="8">
        <f t="shared" si="45"/>
        <v>-8.0580035502862302E-2</v>
      </c>
      <c r="O399" s="8"/>
      <c r="P399" t="s">
        <v>687</v>
      </c>
      <c r="Q399">
        <v>35</v>
      </c>
      <c r="R399" s="8">
        <v>2.8301099999999999</v>
      </c>
      <c r="S399">
        <v>5</v>
      </c>
      <c r="T399" s="8">
        <f t="shared" si="46"/>
        <v>0.14285714285714285</v>
      </c>
      <c r="U399" s="8">
        <v>2.87148</v>
      </c>
      <c r="V399">
        <v>20</v>
      </c>
      <c r="W399" s="8">
        <f t="shared" si="47"/>
        <v>0.5714285714285714</v>
      </c>
      <c r="X399" s="8">
        <v>2.8313199999999998</v>
      </c>
      <c r="Y399">
        <v>10</v>
      </c>
      <c r="Z399" s="8">
        <f t="shared" si="48"/>
        <v>0.2857142857142857</v>
      </c>
      <c r="AA399" s="8">
        <v>2.80701</v>
      </c>
    </row>
    <row r="400" spans="2:27" ht="15" customHeight="1" x14ac:dyDescent="0.25">
      <c r="B400">
        <v>381</v>
      </c>
      <c r="C400" s="8">
        <v>-12456.538699999999</v>
      </c>
      <c r="D400" s="2">
        <v>-12457.838089000001</v>
      </c>
      <c r="F400" s="12">
        <v>0.99718200000000001</v>
      </c>
      <c r="G400" s="13">
        <v>0.19703000000000001</v>
      </c>
      <c r="H400">
        <v>8</v>
      </c>
      <c r="I400">
        <v>5</v>
      </c>
      <c r="K400" s="8">
        <f t="shared" si="42"/>
        <v>-0.81069230769207934</v>
      </c>
      <c r="L400" s="8">
        <f t="shared" si="43"/>
        <v>-6.2360946745544564E-2</v>
      </c>
      <c r="M400" s="8">
        <f t="shared" si="44"/>
        <v>-0.73409746153811284</v>
      </c>
      <c r="N400" s="8">
        <f t="shared" si="45"/>
        <v>-5.6469035502931759E-2</v>
      </c>
      <c r="O400" s="8"/>
      <c r="P400" t="s">
        <v>688</v>
      </c>
      <c r="Q400">
        <v>35</v>
      </c>
      <c r="R400" s="8">
        <v>2.8241100000000001</v>
      </c>
      <c r="S400">
        <v>6</v>
      </c>
      <c r="T400" s="8">
        <f t="shared" si="46"/>
        <v>0.17142857142857143</v>
      </c>
      <c r="U400" s="8">
        <v>2.82497</v>
      </c>
      <c r="V400">
        <v>15</v>
      </c>
      <c r="W400" s="8">
        <f t="shared" si="47"/>
        <v>0.42857142857142855</v>
      </c>
      <c r="X400" s="8">
        <v>2.82239</v>
      </c>
      <c r="Y400">
        <v>14</v>
      </c>
      <c r="Z400" s="8">
        <f t="shared" si="48"/>
        <v>0.4</v>
      </c>
      <c r="AA400" s="8">
        <v>2.82558</v>
      </c>
    </row>
    <row r="401" spans="2:27" ht="15" customHeight="1" x14ac:dyDescent="0.25">
      <c r="B401">
        <v>382</v>
      </c>
      <c r="C401" s="8">
        <v>-12456.689700000001</v>
      </c>
      <c r="D401" s="2">
        <v>-12457.980798000001</v>
      </c>
      <c r="F401" s="12">
        <v>0.99579399999999996</v>
      </c>
      <c r="G401" s="13">
        <v>0.18486</v>
      </c>
      <c r="H401">
        <v>8</v>
      </c>
      <c r="I401">
        <v>5</v>
      </c>
      <c r="K401" s="8">
        <f t="shared" si="42"/>
        <v>-0.96169230769373826</v>
      </c>
      <c r="L401" s="8">
        <f t="shared" si="43"/>
        <v>-7.3976331361056788E-2</v>
      </c>
      <c r="M401" s="8">
        <f t="shared" si="44"/>
        <v>-0.87680646153785347</v>
      </c>
      <c r="N401" s="8">
        <f t="shared" si="45"/>
        <v>-6.7446650887527188E-2</v>
      </c>
      <c r="O401" s="8"/>
      <c r="P401" t="s">
        <v>689</v>
      </c>
      <c r="Q401">
        <v>35</v>
      </c>
      <c r="R401" s="8">
        <v>2.8257300000000001</v>
      </c>
      <c r="S401">
        <v>5</v>
      </c>
      <c r="T401" s="8">
        <f t="shared" si="46"/>
        <v>0.14285714285714285</v>
      </c>
      <c r="U401" s="8">
        <v>2.8393299999999999</v>
      </c>
      <c r="V401">
        <v>17</v>
      </c>
      <c r="W401" s="8">
        <f t="shared" si="47"/>
        <v>0.48571428571428571</v>
      </c>
      <c r="X401" s="8">
        <v>2.8216000000000001</v>
      </c>
      <c r="Y401">
        <v>13</v>
      </c>
      <c r="Z401" s="8">
        <f t="shared" si="48"/>
        <v>0.37142857142857144</v>
      </c>
      <c r="AA401" s="8">
        <v>2.8259099999999999</v>
      </c>
    </row>
    <row r="402" spans="2:27" ht="15" customHeight="1" x14ac:dyDescent="0.25">
      <c r="B402">
        <v>383</v>
      </c>
      <c r="C402" s="8">
        <v>-12456.4393</v>
      </c>
      <c r="D402" s="2">
        <v>-12457.788107</v>
      </c>
      <c r="F402" s="12">
        <v>0.99555400000000005</v>
      </c>
      <c r="G402" s="13">
        <v>0.1832</v>
      </c>
      <c r="H402">
        <v>8</v>
      </c>
      <c r="I402">
        <v>5</v>
      </c>
      <c r="K402" s="8">
        <f t="shared" si="42"/>
        <v>-0.71129230769292917</v>
      </c>
      <c r="L402" s="8">
        <f t="shared" si="43"/>
        <v>-5.4714792899456091E-2</v>
      </c>
      <c r="M402" s="8">
        <f t="shared" si="44"/>
        <v>-0.68411546153765812</v>
      </c>
      <c r="N402" s="8">
        <f t="shared" si="45"/>
        <v>-5.2624266272127546E-2</v>
      </c>
      <c r="O402" s="8"/>
      <c r="P402" t="s">
        <v>690</v>
      </c>
      <c r="Q402">
        <v>35</v>
      </c>
      <c r="R402" s="8">
        <v>2.8286799999999999</v>
      </c>
      <c r="S402">
        <v>6</v>
      </c>
      <c r="T402" s="8">
        <f t="shared" si="46"/>
        <v>0.17142857142857143</v>
      </c>
      <c r="U402" s="8">
        <v>2.87649</v>
      </c>
      <c r="V402">
        <v>18</v>
      </c>
      <c r="W402" s="8">
        <f t="shared" si="47"/>
        <v>0.51428571428571423</v>
      </c>
      <c r="X402" s="8">
        <v>2.81026</v>
      </c>
      <c r="Y402">
        <v>11</v>
      </c>
      <c r="Z402" s="8">
        <f t="shared" si="48"/>
        <v>0.31428571428571428</v>
      </c>
      <c r="AA402" s="8">
        <v>2.8327599999999999</v>
      </c>
    </row>
    <row r="403" spans="2:27" ht="15" customHeight="1" x14ac:dyDescent="0.25">
      <c r="B403">
        <v>384</v>
      </c>
      <c r="C403" s="8">
        <v>-12456.182699999999</v>
      </c>
      <c r="D403" s="2">
        <v>-12457.505676999999</v>
      </c>
      <c r="F403" s="12">
        <v>0.99332100000000001</v>
      </c>
      <c r="G403" s="13">
        <v>0.17094999999999899</v>
      </c>
      <c r="H403">
        <v>8</v>
      </c>
      <c r="I403">
        <v>5</v>
      </c>
      <c r="K403" s="8">
        <f t="shared" si="42"/>
        <v>-0.45469230769231217</v>
      </c>
      <c r="L403" s="8">
        <f t="shared" si="43"/>
        <v>-3.4976331360947091E-2</v>
      </c>
      <c r="M403" s="8">
        <f t="shared" si="44"/>
        <v>-0.40168546153654461</v>
      </c>
      <c r="N403" s="8">
        <f t="shared" si="45"/>
        <v>-3.0898881656657277E-2</v>
      </c>
      <c r="O403" s="8"/>
      <c r="P403" t="s">
        <v>691</v>
      </c>
      <c r="Q403">
        <v>36</v>
      </c>
      <c r="R403" s="8">
        <v>2.8382800000000001</v>
      </c>
      <c r="S403">
        <v>8</v>
      </c>
      <c r="T403" s="8">
        <f t="shared" si="46"/>
        <v>0.22222222222222221</v>
      </c>
      <c r="U403" s="8">
        <v>2.9171</v>
      </c>
      <c r="V403">
        <v>16</v>
      </c>
      <c r="W403" s="8">
        <f t="shared" si="47"/>
        <v>0.44444444444444442</v>
      </c>
      <c r="X403" s="8">
        <v>2.8072300000000001</v>
      </c>
      <c r="Y403">
        <v>12</v>
      </c>
      <c r="Z403" s="8">
        <f t="shared" si="48"/>
        <v>0.33333333333333331</v>
      </c>
      <c r="AA403" s="8">
        <v>2.82714</v>
      </c>
    </row>
    <row r="404" spans="2:27" ht="15" customHeight="1" x14ac:dyDescent="0.25">
      <c r="B404">
        <v>385</v>
      </c>
      <c r="C404" s="8">
        <v>-12456.4406</v>
      </c>
      <c r="D404" s="2">
        <v>-12458.087088</v>
      </c>
      <c r="F404" s="12">
        <v>0.995116</v>
      </c>
      <c r="G404" s="13">
        <v>0.18032999999999999</v>
      </c>
      <c r="H404">
        <v>8</v>
      </c>
      <c r="I404">
        <v>5</v>
      </c>
      <c r="K404" s="8">
        <f t="shared" si="42"/>
        <v>-0.71259230769283022</v>
      </c>
      <c r="L404" s="8">
        <f t="shared" si="43"/>
        <v>-5.4814792899448475E-2</v>
      </c>
      <c r="M404" s="8">
        <f t="shared" si="44"/>
        <v>-0.98309646153757058</v>
      </c>
      <c r="N404" s="8">
        <f t="shared" si="45"/>
        <v>-7.5622804733659274E-2</v>
      </c>
      <c r="O404" s="8"/>
      <c r="P404" t="s">
        <v>692</v>
      </c>
      <c r="Q404">
        <v>35</v>
      </c>
      <c r="R404" s="8">
        <v>2.8315399999999999</v>
      </c>
      <c r="S404">
        <v>5</v>
      </c>
      <c r="T404" s="8">
        <f t="shared" si="46"/>
        <v>0.14285714285714285</v>
      </c>
      <c r="U404" s="8">
        <v>2.9150800000000001</v>
      </c>
      <c r="V404">
        <v>19</v>
      </c>
      <c r="W404" s="8">
        <f t="shared" si="47"/>
        <v>0.54285714285714282</v>
      </c>
      <c r="X404" s="8">
        <v>2.7957100000000001</v>
      </c>
      <c r="Y404">
        <v>11</v>
      </c>
      <c r="Z404" s="8">
        <f t="shared" si="48"/>
        <v>0.31428571428571428</v>
      </c>
      <c r="AA404" s="8">
        <v>2.8554400000000002</v>
      </c>
    </row>
    <row r="405" spans="2:27" ht="15" customHeight="1" x14ac:dyDescent="0.25">
      <c r="B405">
        <v>386</v>
      </c>
      <c r="C405" s="8">
        <v>-12456.219800000001</v>
      </c>
      <c r="D405" s="2">
        <v>-12458.079619</v>
      </c>
      <c r="F405" s="12">
        <v>0.99312800000000001</v>
      </c>
      <c r="G405" s="13">
        <v>0.17011999999999899</v>
      </c>
      <c r="H405">
        <v>8</v>
      </c>
      <c r="I405">
        <v>5</v>
      </c>
      <c r="K405" s="8">
        <f t="shared" si="42"/>
        <v>-0.49179230769368587</v>
      </c>
      <c r="L405" s="8">
        <f t="shared" si="43"/>
        <v>-3.7830177514898915E-2</v>
      </c>
      <c r="M405" s="8">
        <f t="shared" si="44"/>
        <v>-0.97562746153744229</v>
      </c>
      <c r="N405" s="8">
        <f t="shared" si="45"/>
        <v>-7.5048266272110947E-2</v>
      </c>
      <c r="O405" s="8"/>
      <c r="P405" t="s">
        <v>693</v>
      </c>
      <c r="Q405">
        <v>34</v>
      </c>
      <c r="R405" s="8">
        <v>2.8172899999999998</v>
      </c>
      <c r="S405">
        <v>8</v>
      </c>
      <c r="T405" s="8">
        <f t="shared" si="46"/>
        <v>0.23529411764705882</v>
      </c>
      <c r="U405" s="8">
        <v>2.8466499999999999</v>
      </c>
      <c r="V405">
        <v>12</v>
      </c>
      <c r="W405" s="8">
        <f t="shared" si="47"/>
        <v>0.35294117647058826</v>
      </c>
      <c r="X405" s="8">
        <v>2.8005599999999999</v>
      </c>
      <c r="Y405">
        <v>14</v>
      </c>
      <c r="Z405" s="8">
        <f t="shared" si="48"/>
        <v>0.41176470588235292</v>
      </c>
      <c r="AA405" s="8">
        <v>2.8148499999999999</v>
      </c>
    </row>
    <row r="406" spans="2:27" ht="15" customHeight="1" x14ac:dyDescent="0.25">
      <c r="B406">
        <v>387</v>
      </c>
      <c r="C406" s="8">
        <v>-12456.608200000001</v>
      </c>
      <c r="D406" s="2">
        <v>-12457.895488</v>
      </c>
      <c r="F406" s="12">
        <v>0.99485000000000001</v>
      </c>
      <c r="G406" s="13">
        <v>0.17876</v>
      </c>
      <c r="H406">
        <v>8</v>
      </c>
      <c r="I406">
        <v>5</v>
      </c>
      <c r="K406" s="8">
        <f t="shared" si="42"/>
        <v>-0.88019230769350543</v>
      </c>
      <c r="L406" s="8">
        <f t="shared" si="43"/>
        <v>-6.7707100591808109E-2</v>
      </c>
      <c r="M406" s="8">
        <f t="shared" si="44"/>
        <v>-0.79149646153746289</v>
      </c>
      <c r="N406" s="8">
        <f t="shared" si="45"/>
        <v>-6.0884343195189455E-2</v>
      </c>
      <c r="O406" s="8"/>
      <c r="P406" t="s">
        <v>694</v>
      </c>
      <c r="Q406">
        <v>35</v>
      </c>
      <c r="R406" s="8">
        <v>2.82674</v>
      </c>
      <c r="S406">
        <v>5</v>
      </c>
      <c r="T406" s="8">
        <f t="shared" si="46"/>
        <v>0.14285714285714285</v>
      </c>
      <c r="U406" s="8">
        <v>2.8896999999999999</v>
      </c>
      <c r="V406">
        <v>19</v>
      </c>
      <c r="W406" s="8">
        <f t="shared" si="47"/>
        <v>0.54285714285714282</v>
      </c>
      <c r="X406" s="8">
        <v>2.8032400000000002</v>
      </c>
      <c r="Y406">
        <v>11</v>
      </c>
      <c r="Z406" s="8">
        <f t="shared" si="48"/>
        <v>0.31428571428571428</v>
      </c>
      <c r="AA406" s="8">
        <v>2.8386999999999998</v>
      </c>
    </row>
    <row r="407" spans="2:27" ht="15" customHeight="1" x14ac:dyDescent="0.25">
      <c r="B407">
        <v>388</v>
      </c>
      <c r="C407" s="8">
        <v>-12456.560299999999</v>
      </c>
      <c r="D407" s="2">
        <v>-12457.864845</v>
      </c>
      <c r="F407" s="12">
        <v>0.99740799999999996</v>
      </c>
      <c r="G407" s="13">
        <v>0.19930999999999899</v>
      </c>
      <c r="H407">
        <v>8</v>
      </c>
      <c r="I407">
        <v>5</v>
      </c>
      <c r="K407" s="8">
        <f t="shared" si="42"/>
        <v>-0.83229230769211426</v>
      </c>
      <c r="L407" s="8">
        <f t="shared" si="43"/>
        <v>-6.4022485207085714E-2</v>
      </c>
      <c r="M407" s="8">
        <f t="shared" si="44"/>
        <v>-0.76085346153740829</v>
      </c>
      <c r="N407" s="8">
        <f t="shared" si="45"/>
        <v>-5.8527189349031408E-2</v>
      </c>
      <c r="O407" s="8"/>
      <c r="P407" t="s">
        <v>695</v>
      </c>
      <c r="Q407">
        <v>36</v>
      </c>
      <c r="R407" s="8">
        <v>2.8360799999999999</v>
      </c>
      <c r="S407">
        <v>6</v>
      </c>
      <c r="T407" s="8">
        <f t="shared" si="46"/>
        <v>0.16666666666666666</v>
      </c>
      <c r="U407" s="8">
        <v>2.9347400000000001</v>
      </c>
      <c r="V407">
        <v>20</v>
      </c>
      <c r="W407" s="8">
        <f t="shared" si="47"/>
        <v>0.55555555555555558</v>
      </c>
      <c r="X407" s="8">
        <v>2.8121</v>
      </c>
      <c r="Y407">
        <v>10</v>
      </c>
      <c r="Z407" s="8">
        <f t="shared" si="48"/>
        <v>0.27777777777777779</v>
      </c>
      <c r="AA407" s="8">
        <v>2.8248199999999999</v>
      </c>
    </row>
    <row r="408" spans="2:27" ht="15" customHeight="1" x14ac:dyDescent="0.25">
      <c r="B408">
        <v>389</v>
      </c>
      <c r="C408" s="8">
        <v>-12456.513300000001</v>
      </c>
      <c r="D408" s="2">
        <v>-12458.242591</v>
      </c>
      <c r="F408" s="12">
        <v>0.99388500000000002</v>
      </c>
      <c r="G408" s="13">
        <v>0.173589999999999</v>
      </c>
      <c r="H408">
        <v>8</v>
      </c>
      <c r="I408">
        <v>5</v>
      </c>
      <c r="K408" s="8">
        <f t="shared" si="42"/>
        <v>-0.78529230769345304</v>
      </c>
      <c r="L408" s="8">
        <f t="shared" si="43"/>
        <v>-6.0407100591804083E-2</v>
      </c>
      <c r="M408" s="8">
        <f t="shared" si="44"/>
        <v>-1.1385994615375239</v>
      </c>
      <c r="N408" s="8">
        <f t="shared" si="45"/>
        <v>-8.7584573964424914E-2</v>
      </c>
      <c r="O408" s="8"/>
      <c r="P408" t="s">
        <v>696</v>
      </c>
      <c r="Q408">
        <v>36</v>
      </c>
      <c r="R408" s="8">
        <v>2.83629</v>
      </c>
      <c r="S408">
        <v>6</v>
      </c>
      <c r="T408" s="8">
        <f t="shared" si="46"/>
        <v>0.16666666666666666</v>
      </c>
      <c r="U408" s="8">
        <v>2.8716300000000001</v>
      </c>
      <c r="V408">
        <v>18</v>
      </c>
      <c r="W408" s="8">
        <f t="shared" si="47"/>
        <v>0.5</v>
      </c>
      <c r="X408" s="8">
        <v>2.8346100000000001</v>
      </c>
      <c r="Y408">
        <v>12</v>
      </c>
      <c r="Z408" s="8">
        <f t="shared" si="48"/>
        <v>0.33333333333333331</v>
      </c>
      <c r="AA408" s="8">
        <v>2.8211599999999999</v>
      </c>
    </row>
    <row r="409" spans="2:27" ht="15" customHeight="1" x14ac:dyDescent="0.25">
      <c r="B409">
        <v>390</v>
      </c>
      <c r="C409" s="8">
        <v>-12456.6968</v>
      </c>
      <c r="D409" s="2">
        <v>-12458.208107</v>
      </c>
      <c r="F409" s="12">
        <v>0.99653700000000001</v>
      </c>
      <c r="G409" s="13">
        <v>0.190859999999999</v>
      </c>
      <c r="H409">
        <v>8</v>
      </c>
      <c r="I409">
        <v>5</v>
      </c>
      <c r="K409" s="8">
        <f t="shared" si="42"/>
        <v>-0.96879230769263813</v>
      </c>
      <c r="L409" s="8">
        <f t="shared" si="43"/>
        <v>-7.452248520712601E-2</v>
      </c>
      <c r="M409" s="8">
        <f t="shared" si="44"/>
        <v>-1.1041154615377309</v>
      </c>
      <c r="N409" s="8">
        <f t="shared" si="45"/>
        <v>-8.4931958579825453E-2</v>
      </c>
      <c r="O409" s="8"/>
      <c r="P409" t="s">
        <v>697</v>
      </c>
      <c r="Q409">
        <v>35</v>
      </c>
      <c r="R409" s="8">
        <v>2.83074</v>
      </c>
      <c r="S409">
        <v>5</v>
      </c>
      <c r="T409" s="8">
        <f t="shared" si="46"/>
        <v>0.14285714285714285</v>
      </c>
      <c r="U409" s="8">
        <v>2.9307599999999998</v>
      </c>
      <c r="V409">
        <v>19</v>
      </c>
      <c r="W409" s="8">
        <f t="shared" si="47"/>
        <v>0.54285714285714282</v>
      </c>
      <c r="X409" s="8">
        <v>2.8021699999999998</v>
      </c>
      <c r="Y409">
        <v>11</v>
      </c>
      <c r="Z409" s="8">
        <f t="shared" si="48"/>
        <v>0.31428571428571428</v>
      </c>
      <c r="AA409" s="8">
        <v>2.8346100000000001</v>
      </c>
    </row>
    <row r="410" spans="2:27" ht="15" customHeight="1" x14ac:dyDescent="0.25">
      <c r="B410">
        <v>391</v>
      </c>
      <c r="C410" s="8">
        <v>-12456.5987</v>
      </c>
      <c r="D410" s="2">
        <v>-12458.357108</v>
      </c>
      <c r="F410" s="12">
        <v>0.99463900000000005</v>
      </c>
      <c r="G410" s="13">
        <v>0.17760000000000001</v>
      </c>
      <c r="H410">
        <v>8</v>
      </c>
      <c r="I410">
        <v>5</v>
      </c>
      <c r="K410" s="8">
        <f t="shared" si="42"/>
        <v>-0.87069230769338901</v>
      </c>
      <c r="L410" s="8">
        <f t="shared" si="43"/>
        <v>-6.6976331361029928E-2</v>
      </c>
      <c r="M410" s="8">
        <f t="shared" si="44"/>
        <v>-1.2531164615375019</v>
      </c>
      <c r="N410" s="8">
        <f t="shared" si="45"/>
        <v>-9.6393573964423218E-2</v>
      </c>
      <c r="O410" s="8"/>
      <c r="P410" t="s">
        <v>698</v>
      </c>
      <c r="Q410">
        <v>36</v>
      </c>
      <c r="R410" s="8">
        <v>2.8338700000000001</v>
      </c>
      <c r="S410">
        <v>5</v>
      </c>
      <c r="T410" s="8">
        <f t="shared" si="46"/>
        <v>0.1388888888888889</v>
      </c>
      <c r="U410" s="8">
        <v>2.8406500000000001</v>
      </c>
      <c r="V410">
        <v>18</v>
      </c>
      <c r="W410" s="8">
        <f t="shared" si="47"/>
        <v>0.5</v>
      </c>
      <c r="X410" s="8">
        <v>2.8392900000000001</v>
      </c>
      <c r="Y410">
        <v>13</v>
      </c>
      <c r="Z410" s="8">
        <f t="shared" si="48"/>
        <v>0.3611111111111111</v>
      </c>
      <c r="AA410" s="8">
        <v>2.8237399999999999</v>
      </c>
    </row>
    <row r="411" spans="2:27" ht="15" customHeight="1" x14ac:dyDescent="0.25">
      <c r="B411">
        <v>392</v>
      </c>
      <c r="C411" s="8">
        <v>-12456.3243</v>
      </c>
      <c r="D411" s="2">
        <v>-12457.643196000001</v>
      </c>
      <c r="F411" s="12">
        <v>0.99287599999999998</v>
      </c>
      <c r="G411" s="13">
        <v>0.16902</v>
      </c>
      <c r="H411">
        <v>8</v>
      </c>
      <c r="I411">
        <v>5</v>
      </c>
      <c r="K411" s="8">
        <f t="shared" si="42"/>
        <v>-0.59629230769314745</v>
      </c>
      <c r="L411" s="8">
        <f t="shared" si="43"/>
        <v>-4.5868639053319032E-2</v>
      </c>
      <c r="M411" s="8">
        <f t="shared" si="44"/>
        <v>-0.53920446153824741</v>
      </c>
      <c r="N411" s="8">
        <f t="shared" si="45"/>
        <v>-4.147726627217288E-2</v>
      </c>
      <c r="O411" s="8"/>
      <c r="P411" t="s">
        <v>699</v>
      </c>
      <c r="Q411">
        <v>34</v>
      </c>
      <c r="R411" s="8">
        <v>2.8197999999999999</v>
      </c>
      <c r="S411">
        <v>5</v>
      </c>
      <c r="T411" s="8">
        <f t="shared" si="46"/>
        <v>0.14705882352941177</v>
      </c>
      <c r="U411" s="8">
        <v>2.8181400000000001</v>
      </c>
      <c r="V411">
        <v>18</v>
      </c>
      <c r="W411" s="8">
        <f t="shared" si="47"/>
        <v>0.52941176470588236</v>
      </c>
      <c r="X411" s="8">
        <v>2.8176299999999999</v>
      </c>
      <c r="Y411">
        <v>11</v>
      </c>
      <c r="Z411" s="8">
        <f t="shared" si="48"/>
        <v>0.3235294117647059</v>
      </c>
      <c r="AA411" s="8">
        <v>2.8241000000000001</v>
      </c>
    </row>
    <row r="412" spans="2:27" ht="15" customHeight="1" x14ac:dyDescent="0.25">
      <c r="B412">
        <v>393</v>
      </c>
      <c r="C412" s="8">
        <v>-12456.476000000001</v>
      </c>
      <c r="D412" s="2">
        <v>-12457.816187</v>
      </c>
      <c r="F412" s="12">
        <v>0.99378100000000003</v>
      </c>
      <c r="G412" s="13">
        <v>0.17304</v>
      </c>
      <c r="H412">
        <v>8</v>
      </c>
      <c r="I412">
        <v>5</v>
      </c>
      <c r="K412" s="8">
        <f t="shared" si="42"/>
        <v>-0.74799230769349379</v>
      </c>
      <c r="L412" s="8">
        <f t="shared" si="43"/>
        <v>-5.7537869822576443E-2</v>
      </c>
      <c r="M412" s="8">
        <f t="shared" si="44"/>
        <v>-0.71219546153770352</v>
      </c>
      <c r="N412" s="8">
        <f t="shared" si="45"/>
        <v>-5.4784266272131038E-2</v>
      </c>
      <c r="O412" s="8"/>
      <c r="P412" t="s">
        <v>700</v>
      </c>
      <c r="Q412">
        <v>35</v>
      </c>
      <c r="R412" s="8">
        <v>2.83</v>
      </c>
      <c r="S412">
        <v>6</v>
      </c>
      <c r="T412" s="8">
        <f t="shared" si="46"/>
        <v>0.17142857142857143</v>
      </c>
      <c r="U412" s="8">
        <v>2.9215599999999999</v>
      </c>
      <c r="V412">
        <v>20</v>
      </c>
      <c r="W412" s="8">
        <f t="shared" si="47"/>
        <v>0.5714285714285714</v>
      </c>
      <c r="X412" s="8">
        <v>2.7951600000000001</v>
      </c>
      <c r="Y412">
        <v>9</v>
      </c>
      <c r="Z412" s="8">
        <f t="shared" si="48"/>
        <v>0.25714285714285712</v>
      </c>
      <c r="AA412" s="8">
        <v>2.8464</v>
      </c>
    </row>
    <row r="413" spans="2:27" ht="15" customHeight="1" x14ac:dyDescent="0.25">
      <c r="B413">
        <v>394</v>
      </c>
      <c r="C413" s="8">
        <v>-12456.552600000001</v>
      </c>
      <c r="D413" s="2">
        <v>-12458.17461</v>
      </c>
      <c r="F413" s="12">
        <v>0.99673299999999998</v>
      </c>
      <c r="G413" s="13">
        <v>0.19248999999999999</v>
      </c>
      <c r="H413">
        <v>8</v>
      </c>
      <c r="I413">
        <v>5</v>
      </c>
      <c r="K413" s="8">
        <f t="shared" si="42"/>
        <v>-0.82459230769381975</v>
      </c>
      <c r="L413" s="8">
        <f t="shared" si="43"/>
        <v>-6.3430177514909217E-2</v>
      </c>
      <c r="M413" s="8">
        <f t="shared" si="44"/>
        <v>-1.0706184615373786</v>
      </c>
      <c r="N413" s="8">
        <f t="shared" si="45"/>
        <v>-8.2355266272106042E-2</v>
      </c>
      <c r="O413" s="8"/>
      <c r="P413" t="s">
        <v>701</v>
      </c>
      <c r="Q413">
        <v>34</v>
      </c>
      <c r="R413" s="8">
        <v>2.8159299999999998</v>
      </c>
      <c r="S413">
        <v>3</v>
      </c>
      <c r="T413" s="8">
        <f t="shared" si="46"/>
        <v>8.8235294117647065E-2</v>
      </c>
      <c r="U413" s="8">
        <v>2.82795</v>
      </c>
      <c r="V413">
        <v>21</v>
      </c>
      <c r="W413" s="8">
        <f t="shared" si="47"/>
        <v>0.61764705882352944</v>
      </c>
      <c r="X413" s="8">
        <v>2.80213</v>
      </c>
      <c r="Y413">
        <v>10</v>
      </c>
      <c r="Z413" s="8">
        <f t="shared" si="48"/>
        <v>0.29411764705882354</v>
      </c>
      <c r="AA413" s="8">
        <v>2.8412899999999999</v>
      </c>
    </row>
    <row r="414" spans="2:27" ht="15" customHeight="1" x14ac:dyDescent="0.25">
      <c r="B414">
        <v>395</v>
      </c>
      <c r="C414" s="8">
        <v>-12456.4907</v>
      </c>
      <c r="D414" s="2">
        <v>-12457.822052</v>
      </c>
      <c r="F414" s="12">
        <v>0.99446400000000001</v>
      </c>
      <c r="G414" s="13">
        <v>0.17660999999999899</v>
      </c>
      <c r="H414">
        <v>8</v>
      </c>
      <c r="I414">
        <v>5</v>
      </c>
      <c r="K414" s="8">
        <f t="shared" si="42"/>
        <v>-0.76269230769321439</v>
      </c>
      <c r="L414" s="8">
        <f t="shared" si="43"/>
        <v>-5.8668639053324187E-2</v>
      </c>
      <c r="M414" s="8">
        <f t="shared" si="44"/>
        <v>-0.7180604615368793</v>
      </c>
      <c r="N414" s="8">
        <f t="shared" si="45"/>
        <v>-5.5235420118221482E-2</v>
      </c>
      <c r="O414" s="8"/>
      <c r="P414" t="s">
        <v>702</v>
      </c>
      <c r="Q414">
        <v>35</v>
      </c>
      <c r="R414" s="8">
        <v>2.8269099999999998</v>
      </c>
      <c r="S414">
        <v>6</v>
      </c>
      <c r="T414" s="8">
        <f t="shared" si="46"/>
        <v>0.17142857142857143</v>
      </c>
      <c r="U414" s="8">
        <v>2.8612799999999998</v>
      </c>
      <c r="V414">
        <v>17</v>
      </c>
      <c r="W414" s="8">
        <f t="shared" si="47"/>
        <v>0.48571428571428571</v>
      </c>
      <c r="X414" s="8">
        <v>2.81636</v>
      </c>
      <c r="Y414">
        <v>12</v>
      </c>
      <c r="Z414" s="8">
        <f t="shared" si="48"/>
        <v>0.34285714285714286</v>
      </c>
      <c r="AA414" s="8">
        <v>2.8246799999999999</v>
      </c>
    </row>
    <row r="415" spans="2:27" ht="15" customHeight="1" x14ac:dyDescent="0.25">
      <c r="B415">
        <v>396</v>
      </c>
      <c r="C415" s="8">
        <v>-12456.584000000001</v>
      </c>
      <c r="D415" s="2">
        <v>-12457.913401</v>
      </c>
      <c r="F415" s="12">
        <v>0.99456599999999995</v>
      </c>
      <c r="G415" s="13">
        <v>0.17715999999999901</v>
      </c>
      <c r="H415">
        <v>8</v>
      </c>
      <c r="I415">
        <v>5</v>
      </c>
      <c r="K415" s="8">
        <f t="shared" si="42"/>
        <v>-0.85599230769366841</v>
      </c>
      <c r="L415" s="8">
        <f t="shared" si="43"/>
        <v>-6.5845562130282184E-2</v>
      </c>
      <c r="M415" s="8">
        <f t="shared" si="44"/>
        <v>-0.80940946153714322</v>
      </c>
      <c r="N415" s="8">
        <f t="shared" si="45"/>
        <v>-6.2262266272087939E-2</v>
      </c>
      <c r="O415" s="8"/>
      <c r="P415" t="s">
        <v>703</v>
      </c>
      <c r="Q415">
        <v>35</v>
      </c>
      <c r="R415" s="8">
        <v>2.8265600000000002</v>
      </c>
      <c r="S415">
        <v>5</v>
      </c>
      <c r="T415" s="8">
        <f t="shared" si="46"/>
        <v>0.14285714285714285</v>
      </c>
      <c r="U415" s="8">
        <v>2.8890699999999998</v>
      </c>
      <c r="V415">
        <v>19</v>
      </c>
      <c r="W415" s="8">
        <f t="shared" si="47"/>
        <v>0.54285714285714282</v>
      </c>
      <c r="X415" s="8">
        <v>2.8090199999999999</v>
      </c>
      <c r="Y415">
        <v>11</v>
      </c>
      <c r="Z415" s="8">
        <f t="shared" si="48"/>
        <v>0.31428571428571428</v>
      </c>
      <c r="AA415" s="8">
        <v>2.8284500000000001</v>
      </c>
    </row>
    <row r="416" spans="2:27" ht="15" customHeight="1" x14ac:dyDescent="0.25">
      <c r="B416">
        <v>397</v>
      </c>
      <c r="C416" s="8">
        <v>-12456.664199999999</v>
      </c>
      <c r="D416" s="2">
        <v>-12457.958031</v>
      </c>
      <c r="F416" s="12">
        <v>0.99514800000000003</v>
      </c>
      <c r="G416" s="13">
        <v>0.180509999999999</v>
      </c>
      <c r="H416">
        <v>8</v>
      </c>
      <c r="I416">
        <v>5</v>
      </c>
      <c r="K416" s="8">
        <f t="shared" si="42"/>
        <v>-0.9361923076921812</v>
      </c>
      <c r="L416" s="8">
        <f t="shared" si="43"/>
        <v>-7.201479289939855E-2</v>
      </c>
      <c r="M416" s="8">
        <f t="shared" si="44"/>
        <v>-0.85403946153746801</v>
      </c>
      <c r="N416" s="8">
        <f t="shared" si="45"/>
        <v>-6.5695343195189854E-2</v>
      </c>
      <c r="O416" s="8"/>
      <c r="P416" t="s">
        <v>704</v>
      </c>
      <c r="Q416">
        <v>36</v>
      </c>
      <c r="R416" s="8">
        <v>2.8385500000000001</v>
      </c>
      <c r="S416">
        <v>5</v>
      </c>
      <c r="T416" s="8">
        <f t="shared" si="46"/>
        <v>0.1388888888888889</v>
      </c>
      <c r="U416" s="8">
        <v>2.9361899999999999</v>
      </c>
      <c r="V416">
        <v>22</v>
      </c>
      <c r="W416" s="8">
        <f t="shared" si="47"/>
        <v>0.61111111111111116</v>
      </c>
      <c r="X416" s="8">
        <v>2.8283499999999999</v>
      </c>
      <c r="Y416">
        <v>9</v>
      </c>
      <c r="Z416" s="8">
        <f t="shared" si="48"/>
        <v>0.25</v>
      </c>
      <c r="AA416" s="8">
        <v>2.80924</v>
      </c>
    </row>
    <row r="417" spans="2:27" ht="15" customHeight="1" x14ac:dyDescent="0.25">
      <c r="B417">
        <v>398</v>
      </c>
      <c r="C417" s="8">
        <v>-12456.6371</v>
      </c>
      <c r="D417" s="2">
        <v>-12458.157058000001</v>
      </c>
      <c r="F417" s="12">
        <v>0.99604199999999998</v>
      </c>
      <c r="G417" s="13">
        <v>0.18664</v>
      </c>
      <c r="H417">
        <v>8</v>
      </c>
      <c r="I417">
        <v>5</v>
      </c>
      <c r="K417" s="8">
        <f t="shared" si="42"/>
        <v>-0.90909230769284477</v>
      </c>
      <c r="L417" s="8">
        <f t="shared" si="43"/>
        <v>-6.9930177514834213E-2</v>
      </c>
      <c r="M417" s="8">
        <f t="shared" si="44"/>
        <v>-1.0530664615380374</v>
      </c>
      <c r="N417" s="8">
        <f t="shared" si="45"/>
        <v>-8.1005112426002876E-2</v>
      </c>
      <c r="O417" s="8"/>
      <c r="P417" t="s">
        <v>705</v>
      </c>
      <c r="Q417">
        <v>35</v>
      </c>
      <c r="R417" s="8">
        <v>2.82579</v>
      </c>
      <c r="S417">
        <v>5</v>
      </c>
      <c r="T417" s="8">
        <f t="shared" si="46"/>
        <v>0.14285714285714285</v>
      </c>
      <c r="U417" s="8">
        <v>2.86686</v>
      </c>
      <c r="V417">
        <v>19</v>
      </c>
      <c r="W417" s="8">
        <f t="shared" si="47"/>
        <v>0.54285714285714282</v>
      </c>
      <c r="X417" s="8">
        <v>2.81948</v>
      </c>
      <c r="Y417">
        <v>11</v>
      </c>
      <c r="Z417" s="8">
        <f t="shared" si="48"/>
        <v>0.31428571428571428</v>
      </c>
      <c r="AA417" s="8">
        <v>2.8180200000000002</v>
      </c>
    </row>
    <row r="418" spans="2:27" ht="15" customHeight="1" x14ac:dyDescent="0.25">
      <c r="B418">
        <v>399</v>
      </c>
      <c r="C418" s="8">
        <v>-12456.7435</v>
      </c>
      <c r="D418" s="2">
        <v>-12458.231596</v>
      </c>
      <c r="F418" s="12">
        <v>0.995784</v>
      </c>
      <c r="G418" s="13">
        <v>0.18476000000000001</v>
      </c>
      <c r="H418">
        <v>8</v>
      </c>
      <c r="I418">
        <v>5</v>
      </c>
      <c r="K418" s="8">
        <f t="shared" si="42"/>
        <v>-1.015492307693421</v>
      </c>
      <c r="L418" s="8">
        <f t="shared" si="43"/>
        <v>-7.8114792899493926E-2</v>
      </c>
      <c r="M418" s="8">
        <f t="shared" si="44"/>
        <v>-1.1276044615369756</v>
      </c>
      <c r="N418" s="8">
        <f t="shared" si="45"/>
        <v>-8.6738804733613506E-2</v>
      </c>
      <c r="O418" s="8"/>
      <c r="P418" t="s">
        <v>706</v>
      </c>
      <c r="Q418">
        <v>35</v>
      </c>
      <c r="R418" s="8">
        <v>2.8245200000000001</v>
      </c>
      <c r="S418">
        <v>4</v>
      </c>
      <c r="T418" s="8">
        <f t="shared" si="46"/>
        <v>0.11428571428571428</v>
      </c>
      <c r="U418" s="8">
        <v>2.8485299999999998</v>
      </c>
      <c r="V418">
        <v>21</v>
      </c>
      <c r="W418" s="8">
        <f t="shared" si="47"/>
        <v>0.6</v>
      </c>
      <c r="X418" s="8">
        <v>2.8247</v>
      </c>
      <c r="Y418">
        <v>10</v>
      </c>
      <c r="Z418" s="8">
        <f t="shared" si="48"/>
        <v>0.2857142857142857</v>
      </c>
      <c r="AA418" s="8">
        <v>2.81454</v>
      </c>
    </row>
    <row r="419" spans="2:27" ht="15" customHeight="1" x14ac:dyDescent="0.25">
      <c r="B419">
        <v>400</v>
      </c>
      <c r="C419" s="8">
        <v>-12456.787200000001</v>
      </c>
      <c r="D419" s="2">
        <v>-12458.105167</v>
      </c>
      <c r="F419" s="12">
        <v>0.99804800000000005</v>
      </c>
      <c r="G419" s="13">
        <v>0.207949999999999</v>
      </c>
      <c r="H419">
        <v>8</v>
      </c>
      <c r="I419">
        <v>5</v>
      </c>
      <c r="K419" s="8">
        <f t="shared" si="42"/>
        <v>-1.0591923076935927</v>
      </c>
      <c r="L419" s="8">
        <f t="shared" si="43"/>
        <v>-8.1476331361045595E-2</v>
      </c>
      <c r="M419" s="8">
        <f t="shared" si="44"/>
        <v>-1.0011754615370592</v>
      </c>
      <c r="N419" s="8">
        <f t="shared" si="45"/>
        <v>-7.7013497041312245E-2</v>
      </c>
      <c r="O419" s="8"/>
      <c r="P419" t="s">
        <v>707</v>
      </c>
      <c r="Q419">
        <v>36</v>
      </c>
      <c r="R419" s="8">
        <v>2.8317199999999998</v>
      </c>
      <c r="S419">
        <v>4</v>
      </c>
      <c r="T419" s="8">
        <f t="shared" si="46"/>
        <v>0.1111111111111111</v>
      </c>
      <c r="U419" s="8">
        <v>2.79766</v>
      </c>
      <c r="V419">
        <v>20</v>
      </c>
      <c r="W419" s="8">
        <f t="shared" si="47"/>
        <v>0.55555555555555558</v>
      </c>
      <c r="X419" s="8">
        <v>2.8437299999999999</v>
      </c>
      <c r="Y419">
        <v>12</v>
      </c>
      <c r="Z419" s="8">
        <f t="shared" si="48"/>
        <v>0.33333333333333331</v>
      </c>
      <c r="AA419" s="8">
        <v>2.8230499999999998</v>
      </c>
    </row>
    <row r="420" spans="2:27" ht="15" customHeight="1" x14ac:dyDescent="0.25">
      <c r="B420">
        <v>401</v>
      </c>
      <c r="C420" s="8">
        <v>-12456.4931</v>
      </c>
      <c r="D420" s="2">
        <v>-12458.083645999999</v>
      </c>
      <c r="F420" s="12">
        <v>0.99475400000000003</v>
      </c>
      <c r="G420" s="13">
        <v>0.17824000000000001</v>
      </c>
      <c r="H420">
        <v>8</v>
      </c>
      <c r="I420">
        <v>5</v>
      </c>
      <c r="K420" s="8">
        <f t="shared" si="42"/>
        <v>-0.76509230769261194</v>
      </c>
      <c r="L420" s="8">
        <f t="shared" si="43"/>
        <v>-5.8853254437893229E-2</v>
      </c>
      <c r="M420" s="8">
        <f t="shared" si="44"/>
        <v>-0.97965446153648372</v>
      </c>
      <c r="N420" s="8">
        <f t="shared" si="45"/>
        <v>-7.5358035502806439E-2</v>
      </c>
      <c r="O420" s="8"/>
      <c r="P420" t="s">
        <v>708</v>
      </c>
      <c r="Q420">
        <v>35</v>
      </c>
      <c r="R420" s="8">
        <v>2.8276599999999998</v>
      </c>
      <c r="S420">
        <v>5</v>
      </c>
      <c r="T420" s="8">
        <f t="shared" si="46"/>
        <v>0.14285714285714285</v>
      </c>
      <c r="U420" s="8">
        <v>2.8688699999999998</v>
      </c>
      <c r="V420">
        <v>20</v>
      </c>
      <c r="W420" s="8">
        <f t="shared" si="47"/>
        <v>0.5714285714285714</v>
      </c>
      <c r="X420" s="8">
        <v>2.8153299999999999</v>
      </c>
      <c r="Y420">
        <v>10</v>
      </c>
      <c r="Z420" s="8">
        <f t="shared" si="48"/>
        <v>0.2857142857142857</v>
      </c>
      <c r="AA420" s="8">
        <v>2.8317299999999999</v>
      </c>
    </row>
    <row r="421" spans="2:27" ht="15" customHeight="1" x14ac:dyDescent="0.25">
      <c r="B421">
        <v>402</v>
      </c>
      <c r="C421" s="8">
        <v>-12456.427900000001</v>
      </c>
      <c r="D421" s="2">
        <v>-12457.976387999999</v>
      </c>
      <c r="F421" s="12">
        <v>0.99456500000000003</v>
      </c>
      <c r="G421" s="13">
        <v>0.17715999999999901</v>
      </c>
      <c r="H421">
        <v>8</v>
      </c>
      <c r="I421">
        <v>5</v>
      </c>
      <c r="K421" s="8">
        <f t="shared" si="42"/>
        <v>-0.69989230769351707</v>
      </c>
      <c r="L421" s="8">
        <f t="shared" si="43"/>
        <v>-5.3837869822578238E-2</v>
      </c>
      <c r="M421" s="8">
        <f t="shared" si="44"/>
        <v>-0.87239646153648209</v>
      </c>
      <c r="N421" s="8">
        <f t="shared" si="45"/>
        <v>-6.710742011819093E-2</v>
      </c>
      <c r="O421" s="8"/>
      <c r="P421" t="s">
        <v>709</v>
      </c>
      <c r="Q421">
        <v>34</v>
      </c>
      <c r="R421" s="8">
        <v>2.819</v>
      </c>
      <c r="S421">
        <v>5</v>
      </c>
      <c r="T421" s="8">
        <f t="shared" si="46"/>
        <v>0.14705882352941177</v>
      </c>
      <c r="U421" s="8">
        <v>2.91961</v>
      </c>
      <c r="V421">
        <v>20</v>
      </c>
      <c r="W421" s="8">
        <f t="shared" si="47"/>
        <v>0.58823529411764708</v>
      </c>
      <c r="X421" s="8">
        <v>2.78884</v>
      </c>
      <c r="Y421">
        <v>9</v>
      </c>
      <c r="Z421" s="8">
        <f t="shared" si="48"/>
        <v>0.26470588235294118</v>
      </c>
      <c r="AA421" s="8">
        <v>2.83012</v>
      </c>
    </row>
    <row r="422" spans="2:27" ht="15" customHeight="1" x14ac:dyDescent="0.25">
      <c r="B422">
        <v>403</v>
      </c>
      <c r="C422" s="8">
        <v>-12456.453299999999</v>
      </c>
      <c r="D422" s="2">
        <v>-12458.068157</v>
      </c>
      <c r="F422" s="12">
        <v>0.99442699999999995</v>
      </c>
      <c r="G422" s="13">
        <v>0.176339999999999</v>
      </c>
      <c r="H422">
        <v>8</v>
      </c>
      <c r="I422">
        <v>5</v>
      </c>
      <c r="K422" s="8">
        <f t="shared" si="42"/>
        <v>-0.72529230769214337</v>
      </c>
      <c r="L422" s="8">
        <f t="shared" si="43"/>
        <v>-5.5791715976318719E-2</v>
      </c>
      <c r="M422" s="8">
        <f t="shared" si="44"/>
        <v>-0.96416546153704985</v>
      </c>
      <c r="N422" s="8">
        <f t="shared" si="45"/>
        <v>-7.4166573964388444E-2</v>
      </c>
      <c r="O422" s="8"/>
      <c r="P422" t="s">
        <v>710</v>
      </c>
      <c r="Q422">
        <v>34</v>
      </c>
      <c r="R422" s="8">
        <v>2.81697</v>
      </c>
      <c r="S422">
        <v>4</v>
      </c>
      <c r="T422" s="8">
        <f t="shared" si="46"/>
        <v>0.11764705882352941</v>
      </c>
      <c r="U422" s="8">
        <v>2.8652299999999999</v>
      </c>
      <c r="V422">
        <v>20</v>
      </c>
      <c r="W422" s="8">
        <f t="shared" si="47"/>
        <v>0.58823529411764708</v>
      </c>
      <c r="X422" s="8">
        <v>2.79068</v>
      </c>
      <c r="Y422">
        <v>10</v>
      </c>
      <c r="Z422" s="8">
        <f t="shared" si="48"/>
        <v>0.29411764705882354</v>
      </c>
      <c r="AA422" s="8">
        <v>2.8502399999999999</v>
      </c>
    </row>
    <row r="423" spans="2:27" ht="15" customHeight="1" x14ac:dyDescent="0.25">
      <c r="B423">
        <v>404</v>
      </c>
      <c r="C423" s="8">
        <v>-12456.5101</v>
      </c>
      <c r="D423" s="2">
        <v>-12458.047925000001</v>
      </c>
      <c r="F423" s="12">
        <v>0.99670899999999996</v>
      </c>
      <c r="G423" s="13">
        <v>0.19234000000000001</v>
      </c>
      <c r="H423">
        <v>8</v>
      </c>
      <c r="I423">
        <v>5</v>
      </c>
      <c r="K423" s="8">
        <f t="shared" si="42"/>
        <v>-0.78209230769243732</v>
      </c>
      <c r="L423" s="8">
        <f t="shared" si="43"/>
        <v>-6.0160946745572104E-2</v>
      </c>
      <c r="M423" s="8">
        <f t="shared" si="44"/>
        <v>-0.94393346153810853</v>
      </c>
      <c r="N423" s="8">
        <f t="shared" si="45"/>
        <v>-7.2610266272162188E-2</v>
      </c>
      <c r="O423" s="8"/>
      <c r="P423" t="s">
        <v>711</v>
      </c>
      <c r="Q423">
        <v>34</v>
      </c>
      <c r="R423" s="8">
        <v>2.8191899999999999</v>
      </c>
      <c r="S423">
        <v>5</v>
      </c>
      <c r="T423" s="8">
        <f t="shared" si="46"/>
        <v>0.14705882352941177</v>
      </c>
      <c r="U423" s="8">
        <v>2.82775</v>
      </c>
      <c r="V423">
        <v>17</v>
      </c>
      <c r="W423" s="8">
        <f t="shared" si="47"/>
        <v>0.5</v>
      </c>
      <c r="X423" s="8">
        <v>2.8049400000000002</v>
      </c>
      <c r="Y423">
        <v>12</v>
      </c>
      <c r="Z423" s="8">
        <f t="shared" si="48"/>
        <v>0.35294117647058826</v>
      </c>
      <c r="AA423" s="8">
        <v>2.8358099999999999</v>
      </c>
    </row>
    <row r="424" spans="2:27" ht="15" customHeight="1" x14ac:dyDescent="0.25">
      <c r="B424">
        <v>405</v>
      </c>
      <c r="C424" s="8">
        <v>-12456.613499999999</v>
      </c>
      <c r="D424" s="2">
        <v>-12458.167057000001</v>
      </c>
      <c r="F424" s="12">
        <v>0.99513099999999999</v>
      </c>
      <c r="G424" s="13">
        <v>0.18038999999999999</v>
      </c>
      <c r="H424">
        <v>8</v>
      </c>
      <c r="I424">
        <v>5</v>
      </c>
      <c r="K424" s="8">
        <f t="shared" si="42"/>
        <v>-0.88549230769240239</v>
      </c>
      <c r="L424" s="8">
        <f t="shared" si="43"/>
        <v>-6.8114792899415563E-2</v>
      </c>
      <c r="M424" s="8">
        <f t="shared" si="44"/>
        <v>-1.0630654615379171</v>
      </c>
      <c r="N424" s="8">
        <f t="shared" si="45"/>
        <v>-8.1774266272147469E-2</v>
      </c>
      <c r="O424" s="8"/>
      <c r="P424" t="s">
        <v>712</v>
      </c>
      <c r="Q424">
        <v>35</v>
      </c>
      <c r="R424" s="8">
        <v>2.82646</v>
      </c>
      <c r="S424">
        <v>4</v>
      </c>
      <c r="T424" s="8">
        <f t="shared" si="46"/>
        <v>0.11428571428571428</v>
      </c>
      <c r="U424" s="8">
        <v>2.8331900000000001</v>
      </c>
      <c r="V424">
        <v>19</v>
      </c>
      <c r="W424" s="8">
        <f t="shared" si="47"/>
        <v>0.54285714285714282</v>
      </c>
      <c r="X424" s="8">
        <v>2.8015099999999999</v>
      </c>
      <c r="Y424">
        <v>12</v>
      </c>
      <c r="Z424" s="8">
        <f t="shared" si="48"/>
        <v>0.34285714285714286</v>
      </c>
      <c r="AA424" s="8">
        <v>2.8637100000000002</v>
      </c>
    </row>
    <row r="425" spans="2:27" ht="15" customHeight="1" x14ac:dyDescent="0.25">
      <c r="B425">
        <v>406</v>
      </c>
      <c r="C425" s="8">
        <v>-12456.4761</v>
      </c>
      <c r="D425" s="2">
        <v>-12458.027907</v>
      </c>
      <c r="F425" s="12">
        <v>0.99487999999999999</v>
      </c>
      <c r="G425" s="13">
        <v>0.17807999999999999</v>
      </c>
      <c r="H425">
        <v>8</v>
      </c>
      <c r="I425">
        <v>5</v>
      </c>
      <c r="K425" s="8">
        <f t="shared" si="42"/>
        <v>-0.74809230769278656</v>
      </c>
      <c r="L425" s="8">
        <f t="shared" si="43"/>
        <v>-5.7545562130214348E-2</v>
      </c>
      <c r="M425" s="8">
        <f t="shared" si="44"/>
        <v>-0.9239154615370353</v>
      </c>
      <c r="N425" s="8">
        <f t="shared" si="45"/>
        <v>-7.1070420118233488E-2</v>
      </c>
      <c r="O425" s="8"/>
      <c r="P425" t="s">
        <v>713</v>
      </c>
      <c r="Q425">
        <v>34</v>
      </c>
      <c r="R425" s="8">
        <v>2.8187700000000002</v>
      </c>
      <c r="S425">
        <v>3</v>
      </c>
      <c r="T425" s="8">
        <f t="shared" si="46"/>
        <v>8.8235294117647065E-2</v>
      </c>
      <c r="U425" s="8">
        <v>2.9327800000000002</v>
      </c>
      <c r="V425">
        <v>23</v>
      </c>
      <c r="W425" s="8">
        <f t="shared" si="47"/>
        <v>0.67647058823529416</v>
      </c>
      <c r="X425" s="8">
        <v>2.8021199999999999</v>
      </c>
      <c r="Y425">
        <v>8</v>
      </c>
      <c r="Z425" s="8">
        <f t="shared" si="48"/>
        <v>0.23529411764705882</v>
      </c>
      <c r="AA425" s="8">
        <v>2.8238699999999999</v>
      </c>
    </row>
    <row r="426" spans="2:27" ht="15" customHeight="1" x14ac:dyDescent="0.25">
      <c r="B426">
        <v>407</v>
      </c>
      <c r="C426" s="8">
        <v>-12456.602800000001</v>
      </c>
      <c r="D426" s="2">
        <v>-12458.093736000001</v>
      </c>
      <c r="F426" s="12">
        <v>0.99400900000000003</v>
      </c>
      <c r="G426" s="13">
        <v>0.174259999999999</v>
      </c>
      <c r="H426">
        <v>8</v>
      </c>
      <c r="I426">
        <v>5</v>
      </c>
      <c r="K426" s="8">
        <f t="shared" si="42"/>
        <v>-0.8747923076934967</v>
      </c>
      <c r="L426" s="8">
        <f t="shared" si="43"/>
        <v>-6.729171597642282E-2</v>
      </c>
      <c r="M426" s="8">
        <f t="shared" si="44"/>
        <v>-0.98974446153806639</v>
      </c>
      <c r="N426" s="8">
        <f t="shared" si="45"/>
        <v>-7.6134189349082032E-2</v>
      </c>
      <c r="O426" s="8"/>
      <c r="P426" t="s">
        <v>714</v>
      </c>
      <c r="Q426">
        <v>35</v>
      </c>
      <c r="R426" s="8">
        <v>2.8301699999999999</v>
      </c>
      <c r="S426">
        <v>4</v>
      </c>
      <c r="T426" s="8">
        <f t="shared" si="46"/>
        <v>0.11428571428571428</v>
      </c>
      <c r="U426" s="8">
        <v>2.9259599999999999</v>
      </c>
      <c r="V426">
        <v>21</v>
      </c>
      <c r="W426" s="8">
        <f t="shared" si="47"/>
        <v>0.6</v>
      </c>
      <c r="X426" s="8">
        <v>2.81542</v>
      </c>
      <c r="Y426">
        <v>10</v>
      </c>
      <c r="Z426" s="8">
        <f t="shared" si="48"/>
        <v>0.2857142857142857</v>
      </c>
      <c r="AA426" s="8">
        <v>2.8228200000000001</v>
      </c>
    </row>
    <row r="427" spans="2:27" ht="15" customHeight="1" x14ac:dyDescent="0.25">
      <c r="B427">
        <v>408</v>
      </c>
      <c r="C427" s="8">
        <v>-12456.5031</v>
      </c>
      <c r="D427" s="2">
        <v>-12458.079524999999</v>
      </c>
      <c r="F427" s="12">
        <v>0.99526199999999998</v>
      </c>
      <c r="G427" s="13">
        <v>0.18129999999999899</v>
      </c>
      <c r="H427">
        <v>8</v>
      </c>
      <c r="I427">
        <v>5</v>
      </c>
      <c r="K427" s="8">
        <f t="shared" si="42"/>
        <v>-0.77509230769283022</v>
      </c>
      <c r="L427" s="8">
        <f t="shared" si="43"/>
        <v>-5.9622485207140787E-2</v>
      </c>
      <c r="M427" s="8">
        <f t="shared" si="44"/>
        <v>-0.97553346153654275</v>
      </c>
      <c r="N427" s="8">
        <f t="shared" si="45"/>
        <v>-7.5041035502810979E-2</v>
      </c>
      <c r="O427" s="8"/>
      <c r="P427" t="s">
        <v>715</v>
      </c>
      <c r="Q427">
        <v>35</v>
      </c>
      <c r="R427" s="8">
        <v>2.8265400000000001</v>
      </c>
      <c r="S427">
        <v>5</v>
      </c>
      <c r="T427" s="8">
        <f t="shared" si="46"/>
        <v>0.14285714285714285</v>
      </c>
      <c r="U427" s="8">
        <v>2.8738800000000002</v>
      </c>
      <c r="V427">
        <v>20</v>
      </c>
      <c r="W427" s="8">
        <f t="shared" si="47"/>
        <v>0.5714285714285714</v>
      </c>
      <c r="X427" s="8">
        <v>2.8324500000000001</v>
      </c>
      <c r="Y427">
        <v>10</v>
      </c>
      <c r="Z427" s="8">
        <f t="shared" si="48"/>
        <v>0.2857142857142857</v>
      </c>
      <c r="AA427" s="8">
        <v>2.7910499999999998</v>
      </c>
    </row>
    <row r="428" spans="2:27" ht="15" customHeight="1" x14ac:dyDescent="0.25">
      <c r="B428">
        <v>409</v>
      </c>
      <c r="C428" s="8">
        <v>-12456.6435</v>
      </c>
      <c r="D428" s="2">
        <v>-12458.188028</v>
      </c>
      <c r="F428" s="12">
        <v>0.99711499999999997</v>
      </c>
      <c r="G428" s="13">
        <v>0.19631000000000001</v>
      </c>
      <c r="H428">
        <v>8</v>
      </c>
      <c r="I428">
        <v>5</v>
      </c>
      <c r="K428" s="8">
        <f t="shared" si="42"/>
        <v>-0.91549230769305723</v>
      </c>
      <c r="L428" s="8">
        <f t="shared" si="43"/>
        <v>-7.0422485207158242E-2</v>
      </c>
      <c r="M428" s="8">
        <f t="shared" si="44"/>
        <v>-1.0840364615378348</v>
      </c>
      <c r="N428" s="8">
        <f t="shared" si="45"/>
        <v>-8.3387420118294989E-2</v>
      </c>
      <c r="O428" s="8"/>
      <c r="P428" t="s">
        <v>716</v>
      </c>
      <c r="Q428">
        <v>35</v>
      </c>
      <c r="R428" s="8">
        <v>2.8245200000000001</v>
      </c>
      <c r="S428">
        <v>4</v>
      </c>
      <c r="T428" s="8">
        <f t="shared" si="46"/>
        <v>0.11428571428571428</v>
      </c>
      <c r="U428" s="8">
        <v>2.8405800000000001</v>
      </c>
      <c r="V428">
        <v>18</v>
      </c>
      <c r="W428" s="8">
        <f t="shared" si="47"/>
        <v>0.51428571428571423</v>
      </c>
      <c r="X428" s="8">
        <v>2.8106300000000002</v>
      </c>
      <c r="Y428">
        <v>13</v>
      </c>
      <c r="Z428" s="8">
        <f t="shared" si="48"/>
        <v>0.37142857142857144</v>
      </c>
      <c r="AA428" s="8">
        <v>2.8388</v>
      </c>
    </row>
    <row r="429" spans="2:27" ht="15" customHeight="1" x14ac:dyDescent="0.25">
      <c r="B429">
        <v>410</v>
      </c>
      <c r="C429" s="8">
        <v>-12456.192999999999</v>
      </c>
      <c r="D429" s="2">
        <v>-12457.874486000001</v>
      </c>
      <c r="F429" s="12">
        <v>0.99531599999999998</v>
      </c>
      <c r="G429" s="13">
        <v>0.18176</v>
      </c>
      <c r="H429">
        <v>8</v>
      </c>
      <c r="I429">
        <v>5</v>
      </c>
      <c r="K429" s="8">
        <f t="shared" si="42"/>
        <v>-0.46499230769222777</v>
      </c>
      <c r="L429" s="8">
        <f t="shared" si="43"/>
        <v>-3.5768639053248293E-2</v>
      </c>
      <c r="M429" s="8">
        <f t="shared" si="44"/>
        <v>-0.77049446153796453</v>
      </c>
      <c r="N429" s="8">
        <f t="shared" si="45"/>
        <v>-5.9268804733689576E-2</v>
      </c>
      <c r="O429" s="8"/>
      <c r="P429" t="s">
        <v>717</v>
      </c>
      <c r="Q429">
        <v>35</v>
      </c>
      <c r="R429" s="8">
        <v>2.8278699999999999</v>
      </c>
      <c r="S429">
        <v>5</v>
      </c>
      <c r="T429" s="8">
        <f t="shared" si="46"/>
        <v>0.14285714285714285</v>
      </c>
      <c r="U429" s="8">
        <v>2.8932199999999999</v>
      </c>
      <c r="V429">
        <v>20</v>
      </c>
      <c r="W429" s="8">
        <f t="shared" si="47"/>
        <v>0.5714285714285714</v>
      </c>
      <c r="X429" s="8">
        <v>2.8022399999999998</v>
      </c>
      <c r="Y429">
        <v>10</v>
      </c>
      <c r="Z429" s="8">
        <f t="shared" si="48"/>
        <v>0.2857142857142857</v>
      </c>
      <c r="AA429" s="8">
        <v>2.8464700000000001</v>
      </c>
    </row>
    <row r="430" spans="2:27" ht="15" customHeight="1" x14ac:dyDescent="0.25">
      <c r="B430">
        <v>411</v>
      </c>
      <c r="C430" s="8">
        <v>-12456.307500000001</v>
      </c>
      <c r="D430" s="2">
        <v>-12457.936138999999</v>
      </c>
      <c r="F430" s="12">
        <v>0.99476299999999995</v>
      </c>
      <c r="G430" s="13">
        <v>0.17826999999999901</v>
      </c>
      <c r="H430">
        <v>8</v>
      </c>
      <c r="I430">
        <v>5</v>
      </c>
      <c r="K430" s="8">
        <f t="shared" si="42"/>
        <v>-0.57949230769372662</v>
      </c>
      <c r="L430" s="8">
        <f t="shared" si="43"/>
        <v>-4.457633136105589E-2</v>
      </c>
      <c r="M430" s="8">
        <f t="shared" si="44"/>
        <v>-0.83214746153680608</v>
      </c>
      <c r="N430" s="8">
        <f t="shared" si="45"/>
        <v>-6.4011343195138931E-2</v>
      </c>
      <c r="O430" s="8"/>
      <c r="P430" t="s">
        <v>718</v>
      </c>
      <c r="Q430">
        <v>34</v>
      </c>
      <c r="R430" s="8">
        <v>2.8171599999999999</v>
      </c>
      <c r="S430">
        <v>5</v>
      </c>
      <c r="T430" s="8">
        <f t="shared" si="46"/>
        <v>0.14705882352941177</v>
      </c>
      <c r="U430" s="8">
        <v>2.8738199999999998</v>
      </c>
      <c r="V430">
        <v>20</v>
      </c>
      <c r="W430" s="8">
        <f t="shared" si="47"/>
        <v>0.58823529411764708</v>
      </c>
      <c r="X430" s="8">
        <v>2.8035399999999999</v>
      </c>
      <c r="Y430">
        <v>9</v>
      </c>
      <c r="Z430" s="8">
        <f t="shared" si="48"/>
        <v>0.26470588235294118</v>
      </c>
      <c r="AA430" s="8">
        <v>2.81595</v>
      </c>
    </row>
    <row r="431" spans="2:27" ht="15" customHeight="1" x14ac:dyDescent="0.25">
      <c r="B431">
        <v>412</v>
      </c>
      <c r="C431" s="8">
        <v>-12456.286099999999</v>
      </c>
      <c r="D431" s="2">
        <v>-12457.899391999999</v>
      </c>
      <c r="F431" s="12">
        <v>0.99573500000000004</v>
      </c>
      <c r="G431" s="13">
        <v>0.18440000000000001</v>
      </c>
      <c r="H431">
        <v>8</v>
      </c>
      <c r="I431">
        <v>5</v>
      </c>
      <c r="K431" s="8">
        <f t="shared" si="42"/>
        <v>-0.55809230769227725</v>
      </c>
      <c r="L431" s="8">
        <f t="shared" si="43"/>
        <v>-4.2930177514790557E-2</v>
      </c>
      <c r="M431" s="8">
        <f t="shared" si="44"/>
        <v>-0.79540046153670119</v>
      </c>
      <c r="N431" s="8">
        <f t="shared" si="45"/>
        <v>-6.1184650887438553E-2</v>
      </c>
      <c r="O431" s="8"/>
      <c r="P431" t="s">
        <v>719</v>
      </c>
      <c r="Q431">
        <v>36</v>
      </c>
      <c r="R431" s="8">
        <v>2.8373300000000001</v>
      </c>
      <c r="S431">
        <v>7</v>
      </c>
      <c r="T431" s="8">
        <f t="shared" si="46"/>
        <v>0.19444444444444445</v>
      </c>
      <c r="U431" s="8">
        <v>2.8804500000000002</v>
      </c>
      <c r="V431">
        <v>17</v>
      </c>
      <c r="W431" s="8">
        <f t="shared" si="47"/>
        <v>0.47222222222222221</v>
      </c>
      <c r="X431" s="8">
        <v>2.82857</v>
      </c>
      <c r="Y431">
        <v>12</v>
      </c>
      <c r="Z431" s="8">
        <f t="shared" si="48"/>
        <v>0.33333333333333331</v>
      </c>
      <c r="AA431" s="8">
        <v>2.8245800000000001</v>
      </c>
    </row>
    <row r="432" spans="2:27" ht="15" customHeight="1" x14ac:dyDescent="0.25">
      <c r="B432">
        <v>413</v>
      </c>
      <c r="C432" s="8">
        <v>-12456.422200000001</v>
      </c>
      <c r="D432" s="2">
        <v>-12457.990503999999</v>
      </c>
      <c r="F432" s="12">
        <v>0.99511000000000005</v>
      </c>
      <c r="G432" s="13">
        <v>0.18029999999999899</v>
      </c>
      <c r="H432">
        <v>8</v>
      </c>
      <c r="I432">
        <v>5</v>
      </c>
      <c r="K432" s="8">
        <f t="shared" si="42"/>
        <v>-0.69419230769381102</v>
      </c>
      <c r="L432" s="8">
        <f t="shared" si="43"/>
        <v>-5.3399408284139312E-2</v>
      </c>
      <c r="M432" s="8">
        <f t="shared" si="44"/>
        <v>-0.88651246153676766</v>
      </c>
      <c r="N432" s="8">
        <f t="shared" si="45"/>
        <v>-6.8193266272059044E-2</v>
      </c>
      <c r="O432" s="8"/>
      <c r="P432" t="s">
        <v>720</v>
      </c>
      <c r="Q432">
        <v>36</v>
      </c>
      <c r="R432" s="8">
        <v>2.83873</v>
      </c>
      <c r="S432">
        <v>6</v>
      </c>
      <c r="T432" s="8">
        <f t="shared" si="46"/>
        <v>0.16666666666666666</v>
      </c>
      <c r="U432" s="8">
        <v>2.9091399999999998</v>
      </c>
      <c r="V432">
        <v>19</v>
      </c>
      <c r="W432" s="8">
        <f t="shared" si="47"/>
        <v>0.52777777777777779</v>
      </c>
      <c r="X432" s="8">
        <v>2.81514</v>
      </c>
      <c r="Y432">
        <v>11</v>
      </c>
      <c r="Z432" s="8">
        <f t="shared" si="48"/>
        <v>0.30555555555555558</v>
      </c>
      <c r="AA432" s="8">
        <v>2.8410799999999998</v>
      </c>
    </row>
    <row r="433" spans="2:27" ht="15" customHeight="1" x14ac:dyDescent="0.25">
      <c r="B433">
        <v>414</v>
      </c>
      <c r="C433" s="8">
        <v>-12456.3406</v>
      </c>
      <c r="D433" s="2">
        <v>-12458.014799</v>
      </c>
      <c r="F433" s="12">
        <v>0.99689000000000005</v>
      </c>
      <c r="G433" s="13">
        <v>0.19391</v>
      </c>
      <c r="H433">
        <v>8</v>
      </c>
      <c r="I433">
        <v>5</v>
      </c>
      <c r="K433" s="8">
        <f t="shared" si="42"/>
        <v>-0.61259230769246642</v>
      </c>
      <c r="L433" s="8">
        <f t="shared" si="43"/>
        <v>-4.7122485207112805E-2</v>
      </c>
      <c r="M433" s="8">
        <f t="shared" si="44"/>
        <v>-0.91080746153784276</v>
      </c>
      <c r="N433" s="8">
        <f t="shared" si="45"/>
        <v>-7.0062112425987907E-2</v>
      </c>
      <c r="O433" s="8"/>
      <c r="P433" t="s">
        <v>721</v>
      </c>
      <c r="Q433">
        <v>35</v>
      </c>
      <c r="R433" s="8">
        <v>2.8267600000000002</v>
      </c>
      <c r="S433">
        <v>5</v>
      </c>
      <c r="T433" s="8">
        <f t="shared" si="46"/>
        <v>0.14285714285714285</v>
      </c>
      <c r="U433" s="8">
        <v>2.8740800000000002</v>
      </c>
      <c r="V433">
        <v>20</v>
      </c>
      <c r="W433" s="8">
        <f t="shared" si="47"/>
        <v>0.5714285714285714</v>
      </c>
      <c r="X433" s="8">
        <v>2.8112699999999999</v>
      </c>
      <c r="Y433">
        <v>10</v>
      </c>
      <c r="Z433" s="8">
        <f t="shared" si="48"/>
        <v>0.2857142857142857</v>
      </c>
      <c r="AA433" s="8">
        <v>2.8340800000000002</v>
      </c>
    </row>
    <row r="434" spans="2:27" ht="15" customHeight="1" x14ac:dyDescent="0.25">
      <c r="B434">
        <v>415</v>
      </c>
      <c r="C434" s="8">
        <v>-12456.177299999999</v>
      </c>
      <c r="D434" s="2">
        <v>-12458.050426</v>
      </c>
      <c r="F434" s="12">
        <v>0.99588600000000005</v>
      </c>
      <c r="G434" s="13">
        <v>0.18550999999999901</v>
      </c>
      <c r="H434">
        <v>8</v>
      </c>
      <c r="I434">
        <v>5</v>
      </c>
      <c r="K434" s="8">
        <f t="shared" si="42"/>
        <v>-0.44929230769230344</v>
      </c>
      <c r="L434" s="8">
        <f t="shared" si="43"/>
        <v>-3.4560946745561802E-2</v>
      </c>
      <c r="M434" s="8">
        <f t="shared" si="44"/>
        <v>-0.94643446153713739</v>
      </c>
      <c r="N434" s="8">
        <f t="shared" si="45"/>
        <v>-7.2802650887472106E-2</v>
      </c>
      <c r="O434" s="8"/>
      <c r="P434" t="s">
        <v>722</v>
      </c>
      <c r="Q434">
        <v>34</v>
      </c>
      <c r="R434" s="8">
        <v>2.81698</v>
      </c>
      <c r="S434">
        <v>7</v>
      </c>
      <c r="T434" s="8">
        <f t="shared" si="46"/>
        <v>0.20588235294117646</v>
      </c>
      <c r="U434" s="8">
        <v>2.8336700000000001</v>
      </c>
      <c r="V434">
        <v>15</v>
      </c>
      <c r="W434" s="8">
        <f t="shared" si="47"/>
        <v>0.44117647058823528</v>
      </c>
      <c r="X434" s="8">
        <v>2.8233700000000002</v>
      </c>
      <c r="Y434">
        <v>12</v>
      </c>
      <c r="Z434" s="8">
        <f t="shared" si="48"/>
        <v>0.35294117647058826</v>
      </c>
      <c r="AA434" s="8">
        <v>2.7992400000000002</v>
      </c>
    </row>
    <row r="435" spans="2:27" ht="15" customHeight="1" x14ac:dyDescent="0.25">
      <c r="B435">
        <v>416</v>
      </c>
      <c r="C435" s="8">
        <v>-12456.5005</v>
      </c>
      <c r="D435" s="2">
        <v>-12458.048226999999</v>
      </c>
      <c r="F435" s="12">
        <v>0.99712299999999998</v>
      </c>
      <c r="G435" s="13">
        <v>0.19628000000000001</v>
      </c>
      <c r="H435">
        <v>8</v>
      </c>
      <c r="I435">
        <v>5</v>
      </c>
      <c r="K435" s="8">
        <f t="shared" si="42"/>
        <v>-0.77249230769302812</v>
      </c>
      <c r="L435" s="8">
        <f t="shared" si="43"/>
        <v>-5.9422485207156012E-2</v>
      </c>
      <c r="M435" s="8">
        <f t="shared" si="44"/>
        <v>-0.94423546153666393</v>
      </c>
      <c r="N435" s="8">
        <f t="shared" si="45"/>
        <v>-7.2633497041281844E-2</v>
      </c>
      <c r="O435" s="8"/>
      <c r="P435" t="s">
        <v>723</v>
      </c>
      <c r="Q435">
        <v>35</v>
      </c>
      <c r="R435" s="8">
        <v>2.82579</v>
      </c>
      <c r="S435">
        <v>4</v>
      </c>
      <c r="T435" s="8">
        <f t="shared" si="46"/>
        <v>0.11428571428571428</v>
      </c>
      <c r="U435" s="8">
        <v>2.9261599999999999</v>
      </c>
      <c r="V435">
        <v>21</v>
      </c>
      <c r="W435" s="8">
        <f t="shared" si="47"/>
        <v>0.6</v>
      </c>
      <c r="X435" s="8">
        <v>2.80254</v>
      </c>
      <c r="Y435">
        <v>10</v>
      </c>
      <c r="Z435" s="8">
        <f t="shared" si="48"/>
        <v>0.2857142857142857</v>
      </c>
      <c r="AA435" s="8">
        <v>2.8344499999999999</v>
      </c>
    </row>
    <row r="436" spans="2:27" ht="15" customHeight="1" x14ac:dyDescent="0.25">
      <c r="B436">
        <v>417</v>
      </c>
      <c r="C436" s="8">
        <v>-12456.4208</v>
      </c>
      <c r="D436" s="2">
        <v>-12458.020055999999</v>
      </c>
      <c r="F436" s="12">
        <v>0.99460999999999999</v>
      </c>
      <c r="G436" s="13">
        <v>0.17741000000000001</v>
      </c>
      <c r="H436">
        <v>8</v>
      </c>
      <c r="I436">
        <v>5</v>
      </c>
      <c r="K436" s="8">
        <f t="shared" si="42"/>
        <v>-0.6927923076927982</v>
      </c>
      <c r="L436" s="8">
        <f t="shared" si="43"/>
        <v>-5.3291715976369093E-2</v>
      </c>
      <c r="M436" s="8">
        <f t="shared" si="44"/>
        <v>-0.9160644615367346</v>
      </c>
      <c r="N436" s="8">
        <f t="shared" si="45"/>
        <v>-7.0466497041287282E-2</v>
      </c>
      <c r="O436" s="8"/>
      <c r="P436" t="s">
        <v>724</v>
      </c>
      <c r="Q436">
        <v>36</v>
      </c>
      <c r="R436" s="8">
        <v>2.8376299999999999</v>
      </c>
      <c r="S436">
        <v>6</v>
      </c>
      <c r="T436" s="8">
        <f t="shared" si="46"/>
        <v>0.16666666666666666</v>
      </c>
      <c r="U436" s="8">
        <v>2.8964599999999998</v>
      </c>
      <c r="V436">
        <v>19</v>
      </c>
      <c r="W436" s="8">
        <f t="shared" si="47"/>
        <v>0.52777777777777779</v>
      </c>
      <c r="X436" s="8">
        <v>2.82308</v>
      </c>
      <c r="Y436">
        <v>11</v>
      </c>
      <c r="Z436" s="8">
        <f t="shared" si="48"/>
        <v>0.30555555555555558</v>
      </c>
      <c r="AA436" s="8">
        <v>2.8306800000000001</v>
      </c>
    </row>
    <row r="437" spans="2:27" ht="15" customHeight="1" x14ac:dyDescent="0.25">
      <c r="B437">
        <v>418</v>
      </c>
      <c r="C437" s="8">
        <v>-12456.545099999999</v>
      </c>
      <c r="D437" s="2">
        <v>-12458.154692</v>
      </c>
      <c r="F437" s="12">
        <v>0.99530799999999997</v>
      </c>
      <c r="G437" s="13">
        <v>0.181559999999999</v>
      </c>
      <c r="H437">
        <v>8</v>
      </c>
      <c r="I437">
        <v>5</v>
      </c>
      <c r="K437" s="8">
        <f t="shared" si="42"/>
        <v>-0.8170923076922918</v>
      </c>
      <c r="L437" s="8">
        <f t="shared" si="43"/>
        <v>-6.28532544378686E-2</v>
      </c>
      <c r="M437" s="8">
        <f t="shared" si="44"/>
        <v>-1.0507004615374171</v>
      </c>
      <c r="N437" s="8">
        <f t="shared" si="45"/>
        <v>-8.0823112425955163E-2</v>
      </c>
      <c r="O437" s="8"/>
      <c r="P437" t="s">
        <v>725</v>
      </c>
      <c r="Q437">
        <v>36</v>
      </c>
      <c r="R437" s="8">
        <v>2.8383699999999998</v>
      </c>
      <c r="S437">
        <v>5</v>
      </c>
      <c r="T437" s="8">
        <f t="shared" si="46"/>
        <v>0.1388888888888889</v>
      </c>
      <c r="U437" s="8">
        <v>2.9477699999999998</v>
      </c>
      <c r="V437">
        <v>21</v>
      </c>
      <c r="W437" s="8">
        <f t="shared" si="47"/>
        <v>0.58333333333333337</v>
      </c>
      <c r="X437" s="8">
        <v>2.8054899999999998</v>
      </c>
      <c r="Y437">
        <v>10</v>
      </c>
      <c r="Z437" s="8">
        <f t="shared" si="48"/>
        <v>0.27777777777777779</v>
      </c>
      <c r="AA437" s="8">
        <v>2.8527</v>
      </c>
    </row>
    <row r="438" spans="2:27" ht="15" customHeight="1" x14ac:dyDescent="0.25">
      <c r="B438">
        <v>419</v>
      </c>
      <c r="C438" s="8">
        <v>-12456.513300000001</v>
      </c>
      <c r="D438" s="2">
        <v>-12458.304502999999</v>
      </c>
      <c r="F438" s="12">
        <v>0.99792700000000001</v>
      </c>
      <c r="G438" s="13">
        <v>0.20566000000000001</v>
      </c>
      <c r="H438">
        <v>8</v>
      </c>
      <c r="I438">
        <v>5</v>
      </c>
      <c r="K438" s="8">
        <f t="shared" si="42"/>
        <v>-0.78529230769345304</v>
      </c>
      <c r="L438" s="8">
        <f t="shared" si="43"/>
        <v>-6.0407100591804083E-2</v>
      </c>
      <c r="M438" s="8">
        <f t="shared" si="44"/>
        <v>-1.2005114615367347</v>
      </c>
      <c r="N438" s="8">
        <f t="shared" si="45"/>
        <v>-9.2347035502825747E-2</v>
      </c>
      <c r="O438" s="8"/>
      <c r="P438" t="s">
        <v>726</v>
      </c>
      <c r="Q438">
        <v>35</v>
      </c>
      <c r="R438" s="8">
        <v>2.82525</v>
      </c>
      <c r="S438">
        <v>5</v>
      </c>
      <c r="T438" s="8">
        <f t="shared" si="46"/>
        <v>0.14285714285714285</v>
      </c>
      <c r="U438" s="8">
        <v>2.8728799999999999</v>
      </c>
      <c r="V438">
        <v>18</v>
      </c>
      <c r="W438" s="8">
        <f t="shared" si="47"/>
        <v>0.51428571428571423</v>
      </c>
      <c r="X438" s="8">
        <v>2.8127599999999999</v>
      </c>
      <c r="Y438">
        <v>12</v>
      </c>
      <c r="Z438" s="8">
        <f t="shared" si="48"/>
        <v>0.34285714285714286</v>
      </c>
      <c r="AA438" s="8">
        <v>2.8241499999999999</v>
      </c>
    </row>
    <row r="439" spans="2:27" ht="15" customHeight="1" x14ac:dyDescent="0.25">
      <c r="B439">
        <v>420</v>
      </c>
      <c r="C439" s="8">
        <v>-12456.4437</v>
      </c>
      <c r="D439" s="2">
        <v>-12458.108616</v>
      </c>
      <c r="F439" s="12">
        <v>0.99700699999999998</v>
      </c>
      <c r="G439" s="13">
        <v>0.19519</v>
      </c>
      <c r="H439">
        <v>8</v>
      </c>
      <c r="I439">
        <v>5</v>
      </c>
      <c r="K439" s="8">
        <f t="shared" si="42"/>
        <v>-0.71569230769273418</v>
      </c>
      <c r="L439" s="8">
        <f t="shared" si="43"/>
        <v>-5.5053254437902627E-2</v>
      </c>
      <c r="M439" s="8">
        <f t="shared" si="44"/>
        <v>-1.0046244615368778</v>
      </c>
      <c r="N439" s="8">
        <f t="shared" si="45"/>
        <v>-7.7278804733605988E-2</v>
      </c>
      <c r="O439" s="8"/>
      <c r="P439" t="s">
        <v>727</v>
      </c>
      <c r="Q439">
        <v>35</v>
      </c>
      <c r="R439" s="8">
        <v>2.8272900000000001</v>
      </c>
      <c r="S439">
        <v>4</v>
      </c>
      <c r="T439" s="8">
        <f t="shared" si="46"/>
        <v>0.11428571428571428</v>
      </c>
      <c r="U439" s="8">
        <v>2.8959600000000001</v>
      </c>
      <c r="V439">
        <v>22</v>
      </c>
      <c r="W439" s="8">
        <f t="shared" si="47"/>
        <v>0.62857142857142856</v>
      </c>
      <c r="X439" s="8">
        <v>2.8179799999999999</v>
      </c>
      <c r="Y439">
        <v>9</v>
      </c>
      <c r="Z439" s="8">
        <f t="shared" si="48"/>
        <v>0.25714285714285712</v>
      </c>
      <c r="AA439" s="8">
        <v>2.8195399999999999</v>
      </c>
    </row>
    <row r="440" spans="2:27" ht="15" customHeight="1" x14ac:dyDescent="0.25">
      <c r="B440">
        <v>421</v>
      </c>
      <c r="C440" s="8">
        <v>-12456.4092</v>
      </c>
      <c r="D440" s="2">
        <v>-12458.051229000001</v>
      </c>
      <c r="F440" s="12">
        <v>0.99444999999999995</v>
      </c>
      <c r="G440" s="13">
        <v>0.17646999999999999</v>
      </c>
      <c r="H440">
        <v>8</v>
      </c>
      <c r="I440">
        <v>5</v>
      </c>
      <c r="K440" s="8">
        <f t="shared" si="42"/>
        <v>-0.68119230769298156</v>
      </c>
      <c r="L440" s="8">
        <f t="shared" si="43"/>
        <v>-5.2399408284075508E-2</v>
      </c>
      <c r="M440" s="8">
        <f t="shared" si="44"/>
        <v>-0.94723746153795219</v>
      </c>
      <c r="N440" s="8">
        <f t="shared" si="45"/>
        <v>-7.2864420118304019E-2</v>
      </c>
      <c r="O440" s="8"/>
      <c r="P440" t="s">
        <v>728</v>
      </c>
      <c r="Q440">
        <v>35</v>
      </c>
      <c r="R440" s="8">
        <v>2.8264999999999998</v>
      </c>
      <c r="S440">
        <v>6</v>
      </c>
      <c r="T440" s="8">
        <f t="shared" si="46"/>
        <v>0.17142857142857143</v>
      </c>
      <c r="U440" s="8">
        <v>2.91797</v>
      </c>
      <c r="V440">
        <v>19</v>
      </c>
      <c r="W440" s="8">
        <f t="shared" si="47"/>
        <v>0.54285714285714282</v>
      </c>
      <c r="X440" s="8">
        <v>2.80985</v>
      </c>
      <c r="Y440">
        <v>10</v>
      </c>
      <c r="Z440" s="8">
        <f t="shared" si="48"/>
        <v>0.2857142857142857</v>
      </c>
      <c r="AA440" s="8">
        <v>2.8032499999999998</v>
      </c>
    </row>
    <row r="441" spans="2:27" ht="15" customHeight="1" x14ac:dyDescent="0.25">
      <c r="B441">
        <v>422</v>
      </c>
      <c r="C441" s="8">
        <v>-12456.538399999999</v>
      </c>
      <c r="D441" s="2">
        <v>-12458.087781</v>
      </c>
      <c r="F441" s="12">
        <v>0.99695199999999995</v>
      </c>
      <c r="G441" s="13">
        <v>0.19456999999999999</v>
      </c>
      <c r="H441">
        <v>8</v>
      </c>
      <c r="I441">
        <v>5</v>
      </c>
      <c r="K441" s="8">
        <f t="shared" si="42"/>
        <v>-0.81039230769238202</v>
      </c>
      <c r="L441" s="8">
        <f t="shared" si="43"/>
        <v>-6.2337869822490927E-2</v>
      </c>
      <c r="M441" s="8">
        <f t="shared" si="44"/>
        <v>-0.98378946153752622</v>
      </c>
      <c r="N441" s="8">
        <f t="shared" si="45"/>
        <v>-7.567611242596356E-2</v>
      </c>
      <c r="O441" s="8"/>
      <c r="P441" t="s">
        <v>729</v>
      </c>
      <c r="Q441">
        <v>34</v>
      </c>
      <c r="R441" s="8">
        <v>2.8200799999999999</v>
      </c>
      <c r="S441">
        <v>5</v>
      </c>
      <c r="T441" s="8">
        <f t="shared" si="46"/>
        <v>0.14705882352941177</v>
      </c>
      <c r="U441" s="8">
        <v>2.94509</v>
      </c>
      <c r="V441">
        <v>20</v>
      </c>
      <c r="W441" s="8">
        <f t="shared" si="47"/>
        <v>0.58823529411764708</v>
      </c>
      <c r="X441" s="8">
        <v>2.7947799999999998</v>
      </c>
      <c r="Y441">
        <v>9</v>
      </c>
      <c r="Z441" s="8">
        <f t="shared" si="48"/>
        <v>0.26470588235294118</v>
      </c>
      <c r="AA441" s="8">
        <v>2.80687</v>
      </c>
    </row>
    <row r="442" spans="2:27" ht="15" customHeight="1" x14ac:dyDescent="0.25">
      <c r="B442">
        <v>423</v>
      </c>
      <c r="C442" s="8">
        <v>-12456.5908</v>
      </c>
      <c r="D442" s="2">
        <v>-12458.429636000001</v>
      </c>
      <c r="F442" s="12">
        <v>0.99493900000000002</v>
      </c>
      <c r="G442" s="13">
        <v>0.17931</v>
      </c>
      <c r="H442">
        <v>8</v>
      </c>
      <c r="I442">
        <v>5</v>
      </c>
      <c r="K442" s="8">
        <f t="shared" si="42"/>
        <v>-0.86279230769287096</v>
      </c>
      <c r="L442" s="8">
        <f t="shared" si="43"/>
        <v>-6.6368639053297762E-2</v>
      </c>
      <c r="M442" s="8">
        <f t="shared" si="44"/>
        <v>-1.3256444615381042</v>
      </c>
      <c r="N442" s="8">
        <f t="shared" si="45"/>
        <v>-0.10197265088754648</v>
      </c>
      <c r="O442" s="8"/>
      <c r="P442" t="s">
        <v>730</v>
      </c>
      <c r="Q442">
        <v>35</v>
      </c>
      <c r="R442" s="8">
        <v>2.8244600000000002</v>
      </c>
      <c r="S442">
        <v>4</v>
      </c>
      <c r="T442" s="8">
        <f t="shared" si="46"/>
        <v>0.11428571428571428</v>
      </c>
      <c r="U442" s="8">
        <v>2.8893399999999998</v>
      </c>
      <c r="V442">
        <v>21</v>
      </c>
      <c r="W442" s="8">
        <f t="shared" si="47"/>
        <v>0.6</v>
      </c>
      <c r="X442" s="8">
        <v>2.80497</v>
      </c>
      <c r="Y442">
        <v>10</v>
      </c>
      <c r="Z442" s="8">
        <f t="shared" si="48"/>
        <v>0.2857142857142857</v>
      </c>
      <c r="AA442" s="8">
        <v>2.8394300000000001</v>
      </c>
    </row>
    <row r="443" spans="2:27" ht="15" customHeight="1" x14ac:dyDescent="0.25">
      <c r="B443">
        <v>424</v>
      </c>
      <c r="C443" s="8">
        <v>-12456.5173</v>
      </c>
      <c r="D443" s="2">
        <v>-12458.067569999999</v>
      </c>
      <c r="F443" s="12">
        <v>0.99546100000000004</v>
      </c>
      <c r="G443" s="13">
        <v>0.18259999999999901</v>
      </c>
      <c r="H443">
        <v>8</v>
      </c>
      <c r="I443">
        <v>5</v>
      </c>
      <c r="K443" s="8">
        <f t="shared" si="42"/>
        <v>-0.78929230769244896</v>
      </c>
      <c r="L443" s="8">
        <f t="shared" si="43"/>
        <v>-6.0714792899419154E-2</v>
      </c>
      <c r="M443" s="8">
        <f t="shared" si="44"/>
        <v>-0.96357846153659921</v>
      </c>
      <c r="N443" s="8">
        <f t="shared" si="45"/>
        <v>-7.4121420118199943E-2</v>
      </c>
      <c r="O443" s="8"/>
      <c r="P443" t="s">
        <v>731</v>
      </c>
      <c r="Q443">
        <v>34</v>
      </c>
      <c r="R443" s="8">
        <v>2.8161100000000001</v>
      </c>
      <c r="S443">
        <v>5</v>
      </c>
      <c r="T443" s="8">
        <f t="shared" si="46"/>
        <v>0.14705882352941177</v>
      </c>
      <c r="U443" s="8">
        <v>2.8537300000000001</v>
      </c>
      <c r="V443">
        <v>19</v>
      </c>
      <c r="W443" s="8">
        <f t="shared" si="47"/>
        <v>0.55882352941176472</v>
      </c>
      <c r="X443" s="8">
        <v>2.81412</v>
      </c>
      <c r="Y443">
        <v>10</v>
      </c>
      <c r="Z443" s="8">
        <f t="shared" si="48"/>
        <v>0.29411764705882354</v>
      </c>
      <c r="AA443" s="8">
        <v>2.8010700000000002</v>
      </c>
    </row>
    <row r="444" spans="2:27" ht="15" customHeight="1" x14ac:dyDescent="0.25">
      <c r="B444">
        <v>425</v>
      </c>
      <c r="C444" s="8">
        <v>-12456.632</v>
      </c>
      <c r="D444" s="2">
        <v>-12458.492064</v>
      </c>
      <c r="F444" s="12">
        <v>0.99448999999999999</v>
      </c>
      <c r="G444" s="13">
        <v>0.17676</v>
      </c>
      <c r="H444">
        <v>8</v>
      </c>
      <c r="I444">
        <v>5</v>
      </c>
      <c r="K444" s="8">
        <f t="shared" si="42"/>
        <v>-0.90399230769253336</v>
      </c>
      <c r="L444" s="8">
        <f t="shared" si="43"/>
        <v>-6.9537869822502568E-2</v>
      </c>
      <c r="M444" s="8">
        <f t="shared" si="44"/>
        <v>-1.3880724615373765</v>
      </c>
      <c r="N444" s="8">
        <f t="shared" si="45"/>
        <v>-0.10677480473364434</v>
      </c>
      <c r="O444" s="8"/>
      <c r="P444" t="s">
        <v>732</v>
      </c>
      <c r="Q444">
        <v>35</v>
      </c>
      <c r="R444" s="8">
        <v>2.8290099999999998</v>
      </c>
      <c r="S444">
        <v>4</v>
      </c>
      <c r="T444" s="8">
        <f t="shared" si="46"/>
        <v>0.11428571428571428</v>
      </c>
      <c r="U444" s="8">
        <v>2.9362200000000001</v>
      </c>
      <c r="V444">
        <v>20</v>
      </c>
      <c r="W444" s="8">
        <f t="shared" si="47"/>
        <v>0.5714285714285714</v>
      </c>
      <c r="X444" s="8">
        <v>2.8009499999999998</v>
      </c>
      <c r="Y444">
        <v>11</v>
      </c>
      <c r="Z444" s="8">
        <f t="shared" si="48"/>
        <v>0.31428571428571428</v>
      </c>
      <c r="AA444" s="8">
        <v>2.8410299999999999</v>
      </c>
    </row>
    <row r="445" spans="2:27" ht="15" customHeight="1" x14ac:dyDescent="0.25">
      <c r="B445">
        <v>426</v>
      </c>
      <c r="C445" s="8">
        <v>-12456.530500000001</v>
      </c>
      <c r="D445" s="2">
        <v>-12458.103177999999</v>
      </c>
      <c r="F445" s="12">
        <v>0.99529800000000002</v>
      </c>
      <c r="G445" s="13">
        <v>0.18151999999999899</v>
      </c>
      <c r="H445">
        <v>8</v>
      </c>
      <c r="I445">
        <v>5</v>
      </c>
      <c r="K445" s="8">
        <f t="shared" si="42"/>
        <v>-0.80249230769368296</v>
      </c>
      <c r="L445" s="8">
        <f t="shared" si="43"/>
        <v>-6.173017751489869E-2</v>
      </c>
      <c r="M445" s="8">
        <f t="shared" si="44"/>
        <v>-0.99918646153673762</v>
      </c>
      <c r="N445" s="8">
        <f t="shared" si="45"/>
        <v>-7.6860497041287515E-2</v>
      </c>
      <c r="O445" s="8"/>
      <c r="P445" t="s">
        <v>733</v>
      </c>
      <c r="Q445">
        <v>35</v>
      </c>
      <c r="R445" s="8">
        <v>2.82389</v>
      </c>
      <c r="S445">
        <v>5</v>
      </c>
      <c r="T445" s="8">
        <f t="shared" si="46"/>
        <v>0.14285714285714285</v>
      </c>
      <c r="U445" s="8">
        <v>2.8606699999999998</v>
      </c>
      <c r="V445">
        <v>19</v>
      </c>
      <c r="W445" s="8">
        <f t="shared" si="47"/>
        <v>0.54285714285714282</v>
      </c>
      <c r="X445" s="8">
        <v>2.8111600000000001</v>
      </c>
      <c r="Y445">
        <v>11</v>
      </c>
      <c r="Z445" s="8">
        <f t="shared" si="48"/>
        <v>0.31428571428571428</v>
      </c>
      <c r="AA445" s="8">
        <v>2.82918</v>
      </c>
    </row>
    <row r="446" spans="2:27" ht="15" customHeight="1" x14ac:dyDescent="0.25">
      <c r="B446">
        <v>427</v>
      </c>
      <c r="C446" s="8">
        <v>-12456.656499999999</v>
      </c>
      <c r="D446" s="2">
        <v>-12458.193406</v>
      </c>
      <c r="F446" s="12">
        <v>0.99663999999999997</v>
      </c>
      <c r="G446" s="13">
        <v>0.19158</v>
      </c>
      <c r="H446">
        <v>8</v>
      </c>
      <c r="I446">
        <v>5</v>
      </c>
      <c r="K446" s="8">
        <f t="shared" si="42"/>
        <v>-0.9284923076920677</v>
      </c>
      <c r="L446" s="8">
        <f t="shared" si="43"/>
        <v>-7.1422485207082137E-2</v>
      </c>
      <c r="M446" s="8">
        <f t="shared" si="44"/>
        <v>-1.0894144615376717</v>
      </c>
      <c r="N446" s="8">
        <f t="shared" si="45"/>
        <v>-8.3801112425974753E-2</v>
      </c>
      <c r="O446" s="8"/>
      <c r="P446" t="s">
        <v>734</v>
      </c>
      <c r="Q446">
        <v>35</v>
      </c>
      <c r="R446" s="8">
        <v>2.82775</v>
      </c>
      <c r="S446">
        <v>4</v>
      </c>
      <c r="T446" s="8">
        <f t="shared" si="46"/>
        <v>0.11428571428571428</v>
      </c>
      <c r="U446" s="8">
        <v>2.9046400000000001</v>
      </c>
      <c r="V446">
        <v>21</v>
      </c>
      <c r="W446" s="8">
        <f t="shared" si="47"/>
        <v>0.6</v>
      </c>
      <c r="X446" s="8">
        <v>2.8125100000000001</v>
      </c>
      <c r="Y446">
        <v>10</v>
      </c>
      <c r="Z446" s="8">
        <f t="shared" si="48"/>
        <v>0.2857142857142857</v>
      </c>
      <c r="AA446" s="8">
        <v>2.8290199999999999</v>
      </c>
    </row>
    <row r="447" spans="2:27" ht="15" customHeight="1" x14ac:dyDescent="0.25">
      <c r="B447">
        <v>428</v>
      </c>
      <c r="C447" s="8">
        <v>-12456.661899999999</v>
      </c>
      <c r="D447" s="2">
        <v>-12458.478169</v>
      </c>
      <c r="F447" s="12">
        <v>0.99304199999999998</v>
      </c>
      <c r="G447" s="13">
        <v>0.16938999999999901</v>
      </c>
      <c r="H447">
        <v>8</v>
      </c>
      <c r="I447">
        <v>5</v>
      </c>
      <c r="K447" s="8">
        <f t="shared" si="42"/>
        <v>-0.93389230769207643</v>
      </c>
      <c r="L447" s="8">
        <f t="shared" si="43"/>
        <v>-7.1837869822467412E-2</v>
      </c>
      <c r="M447" s="8">
        <f t="shared" si="44"/>
        <v>-1.3741774615373288</v>
      </c>
      <c r="N447" s="8">
        <f t="shared" si="45"/>
        <v>-0.10570595857979452</v>
      </c>
      <c r="O447" s="8"/>
      <c r="P447" t="s">
        <v>735</v>
      </c>
      <c r="Q447">
        <v>35</v>
      </c>
      <c r="R447" s="8">
        <v>2.8259500000000002</v>
      </c>
      <c r="S447">
        <v>4</v>
      </c>
      <c r="T447" s="8">
        <f t="shared" si="46"/>
        <v>0.11428571428571428</v>
      </c>
      <c r="U447" s="8">
        <v>2.88388</v>
      </c>
      <c r="V447">
        <v>20</v>
      </c>
      <c r="W447" s="8">
        <f t="shared" si="47"/>
        <v>0.5714285714285714</v>
      </c>
      <c r="X447" s="8">
        <v>2.8140000000000001</v>
      </c>
      <c r="Y447">
        <v>11</v>
      </c>
      <c r="Z447" s="8">
        <f t="shared" si="48"/>
        <v>0.31428571428571428</v>
      </c>
      <c r="AA447" s="8">
        <v>2.8266300000000002</v>
      </c>
    </row>
    <row r="448" spans="2:27" ht="15" customHeight="1" x14ac:dyDescent="0.25">
      <c r="B448">
        <v>429</v>
      </c>
      <c r="C448" s="8">
        <v>-12456.76</v>
      </c>
      <c r="D448" s="2">
        <v>-12458.577315</v>
      </c>
      <c r="F448" s="12">
        <v>0.98859699999999995</v>
      </c>
      <c r="G448" s="13">
        <v>0.15483</v>
      </c>
      <c r="H448">
        <v>8</v>
      </c>
      <c r="I448">
        <v>5</v>
      </c>
      <c r="K448" s="8">
        <f t="shared" si="42"/>
        <v>-1.0319923076931445</v>
      </c>
      <c r="L448" s="8">
        <f t="shared" si="43"/>
        <v>-7.9384023668703424E-2</v>
      </c>
      <c r="M448" s="8">
        <f t="shared" si="44"/>
        <v>-1.4733234615378024</v>
      </c>
      <c r="N448" s="8">
        <f t="shared" si="45"/>
        <v>-0.11333257396444633</v>
      </c>
      <c r="O448" s="8"/>
      <c r="P448" t="s">
        <v>736</v>
      </c>
      <c r="Q448">
        <v>35</v>
      </c>
      <c r="R448" s="8">
        <v>2.82457</v>
      </c>
      <c r="S448">
        <v>4</v>
      </c>
      <c r="T448" s="8">
        <f t="shared" si="46"/>
        <v>0.11428571428571428</v>
      </c>
      <c r="U448" s="8">
        <v>2.8725499999999999</v>
      </c>
      <c r="V448">
        <v>20</v>
      </c>
      <c r="W448" s="8">
        <f t="shared" si="47"/>
        <v>0.5714285714285714</v>
      </c>
      <c r="X448" s="8">
        <v>2.8156099999999999</v>
      </c>
      <c r="Y448">
        <v>11</v>
      </c>
      <c r="Z448" s="8">
        <f t="shared" si="48"/>
        <v>0.31428571428571428</v>
      </c>
      <c r="AA448" s="8">
        <v>2.82342</v>
      </c>
    </row>
    <row r="449" spans="2:27" ht="15" customHeight="1" x14ac:dyDescent="0.25">
      <c r="B449">
        <v>430</v>
      </c>
      <c r="C449" s="8">
        <v>-12456.06</v>
      </c>
      <c r="D449" s="2">
        <v>-12457.459643</v>
      </c>
      <c r="F449" s="12">
        <v>0.99394899999999997</v>
      </c>
      <c r="G449" s="13">
        <v>0.17383999999999999</v>
      </c>
      <c r="H449">
        <v>8</v>
      </c>
      <c r="I449">
        <v>5</v>
      </c>
      <c r="K449" s="8">
        <f t="shared" si="42"/>
        <v>-0.33199230769241694</v>
      </c>
      <c r="L449" s="8">
        <f t="shared" si="43"/>
        <v>-2.5537869822493613E-2</v>
      </c>
      <c r="M449" s="8">
        <f t="shared" si="44"/>
        <v>-0.35565146153749083</v>
      </c>
      <c r="N449" s="8">
        <f t="shared" si="45"/>
        <v>-2.7357804733653141E-2</v>
      </c>
      <c r="O449" s="8"/>
      <c r="P449" t="s">
        <v>737</v>
      </c>
      <c r="Q449">
        <v>36</v>
      </c>
      <c r="R449" s="8">
        <v>2.8365300000000002</v>
      </c>
      <c r="S449">
        <v>8</v>
      </c>
      <c r="T449" s="8">
        <f t="shared" si="46"/>
        <v>0.22222222222222221</v>
      </c>
      <c r="U449" s="8">
        <v>2.9177200000000001</v>
      </c>
      <c r="V449">
        <v>18</v>
      </c>
      <c r="W449" s="8">
        <f t="shared" si="47"/>
        <v>0.5</v>
      </c>
      <c r="X449" s="8">
        <v>2.8129900000000001</v>
      </c>
      <c r="Y449">
        <v>10</v>
      </c>
      <c r="Z449" s="8">
        <f t="shared" si="48"/>
        <v>0.27777777777777779</v>
      </c>
      <c r="AA449" s="8">
        <v>2.8139699999999999</v>
      </c>
    </row>
    <row r="450" spans="2:27" ht="15" customHeight="1" x14ac:dyDescent="0.25">
      <c r="B450">
        <v>431</v>
      </c>
      <c r="C450" s="8">
        <v>-12456.234899999999</v>
      </c>
      <c r="D450" s="2">
        <v>-12457.866579</v>
      </c>
      <c r="F450" s="12">
        <v>0.99652600000000002</v>
      </c>
      <c r="G450" s="13">
        <v>0.19055</v>
      </c>
      <c r="H450">
        <v>8</v>
      </c>
      <c r="I450">
        <v>5</v>
      </c>
      <c r="K450" s="8">
        <f t="shared" si="42"/>
        <v>-0.50689230769239657</v>
      </c>
      <c r="L450" s="8">
        <f t="shared" si="43"/>
        <v>-3.8991715976338201E-2</v>
      </c>
      <c r="M450" s="8">
        <f t="shared" si="44"/>
        <v>-0.76258746153689572</v>
      </c>
      <c r="N450" s="8">
        <f t="shared" si="45"/>
        <v>-5.8660573964376593E-2</v>
      </c>
      <c r="O450" s="8"/>
      <c r="P450" t="s">
        <v>738</v>
      </c>
      <c r="Q450">
        <v>35</v>
      </c>
      <c r="R450" s="8">
        <v>2.8256299999999999</v>
      </c>
      <c r="S450">
        <v>5</v>
      </c>
      <c r="T450" s="8">
        <f t="shared" si="46"/>
        <v>0.14285714285714285</v>
      </c>
      <c r="U450" s="8">
        <v>2.8468100000000001</v>
      </c>
      <c r="V450">
        <v>19</v>
      </c>
      <c r="W450" s="8">
        <f t="shared" si="47"/>
        <v>0.54285714285714282</v>
      </c>
      <c r="X450" s="8">
        <v>2.8108399999999998</v>
      </c>
      <c r="Y450">
        <v>11</v>
      </c>
      <c r="Z450" s="8">
        <f t="shared" si="48"/>
        <v>0.31428571428571428</v>
      </c>
      <c r="AA450" s="8">
        <v>2.8415499999999998</v>
      </c>
    </row>
    <row r="451" spans="2:27" ht="15" customHeight="1" x14ac:dyDescent="0.25">
      <c r="B451">
        <v>432</v>
      </c>
      <c r="C451" s="8">
        <v>-12456.331399999999</v>
      </c>
      <c r="D451" s="2">
        <v>-12457.985198</v>
      </c>
      <c r="F451" s="12">
        <v>0.99623099999999998</v>
      </c>
      <c r="G451" s="13">
        <v>0.18815999999999899</v>
      </c>
      <c r="H451">
        <v>8</v>
      </c>
      <c r="I451">
        <v>5</v>
      </c>
      <c r="K451" s="8">
        <f t="shared" ref="K451:K514" si="49">IF(ISNUMBER(C451),C451-(($C$3-$C$2236)/($H$3-$H$2236)*H451+$C$2236),"")</f>
        <v>-0.60339230769204732</v>
      </c>
      <c r="L451" s="8">
        <f t="shared" ref="L451:L514" si="50">IF(ISNUMBER(C451),K451/(H451+I451),"")</f>
        <v>-4.6414792899388255E-2</v>
      </c>
      <c r="M451" s="8">
        <f t="shared" ref="M451:M514" si="51">IF(ISNUMBER(D451),D451-(($D$3-$D$2236)/($H$3-$H$2236)*H451+$D$2236),"")</f>
        <v>-0.88120646153765847</v>
      </c>
      <c r="N451" s="8">
        <f t="shared" ref="N451:N514" si="52">IF(ISNUMBER(D451),M451/(H451+I451),"")</f>
        <v>-6.7785112425973723E-2</v>
      </c>
      <c r="O451" s="8"/>
      <c r="P451" t="s">
        <v>739</v>
      </c>
      <c r="Q451">
        <v>36</v>
      </c>
      <c r="R451" s="8">
        <v>2.8350200000000001</v>
      </c>
      <c r="S451">
        <v>6</v>
      </c>
      <c r="T451" s="8">
        <f t="shared" ref="T451:T514" si="53">IF(ISNUMBER(S451),S451/(Q451),"")</f>
        <v>0.16666666666666666</v>
      </c>
      <c r="U451" s="8">
        <v>2.9472700000000001</v>
      </c>
      <c r="V451">
        <v>20</v>
      </c>
      <c r="W451" s="8">
        <f t="shared" ref="W451:W514" si="54">IF(ISNUMBER(V451),V451/($Q451),"")</f>
        <v>0.55555555555555558</v>
      </c>
      <c r="X451" s="8">
        <v>2.8012199999999998</v>
      </c>
      <c r="Y451">
        <v>10</v>
      </c>
      <c r="Z451" s="8">
        <f t="shared" ref="Z451:Z514" si="55">IF(ISNUMBER(Y451),Y451/($Q451),"")</f>
        <v>0.27777777777777779</v>
      </c>
      <c r="AA451" s="8">
        <v>2.83527</v>
      </c>
    </row>
    <row r="452" spans="2:27" ht="15" customHeight="1" x14ac:dyDescent="0.25">
      <c r="B452">
        <v>433</v>
      </c>
      <c r="C452" s="8">
        <v>-12456.522499999999</v>
      </c>
      <c r="D452" s="2">
        <v>-12457.909313</v>
      </c>
      <c r="F452" s="12">
        <v>0.99551599999999996</v>
      </c>
      <c r="G452" s="13">
        <v>0.18289</v>
      </c>
      <c r="H452">
        <v>8</v>
      </c>
      <c r="I452">
        <v>5</v>
      </c>
      <c r="K452" s="8">
        <f t="shared" si="49"/>
        <v>-0.79449230769205315</v>
      </c>
      <c r="L452" s="8">
        <f t="shared" si="50"/>
        <v>-6.1114792899388704E-2</v>
      </c>
      <c r="M452" s="8">
        <f t="shared" si="51"/>
        <v>-0.80532146153745998</v>
      </c>
      <c r="N452" s="8">
        <f t="shared" si="52"/>
        <v>-6.1947804733650767E-2</v>
      </c>
      <c r="O452" s="8"/>
      <c r="P452" t="s">
        <v>740</v>
      </c>
      <c r="Q452">
        <v>36</v>
      </c>
      <c r="R452" s="8">
        <v>2.83609</v>
      </c>
      <c r="S452">
        <v>5</v>
      </c>
      <c r="T452" s="8">
        <f t="shared" si="53"/>
        <v>0.1388888888888889</v>
      </c>
      <c r="U452" s="8">
        <v>2.90883</v>
      </c>
      <c r="V452">
        <v>20</v>
      </c>
      <c r="W452" s="8">
        <f t="shared" si="54"/>
        <v>0.55555555555555558</v>
      </c>
      <c r="X452" s="8">
        <v>2.81908</v>
      </c>
      <c r="Y452">
        <v>11</v>
      </c>
      <c r="Z452" s="8">
        <f t="shared" si="55"/>
        <v>0.30555555555555558</v>
      </c>
      <c r="AA452" s="8">
        <v>2.8339500000000002</v>
      </c>
    </row>
    <row r="453" spans="2:27" ht="15" customHeight="1" x14ac:dyDescent="0.25">
      <c r="B453">
        <v>434</v>
      </c>
      <c r="C453" s="8">
        <v>-12456.4455</v>
      </c>
      <c r="D453" s="2">
        <v>-12458.026645</v>
      </c>
      <c r="F453" s="12">
        <v>0.99126899999999996</v>
      </c>
      <c r="G453" s="13">
        <v>0.16289999999999999</v>
      </c>
      <c r="H453">
        <v>8</v>
      </c>
      <c r="I453">
        <v>5</v>
      </c>
      <c r="K453" s="8">
        <f t="shared" si="49"/>
        <v>-0.71749230769273709</v>
      </c>
      <c r="L453" s="8">
        <f t="shared" si="50"/>
        <v>-5.5191715976364394E-2</v>
      </c>
      <c r="M453" s="8">
        <f t="shared" si="51"/>
        <v>-0.92265346153726568</v>
      </c>
      <c r="N453" s="8">
        <f t="shared" si="52"/>
        <v>-7.0973343195174288E-2</v>
      </c>
      <c r="O453" s="8"/>
      <c r="P453" t="s">
        <v>741</v>
      </c>
      <c r="Q453">
        <v>36</v>
      </c>
      <c r="R453" s="8">
        <v>2.8345600000000002</v>
      </c>
      <c r="S453">
        <v>5</v>
      </c>
      <c r="T453" s="8">
        <f t="shared" si="53"/>
        <v>0.1388888888888889</v>
      </c>
      <c r="U453" s="8">
        <v>2.9034</v>
      </c>
      <c r="V453">
        <v>20</v>
      </c>
      <c r="W453" s="8">
        <f t="shared" si="54"/>
        <v>0.55555555555555558</v>
      </c>
      <c r="X453" s="8">
        <v>2.8222100000000001</v>
      </c>
      <c r="Y453">
        <v>11</v>
      </c>
      <c r="Z453" s="8">
        <f t="shared" si="55"/>
        <v>0.30555555555555558</v>
      </c>
      <c r="AA453" s="8">
        <v>2.8257300000000001</v>
      </c>
    </row>
    <row r="454" spans="2:27" ht="15" customHeight="1" x14ac:dyDescent="0.25">
      <c r="B454">
        <v>435</v>
      </c>
      <c r="C454" s="8">
        <v>-12456.4095</v>
      </c>
      <c r="D454" s="2">
        <v>-12457.805353</v>
      </c>
      <c r="F454" s="12">
        <v>0.99148199999999997</v>
      </c>
      <c r="G454" s="13">
        <v>0.16360999999999901</v>
      </c>
      <c r="H454">
        <v>8</v>
      </c>
      <c r="I454">
        <v>5</v>
      </c>
      <c r="K454" s="8">
        <f t="shared" si="49"/>
        <v>-0.68149230769267888</v>
      </c>
      <c r="L454" s="8">
        <f t="shared" si="50"/>
        <v>-5.2422485207129145E-2</v>
      </c>
      <c r="M454" s="8">
        <f t="shared" si="51"/>
        <v>-0.70136146153708978</v>
      </c>
      <c r="N454" s="8">
        <f t="shared" si="52"/>
        <v>-5.3950881656699215E-2</v>
      </c>
      <c r="O454" s="8"/>
      <c r="P454" t="s">
        <v>742</v>
      </c>
      <c r="Q454">
        <v>35</v>
      </c>
      <c r="R454" s="8">
        <v>2.8301799999999999</v>
      </c>
      <c r="S454">
        <v>5</v>
      </c>
      <c r="T454" s="8">
        <f t="shared" si="53"/>
        <v>0.14285714285714285</v>
      </c>
      <c r="U454" s="8">
        <v>2.99458</v>
      </c>
      <c r="V454">
        <v>20</v>
      </c>
      <c r="W454" s="8">
        <f t="shared" si="54"/>
        <v>0.5714285714285714</v>
      </c>
      <c r="X454" s="8">
        <v>2.7915999999999999</v>
      </c>
      <c r="Y454">
        <v>10</v>
      </c>
      <c r="Z454" s="8">
        <f t="shared" si="55"/>
        <v>0.2857142857142857</v>
      </c>
      <c r="AA454" s="8">
        <v>2.8251599999999999</v>
      </c>
    </row>
    <row r="455" spans="2:27" ht="15" customHeight="1" x14ac:dyDescent="0.25">
      <c r="B455">
        <v>436</v>
      </c>
      <c r="C455" s="8">
        <v>-12456.931</v>
      </c>
      <c r="D455" s="2">
        <v>-12458.171066999999</v>
      </c>
      <c r="F455" s="12">
        <v>0.996282</v>
      </c>
      <c r="G455" s="13">
        <v>0.18854000000000001</v>
      </c>
      <c r="H455">
        <v>8</v>
      </c>
      <c r="I455">
        <v>5</v>
      </c>
      <c r="K455" s="8">
        <f t="shared" si="49"/>
        <v>-1.202992307693421</v>
      </c>
      <c r="L455" s="8">
        <f t="shared" si="50"/>
        <v>-9.2537869822570853E-2</v>
      </c>
      <c r="M455" s="8">
        <f t="shared" si="51"/>
        <v>-1.0670754615366604</v>
      </c>
      <c r="N455" s="8">
        <f t="shared" si="52"/>
        <v>-8.2082727810512346E-2</v>
      </c>
      <c r="O455" s="8"/>
      <c r="P455" t="s">
        <v>743</v>
      </c>
      <c r="Q455">
        <v>34</v>
      </c>
      <c r="R455" s="8">
        <v>2.82091</v>
      </c>
      <c r="S455">
        <v>4</v>
      </c>
      <c r="T455" s="8">
        <f t="shared" si="53"/>
        <v>0.11764705882352941</v>
      </c>
      <c r="U455" s="8">
        <v>2.7638799999999999</v>
      </c>
      <c r="V455">
        <v>18</v>
      </c>
      <c r="W455" s="8">
        <f t="shared" si="54"/>
        <v>0.52941176470588236</v>
      </c>
      <c r="X455" s="8">
        <v>2.8277700000000001</v>
      </c>
      <c r="Y455">
        <v>12</v>
      </c>
      <c r="Z455" s="8">
        <f t="shared" si="55"/>
        <v>0.35294117647058826</v>
      </c>
      <c r="AA455" s="8">
        <v>2.8296199999999998</v>
      </c>
    </row>
    <row r="456" spans="2:27" ht="15" customHeight="1" x14ac:dyDescent="0.25">
      <c r="B456">
        <v>437</v>
      </c>
      <c r="C456" s="8">
        <v>-12456.6823</v>
      </c>
      <c r="D456" s="2">
        <v>-12458.118017000001</v>
      </c>
      <c r="F456" s="12">
        <v>0.99598500000000001</v>
      </c>
      <c r="G456" s="13">
        <v>0.18626999999999999</v>
      </c>
      <c r="H456">
        <v>8</v>
      </c>
      <c r="I456">
        <v>5</v>
      </c>
      <c r="K456" s="8">
        <f t="shared" si="49"/>
        <v>-0.95429230769332207</v>
      </c>
      <c r="L456" s="8">
        <f t="shared" si="50"/>
        <v>-7.3407100591794006E-2</v>
      </c>
      <c r="M456" s="8">
        <f t="shared" si="51"/>
        <v>-1.01402546153804</v>
      </c>
      <c r="N456" s="8">
        <f t="shared" si="52"/>
        <v>-7.8001958579849234E-2</v>
      </c>
      <c r="O456" s="8"/>
      <c r="P456" t="s">
        <v>744</v>
      </c>
      <c r="Q456">
        <v>36</v>
      </c>
      <c r="R456" s="8">
        <v>2.8394200000000001</v>
      </c>
      <c r="S456">
        <v>6</v>
      </c>
      <c r="T456" s="8">
        <f t="shared" si="53"/>
        <v>0.16666666666666666</v>
      </c>
      <c r="U456" s="8">
        <v>2.8528199999999999</v>
      </c>
      <c r="V456">
        <v>18</v>
      </c>
      <c r="W456" s="8">
        <f t="shared" si="54"/>
        <v>0.5</v>
      </c>
      <c r="X456" s="8">
        <v>2.8256000000000001</v>
      </c>
      <c r="Y456">
        <v>12</v>
      </c>
      <c r="Z456" s="8">
        <f t="shared" si="55"/>
        <v>0.33333333333333331</v>
      </c>
      <c r="AA456" s="8">
        <v>2.85344</v>
      </c>
    </row>
    <row r="457" spans="2:27" ht="15" customHeight="1" x14ac:dyDescent="0.25">
      <c r="B457">
        <v>438</v>
      </c>
      <c r="C457" s="8">
        <v>-12456.8352</v>
      </c>
      <c r="D457" s="2">
        <v>-12458.108947999999</v>
      </c>
      <c r="F457" s="12">
        <v>0.99628499999999998</v>
      </c>
      <c r="G457" s="13">
        <v>0.188659999999999</v>
      </c>
      <c r="H457">
        <v>8</v>
      </c>
      <c r="I457">
        <v>5</v>
      </c>
      <c r="K457" s="8">
        <f t="shared" si="49"/>
        <v>-1.1071923076924577</v>
      </c>
      <c r="L457" s="8">
        <f t="shared" si="50"/>
        <v>-8.5168639053265979E-2</v>
      </c>
      <c r="M457" s="8">
        <f t="shared" si="51"/>
        <v>-1.0049564615364943</v>
      </c>
      <c r="N457" s="8">
        <f t="shared" si="52"/>
        <v>-7.730434319511495E-2</v>
      </c>
      <c r="O457" s="8"/>
      <c r="P457" t="s">
        <v>745</v>
      </c>
      <c r="Q457">
        <v>36</v>
      </c>
      <c r="R457" s="8">
        <v>2.8369800000000001</v>
      </c>
      <c r="S457">
        <v>5</v>
      </c>
      <c r="T457" s="8">
        <f t="shared" si="53"/>
        <v>0.1388888888888889</v>
      </c>
      <c r="U457" s="8">
        <v>2.8558699999999999</v>
      </c>
      <c r="V457">
        <v>21</v>
      </c>
      <c r="W457" s="8">
        <f t="shared" si="54"/>
        <v>0.58333333333333337</v>
      </c>
      <c r="X457" s="8">
        <v>2.8485800000000001</v>
      </c>
      <c r="Y457">
        <v>10</v>
      </c>
      <c r="Z457" s="8">
        <f t="shared" si="55"/>
        <v>0.27777777777777779</v>
      </c>
      <c r="AA457" s="8">
        <v>2.8031899999999998</v>
      </c>
    </row>
    <row r="458" spans="2:27" ht="15" customHeight="1" x14ac:dyDescent="0.25">
      <c r="B458">
        <v>439</v>
      </c>
      <c r="C458" s="8">
        <v>-12456.6896</v>
      </c>
      <c r="D458" s="2">
        <v>-12457.930318000001</v>
      </c>
      <c r="F458" s="12">
        <v>0.99667399999999995</v>
      </c>
      <c r="G458" s="13">
        <v>0.19189999999999999</v>
      </c>
      <c r="H458">
        <v>8</v>
      </c>
      <c r="I458">
        <v>5</v>
      </c>
      <c r="K458" s="8">
        <f t="shared" si="49"/>
        <v>-0.96159230769262649</v>
      </c>
      <c r="L458" s="8">
        <f t="shared" si="50"/>
        <v>-7.3968639053278967E-2</v>
      </c>
      <c r="M458" s="8">
        <f t="shared" si="51"/>
        <v>-0.82632646153797396</v>
      </c>
      <c r="N458" s="8">
        <f t="shared" si="52"/>
        <v>-6.3563573964459538E-2</v>
      </c>
      <c r="O458" s="8"/>
      <c r="P458" t="s">
        <v>746</v>
      </c>
      <c r="Q458">
        <v>32</v>
      </c>
      <c r="R458" s="8">
        <v>2.80105</v>
      </c>
      <c r="S458">
        <v>5</v>
      </c>
      <c r="T458" s="8">
        <f t="shared" si="53"/>
        <v>0.15625</v>
      </c>
      <c r="U458" s="8">
        <v>2.8300800000000002</v>
      </c>
      <c r="V458">
        <v>14</v>
      </c>
      <c r="W458" s="8">
        <f t="shared" si="54"/>
        <v>0.4375</v>
      </c>
      <c r="X458" s="8">
        <v>2.7808999999999999</v>
      </c>
      <c r="Y458">
        <v>13</v>
      </c>
      <c r="Z458" s="8">
        <f t="shared" si="55"/>
        <v>0.40625</v>
      </c>
      <c r="AA458" s="8">
        <v>2.8115899999999998</v>
      </c>
    </row>
    <row r="459" spans="2:27" ht="15" customHeight="1" x14ac:dyDescent="0.25">
      <c r="B459">
        <v>440</v>
      </c>
      <c r="C459" s="8">
        <v>-12456.958699999999</v>
      </c>
      <c r="D459" s="2">
        <v>-12458.214927000001</v>
      </c>
      <c r="F459" s="12">
        <v>0.99609700000000001</v>
      </c>
      <c r="G459" s="13">
        <v>0.18711</v>
      </c>
      <c r="H459">
        <v>8</v>
      </c>
      <c r="I459">
        <v>5</v>
      </c>
      <c r="K459" s="8">
        <f t="shared" si="49"/>
        <v>-1.2306923076921521</v>
      </c>
      <c r="L459" s="8">
        <f t="shared" si="50"/>
        <v>-9.4668639053242465E-2</v>
      </c>
      <c r="M459" s="8">
        <f t="shared" si="51"/>
        <v>-1.1109354615382472</v>
      </c>
      <c r="N459" s="8">
        <f t="shared" si="52"/>
        <v>-8.5456573964480559E-2</v>
      </c>
      <c r="O459" s="8"/>
      <c r="P459" t="s">
        <v>747</v>
      </c>
      <c r="Q459">
        <v>32</v>
      </c>
      <c r="R459" s="8">
        <v>2.79949</v>
      </c>
      <c r="S459">
        <v>3</v>
      </c>
      <c r="T459" s="8">
        <f t="shared" si="53"/>
        <v>9.375E-2</v>
      </c>
      <c r="U459" s="8">
        <v>2.82456</v>
      </c>
      <c r="V459">
        <v>18</v>
      </c>
      <c r="W459" s="8">
        <f t="shared" si="54"/>
        <v>0.5625</v>
      </c>
      <c r="X459" s="8">
        <v>2.7860900000000002</v>
      </c>
      <c r="Y459">
        <v>11</v>
      </c>
      <c r="Z459" s="8">
        <f t="shared" si="55"/>
        <v>0.34375</v>
      </c>
      <c r="AA459" s="8">
        <v>2.8145799999999999</v>
      </c>
    </row>
    <row r="460" spans="2:27" ht="15" customHeight="1" x14ac:dyDescent="0.25">
      <c r="B460">
        <v>441</v>
      </c>
      <c r="C460" s="8">
        <v>-12456.782800000001</v>
      </c>
      <c r="D460" s="2">
        <v>-12458.078305999999</v>
      </c>
      <c r="F460" s="12">
        <v>0.994255</v>
      </c>
      <c r="G460" s="13">
        <v>0.17546999999999999</v>
      </c>
      <c r="H460">
        <v>8</v>
      </c>
      <c r="I460">
        <v>5</v>
      </c>
      <c r="K460" s="8">
        <f t="shared" si="49"/>
        <v>-1.0547923076937877</v>
      </c>
      <c r="L460" s="8">
        <f t="shared" si="50"/>
        <v>-8.113786982259906E-2</v>
      </c>
      <c r="M460" s="8">
        <f t="shared" si="51"/>
        <v>-0.97431446153677825</v>
      </c>
      <c r="N460" s="8">
        <f t="shared" si="52"/>
        <v>-7.4947266272059859E-2</v>
      </c>
      <c r="O460" s="8"/>
      <c r="P460" t="s">
        <v>748</v>
      </c>
      <c r="Q460">
        <v>35</v>
      </c>
      <c r="R460" s="8">
        <v>2.83175</v>
      </c>
      <c r="S460">
        <v>4</v>
      </c>
      <c r="T460" s="8">
        <f t="shared" si="53"/>
        <v>0.11428571428571428</v>
      </c>
      <c r="U460" s="8">
        <v>2.88598</v>
      </c>
      <c r="V460">
        <v>20</v>
      </c>
      <c r="W460" s="8">
        <f t="shared" si="54"/>
        <v>0.5714285714285714</v>
      </c>
      <c r="X460" s="8">
        <v>2.7968000000000002</v>
      </c>
      <c r="Y460">
        <v>11</v>
      </c>
      <c r="Z460" s="8">
        <f t="shared" si="55"/>
        <v>0.31428571428571428</v>
      </c>
      <c r="AA460" s="8">
        <v>2.8755700000000002</v>
      </c>
    </row>
    <row r="461" spans="2:27" ht="15" customHeight="1" x14ac:dyDescent="0.25">
      <c r="B461">
        <v>442</v>
      </c>
      <c r="C461" s="8">
        <v>-12456.947899999999</v>
      </c>
      <c r="D461" s="2">
        <v>-12458.235833999999</v>
      </c>
      <c r="F461" s="12">
        <v>0.99610699999999996</v>
      </c>
      <c r="G461" s="13">
        <v>0.18715999999999999</v>
      </c>
      <c r="H461">
        <v>8</v>
      </c>
      <c r="I461">
        <v>5</v>
      </c>
      <c r="K461" s="8">
        <f t="shared" si="49"/>
        <v>-1.2198923076921346</v>
      </c>
      <c r="L461" s="8">
        <f t="shared" si="50"/>
        <v>-9.38378698224719E-2</v>
      </c>
      <c r="M461" s="8">
        <f t="shared" si="51"/>
        <v>-1.1318424615365075</v>
      </c>
      <c r="N461" s="8">
        <f t="shared" si="52"/>
        <v>-8.70648047335775E-2</v>
      </c>
      <c r="O461" s="8"/>
      <c r="P461" t="s">
        <v>749</v>
      </c>
      <c r="Q461">
        <v>35</v>
      </c>
      <c r="R461" s="8">
        <v>2.8337300000000001</v>
      </c>
      <c r="S461">
        <v>4</v>
      </c>
      <c r="T461" s="8">
        <f t="shared" si="53"/>
        <v>0.11428571428571428</v>
      </c>
      <c r="U461" s="8">
        <v>2.8795700000000002</v>
      </c>
      <c r="V461">
        <v>22</v>
      </c>
      <c r="W461" s="8">
        <f t="shared" si="54"/>
        <v>0.62857142857142856</v>
      </c>
      <c r="X461" s="8">
        <v>2.8245499999999999</v>
      </c>
      <c r="Y461">
        <v>9</v>
      </c>
      <c r="Z461" s="8">
        <f t="shared" si="55"/>
        <v>0.25714285714285712</v>
      </c>
      <c r="AA461" s="8">
        <v>2.8357800000000002</v>
      </c>
    </row>
    <row r="462" spans="2:27" ht="15" customHeight="1" x14ac:dyDescent="0.25">
      <c r="B462">
        <v>443</v>
      </c>
      <c r="C462" s="8">
        <v>-12456.953299999999</v>
      </c>
      <c r="D462" s="2">
        <v>-12458.213323</v>
      </c>
      <c r="F462" s="12">
        <v>0.99582099999999996</v>
      </c>
      <c r="G462" s="13">
        <v>0.18508999999999901</v>
      </c>
      <c r="H462">
        <v>8</v>
      </c>
      <c r="I462">
        <v>5</v>
      </c>
      <c r="K462" s="8">
        <f t="shared" si="49"/>
        <v>-1.2252923076921434</v>
      </c>
      <c r="L462" s="8">
        <f t="shared" si="50"/>
        <v>-9.4253254437857176E-2</v>
      </c>
      <c r="M462" s="8">
        <f t="shared" si="51"/>
        <v>-1.1093314615372947</v>
      </c>
      <c r="N462" s="8">
        <f t="shared" si="52"/>
        <v>-8.5333189349022662E-2</v>
      </c>
      <c r="O462" s="8"/>
      <c r="P462" t="s">
        <v>750</v>
      </c>
      <c r="Q462">
        <v>34</v>
      </c>
      <c r="R462" s="8">
        <v>2.81548</v>
      </c>
      <c r="S462">
        <v>3</v>
      </c>
      <c r="T462" s="8">
        <f t="shared" si="53"/>
        <v>8.8235294117647065E-2</v>
      </c>
      <c r="U462" s="8">
        <v>2.76085</v>
      </c>
      <c r="V462">
        <v>18</v>
      </c>
      <c r="W462" s="8">
        <f t="shared" si="54"/>
        <v>0.52941176470588236</v>
      </c>
      <c r="X462" s="8">
        <v>2.7929900000000001</v>
      </c>
      <c r="Y462">
        <v>13</v>
      </c>
      <c r="Z462" s="8">
        <f t="shared" si="55"/>
        <v>0.38235294117647056</v>
      </c>
      <c r="AA462" s="8">
        <v>2.85921</v>
      </c>
    </row>
    <row r="463" spans="2:27" ht="15" customHeight="1" x14ac:dyDescent="0.25">
      <c r="B463">
        <v>444</v>
      </c>
      <c r="C463" s="8">
        <v>-12456.8259</v>
      </c>
      <c r="D463" s="2">
        <v>-12458.251324999999</v>
      </c>
      <c r="F463" s="12">
        <v>0.99512599999999996</v>
      </c>
      <c r="G463" s="13">
        <v>0.18042</v>
      </c>
      <c r="H463">
        <v>8</v>
      </c>
      <c r="I463">
        <v>5</v>
      </c>
      <c r="K463" s="8">
        <f t="shared" si="49"/>
        <v>-1.0978923076927458</v>
      </c>
      <c r="L463" s="8">
        <f t="shared" si="50"/>
        <v>-8.4453254437903524E-2</v>
      </c>
      <c r="M463" s="8">
        <f t="shared" si="51"/>
        <v>-1.1473334615366184</v>
      </c>
      <c r="N463" s="8">
        <f t="shared" si="52"/>
        <v>-8.8256420118201423E-2</v>
      </c>
      <c r="O463" s="8"/>
      <c r="P463" t="s">
        <v>751</v>
      </c>
      <c r="Q463">
        <v>34</v>
      </c>
      <c r="R463" s="8">
        <v>2.81982</v>
      </c>
      <c r="S463">
        <v>4</v>
      </c>
      <c r="T463" s="8">
        <f t="shared" si="53"/>
        <v>0.11764705882352941</v>
      </c>
      <c r="U463" s="8">
        <v>2.7999000000000001</v>
      </c>
      <c r="V463">
        <v>20</v>
      </c>
      <c r="W463" s="8">
        <f t="shared" si="54"/>
        <v>0.58823529411764708</v>
      </c>
      <c r="X463" s="8">
        <v>2.8390300000000002</v>
      </c>
      <c r="Y463">
        <v>10</v>
      </c>
      <c r="Z463" s="8">
        <f t="shared" si="55"/>
        <v>0.29411764705882354</v>
      </c>
      <c r="AA463" s="8">
        <v>2.78938</v>
      </c>
    </row>
    <row r="464" spans="2:27" ht="15" customHeight="1" x14ac:dyDescent="0.25">
      <c r="B464">
        <v>445</v>
      </c>
      <c r="C464" s="8">
        <v>-12456.816199999999</v>
      </c>
      <c r="D464" s="2">
        <v>-12458.261474999999</v>
      </c>
      <c r="F464" s="12">
        <v>0.99641599999999997</v>
      </c>
      <c r="G464" s="13">
        <v>0.18969</v>
      </c>
      <c r="H464">
        <v>8</v>
      </c>
      <c r="I464">
        <v>5</v>
      </c>
      <c r="K464" s="8">
        <f t="shared" si="49"/>
        <v>-1.0881923076922249</v>
      </c>
      <c r="L464" s="8">
        <f t="shared" si="50"/>
        <v>-8.3707100591709604E-2</v>
      </c>
      <c r="M464" s="8">
        <f t="shared" si="51"/>
        <v>-1.1574834615366854</v>
      </c>
      <c r="N464" s="8">
        <f t="shared" si="52"/>
        <v>-8.9037189348975795E-2</v>
      </c>
      <c r="O464" s="8"/>
      <c r="P464" t="s">
        <v>752</v>
      </c>
      <c r="Q464">
        <v>34</v>
      </c>
      <c r="R464" s="8">
        <v>2.8161499999999999</v>
      </c>
      <c r="S464">
        <v>4</v>
      </c>
      <c r="T464" s="8">
        <f t="shared" si="53"/>
        <v>0.11764705882352941</v>
      </c>
      <c r="U464" s="8">
        <v>2.8086799999999998</v>
      </c>
      <c r="V464">
        <v>19</v>
      </c>
      <c r="W464" s="8">
        <f t="shared" si="54"/>
        <v>0.55882352941176472</v>
      </c>
      <c r="X464" s="8">
        <v>2.8100700000000001</v>
      </c>
      <c r="Y464">
        <v>11</v>
      </c>
      <c r="Z464" s="8">
        <f t="shared" si="55"/>
        <v>0.3235294117647059</v>
      </c>
      <c r="AA464" s="8">
        <v>2.8293699999999999</v>
      </c>
    </row>
    <row r="465" spans="2:27" ht="15" customHeight="1" x14ac:dyDescent="0.25">
      <c r="B465">
        <v>446</v>
      </c>
      <c r="C465" s="8">
        <v>-12456.8869</v>
      </c>
      <c r="D465" s="2">
        <v>-12458.307175</v>
      </c>
      <c r="F465" s="12">
        <v>0.99629100000000004</v>
      </c>
      <c r="G465" s="13">
        <v>0.18870000000000001</v>
      </c>
      <c r="H465">
        <v>8</v>
      </c>
      <c r="I465">
        <v>5</v>
      </c>
      <c r="K465" s="8">
        <f t="shared" si="49"/>
        <v>-1.1588923076924402</v>
      </c>
      <c r="L465" s="8">
        <f t="shared" si="50"/>
        <v>-8.9145562130187705E-2</v>
      </c>
      <c r="M465" s="8">
        <f t="shared" si="51"/>
        <v>-1.2031834615372645</v>
      </c>
      <c r="N465" s="8">
        <f t="shared" si="52"/>
        <v>-9.2552573964404958E-2</v>
      </c>
      <c r="O465" s="8"/>
      <c r="P465" t="s">
        <v>753</v>
      </c>
      <c r="Q465">
        <v>34</v>
      </c>
      <c r="R465" s="8">
        <v>2.8218999999999999</v>
      </c>
      <c r="S465">
        <v>3</v>
      </c>
      <c r="T465" s="8">
        <f t="shared" si="53"/>
        <v>8.8235294117647065E-2</v>
      </c>
      <c r="U465" s="8">
        <v>2.8446500000000001</v>
      </c>
      <c r="V465">
        <v>19</v>
      </c>
      <c r="W465" s="8">
        <f t="shared" si="54"/>
        <v>0.55882352941176472</v>
      </c>
      <c r="X465" s="8">
        <v>2.8011900000000001</v>
      </c>
      <c r="Y465">
        <v>12</v>
      </c>
      <c r="Z465" s="8">
        <f t="shared" si="55"/>
        <v>0.35294117647058826</v>
      </c>
      <c r="AA465" s="8">
        <v>2.8490099999999998</v>
      </c>
    </row>
    <row r="466" spans="2:27" ht="15" customHeight="1" x14ac:dyDescent="0.25">
      <c r="B466">
        <v>447</v>
      </c>
      <c r="C466" s="8">
        <v>-12456.5484</v>
      </c>
      <c r="D466" s="2">
        <v>-12457.88063</v>
      </c>
      <c r="F466" s="12">
        <v>0.99575199999999997</v>
      </c>
      <c r="G466" s="13">
        <v>0.18456999999999901</v>
      </c>
      <c r="H466">
        <v>8</v>
      </c>
      <c r="I466">
        <v>5</v>
      </c>
      <c r="K466" s="8">
        <f t="shared" si="49"/>
        <v>-0.8203923076926003</v>
      </c>
      <c r="L466" s="8">
        <f t="shared" si="50"/>
        <v>-6.3107100591738491E-2</v>
      </c>
      <c r="M466" s="8">
        <f t="shared" si="51"/>
        <v>-0.77663846153700433</v>
      </c>
      <c r="N466" s="8">
        <f t="shared" si="52"/>
        <v>-5.9741420118231102E-2</v>
      </c>
      <c r="O466" s="8"/>
      <c r="P466" t="s">
        <v>754</v>
      </c>
      <c r="Q466">
        <v>34</v>
      </c>
      <c r="R466" s="8">
        <v>2.81799</v>
      </c>
      <c r="S466">
        <v>5</v>
      </c>
      <c r="T466" s="8">
        <f t="shared" si="53"/>
        <v>0.14705882352941177</v>
      </c>
      <c r="U466" s="8">
        <v>2.8142800000000001</v>
      </c>
      <c r="V466">
        <v>18</v>
      </c>
      <c r="W466" s="8">
        <f t="shared" si="54"/>
        <v>0.52941176470588236</v>
      </c>
      <c r="X466" s="8">
        <v>2.8162799999999999</v>
      </c>
      <c r="Y466">
        <v>11</v>
      </c>
      <c r="Z466" s="8">
        <f t="shared" si="55"/>
        <v>0.3235294117647059</v>
      </c>
      <c r="AA466" s="8">
        <v>2.8224800000000001</v>
      </c>
    </row>
    <row r="467" spans="2:27" ht="15" customHeight="1" x14ac:dyDescent="0.25">
      <c r="B467">
        <v>448</v>
      </c>
      <c r="C467" s="8">
        <v>-12456.531999999999</v>
      </c>
      <c r="D467" s="2">
        <v>-12458.061747</v>
      </c>
      <c r="F467" s="12">
        <v>0.99523899999999998</v>
      </c>
      <c r="G467" s="13">
        <v>0.18114</v>
      </c>
      <c r="H467">
        <v>8</v>
      </c>
      <c r="I467">
        <v>5</v>
      </c>
      <c r="K467" s="8">
        <f t="shared" si="49"/>
        <v>-0.80399230769216956</v>
      </c>
      <c r="L467" s="8">
        <f t="shared" si="50"/>
        <v>-6.1845562130166891E-2</v>
      </c>
      <c r="M467" s="8">
        <f t="shared" si="51"/>
        <v>-0.95775546153709001</v>
      </c>
      <c r="N467" s="8">
        <f t="shared" si="52"/>
        <v>-7.3673497041314623E-2</v>
      </c>
      <c r="O467" s="8"/>
      <c r="P467" t="s">
        <v>755</v>
      </c>
      <c r="Q467">
        <v>33</v>
      </c>
      <c r="R467" s="8">
        <v>2.8095400000000001</v>
      </c>
      <c r="S467">
        <v>5</v>
      </c>
      <c r="T467" s="8">
        <f t="shared" si="53"/>
        <v>0.15151515151515152</v>
      </c>
      <c r="U467" s="8">
        <v>2.8201499999999999</v>
      </c>
      <c r="V467">
        <v>16</v>
      </c>
      <c r="W467" s="8">
        <f t="shared" si="54"/>
        <v>0.48484848484848486</v>
      </c>
      <c r="X467" s="8">
        <v>2.7780499999999999</v>
      </c>
      <c r="Y467">
        <v>12</v>
      </c>
      <c r="Z467" s="8">
        <f t="shared" si="55"/>
        <v>0.36363636363636365</v>
      </c>
      <c r="AA467" s="8">
        <v>2.8471099999999998</v>
      </c>
    </row>
    <row r="468" spans="2:27" ht="15" customHeight="1" x14ac:dyDescent="0.25">
      <c r="B468">
        <v>449</v>
      </c>
      <c r="C468" s="8">
        <v>-12456.6893</v>
      </c>
      <c r="D468" s="2">
        <v>-12458.181144</v>
      </c>
      <c r="F468" s="12">
        <v>0.99543999999999999</v>
      </c>
      <c r="G468" s="13">
        <v>0.18248</v>
      </c>
      <c r="H468">
        <v>8</v>
      </c>
      <c r="I468">
        <v>5</v>
      </c>
      <c r="K468" s="8">
        <f t="shared" si="49"/>
        <v>-0.96129230769292917</v>
      </c>
      <c r="L468" s="8">
        <f t="shared" si="50"/>
        <v>-7.3945562130225323E-2</v>
      </c>
      <c r="M468" s="8">
        <f t="shared" si="51"/>
        <v>-1.0771524615374801</v>
      </c>
      <c r="N468" s="8">
        <f t="shared" si="52"/>
        <v>-8.2857881656729235E-2</v>
      </c>
      <c r="O468" s="8"/>
      <c r="P468" t="s">
        <v>756</v>
      </c>
      <c r="Q468">
        <v>34</v>
      </c>
      <c r="R468" s="8">
        <v>2.8292299999999999</v>
      </c>
      <c r="S468">
        <v>5</v>
      </c>
      <c r="T468" s="8">
        <f t="shared" si="53"/>
        <v>0.14705882352941177</v>
      </c>
      <c r="U468" s="8">
        <v>2.8824800000000002</v>
      </c>
      <c r="V468">
        <v>19</v>
      </c>
      <c r="W468" s="8">
        <f t="shared" si="54"/>
        <v>0.55882352941176472</v>
      </c>
      <c r="X468" s="8">
        <v>2.8045900000000001</v>
      </c>
      <c r="Y468">
        <v>10</v>
      </c>
      <c r="Z468" s="8">
        <f t="shared" si="55"/>
        <v>0.29411764705882354</v>
      </c>
      <c r="AA468" s="8">
        <v>2.8494299999999999</v>
      </c>
    </row>
    <row r="469" spans="2:27" ht="15" customHeight="1" x14ac:dyDescent="0.25">
      <c r="B469">
        <v>450</v>
      </c>
      <c r="C469" s="8">
        <v>-12456.5412</v>
      </c>
      <c r="D469" s="2">
        <v>-12458.072474000001</v>
      </c>
      <c r="F469" s="12">
        <v>0.99592499999999995</v>
      </c>
      <c r="G469" s="13">
        <v>0.18581999999999901</v>
      </c>
      <c r="H469">
        <v>8</v>
      </c>
      <c r="I469">
        <v>5</v>
      </c>
      <c r="K469" s="8">
        <f t="shared" si="49"/>
        <v>-0.81319230769258866</v>
      </c>
      <c r="L469" s="8">
        <f t="shared" si="50"/>
        <v>-6.2553254437891434E-2</v>
      </c>
      <c r="M469" s="8">
        <f t="shared" si="51"/>
        <v>-0.96848246153786022</v>
      </c>
      <c r="N469" s="8">
        <f t="shared" si="52"/>
        <v>-7.4498650887527704E-2</v>
      </c>
      <c r="O469" s="8"/>
      <c r="P469" t="s">
        <v>757</v>
      </c>
      <c r="Q469">
        <v>33</v>
      </c>
      <c r="R469" s="8">
        <v>2.81427</v>
      </c>
      <c r="S469">
        <v>5</v>
      </c>
      <c r="T469" s="8">
        <f t="shared" si="53"/>
        <v>0.15151515151515152</v>
      </c>
      <c r="U469" s="8">
        <v>2.8061799999999999</v>
      </c>
      <c r="V469">
        <v>15</v>
      </c>
      <c r="W469" s="8">
        <f t="shared" si="54"/>
        <v>0.45454545454545453</v>
      </c>
      <c r="X469" s="8">
        <v>2.8062</v>
      </c>
      <c r="Y469">
        <v>13</v>
      </c>
      <c r="Z469" s="8">
        <f t="shared" si="55"/>
        <v>0.39393939393939392</v>
      </c>
      <c r="AA469" s="8">
        <v>2.8267099999999998</v>
      </c>
    </row>
    <row r="470" spans="2:27" ht="15" customHeight="1" x14ac:dyDescent="0.25">
      <c r="B470">
        <v>451</v>
      </c>
      <c r="C470" s="8">
        <v>-12456.775600000001</v>
      </c>
      <c r="D470" s="2">
        <v>-12458.258522</v>
      </c>
      <c r="F470" s="12">
        <v>0.996139</v>
      </c>
      <c r="G470" s="13">
        <v>0.18740999999999899</v>
      </c>
      <c r="H470">
        <v>8</v>
      </c>
      <c r="I470">
        <v>5</v>
      </c>
      <c r="K470" s="8">
        <f t="shared" si="49"/>
        <v>-1.0475923076937761</v>
      </c>
      <c r="L470" s="8">
        <f t="shared" si="50"/>
        <v>-8.0584023668752003E-2</v>
      </c>
      <c r="M470" s="8">
        <f t="shared" si="51"/>
        <v>-1.1545304615374334</v>
      </c>
      <c r="N470" s="8">
        <f t="shared" si="52"/>
        <v>-8.8810035502879497E-2</v>
      </c>
      <c r="O470" s="8"/>
      <c r="P470" t="s">
        <v>758</v>
      </c>
      <c r="Q470">
        <v>34</v>
      </c>
      <c r="R470" s="8">
        <v>2.82193</v>
      </c>
      <c r="S470">
        <v>3</v>
      </c>
      <c r="T470" s="8">
        <f t="shared" si="53"/>
        <v>8.8235294117647065E-2</v>
      </c>
      <c r="U470" s="8">
        <v>2.8138999999999998</v>
      </c>
      <c r="V470">
        <v>19</v>
      </c>
      <c r="W470" s="8">
        <f t="shared" si="54"/>
        <v>0.55882352941176472</v>
      </c>
      <c r="X470" s="8">
        <v>2.7963499999999999</v>
      </c>
      <c r="Y470">
        <v>12</v>
      </c>
      <c r="Z470" s="8">
        <f t="shared" si="55"/>
        <v>0.35294117647058826</v>
      </c>
      <c r="AA470" s="8">
        <v>2.8644500000000002</v>
      </c>
    </row>
    <row r="471" spans="2:27" ht="15" customHeight="1" x14ac:dyDescent="0.25">
      <c r="B471">
        <v>452</v>
      </c>
      <c r="C471" s="8">
        <v>-12456.6785</v>
      </c>
      <c r="D471" s="2">
        <v>-12458.175768999999</v>
      </c>
      <c r="F471" s="12">
        <v>0.99616000000000005</v>
      </c>
      <c r="G471" s="13">
        <v>0.18754000000000001</v>
      </c>
      <c r="H471">
        <v>8</v>
      </c>
      <c r="I471">
        <v>5</v>
      </c>
      <c r="K471" s="8">
        <f t="shared" si="49"/>
        <v>-0.95049230769291171</v>
      </c>
      <c r="L471" s="8">
        <f t="shared" si="50"/>
        <v>-7.3114792899454745E-2</v>
      </c>
      <c r="M471" s="8">
        <f t="shared" si="51"/>
        <v>-1.0717774615368398</v>
      </c>
      <c r="N471" s="8">
        <f t="shared" si="52"/>
        <v>-8.2444420118218453E-2</v>
      </c>
      <c r="O471" s="8"/>
      <c r="P471" t="s">
        <v>759</v>
      </c>
      <c r="Q471">
        <v>36</v>
      </c>
      <c r="R471" s="8">
        <v>2.8335900000000001</v>
      </c>
      <c r="S471">
        <v>5</v>
      </c>
      <c r="T471" s="8">
        <f t="shared" si="53"/>
        <v>0.1388888888888889</v>
      </c>
      <c r="U471" s="8">
        <v>2.8651399999999998</v>
      </c>
      <c r="V471">
        <v>20</v>
      </c>
      <c r="W471" s="8">
        <f t="shared" si="54"/>
        <v>0.55555555555555558</v>
      </c>
      <c r="X471" s="8">
        <v>2.8133599999999999</v>
      </c>
      <c r="Y471">
        <v>11</v>
      </c>
      <c r="Z471" s="8">
        <f t="shared" si="55"/>
        <v>0.30555555555555558</v>
      </c>
      <c r="AA471" s="8">
        <v>2.85602</v>
      </c>
    </row>
    <row r="472" spans="2:27" ht="15" customHeight="1" x14ac:dyDescent="0.25">
      <c r="B472">
        <v>453</v>
      </c>
      <c r="C472" s="8">
        <v>-12456.704599999999</v>
      </c>
      <c r="D472" s="2">
        <v>-12458.144425</v>
      </c>
      <c r="F472" s="12">
        <v>0.99543300000000001</v>
      </c>
      <c r="G472" s="13">
        <v>0.18235000000000001</v>
      </c>
      <c r="H472">
        <v>8</v>
      </c>
      <c r="I472">
        <v>5</v>
      </c>
      <c r="K472" s="8">
        <f t="shared" si="49"/>
        <v>-0.97659230769204441</v>
      </c>
      <c r="L472" s="8">
        <f t="shared" si="50"/>
        <v>-7.5122485207080342E-2</v>
      </c>
      <c r="M472" s="8">
        <f t="shared" si="51"/>
        <v>-1.0404334615377593</v>
      </c>
      <c r="N472" s="8">
        <f t="shared" si="52"/>
        <v>-8.0033343195212256E-2</v>
      </c>
      <c r="O472" s="8"/>
      <c r="P472" t="s">
        <v>760</v>
      </c>
      <c r="Q472">
        <v>34</v>
      </c>
      <c r="R472" s="8">
        <v>2.8145899999999999</v>
      </c>
      <c r="S472">
        <v>4</v>
      </c>
      <c r="T472" s="8">
        <f t="shared" si="53"/>
        <v>0.11764705882352941</v>
      </c>
      <c r="U472" s="8">
        <v>2.7745700000000002</v>
      </c>
      <c r="V472">
        <v>19</v>
      </c>
      <c r="W472" s="8">
        <f t="shared" si="54"/>
        <v>0.55882352941176472</v>
      </c>
      <c r="X472" s="8">
        <v>2.8033600000000001</v>
      </c>
      <c r="Y472">
        <v>11</v>
      </c>
      <c r="Z472" s="8">
        <f t="shared" si="55"/>
        <v>0.3235294117647059</v>
      </c>
      <c r="AA472" s="8">
        <v>2.8485200000000002</v>
      </c>
    </row>
    <row r="473" spans="2:27" ht="15" customHeight="1" x14ac:dyDescent="0.25">
      <c r="B473">
        <v>454</v>
      </c>
      <c r="C473" s="8">
        <v>-12456.7415</v>
      </c>
      <c r="D473" s="2">
        <v>-12458.492693</v>
      </c>
      <c r="F473" s="12">
        <v>0.99766100000000002</v>
      </c>
      <c r="G473" s="13">
        <v>0.20246999999999901</v>
      </c>
      <c r="H473">
        <v>8</v>
      </c>
      <c r="I473">
        <v>5</v>
      </c>
      <c r="K473" s="8">
        <f t="shared" si="49"/>
        <v>-1.0134923076930136</v>
      </c>
      <c r="L473" s="8">
        <f t="shared" si="50"/>
        <v>-7.7960946745616433E-2</v>
      </c>
      <c r="M473" s="8">
        <f t="shared" si="51"/>
        <v>-1.3887014615374937</v>
      </c>
      <c r="N473" s="8">
        <f t="shared" si="52"/>
        <v>-0.10682318934903798</v>
      </c>
      <c r="O473" s="8"/>
      <c r="P473" t="s">
        <v>761</v>
      </c>
      <c r="Q473">
        <v>34</v>
      </c>
      <c r="R473" s="8">
        <v>2.8200599999999998</v>
      </c>
      <c r="S473">
        <v>3</v>
      </c>
      <c r="T473" s="8">
        <f t="shared" si="53"/>
        <v>8.8235294117647065E-2</v>
      </c>
      <c r="U473" s="8">
        <v>2.8350900000000001</v>
      </c>
      <c r="V473">
        <v>20</v>
      </c>
      <c r="W473" s="8">
        <f t="shared" si="54"/>
        <v>0.58823529411764708</v>
      </c>
      <c r="X473" s="8">
        <v>2.80789</v>
      </c>
      <c r="Y473">
        <v>11</v>
      </c>
      <c r="Z473" s="8">
        <f t="shared" si="55"/>
        <v>0.3235294117647059</v>
      </c>
      <c r="AA473" s="8">
        <v>2.8380899999999998</v>
      </c>
    </row>
    <row r="474" spans="2:27" ht="15" customHeight="1" x14ac:dyDescent="0.25">
      <c r="B474">
        <v>455</v>
      </c>
      <c r="C474" s="8">
        <v>-12456.738799999999</v>
      </c>
      <c r="D474" s="2">
        <v>-12458.159874000001</v>
      </c>
      <c r="F474" s="12">
        <v>0.99680599999999997</v>
      </c>
      <c r="G474" s="13">
        <v>0.19320000000000001</v>
      </c>
      <c r="H474">
        <v>8</v>
      </c>
      <c r="I474">
        <v>5</v>
      </c>
      <c r="K474" s="8">
        <f t="shared" si="49"/>
        <v>-1.0107923076920997</v>
      </c>
      <c r="L474" s="8">
        <f t="shared" si="50"/>
        <v>-7.775325443785383E-2</v>
      </c>
      <c r="M474" s="8">
        <f t="shared" si="51"/>
        <v>-1.0558824615382036</v>
      </c>
      <c r="N474" s="8">
        <f t="shared" si="52"/>
        <v>-8.1221727810631056E-2</v>
      </c>
      <c r="O474" s="8"/>
      <c r="P474" t="s">
        <v>762</v>
      </c>
      <c r="Q474">
        <v>34</v>
      </c>
      <c r="R474" s="8">
        <v>2.81989</v>
      </c>
      <c r="S474">
        <v>3</v>
      </c>
      <c r="T474" s="8">
        <f t="shared" si="53"/>
        <v>8.8235294117647065E-2</v>
      </c>
      <c r="U474" s="8">
        <v>2.8364099999999999</v>
      </c>
      <c r="V474">
        <v>20</v>
      </c>
      <c r="W474" s="8">
        <f t="shared" si="54"/>
        <v>0.58823529411764708</v>
      </c>
      <c r="X474" s="8">
        <v>2.8068399999999998</v>
      </c>
      <c r="Y474">
        <v>11</v>
      </c>
      <c r="Z474" s="8">
        <f t="shared" si="55"/>
        <v>0.3235294117647059</v>
      </c>
      <c r="AA474" s="8">
        <v>2.8391000000000002</v>
      </c>
    </row>
    <row r="475" spans="2:27" ht="15" customHeight="1" x14ac:dyDescent="0.25">
      <c r="B475">
        <v>456</v>
      </c>
      <c r="C475" s="8">
        <v>-12456.773800000001</v>
      </c>
      <c r="D475" s="2">
        <v>-12458.094201</v>
      </c>
      <c r="F475" s="12">
        <v>0.99588699999999997</v>
      </c>
      <c r="G475" s="13">
        <v>0.18553</v>
      </c>
      <c r="H475">
        <v>8</v>
      </c>
      <c r="I475">
        <v>5</v>
      </c>
      <c r="K475" s="8">
        <f t="shared" si="49"/>
        <v>-1.0457923076937732</v>
      </c>
      <c r="L475" s="8">
        <f t="shared" si="50"/>
        <v>-8.0445562130290249E-2</v>
      </c>
      <c r="M475" s="8">
        <f t="shared" si="51"/>
        <v>-0.99020946153723344</v>
      </c>
      <c r="N475" s="8">
        <f t="shared" si="52"/>
        <v>-7.6169958579787186E-2</v>
      </c>
      <c r="O475" s="8"/>
      <c r="P475" t="s">
        <v>763</v>
      </c>
      <c r="Q475">
        <v>34</v>
      </c>
      <c r="R475" s="8">
        <v>2.8208799999999998</v>
      </c>
      <c r="S475">
        <v>4</v>
      </c>
      <c r="T475" s="8">
        <f t="shared" si="53"/>
        <v>0.11764705882352941</v>
      </c>
      <c r="U475" s="8">
        <v>2.8180200000000002</v>
      </c>
      <c r="V475">
        <v>19</v>
      </c>
      <c r="W475" s="8">
        <f t="shared" si="54"/>
        <v>0.55882352941176472</v>
      </c>
      <c r="X475" s="8">
        <v>2.80714</v>
      </c>
      <c r="Y475">
        <v>11</v>
      </c>
      <c r="Z475" s="8">
        <f t="shared" si="55"/>
        <v>0.3235294117647059</v>
      </c>
      <c r="AA475" s="8">
        <v>2.84565</v>
      </c>
    </row>
    <row r="476" spans="2:27" ht="15" customHeight="1" x14ac:dyDescent="0.25">
      <c r="B476">
        <v>457</v>
      </c>
      <c r="C476" s="8">
        <v>-12456.657251000001</v>
      </c>
      <c r="D476" s="2">
        <v>-12458.135871</v>
      </c>
      <c r="F476" s="12">
        <v>0.99487999999999999</v>
      </c>
      <c r="G476" s="13">
        <v>0.17896999999999999</v>
      </c>
      <c r="H476">
        <v>8</v>
      </c>
      <c r="I476">
        <v>5</v>
      </c>
      <c r="K476" s="8">
        <f t="shared" si="49"/>
        <v>-0.92924330769346852</v>
      </c>
      <c r="L476" s="8">
        <f t="shared" si="50"/>
        <v>-7.148025443795912E-2</v>
      </c>
      <c r="M476" s="8">
        <f t="shared" si="51"/>
        <v>-1.0318794615377556</v>
      </c>
      <c r="N476" s="8">
        <f t="shared" si="52"/>
        <v>-7.9375343195211973E-2</v>
      </c>
      <c r="O476" s="8"/>
      <c r="P476" t="s">
        <v>764</v>
      </c>
      <c r="Q476">
        <v>34</v>
      </c>
      <c r="R476" s="8">
        <v>2.8205900000000002</v>
      </c>
      <c r="S476">
        <v>4</v>
      </c>
      <c r="T476" s="8">
        <f t="shared" si="53"/>
        <v>0.11764705882352941</v>
      </c>
      <c r="U476" s="8">
        <v>2.8201499999999999</v>
      </c>
      <c r="V476">
        <v>18</v>
      </c>
      <c r="W476" s="8">
        <f t="shared" si="54"/>
        <v>0.52941176470588236</v>
      </c>
      <c r="X476" s="8">
        <v>2.80925</v>
      </c>
      <c r="Y476">
        <v>12</v>
      </c>
      <c r="Z476" s="8">
        <f t="shared" si="55"/>
        <v>0.35294117647058826</v>
      </c>
      <c r="AA476" s="8">
        <v>2.8377599999999998</v>
      </c>
    </row>
    <row r="477" spans="2:27" ht="15" customHeight="1" x14ac:dyDescent="0.25">
      <c r="B477">
        <v>458</v>
      </c>
      <c r="C477" s="8">
        <v>-12456.894399999999</v>
      </c>
      <c r="D477" s="2">
        <v>-12458.183734</v>
      </c>
      <c r="F477" s="12">
        <v>0.99658100000000005</v>
      </c>
      <c r="G477" s="13">
        <v>0.19111</v>
      </c>
      <c r="H477">
        <v>8</v>
      </c>
      <c r="I477">
        <v>5</v>
      </c>
      <c r="K477" s="8">
        <f t="shared" si="49"/>
        <v>-1.1663923076921492</v>
      </c>
      <c r="L477" s="8">
        <f t="shared" si="50"/>
        <v>-8.9722485207088393E-2</v>
      </c>
      <c r="M477" s="8">
        <f t="shared" si="51"/>
        <v>-1.0797424615375348</v>
      </c>
      <c r="N477" s="8">
        <f t="shared" si="52"/>
        <v>-8.3057112425964225E-2</v>
      </c>
      <c r="O477" s="8"/>
      <c r="P477" t="s">
        <v>765</v>
      </c>
      <c r="Q477">
        <v>34</v>
      </c>
      <c r="R477" s="8">
        <v>2.8189700000000002</v>
      </c>
      <c r="S477">
        <v>2</v>
      </c>
      <c r="T477" s="8">
        <f t="shared" si="53"/>
        <v>5.8823529411764705E-2</v>
      </c>
      <c r="U477" s="8">
        <v>2.8432900000000001</v>
      </c>
      <c r="V477">
        <v>22</v>
      </c>
      <c r="W477" s="8">
        <f t="shared" si="54"/>
        <v>0.6470588235294118</v>
      </c>
      <c r="X477" s="8">
        <v>2.7983600000000002</v>
      </c>
      <c r="Y477">
        <v>10</v>
      </c>
      <c r="Z477" s="8">
        <f t="shared" si="55"/>
        <v>0.29411764705882354</v>
      </c>
      <c r="AA477" s="8">
        <v>2.8594400000000002</v>
      </c>
    </row>
    <row r="478" spans="2:27" ht="15" customHeight="1" x14ac:dyDescent="0.25">
      <c r="B478">
        <v>459</v>
      </c>
      <c r="C478" s="8">
        <v>-12456.8714</v>
      </c>
      <c r="D478" s="2">
        <v>-12458.175566</v>
      </c>
      <c r="F478" s="12">
        <v>0.99615399999999998</v>
      </c>
      <c r="G478" s="13">
        <v>0.18759000000000001</v>
      </c>
      <c r="H478">
        <v>8</v>
      </c>
      <c r="I478">
        <v>5</v>
      </c>
      <c r="K478" s="8">
        <f t="shared" si="49"/>
        <v>-1.1433923076929204</v>
      </c>
      <c r="L478" s="8">
        <f t="shared" si="50"/>
        <v>-8.7953254437916961E-2</v>
      </c>
      <c r="M478" s="8">
        <f t="shared" si="51"/>
        <v>-1.0715744615372387</v>
      </c>
      <c r="N478" s="8">
        <f t="shared" si="52"/>
        <v>-8.2428804733633745E-2</v>
      </c>
      <c r="O478" s="8"/>
      <c r="P478" t="s">
        <v>766</v>
      </c>
      <c r="Q478">
        <v>34</v>
      </c>
      <c r="R478" s="8">
        <v>2.8249499999999999</v>
      </c>
      <c r="S478">
        <v>3</v>
      </c>
      <c r="T478" s="8">
        <f t="shared" si="53"/>
        <v>8.8235294117647065E-2</v>
      </c>
      <c r="U478" s="8">
        <v>2.8099400000000001</v>
      </c>
      <c r="V478">
        <v>20</v>
      </c>
      <c r="W478" s="8">
        <f t="shared" si="54"/>
        <v>0.58823529411764708</v>
      </c>
      <c r="X478" s="8">
        <v>2.81257</v>
      </c>
      <c r="Y478">
        <v>11</v>
      </c>
      <c r="Z478" s="8">
        <f t="shared" si="55"/>
        <v>0.3235294117647059</v>
      </c>
      <c r="AA478" s="8">
        <v>2.85154</v>
      </c>
    </row>
    <row r="479" spans="2:27" ht="15" customHeight="1" x14ac:dyDescent="0.25">
      <c r="B479">
        <v>460</v>
      </c>
      <c r="C479" s="8">
        <v>-12456.8698</v>
      </c>
      <c r="D479" s="2">
        <v>-12458.290641</v>
      </c>
      <c r="F479" s="12">
        <v>0.99548000000000003</v>
      </c>
      <c r="G479" s="13">
        <v>0.18273</v>
      </c>
      <c r="H479">
        <v>8</v>
      </c>
      <c r="I479">
        <v>5</v>
      </c>
      <c r="K479" s="8">
        <f t="shared" si="49"/>
        <v>-1.1417923076933221</v>
      </c>
      <c r="L479" s="8">
        <f t="shared" si="50"/>
        <v>-8.7830177514870933E-2</v>
      </c>
      <c r="M479" s="8">
        <f t="shared" si="51"/>
        <v>-1.1866494615369447</v>
      </c>
      <c r="N479" s="8">
        <f t="shared" si="52"/>
        <v>-9.1280727810534215E-2</v>
      </c>
      <c r="O479" s="8"/>
      <c r="P479" t="s">
        <v>767</v>
      </c>
      <c r="Q479">
        <v>34</v>
      </c>
      <c r="R479" s="8">
        <v>2.8189899999999999</v>
      </c>
      <c r="S479">
        <v>3</v>
      </c>
      <c r="T479" s="8">
        <f t="shared" si="53"/>
        <v>8.8235294117647065E-2</v>
      </c>
      <c r="U479" s="8">
        <v>2.8523100000000001</v>
      </c>
      <c r="V479">
        <v>20</v>
      </c>
      <c r="W479" s="8">
        <f t="shared" si="54"/>
        <v>0.58823529411764708</v>
      </c>
      <c r="X479" s="8">
        <v>2.8010700000000002</v>
      </c>
      <c r="Y479">
        <v>11</v>
      </c>
      <c r="Z479" s="8">
        <f t="shared" si="55"/>
        <v>0.3235294117647059</v>
      </c>
      <c r="AA479" s="8">
        <v>2.8424700000000001</v>
      </c>
    </row>
    <row r="480" spans="2:27" ht="15" customHeight="1" x14ac:dyDescent="0.25">
      <c r="B480">
        <v>461</v>
      </c>
      <c r="C480" s="8">
        <v>-12456.9229</v>
      </c>
      <c r="D480" s="2">
        <v>-12458.223156</v>
      </c>
      <c r="F480" s="12">
        <v>0.99792899999999995</v>
      </c>
      <c r="G480" s="13">
        <v>0.20608000000000001</v>
      </c>
      <c r="H480">
        <v>8</v>
      </c>
      <c r="I480">
        <v>5</v>
      </c>
      <c r="K480" s="8">
        <f t="shared" si="49"/>
        <v>-1.1948923076924984</v>
      </c>
      <c r="L480" s="8">
        <f t="shared" si="50"/>
        <v>-9.1914792899422962E-2</v>
      </c>
      <c r="M480" s="8">
        <f t="shared" si="51"/>
        <v>-1.1191644615373662</v>
      </c>
      <c r="N480" s="8">
        <f t="shared" si="52"/>
        <v>-8.6089573964412774E-2</v>
      </c>
      <c r="O480" s="8"/>
      <c r="P480" t="s">
        <v>768</v>
      </c>
      <c r="Q480">
        <v>34</v>
      </c>
      <c r="R480" s="8">
        <v>2.8196300000000001</v>
      </c>
      <c r="S480">
        <v>2</v>
      </c>
      <c r="T480" s="8">
        <f t="shared" si="53"/>
        <v>5.8823529411764705E-2</v>
      </c>
      <c r="U480" s="8">
        <v>2.75231</v>
      </c>
      <c r="V480">
        <v>19</v>
      </c>
      <c r="W480" s="8">
        <f t="shared" si="54"/>
        <v>0.55882352941176472</v>
      </c>
      <c r="X480" s="8">
        <v>2.7963900000000002</v>
      </c>
      <c r="Y480">
        <v>13</v>
      </c>
      <c r="Z480" s="8">
        <f t="shared" si="55"/>
        <v>0.38235294117647056</v>
      </c>
      <c r="AA480" s="8">
        <v>2.86395</v>
      </c>
    </row>
    <row r="481" spans="2:27" ht="15" customHeight="1" x14ac:dyDescent="0.25">
      <c r="B481">
        <v>462</v>
      </c>
      <c r="C481" s="8">
        <v>-12456.4164</v>
      </c>
      <c r="D481" s="2">
        <v>-12457.920731</v>
      </c>
      <c r="F481" s="12">
        <v>0.99562799999999996</v>
      </c>
      <c r="G481" s="13">
        <v>0.183669999999999</v>
      </c>
      <c r="H481">
        <v>8</v>
      </c>
      <c r="I481">
        <v>5</v>
      </c>
      <c r="K481" s="8">
        <f t="shared" si="49"/>
        <v>-0.6883923076929932</v>
      </c>
      <c r="L481" s="8">
        <f t="shared" si="50"/>
        <v>-5.2953254437922551E-2</v>
      </c>
      <c r="M481" s="8">
        <f t="shared" si="51"/>
        <v>-0.81673946153750876</v>
      </c>
      <c r="N481" s="8">
        <f t="shared" si="52"/>
        <v>-6.2826112425962213E-2</v>
      </c>
      <c r="O481" s="8"/>
      <c r="P481" t="s">
        <v>769</v>
      </c>
      <c r="Q481">
        <v>34</v>
      </c>
      <c r="R481" s="8">
        <v>2.8229600000000001</v>
      </c>
      <c r="S481">
        <v>5</v>
      </c>
      <c r="T481" s="8">
        <f t="shared" si="53"/>
        <v>0.14705882352941177</v>
      </c>
      <c r="U481" s="8">
        <v>2.8576899999999998</v>
      </c>
      <c r="V481">
        <v>17</v>
      </c>
      <c r="W481" s="8">
        <f t="shared" si="54"/>
        <v>0.5</v>
      </c>
      <c r="X481" s="8">
        <v>2.7923499999999999</v>
      </c>
      <c r="Y481">
        <v>12</v>
      </c>
      <c r="Z481" s="8">
        <f t="shared" si="55"/>
        <v>0.35294117647058826</v>
      </c>
      <c r="AA481" s="8">
        <v>2.8518400000000002</v>
      </c>
    </row>
    <row r="482" spans="2:27" ht="15" customHeight="1" x14ac:dyDescent="0.25">
      <c r="B482">
        <v>463</v>
      </c>
      <c r="C482" s="8">
        <v>-12456.5903</v>
      </c>
      <c r="D482" s="2">
        <v>-12458.048212</v>
      </c>
      <c r="F482" s="12">
        <v>0.99581699999999995</v>
      </c>
      <c r="G482" s="13">
        <v>0.185029999999999</v>
      </c>
      <c r="H482">
        <v>8</v>
      </c>
      <c r="I482">
        <v>5</v>
      </c>
      <c r="K482" s="8">
        <f t="shared" si="49"/>
        <v>-0.8622923076927691</v>
      </c>
      <c r="L482" s="8">
        <f t="shared" si="50"/>
        <v>-6.6330177514828392E-2</v>
      </c>
      <c r="M482" s="8">
        <f t="shared" si="51"/>
        <v>-0.94422046153704287</v>
      </c>
      <c r="N482" s="8">
        <f t="shared" si="52"/>
        <v>-7.2632343195157142E-2</v>
      </c>
      <c r="O482" s="8"/>
      <c r="P482" t="s">
        <v>770</v>
      </c>
      <c r="Q482">
        <v>34</v>
      </c>
      <c r="R482" s="8">
        <v>2.8183500000000001</v>
      </c>
      <c r="S482">
        <v>4</v>
      </c>
      <c r="T482" s="8">
        <f t="shared" si="53"/>
        <v>0.11764705882352941</v>
      </c>
      <c r="U482" s="8">
        <v>2.8555799999999998</v>
      </c>
      <c r="V482">
        <v>19</v>
      </c>
      <c r="W482" s="8">
        <f t="shared" si="54"/>
        <v>0.55882352941176472</v>
      </c>
      <c r="X482" s="8">
        <v>2.7985600000000002</v>
      </c>
      <c r="Y482">
        <v>11</v>
      </c>
      <c r="Z482" s="8">
        <f t="shared" si="55"/>
        <v>0.3235294117647059</v>
      </c>
      <c r="AA482" s="8">
        <v>2.83901</v>
      </c>
    </row>
    <row r="483" spans="2:27" ht="15" customHeight="1" x14ac:dyDescent="0.25">
      <c r="B483">
        <v>464</v>
      </c>
      <c r="C483" s="8">
        <v>-12456.425800000001</v>
      </c>
      <c r="D483" s="2">
        <v>-12457.733963999999</v>
      </c>
      <c r="F483" s="12">
        <v>0.99566900000000003</v>
      </c>
      <c r="G483" s="13">
        <v>0.18396000000000001</v>
      </c>
      <c r="H483">
        <v>8</v>
      </c>
      <c r="I483">
        <v>5</v>
      </c>
      <c r="K483" s="8">
        <f t="shared" si="49"/>
        <v>-0.69779230769381684</v>
      </c>
      <c r="L483" s="8">
        <f t="shared" si="50"/>
        <v>-5.3676331361062833E-2</v>
      </c>
      <c r="M483" s="8">
        <f t="shared" si="51"/>
        <v>-0.62997246153645392</v>
      </c>
      <c r="N483" s="8">
        <f t="shared" si="52"/>
        <v>-4.845942011818876E-2</v>
      </c>
      <c r="O483" s="8"/>
      <c r="P483" t="s">
        <v>771</v>
      </c>
      <c r="Q483">
        <v>34</v>
      </c>
      <c r="R483" s="8">
        <v>2.8257599999999998</v>
      </c>
      <c r="S483">
        <v>5</v>
      </c>
      <c r="T483" s="8">
        <f t="shared" si="53"/>
        <v>0.14705882352941177</v>
      </c>
      <c r="U483" s="8">
        <v>2.82084</v>
      </c>
      <c r="V483">
        <v>16</v>
      </c>
      <c r="W483" s="8">
        <f t="shared" si="54"/>
        <v>0.47058823529411764</v>
      </c>
      <c r="X483" s="8">
        <v>2.82605</v>
      </c>
      <c r="Y483">
        <v>13</v>
      </c>
      <c r="Z483" s="8">
        <f t="shared" si="55"/>
        <v>0.38235294117647056</v>
      </c>
      <c r="AA483" s="8">
        <v>2.8272900000000001</v>
      </c>
    </row>
    <row r="484" spans="2:27" ht="15" customHeight="1" x14ac:dyDescent="0.25">
      <c r="B484">
        <v>465</v>
      </c>
      <c r="C484" s="8">
        <v>-12456.6672</v>
      </c>
      <c r="D484" s="2">
        <v>-12457.986391</v>
      </c>
      <c r="F484" s="12">
        <v>0.99595299999999998</v>
      </c>
      <c r="G484" s="13">
        <v>0.186029999999999</v>
      </c>
      <c r="H484">
        <v>8</v>
      </c>
      <c r="I484">
        <v>5</v>
      </c>
      <c r="K484" s="8">
        <f t="shared" si="49"/>
        <v>-0.93919230769279238</v>
      </c>
      <c r="L484" s="8">
        <f t="shared" si="50"/>
        <v>-7.2245562130214797E-2</v>
      </c>
      <c r="M484" s="8">
        <f t="shared" si="51"/>
        <v>-0.88239946153771598</v>
      </c>
      <c r="N484" s="8">
        <f t="shared" si="52"/>
        <v>-6.7876881656747379E-2</v>
      </c>
      <c r="O484" s="8"/>
      <c r="P484" t="s">
        <v>772</v>
      </c>
      <c r="Q484">
        <v>32</v>
      </c>
      <c r="R484" s="8">
        <v>2.80288</v>
      </c>
      <c r="S484">
        <v>3</v>
      </c>
      <c r="T484" s="8">
        <f t="shared" si="53"/>
        <v>9.375E-2</v>
      </c>
      <c r="U484" s="8">
        <v>2.843</v>
      </c>
      <c r="V484">
        <v>18</v>
      </c>
      <c r="W484" s="8">
        <f t="shared" si="54"/>
        <v>0.5625</v>
      </c>
      <c r="X484" s="8">
        <v>2.77929</v>
      </c>
      <c r="Y484">
        <v>11</v>
      </c>
      <c r="Z484" s="8">
        <f t="shared" si="55"/>
        <v>0.34375</v>
      </c>
      <c r="AA484" s="8">
        <v>2.8305400000000001</v>
      </c>
    </row>
    <row r="485" spans="2:27" ht="15" customHeight="1" x14ac:dyDescent="0.25">
      <c r="B485">
        <v>466</v>
      </c>
      <c r="C485" s="8">
        <v>-12456.5411</v>
      </c>
      <c r="D485" s="2">
        <v>-12457.860158</v>
      </c>
      <c r="F485" s="12">
        <v>0.99471399999999999</v>
      </c>
      <c r="G485" s="13">
        <v>0.17707999999999999</v>
      </c>
      <c r="H485">
        <v>8</v>
      </c>
      <c r="I485">
        <v>5</v>
      </c>
      <c r="K485" s="8">
        <f t="shared" si="49"/>
        <v>-0.81309230769329588</v>
      </c>
      <c r="L485" s="8">
        <f t="shared" si="50"/>
        <v>-6.2545562130253529E-2</v>
      </c>
      <c r="M485" s="8">
        <f t="shared" si="51"/>
        <v>-0.75616646153684997</v>
      </c>
      <c r="N485" s="8">
        <f t="shared" si="52"/>
        <v>-5.8166650887449996E-2</v>
      </c>
      <c r="O485" s="8"/>
      <c r="P485" t="s">
        <v>773</v>
      </c>
      <c r="Q485">
        <v>33</v>
      </c>
      <c r="R485" s="8">
        <v>2.8174700000000001</v>
      </c>
      <c r="S485">
        <v>4</v>
      </c>
      <c r="T485" s="8">
        <f t="shared" si="53"/>
        <v>0.12121212121212122</v>
      </c>
      <c r="U485" s="8">
        <v>2.90849</v>
      </c>
      <c r="V485">
        <v>18</v>
      </c>
      <c r="W485" s="8">
        <f t="shared" si="54"/>
        <v>0.54545454545454541</v>
      </c>
      <c r="X485" s="8">
        <v>2.7738200000000002</v>
      </c>
      <c r="Y485">
        <v>11</v>
      </c>
      <c r="Z485" s="8">
        <f t="shared" si="55"/>
        <v>0.33333333333333331</v>
      </c>
      <c r="AA485" s="8">
        <v>2.8557899999999998</v>
      </c>
    </row>
    <row r="486" spans="2:27" ht="15" customHeight="1" x14ac:dyDescent="0.25">
      <c r="B486">
        <v>467</v>
      </c>
      <c r="C486" s="8">
        <v>-12456.718800000001</v>
      </c>
      <c r="D486" s="2">
        <v>-12458.233327</v>
      </c>
      <c r="F486" s="12">
        <v>0.99637799999999999</v>
      </c>
      <c r="G486" s="13">
        <v>0.18944999999999901</v>
      </c>
      <c r="H486">
        <v>8</v>
      </c>
      <c r="I486">
        <v>5</v>
      </c>
      <c r="K486" s="8">
        <f t="shared" si="49"/>
        <v>-0.99079230769348214</v>
      </c>
      <c r="L486" s="8">
        <f t="shared" si="50"/>
        <v>-7.6214792899498632E-2</v>
      </c>
      <c r="M486" s="8">
        <f t="shared" si="51"/>
        <v>-1.1293354615372664</v>
      </c>
      <c r="N486" s="8">
        <f t="shared" si="52"/>
        <v>-8.6871958579789715E-2</v>
      </c>
      <c r="O486" s="8"/>
      <c r="P486" t="s">
        <v>774</v>
      </c>
      <c r="Q486">
        <v>34</v>
      </c>
      <c r="R486" s="8">
        <v>2.8197999999999999</v>
      </c>
      <c r="S486">
        <v>2</v>
      </c>
      <c r="T486" s="8">
        <f t="shared" si="53"/>
        <v>5.8823529411764705E-2</v>
      </c>
      <c r="U486" s="8">
        <v>2.91838</v>
      </c>
      <c r="V486">
        <v>21</v>
      </c>
      <c r="W486" s="8">
        <f t="shared" si="54"/>
        <v>0.61764705882352944</v>
      </c>
      <c r="X486" s="8">
        <v>2.79928</v>
      </c>
      <c r="Y486">
        <v>11</v>
      </c>
      <c r="Z486" s="8">
        <f t="shared" si="55"/>
        <v>0.3235294117647059</v>
      </c>
      <c r="AA486" s="8">
        <v>2.8410600000000001</v>
      </c>
    </row>
    <row r="487" spans="2:27" ht="15" customHeight="1" x14ac:dyDescent="0.25">
      <c r="B487">
        <v>468</v>
      </c>
      <c r="C487" s="8">
        <v>-12456.970600000001</v>
      </c>
      <c r="D487" s="2">
        <v>-12458.199658</v>
      </c>
      <c r="F487" s="12">
        <v>0.99700200000000005</v>
      </c>
      <c r="G487" s="13">
        <v>0.194879999999999</v>
      </c>
      <c r="H487">
        <v>8</v>
      </c>
      <c r="I487">
        <v>5</v>
      </c>
      <c r="K487" s="8">
        <f t="shared" si="49"/>
        <v>-1.2425923076934851</v>
      </c>
      <c r="L487" s="8">
        <f t="shared" si="50"/>
        <v>-9.5584023668729617E-2</v>
      </c>
      <c r="M487" s="8">
        <f t="shared" si="51"/>
        <v>-1.0956664615368936</v>
      </c>
      <c r="N487" s="8">
        <f t="shared" si="52"/>
        <v>-8.4282035502837971E-2</v>
      </c>
      <c r="O487" s="8"/>
      <c r="P487" t="s">
        <v>775</v>
      </c>
      <c r="Q487">
        <v>32</v>
      </c>
      <c r="R487" s="8">
        <v>2.8049900000000001</v>
      </c>
      <c r="S487">
        <v>4</v>
      </c>
      <c r="T487" s="8">
        <f t="shared" si="53"/>
        <v>0.125</v>
      </c>
      <c r="U487" s="8">
        <v>2.8290500000000001</v>
      </c>
      <c r="V487">
        <v>17</v>
      </c>
      <c r="W487" s="8">
        <f t="shared" si="54"/>
        <v>0.53125</v>
      </c>
      <c r="X487" s="8">
        <v>2.8239700000000001</v>
      </c>
      <c r="Y487">
        <v>11</v>
      </c>
      <c r="Z487" s="8">
        <f t="shared" si="55"/>
        <v>0.34375</v>
      </c>
      <c r="AA487" s="8">
        <v>2.7669000000000001</v>
      </c>
    </row>
    <row r="488" spans="2:27" ht="15" customHeight="1" x14ac:dyDescent="0.25">
      <c r="B488">
        <v>469</v>
      </c>
      <c r="C488" s="8">
        <v>-12456.703100000001</v>
      </c>
      <c r="D488" s="2">
        <v>-12458.094950000001</v>
      </c>
      <c r="F488" s="12">
        <v>0.99558400000000002</v>
      </c>
      <c r="G488" s="13">
        <v>0.18340999999999999</v>
      </c>
      <c r="H488">
        <v>8</v>
      </c>
      <c r="I488">
        <v>5</v>
      </c>
      <c r="K488" s="8">
        <f t="shared" si="49"/>
        <v>-0.97509230769355781</v>
      </c>
      <c r="L488" s="8">
        <f t="shared" si="50"/>
        <v>-7.5007100591812134E-2</v>
      </c>
      <c r="M488" s="8">
        <f t="shared" si="51"/>
        <v>-0.99095846153795719</v>
      </c>
      <c r="N488" s="8">
        <f t="shared" si="52"/>
        <v>-7.6227573964458242E-2</v>
      </c>
      <c r="O488" s="8"/>
      <c r="P488" t="s">
        <v>776</v>
      </c>
      <c r="Q488">
        <v>34</v>
      </c>
      <c r="R488" s="8">
        <v>2.8205399999999998</v>
      </c>
      <c r="S488">
        <v>5</v>
      </c>
      <c r="T488" s="8">
        <f t="shared" si="53"/>
        <v>0.14705882352941177</v>
      </c>
      <c r="U488" s="8">
        <v>2.8232599999999999</v>
      </c>
      <c r="V488">
        <v>17</v>
      </c>
      <c r="W488" s="8">
        <f t="shared" si="54"/>
        <v>0.5</v>
      </c>
      <c r="X488" s="8">
        <v>2.8157100000000002</v>
      </c>
      <c r="Y488">
        <v>12</v>
      </c>
      <c r="Z488" s="8">
        <f t="shared" si="55"/>
        <v>0.35294117647058826</v>
      </c>
      <c r="AA488" s="8">
        <v>2.82626</v>
      </c>
    </row>
    <row r="489" spans="2:27" ht="15" customHeight="1" x14ac:dyDescent="0.25">
      <c r="B489">
        <v>470</v>
      </c>
      <c r="C489" s="8">
        <v>-12456.774299999999</v>
      </c>
      <c r="D489" s="2">
        <v>-12458.186890000001</v>
      </c>
      <c r="F489" s="12">
        <v>0.99613600000000002</v>
      </c>
      <c r="G489" s="13">
        <v>0.187439999999999</v>
      </c>
      <c r="H489">
        <v>8</v>
      </c>
      <c r="I489">
        <v>5</v>
      </c>
      <c r="K489" s="8">
        <f t="shared" si="49"/>
        <v>-1.0462923076920561</v>
      </c>
      <c r="L489" s="8">
        <f t="shared" si="50"/>
        <v>-8.0484023668619703E-2</v>
      </c>
      <c r="M489" s="8">
        <f t="shared" si="51"/>
        <v>-1.0828984615382069</v>
      </c>
      <c r="N489" s="8">
        <f t="shared" si="52"/>
        <v>-8.3299881656785146E-2</v>
      </c>
      <c r="O489" s="8"/>
      <c r="P489" t="s">
        <v>777</v>
      </c>
      <c r="Q489">
        <v>35</v>
      </c>
      <c r="R489" s="8">
        <v>2.8338399999999999</v>
      </c>
      <c r="S489">
        <v>5</v>
      </c>
      <c r="T489" s="8">
        <f t="shared" si="53"/>
        <v>0.14285714285714285</v>
      </c>
      <c r="U489" s="8">
        <v>2.8632</v>
      </c>
      <c r="V489">
        <v>18</v>
      </c>
      <c r="W489" s="8">
        <f t="shared" si="54"/>
        <v>0.51428571428571423</v>
      </c>
      <c r="X489" s="8">
        <v>2.8158500000000002</v>
      </c>
      <c r="Y489">
        <v>12</v>
      </c>
      <c r="Z489" s="8">
        <f t="shared" si="55"/>
        <v>0.34285714285714286</v>
      </c>
      <c r="AA489" s="8">
        <v>2.8485800000000001</v>
      </c>
    </row>
    <row r="490" spans="2:27" ht="15" customHeight="1" x14ac:dyDescent="0.25">
      <c r="B490">
        <v>471</v>
      </c>
      <c r="C490" s="8">
        <v>-12456.872799999999</v>
      </c>
      <c r="D490" s="2">
        <v>-12458.156440000001</v>
      </c>
      <c r="F490" s="12">
        <v>0.99604000000000004</v>
      </c>
      <c r="G490" s="13">
        <v>0.18667</v>
      </c>
      <c r="H490">
        <v>8</v>
      </c>
      <c r="I490">
        <v>5</v>
      </c>
      <c r="K490" s="8">
        <f t="shared" si="49"/>
        <v>-1.1447923076921143</v>
      </c>
      <c r="L490" s="8">
        <f t="shared" si="50"/>
        <v>-8.806094674554725E-2</v>
      </c>
      <c r="M490" s="8">
        <f t="shared" si="51"/>
        <v>-1.0524484615380061</v>
      </c>
      <c r="N490" s="8">
        <f t="shared" si="52"/>
        <v>-8.0957573964462001E-2</v>
      </c>
      <c r="O490" s="8"/>
      <c r="P490" t="s">
        <v>778</v>
      </c>
      <c r="Q490">
        <v>35</v>
      </c>
      <c r="R490" s="8">
        <v>2.8308800000000001</v>
      </c>
      <c r="S490">
        <v>5</v>
      </c>
      <c r="T490" s="8">
        <f t="shared" si="53"/>
        <v>0.14285714285714285</v>
      </c>
      <c r="U490" s="8">
        <v>2.83839</v>
      </c>
      <c r="V490">
        <v>20</v>
      </c>
      <c r="W490" s="8">
        <f t="shared" si="54"/>
        <v>0.5714285714285714</v>
      </c>
      <c r="X490" s="8">
        <v>2.8401000000000001</v>
      </c>
      <c r="Y490">
        <v>10</v>
      </c>
      <c r="Z490" s="8">
        <f t="shared" si="55"/>
        <v>0.2857142857142857</v>
      </c>
      <c r="AA490" s="8">
        <v>2.8086899999999999</v>
      </c>
    </row>
    <row r="491" spans="2:27" ht="15" customHeight="1" x14ac:dyDescent="0.25">
      <c r="B491">
        <v>472</v>
      </c>
      <c r="C491" s="8">
        <v>-12456.954900000001</v>
      </c>
      <c r="D491" s="2">
        <v>-12458.340477</v>
      </c>
      <c r="F491" s="12">
        <v>0.99639500000000003</v>
      </c>
      <c r="G491" s="13">
        <v>0.18950999999999901</v>
      </c>
      <c r="H491">
        <v>8</v>
      </c>
      <c r="I491">
        <v>5</v>
      </c>
      <c r="K491" s="8">
        <f t="shared" si="49"/>
        <v>-1.2268923076935607</v>
      </c>
      <c r="L491" s="8">
        <f t="shared" si="50"/>
        <v>-9.4376331361043134E-2</v>
      </c>
      <c r="M491" s="8">
        <f t="shared" si="51"/>
        <v>-1.2364854615370859</v>
      </c>
      <c r="N491" s="8">
        <f t="shared" si="52"/>
        <v>-9.5114266272083539E-2</v>
      </c>
      <c r="O491" s="8"/>
      <c r="P491" t="s">
        <v>779</v>
      </c>
      <c r="Q491">
        <v>33</v>
      </c>
      <c r="R491" s="8">
        <v>2.8098800000000002</v>
      </c>
      <c r="S491">
        <v>4</v>
      </c>
      <c r="T491" s="8">
        <f t="shared" si="53"/>
        <v>0.12121212121212122</v>
      </c>
      <c r="U491" s="8">
        <v>2.7993399999999999</v>
      </c>
      <c r="V491">
        <v>18</v>
      </c>
      <c r="W491" s="8">
        <f t="shared" si="54"/>
        <v>0.54545454545454541</v>
      </c>
      <c r="X491" s="8">
        <v>2.7987600000000001</v>
      </c>
      <c r="Y491">
        <v>11</v>
      </c>
      <c r="Z491" s="8">
        <f t="shared" si="55"/>
        <v>0.33333333333333331</v>
      </c>
      <c r="AA491" s="8">
        <v>2.8319000000000001</v>
      </c>
    </row>
    <row r="492" spans="2:27" ht="15" customHeight="1" x14ac:dyDescent="0.25">
      <c r="B492">
        <v>473</v>
      </c>
      <c r="C492" s="8">
        <v>-12456.8076</v>
      </c>
      <c r="D492" s="2">
        <v>-12458.067434000001</v>
      </c>
      <c r="F492" s="12">
        <v>0.99631000000000003</v>
      </c>
      <c r="G492" s="13">
        <v>0.18883999999999901</v>
      </c>
      <c r="H492">
        <v>8</v>
      </c>
      <c r="I492">
        <v>5</v>
      </c>
      <c r="K492" s="8">
        <f t="shared" si="49"/>
        <v>-1.0795923076930194</v>
      </c>
      <c r="L492" s="8">
        <f t="shared" si="50"/>
        <v>-8.3045562130232259E-2</v>
      </c>
      <c r="M492" s="8">
        <f t="shared" si="51"/>
        <v>-0.96344246153785207</v>
      </c>
      <c r="N492" s="8">
        <f t="shared" si="52"/>
        <v>-7.4110958579834768E-2</v>
      </c>
      <c r="O492" s="8"/>
      <c r="P492" t="s">
        <v>780</v>
      </c>
      <c r="Q492">
        <v>35</v>
      </c>
      <c r="R492" s="8">
        <v>2.8300999999999998</v>
      </c>
      <c r="S492">
        <v>5</v>
      </c>
      <c r="T492" s="8">
        <f t="shared" si="53"/>
        <v>0.14285714285714285</v>
      </c>
      <c r="U492" s="8">
        <v>2.80464</v>
      </c>
      <c r="V492">
        <v>16</v>
      </c>
      <c r="W492" s="8">
        <f t="shared" si="54"/>
        <v>0.45714285714285713</v>
      </c>
      <c r="X492" s="8">
        <v>2.8362500000000002</v>
      </c>
      <c r="Y492">
        <v>14</v>
      </c>
      <c r="Z492" s="8">
        <f t="shared" si="55"/>
        <v>0.4</v>
      </c>
      <c r="AA492" s="8">
        <v>2.8321700000000001</v>
      </c>
    </row>
    <row r="493" spans="2:27" ht="15" customHeight="1" x14ac:dyDescent="0.25">
      <c r="B493">
        <v>474</v>
      </c>
      <c r="C493" s="8">
        <v>-12456.944799999999</v>
      </c>
      <c r="D493" s="2">
        <v>-12458.202853999999</v>
      </c>
      <c r="F493" s="12">
        <v>0.99529599999999996</v>
      </c>
      <c r="G493" s="13">
        <v>0.18148999999999901</v>
      </c>
      <c r="H493">
        <v>8</v>
      </c>
      <c r="I493">
        <v>5</v>
      </c>
      <c r="K493" s="8">
        <f t="shared" si="49"/>
        <v>-1.2167923076922307</v>
      </c>
      <c r="L493" s="8">
        <f t="shared" si="50"/>
        <v>-9.3599408284017749E-2</v>
      </c>
      <c r="M493" s="8">
        <f t="shared" si="51"/>
        <v>-1.0988624615365552</v>
      </c>
      <c r="N493" s="8">
        <f t="shared" si="52"/>
        <v>-8.4527881656658088E-2</v>
      </c>
      <c r="O493" s="8"/>
      <c r="P493" t="s">
        <v>781</v>
      </c>
      <c r="Q493">
        <v>34</v>
      </c>
      <c r="R493" s="8">
        <v>2.8204600000000002</v>
      </c>
      <c r="S493">
        <v>4</v>
      </c>
      <c r="T493" s="8">
        <f t="shared" si="53"/>
        <v>0.11764705882352941</v>
      </c>
      <c r="U493" s="8">
        <v>2.7592300000000001</v>
      </c>
      <c r="V493">
        <v>16</v>
      </c>
      <c r="W493" s="8">
        <f t="shared" si="54"/>
        <v>0.47058823529411764</v>
      </c>
      <c r="X493" s="8">
        <v>2.8109299999999999</v>
      </c>
      <c r="Y493">
        <v>14</v>
      </c>
      <c r="Z493" s="8">
        <f t="shared" si="55"/>
        <v>0.41176470588235292</v>
      </c>
      <c r="AA493" s="8">
        <v>2.84883</v>
      </c>
    </row>
    <row r="494" spans="2:27" ht="15" customHeight="1" x14ac:dyDescent="0.25">
      <c r="B494">
        <v>475</v>
      </c>
      <c r="C494" s="8">
        <v>-12456.880300000001</v>
      </c>
      <c r="D494" s="2">
        <v>-12458.191115</v>
      </c>
      <c r="F494" s="12">
        <v>0.99622999999999995</v>
      </c>
      <c r="G494" s="13">
        <v>0.18815000000000001</v>
      </c>
      <c r="H494">
        <v>8</v>
      </c>
      <c r="I494">
        <v>5</v>
      </c>
      <c r="K494" s="8">
        <f t="shared" si="49"/>
        <v>-1.1522923076936422</v>
      </c>
      <c r="L494" s="8">
        <f t="shared" si="50"/>
        <v>-8.8637869822587867E-2</v>
      </c>
      <c r="M494" s="8">
        <f t="shared" si="51"/>
        <v>-1.0871234615369758</v>
      </c>
      <c r="N494" s="8">
        <f t="shared" si="52"/>
        <v>-8.362488165669045E-2</v>
      </c>
      <c r="O494" s="8"/>
      <c r="P494" t="s">
        <v>782</v>
      </c>
      <c r="Q494">
        <v>34</v>
      </c>
      <c r="R494" s="8">
        <v>2.8241399999999999</v>
      </c>
      <c r="S494">
        <v>4</v>
      </c>
      <c r="T494" s="8">
        <f t="shared" si="53"/>
        <v>0.11764705882352941</v>
      </c>
      <c r="U494" s="8">
        <v>2.8031100000000002</v>
      </c>
      <c r="V494">
        <v>20</v>
      </c>
      <c r="W494" s="8">
        <f t="shared" si="54"/>
        <v>0.58823529411764708</v>
      </c>
      <c r="X494" s="8">
        <v>2.8324099999999999</v>
      </c>
      <c r="Y494">
        <v>10</v>
      </c>
      <c r="Z494" s="8">
        <f t="shared" si="55"/>
        <v>0.29411764705882354</v>
      </c>
      <c r="AA494" s="8">
        <v>2.81603</v>
      </c>
    </row>
    <row r="495" spans="2:27" ht="15" customHeight="1" x14ac:dyDescent="0.25">
      <c r="B495">
        <v>476</v>
      </c>
      <c r="C495" s="8">
        <v>-12456.959500000001</v>
      </c>
      <c r="D495" s="2">
        <v>-12458.362636</v>
      </c>
      <c r="F495" s="12">
        <v>0.99696099999999999</v>
      </c>
      <c r="G495" s="13">
        <v>0.19467000000000001</v>
      </c>
      <c r="H495">
        <v>8</v>
      </c>
      <c r="I495">
        <v>5</v>
      </c>
      <c r="K495" s="8">
        <f t="shared" si="49"/>
        <v>-1.2314923076937703</v>
      </c>
      <c r="L495" s="8">
        <f t="shared" si="50"/>
        <v>-9.4730177514905409E-2</v>
      </c>
      <c r="M495" s="8">
        <f t="shared" si="51"/>
        <v>-1.2586444615371875</v>
      </c>
      <c r="N495" s="8">
        <f t="shared" si="52"/>
        <v>-9.6818804733629804E-2</v>
      </c>
      <c r="O495" s="8"/>
      <c r="P495" t="s">
        <v>783</v>
      </c>
      <c r="Q495">
        <v>36</v>
      </c>
      <c r="R495" s="8">
        <v>2.8374600000000001</v>
      </c>
      <c r="S495">
        <v>4</v>
      </c>
      <c r="T495" s="8">
        <f t="shared" si="53"/>
        <v>0.1111111111111111</v>
      </c>
      <c r="U495" s="8">
        <v>2.8267699999999998</v>
      </c>
      <c r="V495">
        <v>21</v>
      </c>
      <c r="W495" s="8">
        <f t="shared" si="54"/>
        <v>0.58333333333333337</v>
      </c>
      <c r="X495" s="8">
        <v>2.8377699999999999</v>
      </c>
      <c r="Y495">
        <v>11</v>
      </c>
      <c r="Z495" s="8">
        <f t="shared" si="55"/>
        <v>0.30555555555555558</v>
      </c>
      <c r="AA495" s="8">
        <v>2.8407800000000001</v>
      </c>
    </row>
    <row r="496" spans="2:27" ht="15" customHeight="1" x14ac:dyDescent="0.25">
      <c r="B496">
        <v>477</v>
      </c>
      <c r="C496" s="8">
        <v>-12456.8946</v>
      </c>
      <c r="D496" s="2">
        <v>-12458.18937</v>
      </c>
      <c r="F496" s="12">
        <v>0.99458000000000002</v>
      </c>
      <c r="G496" s="13">
        <v>0.17746999999999999</v>
      </c>
      <c r="H496">
        <v>8</v>
      </c>
      <c r="I496">
        <v>5</v>
      </c>
      <c r="K496" s="8">
        <f t="shared" si="49"/>
        <v>-1.1665923076925537</v>
      </c>
      <c r="L496" s="8">
        <f t="shared" si="50"/>
        <v>-8.9737869822504132E-2</v>
      </c>
      <c r="M496" s="8">
        <f t="shared" si="51"/>
        <v>-1.0853784615374025</v>
      </c>
      <c r="N496" s="8">
        <f t="shared" si="52"/>
        <v>-8.3490650887492496E-2</v>
      </c>
      <c r="O496" s="8"/>
      <c r="P496" t="s">
        <v>784</v>
      </c>
      <c r="Q496">
        <v>33</v>
      </c>
      <c r="R496" s="8">
        <v>2.81731</v>
      </c>
      <c r="S496">
        <v>3</v>
      </c>
      <c r="T496" s="8">
        <f t="shared" si="53"/>
        <v>9.0909090909090912E-2</v>
      </c>
      <c r="U496" s="8">
        <v>2.8534000000000002</v>
      </c>
      <c r="V496">
        <v>21</v>
      </c>
      <c r="W496" s="8">
        <f t="shared" si="54"/>
        <v>0.63636363636363635</v>
      </c>
      <c r="X496" s="8">
        <v>2.80606</v>
      </c>
      <c r="Y496">
        <v>9</v>
      </c>
      <c r="Z496" s="8">
        <f t="shared" si="55"/>
        <v>0.27272727272727271</v>
      </c>
      <c r="AA496" s="8">
        <v>2.8315299999999999</v>
      </c>
    </row>
    <row r="497" spans="2:27" ht="15" customHeight="1" x14ac:dyDescent="0.25">
      <c r="B497">
        <v>478</v>
      </c>
      <c r="C497" s="8">
        <v>-12456.9624</v>
      </c>
      <c r="D497" s="2">
        <v>-12458.250662</v>
      </c>
      <c r="F497" s="12">
        <v>0.99680800000000003</v>
      </c>
      <c r="G497" s="13">
        <v>0.19316</v>
      </c>
      <c r="H497">
        <v>8</v>
      </c>
      <c r="I497">
        <v>5</v>
      </c>
      <c r="K497" s="8">
        <f t="shared" si="49"/>
        <v>-1.2343923076932697</v>
      </c>
      <c r="L497" s="8">
        <f t="shared" si="50"/>
        <v>-9.4953254437943821E-2</v>
      </c>
      <c r="M497" s="8">
        <f t="shared" si="51"/>
        <v>-1.1466704615377239</v>
      </c>
      <c r="N497" s="8">
        <f t="shared" si="52"/>
        <v>-8.8205420118286457E-2</v>
      </c>
      <c r="O497" s="8"/>
      <c r="P497" t="s">
        <v>785</v>
      </c>
      <c r="Q497">
        <v>35</v>
      </c>
      <c r="R497" s="8">
        <v>2.8317100000000002</v>
      </c>
      <c r="S497">
        <v>3</v>
      </c>
      <c r="T497" s="8">
        <f t="shared" si="53"/>
        <v>8.5714285714285715E-2</v>
      </c>
      <c r="U497" s="8">
        <v>2.9026200000000002</v>
      </c>
      <c r="V497">
        <v>22</v>
      </c>
      <c r="W497" s="8">
        <f t="shared" si="54"/>
        <v>0.62857142857142856</v>
      </c>
      <c r="X497" s="8">
        <v>2.8124899999999999</v>
      </c>
      <c r="Y497">
        <v>10</v>
      </c>
      <c r="Z497" s="8">
        <f t="shared" si="55"/>
        <v>0.2857142857142857</v>
      </c>
      <c r="AA497" s="8">
        <v>2.8527100000000001</v>
      </c>
    </row>
    <row r="498" spans="2:27" ht="15" customHeight="1" x14ac:dyDescent="0.25">
      <c r="B498">
        <v>479</v>
      </c>
      <c r="C498" s="8">
        <v>-12456.908600000001</v>
      </c>
      <c r="D498" s="2">
        <v>-12458.194528</v>
      </c>
      <c r="F498" s="12">
        <v>0.99755499999999997</v>
      </c>
      <c r="G498" s="13">
        <v>0.20115999999999901</v>
      </c>
      <c r="H498">
        <v>8</v>
      </c>
      <c r="I498">
        <v>5</v>
      </c>
      <c r="K498" s="8">
        <f t="shared" si="49"/>
        <v>-1.1805923076935869</v>
      </c>
      <c r="L498" s="8">
        <f t="shared" si="50"/>
        <v>-9.0814792899506683E-2</v>
      </c>
      <c r="M498" s="8">
        <f t="shared" si="51"/>
        <v>-1.0905364615373401</v>
      </c>
      <c r="N498" s="8">
        <f t="shared" si="52"/>
        <v>-8.3887420118256922E-2</v>
      </c>
      <c r="O498" s="8"/>
      <c r="P498" t="s">
        <v>786</v>
      </c>
      <c r="Q498">
        <v>35</v>
      </c>
      <c r="R498" s="8">
        <v>2.83169</v>
      </c>
      <c r="S498">
        <v>4</v>
      </c>
      <c r="T498" s="8">
        <f t="shared" si="53"/>
        <v>0.11428571428571428</v>
      </c>
      <c r="U498" s="8">
        <v>2.79935</v>
      </c>
      <c r="V498">
        <v>18</v>
      </c>
      <c r="W498" s="8">
        <f t="shared" si="54"/>
        <v>0.51428571428571423</v>
      </c>
      <c r="X498" s="8">
        <v>2.83128</v>
      </c>
      <c r="Y498">
        <v>13</v>
      </c>
      <c r="Z498" s="8">
        <f t="shared" si="55"/>
        <v>0.37142857142857144</v>
      </c>
      <c r="AA498" s="8">
        <v>2.8422100000000001</v>
      </c>
    </row>
    <row r="499" spans="2:27" ht="15" customHeight="1" x14ac:dyDescent="0.25">
      <c r="B499">
        <v>480</v>
      </c>
      <c r="C499" s="8">
        <v>-12457.0594</v>
      </c>
      <c r="D499" s="2">
        <v>-12458.340367999999</v>
      </c>
      <c r="F499" s="12">
        <v>0.99576900000000002</v>
      </c>
      <c r="G499" s="13">
        <v>0.18470999999999901</v>
      </c>
      <c r="H499">
        <v>8</v>
      </c>
      <c r="I499">
        <v>5</v>
      </c>
      <c r="K499" s="8">
        <f t="shared" si="49"/>
        <v>-1.3313923076930223</v>
      </c>
      <c r="L499" s="8">
        <f t="shared" si="50"/>
        <v>-0.10241479289946326</v>
      </c>
      <c r="M499" s="8">
        <f t="shared" si="51"/>
        <v>-1.2363764615365653</v>
      </c>
      <c r="N499" s="8">
        <f t="shared" si="52"/>
        <v>-9.5105881656658869E-2</v>
      </c>
      <c r="O499" s="8"/>
      <c r="P499" t="s">
        <v>787</v>
      </c>
      <c r="Q499">
        <v>34</v>
      </c>
      <c r="R499" s="8">
        <v>2.8151199999999998</v>
      </c>
      <c r="S499">
        <v>3</v>
      </c>
      <c r="T499" s="8">
        <f t="shared" si="53"/>
        <v>8.8235294117647065E-2</v>
      </c>
      <c r="U499" s="8">
        <v>2.7974700000000001</v>
      </c>
      <c r="V499">
        <v>18</v>
      </c>
      <c r="W499" s="8">
        <f t="shared" si="54"/>
        <v>0.52941176470588236</v>
      </c>
      <c r="X499" s="8">
        <v>2.7935599999999998</v>
      </c>
      <c r="Y499">
        <v>13</v>
      </c>
      <c r="Z499" s="8">
        <f t="shared" si="55"/>
        <v>0.38235294117647056</v>
      </c>
      <c r="AA499" s="8">
        <v>2.84903</v>
      </c>
    </row>
    <row r="500" spans="2:27" ht="15" customHeight="1" x14ac:dyDescent="0.25">
      <c r="B500">
        <v>481</v>
      </c>
      <c r="C500" s="8">
        <v>-12456.594800000001</v>
      </c>
      <c r="D500" s="2">
        <v>-12458.076673</v>
      </c>
      <c r="F500" s="12">
        <v>0.99614899999999995</v>
      </c>
      <c r="G500" s="13">
        <v>0.187549999999999</v>
      </c>
      <c r="H500">
        <v>8</v>
      </c>
      <c r="I500">
        <v>5</v>
      </c>
      <c r="K500" s="8">
        <f t="shared" si="49"/>
        <v>-0.86679230769368587</v>
      </c>
      <c r="L500" s="8">
        <f t="shared" si="50"/>
        <v>-6.6676331361052762E-2</v>
      </c>
      <c r="M500" s="8">
        <f t="shared" si="51"/>
        <v>-0.97268146153692214</v>
      </c>
      <c r="N500" s="8">
        <f t="shared" si="52"/>
        <v>-7.4821650887455543E-2</v>
      </c>
      <c r="O500" s="8"/>
      <c r="P500" t="s">
        <v>788</v>
      </c>
      <c r="Q500">
        <v>33</v>
      </c>
      <c r="R500" s="8">
        <v>2.8071100000000002</v>
      </c>
      <c r="S500">
        <v>6</v>
      </c>
      <c r="T500" s="8">
        <f t="shared" si="53"/>
        <v>0.18181818181818182</v>
      </c>
      <c r="U500" s="8">
        <v>2.81819</v>
      </c>
      <c r="V500">
        <v>16</v>
      </c>
      <c r="W500" s="8">
        <f t="shared" si="54"/>
        <v>0.48484848484848486</v>
      </c>
      <c r="X500" s="8">
        <v>2.8136999999999999</v>
      </c>
      <c r="Y500">
        <v>11</v>
      </c>
      <c r="Z500" s="8">
        <f t="shared" si="55"/>
        <v>0.33333333333333331</v>
      </c>
      <c r="AA500" s="8">
        <v>2.7914699999999999</v>
      </c>
    </row>
    <row r="501" spans="2:27" ht="15" customHeight="1" x14ac:dyDescent="0.25">
      <c r="B501">
        <v>482</v>
      </c>
      <c r="C501" s="8">
        <v>-12456.458699999999</v>
      </c>
      <c r="D501" s="2">
        <v>-12457.791176999999</v>
      </c>
      <c r="F501" s="12">
        <v>0.995892</v>
      </c>
      <c r="G501" s="13">
        <v>0.18554999999999899</v>
      </c>
      <c r="H501">
        <v>8</v>
      </c>
      <c r="I501">
        <v>5</v>
      </c>
      <c r="K501" s="8">
        <f t="shared" si="49"/>
        <v>-0.7306923076921521</v>
      </c>
      <c r="L501" s="8">
        <f t="shared" si="50"/>
        <v>-5.6207100591704008E-2</v>
      </c>
      <c r="M501" s="8">
        <f t="shared" si="51"/>
        <v>-0.68718546153650095</v>
      </c>
      <c r="N501" s="8">
        <f t="shared" si="52"/>
        <v>-5.2860420118192378E-2</v>
      </c>
      <c r="O501" s="8"/>
      <c r="P501" t="s">
        <v>789</v>
      </c>
      <c r="Q501">
        <v>34</v>
      </c>
      <c r="R501" s="8">
        <v>2.8156699999999999</v>
      </c>
      <c r="S501">
        <v>6</v>
      </c>
      <c r="T501" s="8">
        <f t="shared" si="53"/>
        <v>0.17647058823529413</v>
      </c>
      <c r="U501" s="8">
        <v>2.8182700000000001</v>
      </c>
      <c r="V501">
        <v>15</v>
      </c>
      <c r="W501" s="8">
        <f t="shared" si="54"/>
        <v>0.44117647058823528</v>
      </c>
      <c r="X501" s="8">
        <v>2.8051699999999999</v>
      </c>
      <c r="Y501">
        <v>13</v>
      </c>
      <c r="Z501" s="8">
        <f t="shared" si="55"/>
        <v>0.38235294117647056</v>
      </c>
      <c r="AA501" s="8">
        <v>2.8265899999999999</v>
      </c>
    </row>
    <row r="502" spans="2:27" ht="15" customHeight="1" x14ac:dyDescent="0.25">
      <c r="B502">
        <v>483</v>
      </c>
      <c r="C502" s="8">
        <v>-12456.707</v>
      </c>
      <c r="D502" s="2">
        <v>-12458.156137</v>
      </c>
      <c r="F502" s="12">
        <v>0.997282</v>
      </c>
      <c r="G502" s="13">
        <v>0.19802</v>
      </c>
      <c r="H502">
        <v>8</v>
      </c>
      <c r="I502">
        <v>5</v>
      </c>
      <c r="K502" s="8">
        <f t="shared" si="49"/>
        <v>-0.97899230769326095</v>
      </c>
      <c r="L502" s="8">
        <f t="shared" si="50"/>
        <v>-7.53071005917893E-2</v>
      </c>
      <c r="M502" s="8">
        <f t="shared" si="51"/>
        <v>-1.0521454615372932</v>
      </c>
      <c r="N502" s="8">
        <f t="shared" si="52"/>
        <v>-8.0934266272099473E-2</v>
      </c>
      <c r="O502" s="8"/>
      <c r="P502" t="s">
        <v>790</v>
      </c>
      <c r="Q502">
        <v>34</v>
      </c>
      <c r="R502" s="8">
        <v>2.8197000000000001</v>
      </c>
      <c r="S502">
        <v>6</v>
      </c>
      <c r="T502" s="8">
        <f t="shared" si="53"/>
        <v>0.17647058823529413</v>
      </c>
      <c r="U502" s="8">
        <v>2.8889100000000001</v>
      </c>
      <c r="V502">
        <v>17</v>
      </c>
      <c r="W502" s="8">
        <f t="shared" si="54"/>
        <v>0.5</v>
      </c>
      <c r="X502" s="8">
        <v>2.7939699999999998</v>
      </c>
      <c r="Y502">
        <v>11</v>
      </c>
      <c r="Z502" s="8">
        <f t="shared" si="55"/>
        <v>0.3235294117647059</v>
      </c>
      <c r="AA502" s="8">
        <v>2.82172</v>
      </c>
    </row>
    <row r="503" spans="2:27" ht="15" customHeight="1" x14ac:dyDescent="0.25">
      <c r="B503">
        <v>484</v>
      </c>
      <c r="C503" s="8">
        <v>-12456.4282</v>
      </c>
      <c r="D503" s="2">
        <v>-12457.929268</v>
      </c>
      <c r="F503" s="12">
        <v>0.99757799999999996</v>
      </c>
      <c r="G503" s="13">
        <v>0.20147999999999999</v>
      </c>
      <c r="H503">
        <v>8</v>
      </c>
      <c r="I503">
        <v>5</v>
      </c>
      <c r="K503" s="8">
        <f t="shared" si="49"/>
        <v>-0.70019230769321439</v>
      </c>
      <c r="L503" s="8">
        <f t="shared" si="50"/>
        <v>-5.3860946745631876E-2</v>
      </c>
      <c r="M503" s="8">
        <f t="shared" si="51"/>
        <v>-0.82527646153721435</v>
      </c>
      <c r="N503" s="8">
        <f t="shared" si="52"/>
        <v>-6.3482804733631867E-2</v>
      </c>
      <c r="O503" s="8"/>
      <c r="P503" t="s">
        <v>791</v>
      </c>
      <c r="Q503">
        <v>35</v>
      </c>
      <c r="R503" s="8">
        <v>2.8343400000000001</v>
      </c>
      <c r="S503">
        <v>8</v>
      </c>
      <c r="T503" s="8">
        <f t="shared" si="53"/>
        <v>0.22857142857142856</v>
      </c>
      <c r="U503" s="8">
        <v>2.8696700000000002</v>
      </c>
      <c r="V503">
        <v>16</v>
      </c>
      <c r="W503" s="8">
        <f t="shared" si="54"/>
        <v>0.45714285714285713</v>
      </c>
      <c r="X503" s="8">
        <v>2.8245100000000001</v>
      </c>
      <c r="Y503">
        <v>11</v>
      </c>
      <c r="Z503" s="8">
        <f t="shared" si="55"/>
        <v>0.31428571428571428</v>
      </c>
      <c r="AA503" s="8">
        <v>2.82294</v>
      </c>
    </row>
    <row r="504" spans="2:27" ht="15" customHeight="1" x14ac:dyDescent="0.25">
      <c r="B504">
        <v>485</v>
      </c>
      <c r="C504" s="8">
        <v>-12456.825199999999</v>
      </c>
      <c r="D504" s="2">
        <v>-12458.145337</v>
      </c>
      <c r="F504" s="12">
        <v>0.99579899999999999</v>
      </c>
      <c r="G504" s="13">
        <v>0.18490999999999899</v>
      </c>
      <c r="H504">
        <v>8</v>
      </c>
      <c r="I504">
        <v>5</v>
      </c>
      <c r="K504" s="8">
        <f t="shared" si="49"/>
        <v>-1.0971923076922394</v>
      </c>
      <c r="L504" s="8">
        <f t="shared" si="50"/>
        <v>-8.4399408284018415E-2</v>
      </c>
      <c r="M504" s="8">
        <f t="shared" si="51"/>
        <v>-1.0413454615372757</v>
      </c>
      <c r="N504" s="8">
        <f t="shared" si="52"/>
        <v>-8.0103497041328894E-2</v>
      </c>
      <c r="O504" s="8"/>
      <c r="P504" t="s">
        <v>792</v>
      </c>
      <c r="Q504">
        <v>34</v>
      </c>
      <c r="R504" s="8">
        <v>2.81582</v>
      </c>
      <c r="S504">
        <v>4</v>
      </c>
      <c r="T504" s="8">
        <f t="shared" si="53"/>
        <v>0.11764705882352941</v>
      </c>
      <c r="U504" s="8">
        <v>2.8360400000000001</v>
      </c>
      <c r="V504">
        <v>18</v>
      </c>
      <c r="W504" s="8">
        <f t="shared" si="54"/>
        <v>0.52941176470588236</v>
      </c>
      <c r="X504" s="8">
        <v>2.7979799999999999</v>
      </c>
      <c r="Y504">
        <v>12</v>
      </c>
      <c r="Z504" s="8">
        <f t="shared" si="55"/>
        <v>0.35294117647058826</v>
      </c>
      <c r="AA504" s="8">
        <v>2.8358500000000002</v>
      </c>
    </row>
    <row r="505" spans="2:27" ht="15" customHeight="1" x14ac:dyDescent="0.25">
      <c r="B505">
        <v>486</v>
      </c>
      <c r="C505" s="8">
        <v>-12456.7009</v>
      </c>
      <c r="D505" s="2">
        <v>-12458.1829</v>
      </c>
      <c r="F505" s="12">
        <v>0.99648999999999999</v>
      </c>
      <c r="G505" s="13">
        <v>0.19048000000000001</v>
      </c>
      <c r="H505">
        <v>8</v>
      </c>
      <c r="I505">
        <v>5</v>
      </c>
      <c r="K505" s="8">
        <f t="shared" si="49"/>
        <v>-0.97289230769274582</v>
      </c>
      <c r="L505" s="8">
        <f t="shared" si="50"/>
        <v>-7.4837869822518915E-2</v>
      </c>
      <c r="M505" s="8">
        <f t="shared" si="51"/>
        <v>-1.0789084615371394</v>
      </c>
      <c r="N505" s="8">
        <f t="shared" si="52"/>
        <v>-8.2992958579779952E-2</v>
      </c>
      <c r="O505" s="8"/>
      <c r="P505" t="s">
        <v>793</v>
      </c>
      <c r="Q505">
        <v>34</v>
      </c>
      <c r="R505" s="8">
        <v>2.8139500000000002</v>
      </c>
      <c r="S505">
        <v>5</v>
      </c>
      <c r="T505" s="8">
        <f t="shared" si="53"/>
        <v>0.14705882352941177</v>
      </c>
      <c r="U505" s="8">
        <v>2.7856999999999998</v>
      </c>
      <c r="V505">
        <v>18</v>
      </c>
      <c r="W505" s="8">
        <f t="shared" si="54"/>
        <v>0.52941176470588236</v>
      </c>
      <c r="X505" s="8">
        <v>2.8252899999999999</v>
      </c>
      <c r="Y505">
        <v>11</v>
      </c>
      <c r="Z505" s="8">
        <f t="shared" si="55"/>
        <v>0.3235294117647059</v>
      </c>
      <c r="AA505" s="8">
        <v>2.8082400000000001</v>
      </c>
    </row>
    <row r="506" spans="2:27" ht="15" customHeight="1" x14ac:dyDescent="0.25">
      <c r="B506">
        <v>487</v>
      </c>
      <c r="C506" s="8">
        <v>-12456.801299999999</v>
      </c>
      <c r="D506" s="2">
        <v>-12458.241303999999</v>
      </c>
      <c r="F506" s="12">
        <v>0.99737799999999999</v>
      </c>
      <c r="G506" s="13">
        <v>0.19903999999999999</v>
      </c>
      <c r="H506">
        <v>8</v>
      </c>
      <c r="I506">
        <v>5</v>
      </c>
      <c r="K506" s="8">
        <f t="shared" si="49"/>
        <v>-1.0732923076920997</v>
      </c>
      <c r="L506" s="8">
        <f t="shared" si="50"/>
        <v>-8.2560946745546135E-2</v>
      </c>
      <c r="M506" s="8">
        <f t="shared" si="51"/>
        <v>-1.1373124615365668</v>
      </c>
      <c r="N506" s="8">
        <f t="shared" si="52"/>
        <v>-8.748557396435129E-2</v>
      </c>
      <c r="O506" s="8"/>
      <c r="P506" t="s">
        <v>794</v>
      </c>
      <c r="Q506">
        <v>34</v>
      </c>
      <c r="R506" s="8">
        <v>2.81487</v>
      </c>
      <c r="S506">
        <v>4</v>
      </c>
      <c r="T506" s="8">
        <f t="shared" si="53"/>
        <v>0.11764705882352941</v>
      </c>
      <c r="U506" s="8">
        <v>2.7808199999999998</v>
      </c>
      <c r="V506">
        <v>19</v>
      </c>
      <c r="W506" s="8">
        <f t="shared" si="54"/>
        <v>0.55882352941176472</v>
      </c>
      <c r="X506" s="8">
        <v>2.8089599999999999</v>
      </c>
      <c r="Y506">
        <v>11</v>
      </c>
      <c r="Z506" s="8">
        <f t="shared" si="55"/>
        <v>0.3235294117647059</v>
      </c>
      <c r="AA506" s="8">
        <v>2.8374600000000001</v>
      </c>
    </row>
    <row r="507" spans="2:27" ht="15" customHeight="1" x14ac:dyDescent="0.25">
      <c r="B507">
        <v>488</v>
      </c>
      <c r="C507" s="8">
        <v>-12456.722</v>
      </c>
      <c r="D507" s="2">
        <v>-12458.038424</v>
      </c>
      <c r="F507" s="12">
        <v>0.99749900000000002</v>
      </c>
      <c r="G507" s="13">
        <v>0.20047000000000001</v>
      </c>
      <c r="H507">
        <v>8</v>
      </c>
      <c r="I507">
        <v>5</v>
      </c>
      <c r="K507" s="8">
        <f t="shared" si="49"/>
        <v>-0.99399230769267888</v>
      </c>
      <c r="L507" s="8">
        <f t="shared" si="50"/>
        <v>-7.6460946745590688E-2</v>
      </c>
      <c r="M507" s="8">
        <f t="shared" si="51"/>
        <v>-0.93443246153765358</v>
      </c>
      <c r="N507" s="8">
        <f t="shared" si="52"/>
        <v>-7.1879420118281051E-2</v>
      </c>
      <c r="O507" s="8"/>
      <c r="P507" t="s">
        <v>795</v>
      </c>
      <c r="Q507">
        <v>34</v>
      </c>
      <c r="R507" s="8">
        <v>2.82524</v>
      </c>
      <c r="S507">
        <v>5</v>
      </c>
      <c r="T507" s="8">
        <f t="shared" si="53"/>
        <v>0.14705882352941177</v>
      </c>
      <c r="U507" s="8">
        <v>2.8276699999999999</v>
      </c>
      <c r="V507">
        <v>16</v>
      </c>
      <c r="W507" s="8">
        <f t="shared" si="54"/>
        <v>0.47058823529411764</v>
      </c>
      <c r="X507" s="8">
        <v>2.80226</v>
      </c>
      <c r="Y507">
        <v>13</v>
      </c>
      <c r="Z507" s="8">
        <f t="shared" si="55"/>
        <v>0.38235294117647056</v>
      </c>
      <c r="AA507" s="8">
        <v>2.8525800000000001</v>
      </c>
    </row>
    <row r="508" spans="2:27" ht="15" customHeight="1" x14ac:dyDescent="0.25">
      <c r="B508">
        <v>489</v>
      </c>
      <c r="C508" s="8">
        <v>-12456.8645</v>
      </c>
      <c r="D508" s="2">
        <v>-12458.150556000001</v>
      </c>
      <c r="F508" s="12">
        <v>0.99681200000000003</v>
      </c>
      <c r="G508" s="13">
        <v>0.19319</v>
      </c>
      <c r="H508">
        <v>8</v>
      </c>
      <c r="I508">
        <v>5</v>
      </c>
      <c r="K508" s="8">
        <f t="shared" si="49"/>
        <v>-1.1364923076926061</v>
      </c>
      <c r="L508" s="8">
        <f t="shared" si="50"/>
        <v>-8.7422485207123549E-2</v>
      </c>
      <c r="M508" s="8">
        <f t="shared" si="51"/>
        <v>-1.0465644615378551</v>
      </c>
      <c r="N508" s="8">
        <f t="shared" si="52"/>
        <v>-8.0504958579835001E-2</v>
      </c>
      <c r="O508" s="8"/>
      <c r="P508" t="s">
        <v>796</v>
      </c>
      <c r="Q508">
        <v>34</v>
      </c>
      <c r="R508" s="8">
        <v>2.8240099999999999</v>
      </c>
      <c r="S508">
        <v>4</v>
      </c>
      <c r="T508" s="8">
        <f t="shared" si="53"/>
        <v>0.11764705882352941</v>
      </c>
      <c r="U508" s="8">
        <v>2.82239</v>
      </c>
      <c r="V508">
        <v>18</v>
      </c>
      <c r="W508" s="8">
        <f t="shared" si="54"/>
        <v>0.52941176470588236</v>
      </c>
      <c r="X508" s="8">
        <v>2.8056199999999998</v>
      </c>
      <c r="Y508">
        <v>12</v>
      </c>
      <c r="Z508" s="8">
        <f t="shared" si="55"/>
        <v>0.35294117647058826</v>
      </c>
      <c r="AA508" s="8">
        <v>2.8521299999999998</v>
      </c>
    </row>
    <row r="509" spans="2:27" ht="15" customHeight="1" x14ac:dyDescent="0.25">
      <c r="B509">
        <v>490</v>
      </c>
      <c r="C509" s="8">
        <v>-12456.7875</v>
      </c>
      <c r="D509" s="2">
        <v>-12458.093564999999</v>
      </c>
      <c r="F509" s="12">
        <v>0.99597500000000005</v>
      </c>
      <c r="G509" s="13">
        <v>0.18618999999999999</v>
      </c>
      <c r="H509">
        <v>8</v>
      </c>
      <c r="I509">
        <v>5</v>
      </c>
      <c r="K509" s="8">
        <f t="shared" si="49"/>
        <v>-1.0594923076932901</v>
      </c>
      <c r="L509" s="8">
        <f t="shared" si="50"/>
        <v>-8.149940828409924E-2</v>
      </c>
      <c r="M509" s="8">
        <f t="shared" si="51"/>
        <v>-0.98957346153656545</v>
      </c>
      <c r="N509" s="8">
        <f t="shared" si="52"/>
        <v>-7.6121035502812726E-2</v>
      </c>
      <c r="O509" s="8"/>
      <c r="P509" t="s">
        <v>797</v>
      </c>
      <c r="Q509">
        <v>34</v>
      </c>
      <c r="R509" s="8">
        <v>2.81454</v>
      </c>
      <c r="S509">
        <v>4</v>
      </c>
      <c r="T509" s="8">
        <f t="shared" si="53"/>
        <v>0.11764705882352941</v>
      </c>
      <c r="U509" s="8">
        <v>2.8000600000000002</v>
      </c>
      <c r="V509">
        <v>20</v>
      </c>
      <c r="W509" s="8">
        <f t="shared" si="54"/>
        <v>0.58823529411764708</v>
      </c>
      <c r="X509" s="8">
        <v>2.81779</v>
      </c>
      <c r="Y509">
        <v>10</v>
      </c>
      <c r="Z509" s="8">
        <f t="shared" si="55"/>
        <v>0.29411764705882354</v>
      </c>
      <c r="AA509" s="8">
        <v>2.8138399999999999</v>
      </c>
    </row>
    <row r="510" spans="2:27" ht="15" customHeight="1" x14ac:dyDescent="0.25">
      <c r="B510">
        <v>491</v>
      </c>
      <c r="C510" s="8">
        <v>-12456.532300000001</v>
      </c>
      <c r="D510" s="2">
        <v>-12457.843441999999</v>
      </c>
      <c r="F510" s="12">
        <v>0.99630700000000005</v>
      </c>
      <c r="G510" s="13">
        <v>0.18867999999999899</v>
      </c>
      <c r="H510">
        <v>8</v>
      </c>
      <c r="I510">
        <v>5</v>
      </c>
      <c r="K510" s="8">
        <f t="shared" si="49"/>
        <v>-0.80429230769368587</v>
      </c>
      <c r="L510" s="8">
        <f t="shared" si="50"/>
        <v>-6.1868639053360451E-2</v>
      </c>
      <c r="M510" s="8">
        <f t="shared" si="51"/>
        <v>-0.7394504615367623</v>
      </c>
      <c r="N510" s="8">
        <f t="shared" si="52"/>
        <v>-5.68808047335971E-2</v>
      </c>
      <c r="O510" s="8"/>
      <c r="P510" t="s">
        <v>798</v>
      </c>
      <c r="Q510">
        <v>35</v>
      </c>
      <c r="R510" s="8">
        <v>2.8311600000000001</v>
      </c>
      <c r="S510">
        <v>7</v>
      </c>
      <c r="T510" s="8">
        <f t="shared" si="53"/>
        <v>0.2</v>
      </c>
      <c r="U510" s="8">
        <v>2.8463500000000002</v>
      </c>
      <c r="V510">
        <v>14</v>
      </c>
      <c r="W510" s="8">
        <f t="shared" si="54"/>
        <v>0.4</v>
      </c>
      <c r="X510" s="8">
        <v>2.82897</v>
      </c>
      <c r="Y510">
        <v>14</v>
      </c>
      <c r="Z510" s="8">
        <f t="shared" si="55"/>
        <v>0.4</v>
      </c>
      <c r="AA510" s="8">
        <v>2.8257500000000002</v>
      </c>
    </row>
    <row r="511" spans="2:27" ht="15" customHeight="1" x14ac:dyDescent="0.25">
      <c r="B511">
        <v>492</v>
      </c>
      <c r="C511" s="8">
        <v>-12456.895200000001</v>
      </c>
      <c r="D511" s="2">
        <v>-12458.335379</v>
      </c>
      <c r="F511" s="12">
        <v>0.99631800000000004</v>
      </c>
      <c r="G511" s="13">
        <v>0.18887999999999999</v>
      </c>
      <c r="H511">
        <v>8</v>
      </c>
      <c r="I511">
        <v>5</v>
      </c>
      <c r="K511" s="8">
        <f t="shared" si="49"/>
        <v>-1.1671923076937674</v>
      </c>
      <c r="L511" s="8">
        <f t="shared" si="50"/>
        <v>-8.9784023668751337E-2</v>
      </c>
      <c r="M511" s="8">
        <f t="shared" si="51"/>
        <v>-1.2313874615374516</v>
      </c>
      <c r="N511" s="8">
        <f t="shared" si="52"/>
        <v>-9.4722112425957822E-2</v>
      </c>
      <c r="O511" s="8"/>
      <c r="P511" t="s">
        <v>799</v>
      </c>
      <c r="Q511">
        <v>34</v>
      </c>
      <c r="R511" s="8">
        <v>2.8192599999999999</v>
      </c>
      <c r="S511">
        <v>3</v>
      </c>
      <c r="T511" s="8">
        <f t="shared" si="53"/>
        <v>8.8235294117647065E-2</v>
      </c>
      <c r="U511" s="8">
        <v>2.7889499999999998</v>
      </c>
      <c r="V511">
        <v>20</v>
      </c>
      <c r="W511" s="8">
        <f t="shared" si="54"/>
        <v>0.58823529411764708</v>
      </c>
      <c r="X511" s="8">
        <v>2.8117200000000002</v>
      </c>
      <c r="Y511">
        <v>11</v>
      </c>
      <c r="Z511" s="8">
        <f t="shared" si="55"/>
        <v>0.3235294117647059</v>
      </c>
      <c r="AA511" s="8">
        <v>2.8412299999999999</v>
      </c>
    </row>
    <row r="512" spans="2:27" ht="15" customHeight="1" x14ac:dyDescent="0.25">
      <c r="B512">
        <v>493</v>
      </c>
      <c r="C512" s="8">
        <v>-12456.8033</v>
      </c>
      <c r="D512" s="2">
        <v>-12458.089808000001</v>
      </c>
      <c r="F512" s="12">
        <v>0.99600200000000005</v>
      </c>
      <c r="G512" s="13">
        <v>0.18639</v>
      </c>
      <c r="H512">
        <v>8</v>
      </c>
      <c r="I512">
        <v>5</v>
      </c>
      <c r="K512" s="8">
        <f t="shared" si="49"/>
        <v>-1.0752923076925072</v>
      </c>
      <c r="L512" s="8">
        <f t="shared" si="50"/>
        <v>-8.2714792899423628E-2</v>
      </c>
      <c r="M512" s="8">
        <f t="shared" si="51"/>
        <v>-0.98581646153797919</v>
      </c>
      <c r="N512" s="8">
        <f t="shared" si="52"/>
        <v>-7.5832035502921474E-2</v>
      </c>
      <c r="O512" s="8"/>
      <c r="P512" t="s">
        <v>800</v>
      </c>
      <c r="Q512">
        <v>34</v>
      </c>
      <c r="R512" s="8">
        <v>2.82592</v>
      </c>
      <c r="S512">
        <v>4</v>
      </c>
      <c r="T512" s="8">
        <f t="shared" si="53"/>
        <v>0.11764705882352941</v>
      </c>
      <c r="U512" s="8">
        <v>2.8306800000000001</v>
      </c>
      <c r="V512">
        <v>19</v>
      </c>
      <c r="W512" s="8">
        <f t="shared" si="54"/>
        <v>0.55882352941176472</v>
      </c>
      <c r="X512" s="8">
        <v>2.82436</v>
      </c>
      <c r="Y512">
        <v>11</v>
      </c>
      <c r="Z512" s="8">
        <f t="shared" si="55"/>
        <v>0.3235294117647059</v>
      </c>
      <c r="AA512" s="8">
        <v>2.8268800000000001</v>
      </c>
    </row>
    <row r="513" spans="2:27" ht="15" customHeight="1" x14ac:dyDescent="0.25">
      <c r="B513">
        <v>494</v>
      </c>
      <c r="C513" s="8">
        <v>-12456.979600000001</v>
      </c>
      <c r="D513" s="2">
        <v>-12458.254073</v>
      </c>
      <c r="F513" s="12">
        <v>0.99653499999999995</v>
      </c>
      <c r="G513" s="13">
        <v>0.19069</v>
      </c>
      <c r="H513">
        <v>8</v>
      </c>
      <c r="I513">
        <v>5</v>
      </c>
      <c r="K513" s="8">
        <f t="shared" si="49"/>
        <v>-1.2515923076934996</v>
      </c>
      <c r="L513" s="8">
        <f t="shared" si="50"/>
        <v>-9.6276331361038428E-2</v>
      </c>
      <c r="M513" s="8">
        <f t="shared" si="51"/>
        <v>-1.1500814615374111</v>
      </c>
      <c r="N513" s="8">
        <f t="shared" si="52"/>
        <v>-8.8467804733647001E-2</v>
      </c>
      <c r="O513" s="8"/>
      <c r="P513" t="s">
        <v>801</v>
      </c>
      <c r="Q513">
        <v>34</v>
      </c>
      <c r="R513" s="8">
        <v>2.82138</v>
      </c>
      <c r="S513">
        <v>3</v>
      </c>
      <c r="T513" s="8">
        <f t="shared" si="53"/>
        <v>8.8235294117647065E-2</v>
      </c>
      <c r="U513" s="8">
        <v>2.81379</v>
      </c>
      <c r="V513">
        <v>20</v>
      </c>
      <c r="W513" s="8">
        <f t="shared" si="54"/>
        <v>0.58823529411764708</v>
      </c>
      <c r="X513" s="8">
        <v>2.8036599999999998</v>
      </c>
      <c r="Y513">
        <v>11</v>
      </c>
      <c r="Z513" s="8">
        <f t="shared" si="55"/>
        <v>0.3235294117647059</v>
      </c>
      <c r="AA513" s="8">
        <v>2.85568</v>
      </c>
    </row>
    <row r="514" spans="2:27" ht="15" customHeight="1" x14ac:dyDescent="0.25">
      <c r="B514">
        <v>495</v>
      </c>
      <c r="C514" s="8">
        <v>-12456.8544</v>
      </c>
      <c r="D514" s="2">
        <v>-12458.138403999999</v>
      </c>
      <c r="F514" s="12">
        <v>0.99802800000000003</v>
      </c>
      <c r="G514" s="13">
        <v>0.20751</v>
      </c>
      <c r="H514">
        <v>8</v>
      </c>
      <c r="I514">
        <v>5</v>
      </c>
      <c r="K514" s="8">
        <f t="shared" si="49"/>
        <v>-1.1263923076930951</v>
      </c>
      <c r="L514" s="8">
        <f t="shared" si="50"/>
        <v>-8.664556213023808E-2</v>
      </c>
      <c r="M514" s="8">
        <f t="shared" si="51"/>
        <v>-1.0344124615367036</v>
      </c>
      <c r="N514" s="8">
        <f t="shared" si="52"/>
        <v>-7.9570189348977208E-2</v>
      </c>
      <c r="O514" s="8"/>
      <c r="P514" t="s">
        <v>802</v>
      </c>
      <c r="Q514">
        <v>34</v>
      </c>
      <c r="R514" s="8">
        <v>2.82063</v>
      </c>
      <c r="S514">
        <v>4</v>
      </c>
      <c r="T514" s="8">
        <f t="shared" si="53"/>
        <v>0.11764705882352941</v>
      </c>
      <c r="U514" s="8">
        <v>2.7824499999999999</v>
      </c>
      <c r="V514">
        <v>15</v>
      </c>
      <c r="W514" s="8">
        <f t="shared" si="54"/>
        <v>0.44117647058823528</v>
      </c>
      <c r="X514" s="8">
        <v>2.7945700000000002</v>
      </c>
      <c r="Y514">
        <v>15</v>
      </c>
      <c r="Z514" s="8">
        <f t="shared" si="55"/>
        <v>0.44117647058823528</v>
      </c>
      <c r="AA514" s="8">
        <v>2.8568699999999998</v>
      </c>
    </row>
    <row r="515" spans="2:27" ht="15" customHeight="1" x14ac:dyDescent="0.25">
      <c r="B515">
        <v>496</v>
      </c>
      <c r="C515" s="8">
        <v>-12456.4144</v>
      </c>
      <c r="D515" s="2">
        <v>-12457.774224000001</v>
      </c>
      <c r="F515" s="12">
        <v>0.99334100000000003</v>
      </c>
      <c r="G515" s="13">
        <v>0.17102000000000001</v>
      </c>
      <c r="H515">
        <v>8</v>
      </c>
      <c r="I515">
        <v>5</v>
      </c>
      <c r="K515" s="8">
        <f t="shared" ref="K515:K578" si="56">IF(ISNUMBER(C515),C515-(($C$3-$C$2236)/($H$3-$H$2236)*H515+$C$2236),"")</f>
        <v>-0.68639230769258575</v>
      </c>
      <c r="L515" s="8">
        <f t="shared" ref="L515:L578" si="57">IF(ISNUMBER(C515),K515/(H515+I515),"")</f>
        <v>-5.2799408284045057E-2</v>
      </c>
      <c r="M515" s="8">
        <f t="shared" ref="M515:M578" si="58">IF(ISNUMBER(D515),D515-(($D$3-$D$2236)/($H$3-$H$2236)*H515+$D$2236),"")</f>
        <v>-0.67023246153803484</v>
      </c>
      <c r="N515" s="8">
        <f t="shared" ref="N515:N578" si="59">IF(ISNUMBER(D515),M515/(H515+I515),"")</f>
        <v>-5.1556343195233452E-2</v>
      </c>
      <c r="O515" s="8"/>
      <c r="P515" t="s">
        <v>803</v>
      </c>
      <c r="Q515">
        <v>32</v>
      </c>
      <c r="R515" s="8">
        <v>2.8031999999999999</v>
      </c>
      <c r="S515">
        <v>7</v>
      </c>
      <c r="T515" s="8">
        <f t="shared" ref="T515:T578" si="60">IF(ISNUMBER(S515),S515/(Q515),"")</f>
        <v>0.21875</v>
      </c>
      <c r="U515" s="8">
        <v>2.8250000000000002</v>
      </c>
      <c r="V515">
        <v>11</v>
      </c>
      <c r="W515" s="8">
        <f t="shared" ref="W515:W578" si="61">IF(ISNUMBER(V515),V515/($Q515),"")</f>
        <v>0.34375</v>
      </c>
      <c r="X515" s="8">
        <v>2.7646999999999999</v>
      </c>
      <c r="Y515">
        <v>14</v>
      </c>
      <c r="Z515" s="8">
        <f t="shared" ref="Z515:Z578" si="62">IF(ISNUMBER(Y515),Y515/($Q515),"")</f>
        <v>0.4375</v>
      </c>
      <c r="AA515" s="8">
        <v>2.82254</v>
      </c>
    </row>
    <row r="516" spans="2:27" ht="15" customHeight="1" x14ac:dyDescent="0.25">
      <c r="B516">
        <v>497</v>
      </c>
      <c r="C516" s="8">
        <v>-12456.6507</v>
      </c>
      <c r="D516" s="2">
        <v>-12457.982506</v>
      </c>
      <c r="F516" s="12">
        <v>0.99435600000000002</v>
      </c>
      <c r="G516" s="13">
        <v>0.17612</v>
      </c>
      <c r="H516">
        <v>8</v>
      </c>
      <c r="I516">
        <v>5</v>
      </c>
      <c r="K516" s="8">
        <f t="shared" si="56"/>
        <v>-0.92269230769306887</v>
      </c>
      <c r="L516" s="8">
        <f t="shared" si="57"/>
        <v>-7.0976331361005299E-2</v>
      </c>
      <c r="M516" s="8">
        <f t="shared" si="58"/>
        <v>-0.87851446153763391</v>
      </c>
      <c r="N516" s="8">
        <f t="shared" si="59"/>
        <v>-6.7578035502894915E-2</v>
      </c>
      <c r="O516" s="8"/>
      <c r="P516" t="s">
        <v>804</v>
      </c>
      <c r="Q516">
        <v>35</v>
      </c>
      <c r="R516" s="8">
        <v>2.8336100000000002</v>
      </c>
      <c r="S516">
        <v>6</v>
      </c>
      <c r="T516" s="8">
        <f t="shared" si="60"/>
        <v>0.17142857142857143</v>
      </c>
      <c r="U516" s="8">
        <v>2.8618999999999999</v>
      </c>
      <c r="V516">
        <v>17</v>
      </c>
      <c r="W516" s="8">
        <f t="shared" si="61"/>
        <v>0.48571428571428571</v>
      </c>
      <c r="X516" s="8">
        <v>2.7914099999999999</v>
      </c>
      <c r="Y516">
        <v>12</v>
      </c>
      <c r="Z516" s="8">
        <f t="shared" si="62"/>
        <v>0.34285714285714286</v>
      </c>
      <c r="AA516" s="8">
        <v>2.8792599999999999</v>
      </c>
    </row>
    <row r="517" spans="2:27" ht="15" customHeight="1" x14ac:dyDescent="0.25">
      <c r="B517">
        <v>498</v>
      </c>
      <c r="C517" s="8">
        <v>-12456.735000000001</v>
      </c>
      <c r="D517" s="2">
        <v>-12458.211261</v>
      </c>
      <c r="F517" s="12">
        <v>0.99751400000000001</v>
      </c>
      <c r="G517" s="13">
        <v>0.20066999999999999</v>
      </c>
      <c r="H517">
        <v>8</v>
      </c>
      <c r="I517">
        <v>5</v>
      </c>
      <c r="K517" s="8">
        <f t="shared" si="56"/>
        <v>-1.0069923076935083</v>
      </c>
      <c r="L517" s="8">
        <f t="shared" si="57"/>
        <v>-7.7460946745654485E-2</v>
      </c>
      <c r="M517" s="8">
        <f t="shared" si="58"/>
        <v>-1.1072694615377259</v>
      </c>
      <c r="N517" s="8">
        <f t="shared" si="59"/>
        <v>-8.5174573964440448E-2</v>
      </c>
      <c r="O517" s="8"/>
      <c r="P517" t="s">
        <v>805</v>
      </c>
      <c r="Q517">
        <v>34</v>
      </c>
      <c r="R517" s="8">
        <v>2.82213</v>
      </c>
      <c r="S517">
        <v>6</v>
      </c>
      <c r="T517" s="8">
        <f t="shared" si="60"/>
        <v>0.17647058823529413</v>
      </c>
      <c r="U517" s="8">
        <v>2.8961000000000001</v>
      </c>
      <c r="V517">
        <v>19</v>
      </c>
      <c r="W517" s="8">
        <f t="shared" si="61"/>
        <v>0.55882352941176472</v>
      </c>
      <c r="X517" s="8">
        <v>2.80579</v>
      </c>
      <c r="Y517">
        <v>9</v>
      </c>
      <c r="Z517" s="8">
        <f t="shared" si="62"/>
        <v>0.26470588235294118</v>
      </c>
      <c r="AA517" s="8">
        <v>2.8073000000000001</v>
      </c>
    </row>
    <row r="518" spans="2:27" ht="15" customHeight="1" x14ac:dyDescent="0.25">
      <c r="B518">
        <v>499</v>
      </c>
      <c r="C518" s="8">
        <v>-12456.587</v>
      </c>
      <c r="D518" s="2">
        <v>-12458.047956</v>
      </c>
      <c r="F518" s="12">
        <v>0.99648099999999995</v>
      </c>
      <c r="G518" s="13">
        <v>0.190109999999999</v>
      </c>
      <c r="H518">
        <v>8</v>
      </c>
      <c r="I518">
        <v>5</v>
      </c>
      <c r="K518" s="8">
        <f t="shared" si="56"/>
        <v>-0.8589923076924606</v>
      </c>
      <c r="L518" s="8">
        <f t="shared" si="57"/>
        <v>-6.6076331360958501E-2</v>
      </c>
      <c r="M518" s="8">
        <f t="shared" si="58"/>
        <v>-0.9439644615376892</v>
      </c>
      <c r="N518" s="8">
        <f t="shared" si="59"/>
        <v>-7.2612650887514549E-2</v>
      </c>
      <c r="O518" s="8"/>
      <c r="P518" t="s">
        <v>806</v>
      </c>
      <c r="Q518">
        <v>34</v>
      </c>
      <c r="R518" s="8">
        <v>2.8140499999999999</v>
      </c>
      <c r="S518">
        <v>6</v>
      </c>
      <c r="T518" s="8">
        <f t="shared" si="60"/>
        <v>0.17647058823529413</v>
      </c>
      <c r="U518" s="8">
        <v>2.7864300000000002</v>
      </c>
      <c r="V518">
        <v>14</v>
      </c>
      <c r="W518" s="8">
        <f t="shared" si="61"/>
        <v>0.41176470588235292</v>
      </c>
      <c r="X518" s="8">
        <v>2.7942499999999999</v>
      </c>
      <c r="Y518">
        <v>14</v>
      </c>
      <c r="Z518" s="8">
        <f t="shared" si="62"/>
        <v>0.41176470588235292</v>
      </c>
      <c r="AA518" s="8">
        <v>2.8456899999999998</v>
      </c>
    </row>
    <row r="519" spans="2:27" ht="15" customHeight="1" x14ac:dyDescent="0.25">
      <c r="B519">
        <v>500</v>
      </c>
      <c r="C519" s="8">
        <v>-12456.706099999999</v>
      </c>
      <c r="D519" s="2">
        <v>-12458.016324</v>
      </c>
      <c r="F519" s="12">
        <v>0.99499499999999996</v>
      </c>
      <c r="G519" s="13">
        <v>0.179729999999999</v>
      </c>
      <c r="H519">
        <v>8</v>
      </c>
      <c r="I519">
        <v>5</v>
      </c>
      <c r="K519" s="8">
        <f t="shared" si="56"/>
        <v>-0.97809230769235</v>
      </c>
      <c r="L519" s="8">
        <f t="shared" si="57"/>
        <v>-7.5237869822488465E-2</v>
      </c>
      <c r="M519" s="8">
        <f t="shared" si="58"/>
        <v>-0.91233246153751679</v>
      </c>
      <c r="N519" s="8">
        <f t="shared" si="59"/>
        <v>-7.0179420118270525E-2</v>
      </c>
      <c r="O519" s="8"/>
      <c r="P519" t="s">
        <v>807</v>
      </c>
      <c r="Q519">
        <v>34</v>
      </c>
      <c r="R519" s="8">
        <v>2.82321</v>
      </c>
      <c r="S519">
        <v>5</v>
      </c>
      <c r="T519" s="8">
        <f t="shared" si="60"/>
        <v>0.14705882352941177</v>
      </c>
      <c r="U519" s="8">
        <v>2.8255300000000001</v>
      </c>
      <c r="V519">
        <v>15</v>
      </c>
      <c r="W519" s="8">
        <f t="shared" si="61"/>
        <v>0.44117647058823528</v>
      </c>
      <c r="X519" s="8">
        <v>2.79467</v>
      </c>
      <c r="Y519">
        <v>14</v>
      </c>
      <c r="Z519" s="8">
        <f t="shared" si="62"/>
        <v>0.41176470588235292</v>
      </c>
      <c r="AA519" s="8">
        <v>2.8529499999999999</v>
      </c>
    </row>
    <row r="520" spans="2:27" ht="15" customHeight="1" x14ac:dyDescent="0.25">
      <c r="B520">
        <v>501</v>
      </c>
      <c r="C520" s="8">
        <v>-12456.940699999999</v>
      </c>
      <c r="D520" s="2">
        <v>-12458.2273</v>
      </c>
      <c r="F520" s="12">
        <v>0.99567899999999998</v>
      </c>
      <c r="G520" s="13">
        <v>0.184089999999999</v>
      </c>
      <c r="H520">
        <v>8</v>
      </c>
      <c r="I520">
        <v>5</v>
      </c>
      <c r="K520" s="8">
        <f t="shared" si="56"/>
        <v>-1.212692307692123</v>
      </c>
      <c r="L520" s="8">
        <f t="shared" si="57"/>
        <v>-9.3284023668624844E-2</v>
      </c>
      <c r="M520" s="8">
        <f t="shared" si="58"/>
        <v>-1.1233084615378175</v>
      </c>
      <c r="N520" s="8">
        <f t="shared" si="59"/>
        <v>-8.640834319521673E-2</v>
      </c>
      <c r="O520" s="8"/>
      <c r="P520" t="s">
        <v>808</v>
      </c>
      <c r="Q520">
        <v>32</v>
      </c>
      <c r="R520" s="8">
        <v>2.79575</v>
      </c>
      <c r="S520">
        <v>3</v>
      </c>
      <c r="T520" s="8">
        <f t="shared" si="60"/>
        <v>9.375E-2</v>
      </c>
      <c r="U520" s="8">
        <v>2.7901699999999998</v>
      </c>
      <c r="V520">
        <v>19</v>
      </c>
      <c r="W520" s="8">
        <f t="shared" si="61"/>
        <v>0.59375</v>
      </c>
      <c r="X520" s="8">
        <v>2.7883200000000001</v>
      </c>
      <c r="Y520">
        <v>10</v>
      </c>
      <c r="Z520" s="8">
        <f t="shared" si="62"/>
        <v>0.3125</v>
      </c>
      <c r="AA520" s="8">
        <v>2.8115399999999999</v>
      </c>
    </row>
    <row r="521" spans="2:27" ht="15" customHeight="1" x14ac:dyDescent="0.25">
      <c r="B521">
        <v>502</v>
      </c>
      <c r="C521" s="8">
        <v>-12456.849399999999</v>
      </c>
      <c r="D521" s="2">
        <v>-12458.249474</v>
      </c>
      <c r="F521" s="12">
        <v>0.99588900000000002</v>
      </c>
      <c r="G521" s="13">
        <v>0.185419999999999</v>
      </c>
      <c r="H521">
        <v>8</v>
      </c>
      <c r="I521">
        <v>5</v>
      </c>
      <c r="K521" s="8">
        <f t="shared" si="56"/>
        <v>-1.1213923076920764</v>
      </c>
      <c r="L521" s="8">
        <f t="shared" si="57"/>
        <v>-8.626094674554434E-2</v>
      </c>
      <c r="M521" s="8">
        <f t="shared" si="58"/>
        <v>-1.1454824615375401</v>
      </c>
      <c r="N521" s="8">
        <f t="shared" si="59"/>
        <v>-8.8114035502887697E-2</v>
      </c>
      <c r="O521" s="8"/>
      <c r="P521" t="s">
        <v>809</v>
      </c>
      <c r="Q521">
        <v>34</v>
      </c>
      <c r="R521" s="8">
        <v>2.8211499999999998</v>
      </c>
      <c r="S521">
        <v>5</v>
      </c>
      <c r="T521" s="8">
        <f t="shared" si="60"/>
        <v>0.14705882352941177</v>
      </c>
      <c r="U521" s="8">
        <v>2.8369300000000002</v>
      </c>
      <c r="V521">
        <v>18</v>
      </c>
      <c r="W521" s="8">
        <f t="shared" si="61"/>
        <v>0.52941176470588236</v>
      </c>
      <c r="X521" s="8">
        <v>2.8118099999999999</v>
      </c>
      <c r="Y521">
        <v>11</v>
      </c>
      <c r="Z521" s="8">
        <f t="shared" si="62"/>
        <v>0.3235294117647059</v>
      </c>
      <c r="AA521" s="8">
        <v>2.8292700000000002</v>
      </c>
    </row>
    <row r="522" spans="2:27" ht="15" customHeight="1" x14ac:dyDescent="0.25">
      <c r="B522">
        <v>503</v>
      </c>
      <c r="C522" s="8">
        <v>-12456.945400000001</v>
      </c>
      <c r="D522" s="2">
        <v>-12458.229934000001</v>
      </c>
      <c r="F522" s="12">
        <v>0.995923</v>
      </c>
      <c r="G522" s="13">
        <v>0.18568999999999999</v>
      </c>
      <c r="H522">
        <v>8</v>
      </c>
      <c r="I522">
        <v>5</v>
      </c>
      <c r="K522" s="8">
        <f t="shared" si="56"/>
        <v>-1.2173923076934443</v>
      </c>
      <c r="L522" s="8">
        <f t="shared" si="57"/>
        <v>-9.3645562130264953E-2</v>
      </c>
      <c r="M522" s="8">
        <f t="shared" si="58"/>
        <v>-1.1259424615382159</v>
      </c>
      <c r="N522" s="8">
        <f t="shared" si="59"/>
        <v>-8.6610958579862757E-2</v>
      </c>
      <c r="O522" s="8"/>
      <c r="P522" t="s">
        <v>810</v>
      </c>
      <c r="Q522">
        <v>34</v>
      </c>
      <c r="R522" s="8">
        <v>2.82213</v>
      </c>
      <c r="S522">
        <v>3</v>
      </c>
      <c r="T522" s="8">
        <f t="shared" si="60"/>
        <v>8.8235294117647065E-2</v>
      </c>
      <c r="U522" s="8">
        <v>2.7522899999999999</v>
      </c>
      <c r="V522">
        <v>20</v>
      </c>
      <c r="W522" s="8">
        <f t="shared" si="61"/>
        <v>0.58823529411764708</v>
      </c>
      <c r="X522" s="8">
        <v>2.8198500000000002</v>
      </c>
      <c r="Y522">
        <v>11</v>
      </c>
      <c r="Z522" s="8">
        <f t="shared" si="62"/>
        <v>0.3235294117647059</v>
      </c>
      <c r="AA522" s="8">
        <v>2.8453499999999998</v>
      </c>
    </row>
    <row r="523" spans="2:27" ht="15" customHeight="1" x14ac:dyDescent="0.25">
      <c r="B523">
        <v>504</v>
      </c>
      <c r="C523" s="8">
        <v>-12456.918799999999</v>
      </c>
      <c r="D523" s="2">
        <v>-12458.191524</v>
      </c>
      <c r="F523" s="12">
        <v>0.99819800000000003</v>
      </c>
      <c r="G523" s="13">
        <v>0.21043000000000001</v>
      </c>
      <c r="H523">
        <v>8</v>
      </c>
      <c r="I523">
        <v>5</v>
      </c>
      <c r="K523" s="8">
        <f t="shared" si="56"/>
        <v>-1.1907923076923908</v>
      </c>
      <c r="L523" s="8">
        <f t="shared" si="57"/>
        <v>-9.1599408284030057E-2</v>
      </c>
      <c r="M523" s="8">
        <f t="shared" si="58"/>
        <v>-1.0875324615371937</v>
      </c>
      <c r="N523" s="8">
        <f t="shared" si="59"/>
        <v>-8.365634319516875E-2</v>
      </c>
      <c r="O523" s="8"/>
      <c r="P523" t="s">
        <v>811</v>
      </c>
      <c r="Q523">
        <v>32</v>
      </c>
      <c r="R523" s="8">
        <v>2.7983799999999999</v>
      </c>
      <c r="S523">
        <v>4</v>
      </c>
      <c r="T523" s="8">
        <f t="shared" si="60"/>
        <v>0.125</v>
      </c>
      <c r="U523" s="8">
        <v>2.8297599999999998</v>
      </c>
      <c r="V523">
        <v>15</v>
      </c>
      <c r="W523" s="8">
        <f t="shared" si="61"/>
        <v>0.46875</v>
      </c>
      <c r="X523" s="8">
        <v>2.7778999999999998</v>
      </c>
      <c r="Y523">
        <v>13</v>
      </c>
      <c r="Z523" s="8">
        <f t="shared" si="62"/>
        <v>0.40625</v>
      </c>
      <c r="AA523" s="8">
        <v>2.8123499999999999</v>
      </c>
    </row>
    <row r="524" spans="2:27" ht="15" customHeight="1" x14ac:dyDescent="0.25">
      <c r="B524">
        <v>505</v>
      </c>
      <c r="C524" s="8">
        <v>-12456.666499999999</v>
      </c>
      <c r="D524" s="2">
        <v>-12458.026051000001</v>
      </c>
      <c r="F524" s="12">
        <v>0.995753</v>
      </c>
      <c r="G524" s="13">
        <v>0.184559999999999</v>
      </c>
      <c r="H524">
        <v>8</v>
      </c>
      <c r="I524">
        <v>5</v>
      </c>
      <c r="K524" s="8">
        <f t="shared" si="56"/>
        <v>-0.93849230769228598</v>
      </c>
      <c r="L524" s="8">
        <f t="shared" si="57"/>
        <v>-7.2191715976329687E-2</v>
      </c>
      <c r="M524" s="8">
        <f t="shared" si="58"/>
        <v>-0.92205946153808327</v>
      </c>
      <c r="N524" s="8">
        <f t="shared" si="59"/>
        <v>-7.0927650887544866E-2</v>
      </c>
      <c r="O524" s="8"/>
      <c r="P524" t="s">
        <v>812</v>
      </c>
      <c r="Q524">
        <v>34</v>
      </c>
      <c r="R524" s="8">
        <v>2.8181099999999999</v>
      </c>
      <c r="S524">
        <v>6</v>
      </c>
      <c r="T524" s="8">
        <f t="shared" si="60"/>
        <v>0.17647058823529413</v>
      </c>
      <c r="U524" s="8">
        <v>2.8313700000000002</v>
      </c>
      <c r="V524">
        <v>17</v>
      </c>
      <c r="W524" s="8">
        <f t="shared" si="61"/>
        <v>0.5</v>
      </c>
      <c r="X524" s="8">
        <v>2.8266399999999998</v>
      </c>
      <c r="Y524">
        <v>11</v>
      </c>
      <c r="Z524" s="8">
        <f t="shared" si="62"/>
        <v>0.3235294117647059</v>
      </c>
      <c r="AA524" s="8">
        <v>2.7976700000000001</v>
      </c>
    </row>
    <row r="525" spans="2:27" ht="15" customHeight="1" x14ac:dyDescent="0.25">
      <c r="B525">
        <v>506</v>
      </c>
      <c r="C525" s="8">
        <v>-12456.6988</v>
      </c>
      <c r="D525" s="2">
        <v>-12458.183287</v>
      </c>
      <c r="F525" s="12">
        <v>0.99263900000000005</v>
      </c>
      <c r="G525" s="13">
        <v>0.16802999999999901</v>
      </c>
      <c r="H525">
        <v>8</v>
      </c>
      <c r="I525">
        <v>5</v>
      </c>
      <c r="K525" s="8">
        <f t="shared" si="56"/>
        <v>-0.97079230769304559</v>
      </c>
      <c r="L525" s="8">
        <f t="shared" si="57"/>
        <v>-7.4676331361003503E-2</v>
      </c>
      <c r="M525" s="8">
        <f t="shared" si="58"/>
        <v>-1.0792954615371855</v>
      </c>
      <c r="N525" s="8">
        <f t="shared" si="59"/>
        <v>-8.3022727810552727E-2</v>
      </c>
      <c r="O525" s="8"/>
      <c r="P525" t="s">
        <v>813</v>
      </c>
      <c r="Q525">
        <v>34</v>
      </c>
      <c r="R525" s="8">
        <v>2.8243</v>
      </c>
      <c r="S525">
        <v>5</v>
      </c>
      <c r="T525" s="8">
        <f t="shared" si="60"/>
        <v>0.14705882352941177</v>
      </c>
      <c r="U525" s="8">
        <v>2.8791799999999999</v>
      </c>
      <c r="V525">
        <v>18</v>
      </c>
      <c r="W525" s="8">
        <f t="shared" si="61"/>
        <v>0.52941176470588236</v>
      </c>
      <c r="X525" s="8">
        <v>2.7897400000000001</v>
      </c>
      <c r="Y525">
        <v>11</v>
      </c>
      <c r="Z525" s="8">
        <f t="shared" si="62"/>
        <v>0.3235294117647059</v>
      </c>
      <c r="AA525" s="8">
        <v>2.8559000000000001</v>
      </c>
    </row>
    <row r="526" spans="2:27" ht="15" customHeight="1" x14ac:dyDescent="0.25">
      <c r="B526">
        <v>507</v>
      </c>
      <c r="C526" s="8">
        <v>-12456.7359</v>
      </c>
      <c r="D526" s="2">
        <v>-12458.070436</v>
      </c>
      <c r="F526" s="12">
        <v>0.99821300000000002</v>
      </c>
      <c r="G526" s="13">
        <v>0.209419999999999</v>
      </c>
      <c r="H526">
        <v>8</v>
      </c>
      <c r="I526">
        <v>5</v>
      </c>
      <c r="K526" s="8">
        <f t="shared" si="56"/>
        <v>-1.0078923076926003</v>
      </c>
      <c r="L526" s="8">
        <f t="shared" si="57"/>
        <v>-7.7530177514815404E-2</v>
      </c>
      <c r="M526" s="8">
        <f t="shared" si="58"/>
        <v>-0.96644446153732133</v>
      </c>
      <c r="N526" s="8">
        <f t="shared" si="59"/>
        <v>-7.4341881656717027E-2</v>
      </c>
      <c r="O526" s="8"/>
      <c r="P526" t="s">
        <v>814</v>
      </c>
      <c r="Q526">
        <v>34</v>
      </c>
      <c r="R526" s="8">
        <v>2.8197399999999999</v>
      </c>
      <c r="S526">
        <v>5</v>
      </c>
      <c r="T526" s="8">
        <f t="shared" si="60"/>
        <v>0.14705882352941177</v>
      </c>
      <c r="U526" s="8">
        <v>2.8676699999999999</v>
      </c>
      <c r="V526">
        <v>19</v>
      </c>
      <c r="W526" s="8">
        <f t="shared" si="61"/>
        <v>0.55882352941176472</v>
      </c>
      <c r="X526" s="8">
        <v>2.8203999999999998</v>
      </c>
      <c r="Y526">
        <v>10</v>
      </c>
      <c r="Z526" s="8">
        <f t="shared" si="62"/>
        <v>0.29411764705882354</v>
      </c>
      <c r="AA526" s="8">
        <v>2.79453</v>
      </c>
    </row>
    <row r="527" spans="2:27" ht="15" customHeight="1" x14ac:dyDescent="0.25">
      <c r="B527">
        <v>508</v>
      </c>
      <c r="C527" s="8">
        <v>-12456.709000000001</v>
      </c>
      <c r="D527" s="2">
        <v>-12458.164172999999</v>
      </c>
      <c r="F527" s="12">
        <v>0.99608099999999999</v>
      </c>
      <c r="G527" s="13">
        <v>0.18695999999999999</v>
      </c>
      <c r="H527">
        <v>8</v>
      </c>
      <c r="I527">
        <v>5</v>
      </c>
      <c r="K527" s="8">
        <f t="shared" si="56"/>
        <v>-0.98099230769366841</v>
      </c>
      <c r="L527" s="8">
        <f t="shared" si="57"/>
        <v>-7.5460946745666807E-2</v>
      </c>
      <c r="M527" s="8">
        <f t="shared" si="58"/>
        <v>-1.0601814615365583</v>
      </c>
      <c r="N527" s="8">
        <f t="shared" si="59"/>
        <v>-8.15524201181968E-2</v>
      </c>
      <c r="O527" s="8"/>
      <c r="P527" t="s">
        <v>815</v>
      </c>
      <c r="Q527">
        <v>34</v>
      </c>
      <c r="R527" s="8">
        <v>2.8220299999999998</v>
      </c>
      <c r="S527">
        <v>5</v>
      </c>
      <c r="T527" s="8">
        <f t="shared" si="60"/>
        <v>0.14705882352941177</v>
      </c>
      <c r="U527" s="8">
        <v>2.84599</v>
      </c>
      <c r="V527">
        <v>17</v>
      </c>
      <c r="W527" s="8">
        <f t="shared" si="61"/>
        <v>0.5</v>
      </c>
      <c r="X527" s="8">
        <v>2.8187500000000001</v>
      </c>
      <c r="Y527">
        <v>12</v>
      </c>
      <c r="Z527" s="8">
        <f t="shared" si="62"/>
        <v>0.35294117647058826</v>
      </c>
      <c r="AA527" s="8">
        <v>2.8166899999999999</v>
      </c>
    </row>
    <row r="528" spans="2:27" ht="15" customHeight="1" x14ac:dyDescent="0.25">
      <c r="B528">
        <v>509</v>
      </c>
      <c r="C528" s="8">
        <v>-12456.8508</v>
      </c>
      <c r="D528" s="2">
        <v>-12458.202998999999</v>
      </c>
      <c r="F528" s="12">
        <v>0.99571600000000005</v>
      </c>
      <c r="G528" s="13">
        <v>0.18432999999999899</v>
      </c>
      <c r="H528">
        <v>8</v>
      </c>
      <c r="I528">
        <v>5</v>
      </c>
      <c r="K528" s="8">
        <f t="shared" si="56"/>
        <v>-1.1227923076930892</v>
      </c>
      <c r="L528" s="8">
        <f t="shared" si="57"/>
        <v>-8.6368639053314558E-2</v>
      </c>
      <c r="M528" s="8">
        <f t="shared" si="58"/>
        <v>-1.0990074615365302</v>
      </c>
      <c r="N528" s="8">
        <f t="shared" si="59"/>
        <v>-8.4539035502810014E-2</v>
      </c>
      <c r="O528" s="8"/>
      <c r="P528" t="s">
        <v>816</v>
      </c>
      <c r="Q528">
        <v>34</v>
      </c>
      <c r="R528" s="8">
        <v>2.8217699999999999</v>
      </c>
      <c r="S528">
        <v>4</v>
      </c>
      <c r="T528" s="8">
        <f t="shared" si="60"/>
        <v>0.11764705882352941</v>
      </c>
      <c r="U528" s="8">
        <v>2.8212299999999999</v>
      </c>
      <c r="V528">
        <v>18</v>
      </c>
      <c r="W528" s="8">
        <f t="shared" si="61"/>
        <v>0.52941176470588236</v>
      </c>
      <c r="X528" s="8">
        <v>2.8251499999999998</v>
      </c>
      <c r="Y528">
        <v>12</v>
      </c>
      <c r="Z528" s="8">
        <f t="shared" si="62"/>
        <v>0.35294117647058826</v>
      </c>
      <c r="AA528" s="8">
        <v>2.8168700000000002</v>
      </c>
    </row>
    <row r="529" spans="2:27" ht="15" customHeight="1" x14ac:dyDescent="0.25">
      <c r="B529">
        <v>510</v>
      </c>
      <c r="C529" s="8">
        <v>-12456.7552</v>
      </c>
      <c r="D529" s="2">
        <v>-12458.231673</v>
      </c>
      <c r="F529" s="12">
        <v>0.99545499999999998</v>
      </c>
      <c r="G529" s="13">
        <v>0.18257000000000001</v>
      </c>
      <c r="H529">
        <v>8</v>
      </c>
      <c r="I529">
        <v>5</v>
      </c>
      <c r="K529" s="8">
        <f t="shared" si="56"/>
        <v>-1.0271923076925304</v>
      </c>
      <c r="L529" s="8">
        <f t="shared" si="57"/>
        <v>-7.9014792899425423E-2</v>
      </c>
      <c r="M529" s="8">
        <f t="shared" si="58"/>
        <v>-1.127681461537577</v>
      </c>
      <c r="N529" s="8">
        <f t="shared" si="59"/>
        <v>-8.6744727810582845E-2</v>
      </c>
      <c r="O529" s="8"/>
      <c r="P529" t="s">
        <v>817</v>
      </c>
      <c r="Q529">
        <v>34</v>
      </c>
      <c r="R529" s="8">
        <v>2.8153700000000002</v>
      </c>
      <c r="S529">
        <v>3</v>
      </c>
      <c r="T529" s="8">
        <f t="shared" si="60"/>
        <v>8.8235294117647065E-2</v>
      </c>
      <c r="U529" s="8">
        <v>2.8361900000000002</v>
      </c>
      <c r="V529">
        <v>21</v>
      </c>
      <c r="W529" s="8">
        <f t="shared" si="61"/>
        <v>0.61764705882352944</v>
      </c>
      <c r="X529" s="8">
        <v>2.8061199999999999</v>
      </c>
      <c r="Y529">
        <v>10</v>
      </c>
      <c r="Z529" s="8">
        <f t="shared" si="62"/>
        <v>0.29411764705882354</v>
      </c>
      <c r="AA529" s="8">
        <v>2.82856</v>
      </c>
    </row>
    <row r="530" spans="2:27" ht="15" customHeight="1" x14ac:dyDescent="0.25">
      <c r="B530">
        <v>511</v>
      </c>
      <c r="C530" s="8">
        <v>-12456.696400000001</v>
      </c>
      <c r="D530" s="2">
        <v>-12458.018891</v>
      </c>
      <c r="F530" s="12">
        <v>0.99588299999999996</v>
      </c>
      <c r="G530" s="13">
        <v>0.18548999999999999</v>
      </c>
      <c r="H530">
        <v>8</v>
      </c>
      <c r="I530">
        <v>5</v>
      </c>
      <c r="K530" s="8">
        <f t="shared" si="56"/>
        <v>-0.96839230769364804</v>
      </c>
      <c r="L530" s="8">
        <f t="shared" si="57"/>
        <v>-7.4491715976434461E-2</v>
      </c>
      <c r="M530" s="8">
        <f t="shared" si="58"/>
        <v>-0.91489946153706114</v>
      </c>
      <c r="N530" s="8">
        <f t="shared" si="59"/>
        <v>-7.0376881656697005E-2</v>
      </c>
      <c r="O530" s="8"/>
      <c r="P530" t="s">
        <v>818</v>
      </c>
      <c r="Q530">
        <v>34</v>
      </c>
      <c r="R530" s="8">
        <v>2.8165499999999999</v>
      </c>
      <c r="S530">
        <v>5</v>
      </c>
      <c r="T530" s="8">
        <f t="shared" si="60"/>
        <v>0.14705882352941177</v>
      </c>
      <c r="U530" s="8">
        <v>2.8486500000000001</v>
      </c>
      <c r="V530">
        <v>18</v>
      </c>
      <c r="W530" s="8">
        <f t="shared" si="61"/>
        <v>0.52941176470588236</v>
      </c>
      <c r="X530" s="8">
        <v>2.7928700000000002</v>
      </c>
      <c r="Y530">
        <v>11</v>
      </c>
      <c r="Z530" s="8">
        <f t="shared" si="62"/>
        <v>0.3235294117647059</v>
      </c>
      <c r="AA530" s="8">
        <v>2.8407</v>
      </c>
    </row>
    <row r="531" spans="2:27" ht="15" customHeight="1" x14ac:dyDescent="0.25">
      <c r="B531">
        <v>512</v>
      </c>
      <c r="C531" s="8">
        <v>-12456.822099999999</v>
      </c>
      <c r="D531" s="2">
        <v>-12458.124338</v>
      </c>
      <c r="F531" s="12">
        <v>0.99654100000000001</v>
      </c>
      <c r="G531" s="13">
        <v>0.19077999999999901</v>
      </c>
      <c r="H531">
        <v>8</v>
      </c>
      <c r="I531">
        <v>5</v>
      </c>
      <c r="K531" s="8">
        <f t="shared" si="56"/>
        <v>-1.0940923076923355</v>
      </c>
      <c r="L531" s="8">
        <f t="shared" si="57"/>
        <v>-8.4160946745564263E-2</v>
      </c>
      <c r="M531" s="8">
        <f t="shared" si="58"/>
        <v>-1.0203464615369739</v>
      </c>
      <c r="N531" s="8">
        <f t="shared" si="59"/>
        <v>-7.8488189348997997E-2</v>
      </c>
      <c r="O531" s="8"/>
      <c r="P531" t="s">
        <v>819</v>
      </c>
      <c r="Q531">
        <v>34</v>
      </c>
      <c r="R531" s="8">
        <v>2.8220999999999998</v>
      </c>
      <c r="S531">
        <v>3</v>
      </c>
      <c r="T531" s="8">
        <f t="shared" si="60"/>
        <v>8.8235294117647065E-2</v>
      </c>
      <c r="U531" s="8">
        <v>2.9491800000000001</v>
      </c>
      <c r="V531">
        <v>20</v>
      </c>
      <c r="W531" s="8">
        <f t="shared" si="61"/>
        <v>0.58823529411764708</v>
      </c>
      <c r="X531" s="8">
        <v>2.7913199999999998</v>
      </c>
      <c r="Y531">
        <v>11</v>
      </c>
      <c r="Z531" s="8">
        <f t="shared" si="62"/>
        <v>0.3235294117647059</v>
      </c>
      <c r="AA531" s="8">
        <v>2.84341</v>
      </c>
    </row>
    <row r="532" spans="2:27" ht="15" customHeight="1" x14ac:dyDescent="0.25">
      <c r="B532">
        <v>513</v>
      </c>
      <c r="C532" s="8">
        <v>-12456.706899999999</v>
      </c>
      <c r="D532" s="2">
        <v>-12458.153926999999</v>
      </c>
      <c r="F532" s="12">
        <v>0.99571600000000005</v>
      </c>
      <c r="G532" s="13">
        <v>0.18434</v>
      </c>
      <c r="H532">
        <v>8</v>
      </c>
      <c r="I532">
        <v>5</v>
      </c>
      <c r="K532" s="8">
        <f t="shared" si="56"/>
        <v>-0.97889230769214919</v>
      </c>
      <c r="L532" s="8">
        <f t="shared" si="57"/>
        <v>-7.5299408284011479E-2</v>
      </c>
      <c r="M532" s="8">
        <f t="shared" si="58"/>
        <v>-1.0499354615367338</v>
      </c>
      <c r="N532" s="8">
        <f t="shared" si="59"/>
        <v>-8.0764266272056448E-2</v>
      </c>
      <c r="O532" s="8"/>
      <c r="P532" t="s">
        <v>820</v>
      </c>
      <c r="Q532">
        <v>34</v>
      </c>
      <c r="R532" s="8">
        <v>2.8199299999999998</v>
      </c>
      <c r="S532">
        <v>4</v>
      </c>
      <c r="T532" s="8">
        <f t="shared" si="60"/>
        <v>0.11764705882352941</v>
      </c>
      <c r="U532" s="8">
        <v>2.83786</v>
      </c>
      <c r="V532">
        <v>18</v>
      </c>
      <c r="W532" s="8">
        <f t="shared" si="61"/>
        <v>0.52941176470588236</v>
      </c>
      <c r="X532" s="8">
        <v>2.8109299999999999</v>
      </c>
      <c r="Y532">
        <v>12</v>
      </c>
      <c r="Z532" s="8">
        <f t="shared" si="62"/>
        <v>0.35294117647058826</v>
      </c>
      <c r="AA532" s="8">
        <v>2.8274699999999999</v>
      </c>
    </row>
    <row r="533" spans="2:27" ht="15" customHeight="1" x14ac:dyDescent="0.25">
      <c r="B533">
        <v>514</v>
      </c>
      <c r="C533" s="8">
        <v>-12456.858099999999</v>
      </c>
      <c r="D533" s="2">
        <v>-12458.173483</v>
      </c>
      <c r="F533" s="12">
        <v>0.99547200000000002</v>
      </c>
      <c r="G533" s="13">
        <v>0.18265999999999999</v>
      </c>
      <c r="H533">
        <v>8</v>
      </c>
      <c r="I533">
        <v>5</v>
      </c>
      <c r="K533" s="8">
        <f t="shared" si="56"/>
        <v>-1.1300923076923937</v>
      </c>
      <c r="L533" s="8">
        <f t="shared" si="57"/>
        <v>-8.6930177514799506E-2</v>
      </c>
      <c r="M533" s="8">
        <f t="shared" si="58"/>
        <v>-1.0694914615378366</v>
      </c>
      <c r="N533" s="8">
        <f t="shared" si="59"/>
        <v>-8.2268573964448963E-2</v>
      </c>
      <c r="O533" s="8"/>
      <c r="P533" t="s">
        <v>821</v>
      </c>
      <c r="Q533">
        <v>34</v>
      </c>
      <c r="R533" s="8">
        <v>2.8165499999999999</v>
      </c>
      <c r="S533">
        <v>4</v>
      </c>
      <c r="T533" s="8">
        <f t="shared" si="60"/>
        <v>0.11764705882352941</v>
      </c>
      <c r="U533" s="8">
        <v>2.82687</v>
      </c>
      <c r="V533">
        <v>21</v>
      </c>
      <c r="W533" s="8">
        <f t="shared" si="61"/>
        <v>0.61764705882352944</v>
      </c>
      <c r="X533" s="8">
        <v>2.82307</v>
      </c>
      <c r="Y533">
        <v>9</v>
      </c>
      <c r="Z533" s="8">
        <f t="shared" si="62"/>
        <v>0.26470588235294118</v>
      </c>
      <c r="AA533" s="8">
        <v>2.79677</v>
      </c>
    </row>
    <row r="534" spans="2:27" ht="15" customHeight="1" x14ac:dyDescent="0.25">
      <c r="B534">
        <v>515</v>
      </c>
      <c r="C534" s="8">
        <v>-12456.8122</v>
      </c>
      <c r="D534" s="2">
        <v>-12458.100015</v>
      </c>
      <c r="F534" s="12">
        <v>0.99535300000000004</v>
      </c>
      <c r="G534" s="13">
        <v>0.18187999999999999</v>
      </c>
      <c r="H534">
        <v>8</v>
      </c>
      <c r="I534">
        <v>5</v>
      </c>
      <c r="K534" s="8">
        <f t="shared" si="56"/>
        <v>-1.0841923076932289</v>
      </c>
      <c r="L534" s="8">
        <f t="shared" si="57"/>
        <v>-8.3399408284094534E-2</v>
      </c>
      <c r="M534" s="8">
        <f t="shared" si="58"/>
        <v>-0.99602346153733379</v>
      </c>
      <c r="N534" s="8">
        <f t="shared" si="59"/>
        <v>-7.6617189349025672E-2</v>
      </c>
      <c r="O534" s="8"/>
      <c r="P534" t="s">
        <v>822</v>
      </c>
      <c r="Q534">
        <v>34</v>
      </c>
      <c r="R534" s="8">
        <v>2.8225500000000001</v>
      </c>
      <c r="S534">
        <v>3</v>
      </c>
      <c r="T534" s="8">
        <f t="shared" si="60"/>
        <v>8.8235294117647065E-2</v>
      </c>
      <c r="U534" s="8">
        <v>2.7569400000000002</v>
      </c>
      <c r="V534">
        <v>18</v>
      </c>
      <c r="W534" s="8">
        <f t="shared" si="61"/>
        <v>0.52941176470588236</v>
      </c>
      <c r="X534" s="8">
        <v>2.8151099999999998</v>
      </c>
      <c r="Y534">
        <v>13</v>
      </c>
      <c r="Z534" s="8">
        <f t="shared" si="62"/>
        <v>0.38235294117647056</v>
      </c>
      <c r="AA534" s="8">
        <v>2.8479899999999998</v>
      </c>
    </row>
    <row r="535" spans="2:27" ht="15" customHeight="1" x14ac:dyDescent="0.25">
      <c r="B535">
        <v>516</v>
      </c>
      <c r="C535" s="8">
        <v>-12456.921797000001</v>
      </c>
      <c r="D535" s="2">
        <v>-12458.317089</v>
      </c>
      <c r="F535" s="12">
        <v>0.99432699999999996</v>
      </c>
      <c r="G535" s="13">
        <v>0.17584</v>
      </c>
      <c r="H535">
        <v>8</v>
      </c>
      <c r="I535">
        <v>5</v>
      </c>
      <c r="K535" s="8">
        <f t="shared" si="56"/>
        <v>-1.1937893076938053</v>
      </c>
      <c r="L535" s="8">
        <f t="shared" si="57"/>
        <v>-9.1829946745677335E-2</v>
      </c>
      <c r="M535" s="8">
        <f t="shared" si="58"/>
        <v>-1.2130974615374726</v>
      </c>
      <c r="N535" s="8">
        <f t="shared" si="59"/>
        <v>-9.3315189349036348E-2</v>
      </c>
      <c r="O535" s="8"/>
      <c r="P535" t="s">
        <v>823</v>
      </c>
      <c r="Q535">
        <v>35</v>
      </c>
      <c r="R535" s="8">
        <v>2.8360500000000002</v>
      </c>
      <c r="S535">
        <v>3</v>
      </c>
      <c r="T535" s="8">
        <f t="shared" si="60"/>
        <v>8.5714285714285715E-2</v>
      </c>
      <c r="U535" s="8">
        <v>2.99417</v>
      </c>
      <c r="V535">
        <v>22</v>
      </c>
      <c r="W535" s="8">
        <f t="shared" si="61"/>
        <v>0.62857142857142856</v>
      </c>
      <c r="X535" s="8">
        <v>2.7944900000000001</v>
      </c>
      <c r="Y535">
        <v>10</v>
      </c>
      <c r="Z535" s="8">
        <f t="shared" si="62"/>
        <v>0.2857142857142857</v>
      </c>
      <c r="AA535" s="8">
        <v>2.8800599999999998</v>
      </c>
    </row>
    <row r="536" spans="2:27" ht="15" customHeight="1" x14ac:dyDescent="0.25">
      <c r="B536">
        <v>517</v>
      </c>
      <c r="C536" s="8">
        <v>-12456.9121</v>
      </c>
      <c r="D536" s="2">
        <v>-12458.371089</v>
      </c>
      <c r="F536" s="12">
        <v>0.99653099999999994</v>
      </c>
      <c r="G536" s="13">
        <v>0.19067999999999999</v>
      </c>
      <c r="H536">
        <v>8</v>
      </c>
      <c r="I536">
        <v>5</v>
      </c>
      <c r="K536" s="8">
        <f t="shared" si="56"/>
        <v>-1.184092307692481</v>
      </c>
      <c r="L536" s="8">
        <f t="shared" si="57"/>
        <v>-9.1084023668652384E-2</v>
      </c>
      <c r="M536" s="8">
        <f t="shared" si="58"/>
        <v>-1.2670974615375599</v>
      </c>
      <c r="N536" s="8">
        <f t="shared" si="59"/>
        <v>-9.7469035502889226E-2</v>
      </c>
      <c r="O536" s="8"/>
      <c r="P536" t="s">
        <v>824</v>
      </c>
      <c r="Q536">
        <v>33</v>
      </c>
      <c r="R536" s="8">
        <v>2.8115100000000002</v>
      </c>
      <c r="S536">
        <v>3</v>
      </c>
      <c r="T536" s="8">
        <f t="shared" si="60"/>
        <v>9.0909090909090912E-2</v>
      </c>
      <c r="U536" s="8">
        <v>2.7635900000000002</v>
      </c>
      <c r="V536">
        <v>20</v>
      </c>
      <c r="W536" s="8">
        <f t="shared" si="61"/>
        <v>0.60606060606060608</v>
      </c>
      <c r="X536" s="8">
        <v>2.8245399999999998</v>
      </c>
      <c r="Y536">
        <v>10</v>
      </c>
      <c r="Z536" s="8">
        <f t="shared" si="62"/>
        <v>0.30303030303030304</v>
      </c>
      <c r="AA536" s="8">
        <v>2.79982</v>
      </c>
    </row>
    <row r="537" spans="2:27" ht="15" customHeight="1" x14ac:dyDescent="0.25">
      <c r="B537">
        <v>518</v>
      </c>
      <c r="C537" s="8">
        <v>-12456.8249</v>
      </c>
      <c r="D537" s="2">
        <v>-12458.254407</v>
      </c>
      <c r="F537" s="12">
        <v>0.99672400000000005</v>
      </c>
      <c r="G537" s="13">
        <v>0.19234999999999999</v>
      </c>
      <c r="H537">
        <v>8</v>
      </c>
      <c r="I537">
        <v>5</v>
      </c>
      <c r="K537" s="8">
        <f t="shared" si="56"/>
        <v>-1.0968923076925421</v>
      </c>
      <c r="L537" s="8">
        <f t="shared" si="57"/>
        <v>-8.4376331360964771E-2</v>
      </c>
      <c r="M537" s="8">
        <f t="shared" si="58"/>
        <v>-1.1504154615377047</v>
      </c>
      <c r="N537" s="8">
        <f t="shared" si="59"/>
        <v>-8.8493497041361904E-2</v>
      </c>
      <c r="O537" s="8"/>
      <c r="P537" t="s">
        <v>825</v>
      </c>
      <c r="Q537">
        <v>34</v>
      </c>
      <c r="R537" s="8">
        <v>2.82633</v>
      </c>
      <c r="S537">
        <v>4</v>
      </c>
      <c r="T537" s="8">
        <f t="shared" si="60"/>
        <v>0.11764705882352941</v>
      </c>
      <c r="U537" s="8">
        <v>2.8559399999999999</v>
      </c>
      <c r="V537">
        <v>20</v>
      </c>
      <c r="W537" s="8">
        <f t="shared" si="61"/>
        <v>0.58823529411764708</v>
      </c>
      <c r="X537" s="8">
        <v>2.8362699999999998</v>
      </c>
      <c r="Y537">
        <v>10</v>
      </c>
      <c r="Z537" s="8">
        <f t="shared" si="62"/>
        <v>0.29411764705882354</v>
      </c>
      <c r="AA537" s="8">
        <v>2.7946</v>
      </c>
    </row>
    <row r="538" spans="2:27" ht="15" customHeight="1" x14ac:dyDescent="0.25">
      <c r="B538">
        <v>519</v>
      </c>
      <c r="C538" s="8">
        <v>-12456.9004</v>
      </c>
      <c r="D538" s="2">
        <v>-12458.511789</v>
      </c>
      <c r="F538" s="12">
        <v>0.99656</v>
      </c>
      <c r="G538" s="13">
        <v>0.19091999999999901</v>
      </c>
      <c r="H538">
        <v>8</v>
      </c>
      <c r="I538">
        <v>5</v>
      </c>
      <c r="K538" s="8">
        <f t="shared" si="56"/>
        <v>-1.1723923076933715</v>
      </c>
      <c r="L538" s="8">
        <f t="shared" si="57"/>
        <v>-9.0184023668720886E-2</v>
      </c>
      <c r="M538" s="8">
        <f t="shared" si="58"/>
        <v>-1.4077974615374842</v>
      </c>
      <c r="N538" s="8">
        <f t="shared" si="59"/>
        <v>-0.10829211242596032</v>
      </c>
      <c r="O538" s="8"/>
      <c r="P538" t="s">
        <v>826</v>
      </c>
      <c r="Q538">
        <v>34</v>
      </c>
      <c r="R538" s="8">
        <v>2.8205499999999999</v>
      </c>
      <c r="S538">
        <v>3</v>
      </c>
      <c r="T538" s="8">
        <f t="shared" si="60"/>
        <v>8.8235294117647065E-2</v>
      </c>
      <c r="U538" s="8">
        <v>2.8285999999999998</v>
      </c>
      <c r="V538">
        <v>17</v>
      </c>
      <c r="W538" s="8">
        <f t="shared" si="61"/>
        <v>0.5</v>
      </c>
      <c r="X538" s="8">
        <v>2.7948300000000001</v>
      </c>
      <c r="Y538">
        <v>14</v>
      </c>
      <c r="Z538" s="8">
        <f t="shared" si="62"/>
        <v>0.41176470588235292</v>
      </c>
      <c r="AA538" s="8">
        <v>2.85006</v>
      </c>
    </row>
    <row r="539" spans="2:27" ht="15" customHeight="1" x14ac:dyDescent="0.25">
      <c r="B539">
        <v>520</v>
      </c>
      <c r="C539" s="8">
        <v>-12456.315500000001</v>
      </c>
      <c r="D539" s="2">
        <v>-12457.869892999999</v>
      </c>
      <c r="F539" s="12">
        <v>0.99427100000000002</v>
      </c>
      <c r="G539" s="13">
        <v>0.17559999999999901</v>
      </c>
      <c r="H539">
        <v>8</v>
      </c>
      <c r="I539">
        <v>5</v>
      </c>
      <c r="K539" s="8">
        <f t="shared" si="56"/>
        <v>-0.58749230769353744</v>
      </c>
      <c r="L539" s="8">
        <f t="shared" si="57"/>
        <v>-4.5191715976425954E-2</v>
      </c>
      <c r="M539" s="8">
        <f t="shared" si="58"/>
        <v>-0.76590146153648675</v>
      </c>
      <c r="N539" s="8">
        <f t="shared" si="59"/>
        <v>-5.8915497041268208E-2</v>
      </c>
      <c r="O539" s="8"/>
      <c r="P539" t="s">
        <v>827</v>
      </c>
      <c r="Q539">
        <v>33</v>
      </c>
      <c r="R539" s="8">
        <v>2.8147500000000001</v>
      </c>
      <c r="S539">
        <v>6</v>
      </c>
      <c r="T539" s="8">
        <f t="shared" si="60"/>
        <v>0.18181818181818182</v>
      </c>
      <c r="U539" s="8">
        <v>2.84571</v>
      </c>
      <c r="V539">
        <v>14</v>
      </c>
      <c r="W539" s="8">
        <f t="shared" si="61"/>
        <v>0.42424242424242425</v>
      </c>
      <c r="X539" s="8">
        <v>2.7636400000000001</v>
      </c>
      <c r="Y539">
        <v>13</v>
      </c>
      <c r="Z539" s="8">
        <f t="shared" si="62"/>
        <v>0.39393939393939392</v>
      </c>
      <c r="AA539" s="8">
        <v>2.8555199999999998</v>
      </c>
    </row>
    <row r="540" spans="2:27" ht="15" customHeight="1" x14ac:dyDescent="0.25">
      <c r="B540">
        <v>521</v>
      </c>
      <c r="C540" s="8">
        <v>-12456.4223</v>
      </c>
      <c r="D540" s="2">
        <v>-12457.944604</v>
      </c>
      <c r="F540" s="12">
        <v>0.99597800000000003</v>
      </c>
      <c r="G540" s="13">
        <v>0.18622</v>
      </c>
      <c r="H540">
        <v>8</v>
      </c>
      <c r="I540">
        <v>5</v>
      </c>
      <c r="K540" s="8">
        <f t="shared" si="56"/>
        <v>-0.69429230769310379</v>
      </c>
      <c r="L540" s="8">
        <f t="shared" si="57"/>
        <v>-5.3407100591777217E-2</v>
      </c>
      <c r="M540" s="8">
        <f t="shared" si="58"/>
        <v>-0.84061246153760294</v>
      </c>
      <c r="N540" s="8">
        <f t="shared" si="59"/>
        <v>-6.4662497041354072E-2</v>
      </c>
      <c r="O540" s="8"/>
      <c r="P540" t="s">
        <v>828</v>
      </c>
      <c r="Q540">
        <v>34</v>
      </c>
      <c r="R540" s="8">
        <v>2.82009</v>
      </c>
      <c r="S540">
        <v>6</v>
      </c>
      <c r="T540" s="8">
        <f t="shared" si="60"/>
        <v>0.17647058823529413</v>
      </c>
      <c r="U540" s="8">
        <v>2.8142100000000001</v>
      </c>
      <c r="V540">
        <v>14</v>
      </c>
      <c r="W540" s="8">
        <f t="shared" si="61"/>
        <v>0.41176470588235292</v>
      </c>
      <c r="X540" s="8">
        <v>2.7796099999999999</v>
      </c>
      <c r="Y540">
        <v>14</v>
      </c>
      <c r="Z540" s="8">
        <f t="shared" si="62"/>
        <v>0.41176470588235292</v>
      </c>
      <c r="AA540" s="8">
        <v>2.8630900000000001</v>
      </c>
    </row>
    <row r="541" spans="2:27" ht="15" customHeight="1" x14ac:dyDescent="0.25">
      <c r="B541">
        <v>522</v>
      </c>
      <c r="C541" s="8">
        <v>-12456.3467</v>
      </c>
      <c r="D541" s="2">
        <v>-12457.839362000001</v>
      </c>
      <c r="F541" s="12">
        <v>0.99761</v>
      </c>
      <c r="G541" s="13">
        <v>0.20191000000000001</v>
      </c>
      <c r="H541">
        <v>8</v>
      </c>
      <c r="I541">
        <v>5</v>
      </c>
      <c r="K541" s="8">
        <f t="shared" si="56"/>
        <v>-0.61869230769298156</v>
      </c>
      <c r="L541" s="8">
        <f t="shared" si="57"/>
        <v>-4.7591715976383196E-2</v>
      </c>
      <c r="M541" s="8">
        <f t="shared" si="58"/>
        <v>-0.73537046153796837</v>
      </c>
      <c r="N541" s="8">
        <f t="shared" si="59"/>
        <v>-5.6566958579843722E-2</v>
      </c>
      <c r="O541" s="8"/>
      <c r="P541" t="s">
        <v>829</v>
      </c>
      <c r="Q541">
        <v>34</v>
      </c>
      <c r="R541" s="8">
        <v>2.8233000000000001</v>
      </c>
      <c r="S541">
        <v>7</v>
      </c>
      <c r="T541" s="8">
        <f t="shared" si="60"/>
        <v>0.20588235294117646</v>
      </c>
      <c r="U541" s="8">
        <v>2.84287</v>
      </c>
      <c r="V541">
        <v>13</v>
      </c>
      <c r="W541" s="8">
        <f t="shared" si="61"/>
        <v>0.38235294117647056</v>
      </c>
      <c r="X541" s="8">
        <v>2.81121</v>
      </c>
      <c r="Y541">
        <v>14</v>
      </c>
      <c r="Z541" s="8">
        <f t="shared" si="62"/>
        <v>0.41176470588235292</v>
      </c>
      <c r="AA541" s="8">
        <v>2.8247599999999999</v>
      </c>
    </row>
    <row r="542" spans="2:27" ht="15" customHeight="1" x14ac:dyDescent="0.25">
      <c r="B542">
        <v>523</v>
      </c>
      <c r="C542" s="8">
        <v>-12456.477199999999</v>
      </c>
      <c r="D542" s="2">
        <v>-12457.822604000001</v>
      </c>
      <c r="F542" s="12">
        <v>0.99591700000000005</v>
      </c>
      <c r="G542" s="13">
        <v>0.18575999999999901</v>
      </c>
      <c r="H542">
        <v>8</v>
      </c>
      <c r="I542">
        <v>5</v>
      </c>
      <c r="K542" s="8">
        <f t="shared" si="56"/>
        <v>-0.74919230769228307</v>
      </c>
      <c r="L542" s="8">
        <f t="shared" si="57"/>
        <v>-5.7630177514791006E-2</v>
      </c>
      <c r="M542" s="8">
        <f t="shared" si="58"/>
        <v>-0.71861246153821412</v>
      </c>
      <c r="N542" s="8">
        <f t="shared" si="59"/>
        <v>-5.5277881656785703E-2</v>
      </c>
      <c r="O542" s="8"/>
      <c r="P542" t="s">
        <v>830</v>
      </c>
      <c r="Q542">
        <v>34</v>
      </c>
      <c r="R542" s="8">
        <v>2.81935</v>
      </c>
      <c r="S542">
        <v>6</v>
      </c>
      <c r="T542" s="8">
        <f t="shared" si="60"/>
        <v>0.17647058823529413</v>
      </c>
      <c r="U542" s="8">
        <v>2.8276300000000001</v>
      </c>
      <c r="V542">
        <v>14</v>
      </c>
      <c r="W542" s="8">
        <f t="shared" si="61"/>
        <v>0.41176470588235292</v>
      </c>
      <c r="X542" s="8">
        <v>2.7997399999999999</v>
      </c>
      <c r="Y542">
        <v>14</v>
      </c>
      <c r="Z542" s="8">
        <f t="shared" si="62"/>
        <v>0.41176470588235292</v>
      </c>
      <c r="AA542" s="8">
        <v>2.83541</v>
      </c>
    </row>
    <row r="543" spans="2:27" ht="15" customHeight="1" x14ac:dyDescent="0.25">
      <c r="B543">
        <v>524</v>
      </c>
      <c r="C543" s="8">
        <v>-12456.5569</v>
      </c>
      <c r="D543" s="2">
        <v>-12458.091689999999</v>
      </c>
      <c r="F543" s="12">
        <v>0.99682300000000001</v>
      </c>
      <c r="G543" s="13">
        <v>0.19330999999999901</v>
      </c>
      <c r="H543">
        <v>8</v>
      </c>
      <c r="I543">
        <v>5</v>
      </c>
      <c r="K543" s="8">
        <f t="shared" si="56"/>
        <v>-0.82889230769251299</v>
      </c>
      <c r="L543" s="8">
        <f t="shared" si="57"/>
        <v>-6.3760946745577918E-2</v>
      </c>
      <c r="M543" s="8">
        <f t="shared" si="58"/>
        <v>-0.98769846153663821</v>
      </c>
      <c r="N543" s="8">
        <f t="shared" si="59"/>
        <v>-7.5976804733587561E-2</v>
      </c>
      <c r="O543" s="8"/>
      <c r="P543" t="s">
        <v>831</v>
      </c>
      <c r="Q543">
        <v>34</v>
      </c>
      <c r="R543" s="8">
        <v>2.81664</v>
      </c>
      <c r="S543">
        <v>5</v>
      </c>
      <c r="T543" s="8">
        <f t="shared" si="60"/>
        <v>0.14705882352941177</v>
      </c>
      <c r="U543" s="8">
        <v>2.7988200000000001</v>
      </c>
      <c r="V543">
        <v>17</v>
      </c>
      <c r="W543" s="8">
        <f t="shared" si="61"/>
        <v>0.5</v>
      </c>
      <c r="X543" s="8">
        <v>2.8015300000000001</v>
      </c>
      <c r="Y543">
        <v>12</v>
      </c>
      <c r="Z543" s="8">
        <f t="shared" si="62"/>
        <v>0.35294117647058826</v>
      </c>
      <c r="AA543" s="8">
        <v>2.8454700000000002</v>
      </c>
    </row>
    <row r="544" spans="2:27" ht="15" customHeight="1" x14ac:dyDescent="0.25">
      <c r="B544">
        <v>525</v>
      </c>
      <c r="C544" s="8">
        <v>-12456.323700000001</v>
      </c>
      <c r="D544" s="2">
        <v>-12457.912007999999</v>
      </c>
      <c r="F544" s="12">
        <v>0.99500999999999995</v>
      </c>
      <c r="G544" s="13">
        <v>0.17973999999999901</v>
      </c>
      <c r="H544">
        <v>8</v>
      </c>
      <c r="I544">
        <v>5</v>
      </c>
      <c r="K544" s="8">
        <f t="shared" si="56"/>
        <v>-0.59569230769375281</v>
      </c>
      <c r="L544" s="8">
        <f t="shared" si="57"/>
        <v>-4.5822485207211758E-2</v>
      </c>
      <c r="M544" s="8">
        <f t="shared" si="58"/>
        <v>-0.80801646153668116</v>
      </c>
      <c r="N544" s="8">
        <f t="shared" si="59"/>
        <v>-6.2155112425898551E-2</v>
      </c>
      <c r="O544" s="8"/>
      <c r="P544" t="s">
        <v>832</v>
      </c>
      <c r="Q544">
        <v>33</v>
      </c>
      <c r="R544" s="8">
        <v>2.8119000000000001</v>
      </c>
      <c r="S544">
        <v>7</v>
      </c>
      <c r="T544" s="8">
        <f t="shared" si="60"/>
        <v>0.21212121212121213</v>
      </c>
      <c r="U544" s="8">
        <v>2.7956099999999999</v>
      </c>
      <c r="V544">
        <v>11</v>
      </c>
      <c r="W544" s="8">
        <f t="shared" si="61"/>
        <v>0.33333333333333331</v>
      </c>
      <c r="X544" s="8">
        <v>2.8009599999999999</v>
      </c>
      <c r="Y544">
        <v>15</v>
      </c>
      <c r="Z544" s="8">
        <f t="shared" si="62"/>
        <v>0.45454545454545453</v>
      </c>
      <c r="AA544" s="8">
        <v>2.8275299999999999</v>
      </c>
    </row>
    <row r="545" spans="2:27" ht="15" customHeight="1" x14ac:dyDescent="0.25">
      <c r="B545">
        <v>526</v>
      </c>
      <c r="C545" s="8">
        <v>-12456.662700000001</v>
      </c>
      <c r="D545" s="2">
        <v>-12458.224418</v>
      </c>
      <c r="F545" s="12">
        <v>0.99483500000000002</v>
      </c>
      <c r="G545" s="13">
        <v>0.17865</v>
      </c>
      <c r="H545">
        <v>8</v>
      </c>
      <c r="I545">
        <v>5</v>
      </c>
      <c r="K545" s="8">
        <f t="shared" si="56"/>
        <v>-0.9346923076936946</v>
      </c>
      <c r="L545" s="8">
        <f t="shared" si="57"/>
        <v>-7.1899408284130356E-2</v>
      </c>
      <c r="M545" s="8">
        <f t="shared" si="58"/>
        <v>-1.1204264615371358</v>
      </c>
      <c r="N545" s="8">
        <f t="shared" si="59"/>
        <v>-8.6186650887471988E-2</v>
      </c>
      <c r="O545" s="8"/>
      <c r="P545" t="s">
        <v>833</v>
      </c>
      <c r="Q545">
        <v>34</v>
      </c>
      <c r="R545" s="8">
        <v>2.8202099999999999</v>
      </c>
      <c r="S545">
        <v>4</v>
      </c>
      <c r="T545" s="8">
        <f t="shared" si="60"/>
        <v>0.11764705882352941</v>
      </c>
      <c r="U545" s="8">
        <v>2.83738</v>
      </c>
      <c r="V545">
        <v>17</v>
      </c>
      <c r="W545" s="8">
        <f t="shared" si="61"/>
        <v>0.5</v>
      </c>
      <c r="X545" s="8">
        <v>2.7847599999999999</v>
      </c>
      <c r="Y545">
        <v>13</v>
      </c>
      <c r="Z545" s="8">
        <f t="shared" si="62"/>
        <v>0.38235294117647056</v>
      </c>
      <c r="AA545" s="8">
        <v>2.8613</v>
      </c>
    </row>
    <row r="546" spans="2:27" ht="15" customHeight="1" x14ac:dyDescent="0.25">
      <c r="B546">
        <v>527</v>
      </c>
      <c r="C546" s="8">
        <v>-12456.5542</v>
      </c>
      <c r="D546" s="2">
        <v>-12457.901169000001</v>
      </c>
      <c r="F546" s="12">
        <v>0.99598299999999995</v>
      </c>
      <c r="G546" s="13">
        <v>0.18625999999999901</v>
      </c>
      <c r="H546">
        <v>8</v>
      </c>
      <c r="I546">
        <v>5</v>
      </c>
      <c r="K546" s="8">
        <f t="shared" si="56"/>
        <v>-0.82619230769341812</v>
      </c>
      <c r="L546" s="8">
        <f t="shared" si="57"/>
        <v>-6.3553254437955245E-2</v>
      </c>
      <c r="M546" s="8">
        <f t="shared" si="58"/>
        <v>-0.79717746153801272</v>
      </c>
      <c r="N546" s="8">
        <f t="shared" si="59"/>
        <v>-6.1321343195231748E-2</v>
      </c>
      <c r="O546" s="8"/>
      <c r="P546" t="s">
        <v>834</v>
      </c>
      <c r="Q546">
        <v>34</v>
      </c>
      <c r="R546" s="8">
        <v>2.8215599999999998</v>
      </c>
      <c r="S546">
        <v>6</v>
      </c>
      <c r="T546" s="8">
        <f t="shared" si="60"/>
        <v>0.17647058823529413</v>
      </c>
      <c r="U546" s="8">
        <v>2.82328</v>
      </c>
      <c r="V546">
        <v>15</v>
      </c>
      <c r="W546" s="8">
        <f t="shared" si="61"/>
        <v>0.44117647058823528</v>
      </c>
      <c r="X546" s="8">
        <v>2.8026399999999998</v>
      </c>
      <c r="Y546">
        <v>13</v>
      </c>
      <c r="Z546" s="8">
        <f t="shared" si="62"/>
        <v>0.38235294117647056</v>
      </c>
      <c r="AA546" s="8">
        <v>2.84259</v>
      </c>
    </row>
    <row r="547" spans="2:27" ht="15" customHeight="1" x14ac:dyDescent="0.25">
      <c r="B547">
        <v>528</v>
      </c>
      <c r="C547" s="8">
        <v>-12456.7137</v>
      </c>
      <c r="D547" s="2">
        <v>-12458.199038000001</v>
      </c>
      <c r="F547" s="12">
        <v>0.99683500000000003</v>
      </c>
      <c r="G547" s="13">
        <v>0.19358999999999901</v>
      </c>
      <c r="H547">
        <v>8</v>
      </c>
      <c r="I547">
        <v>5</v>
      </c>
      <c r="K547" s="8">
        <f t="shared" si="56"/>
        <v>-0.98569230769317073</v>
      </c>
      <c r="L547" s="8">
        <f t="shared" si="57"/>
        <v>-7.5822485207166973E-2</v>
      </c>
      <c r="M547" s="8">
        <f t="shared" si="58"/>
        <v>-1.0950464615380042</v>
      </c>
      <c r="N547" s="8">
        <f t="shared" si="59"/>
        <v>-8.4234343195231098E-2</v>
      </c>
      <c r="O547" s="8"/>
      <c r="P547" t="s">
        <v>835</v>
      </c>
      <c r="Q547">
        <v>34</v>
      </c>
      <c r="R547" s="8">
        <v>2.82484</v>
      </c>
      <c r="S547">
        <v>5</v>
      </c>
      <c r="T547" s="8">
        <f t="shared" si="60"/>
        <v>0.14705882352941177</v>
      </c>
      <c r="U547" s="8">
        <v>2.8597299999999999</v>
      </c>
      <c r="V547">
        <v>17</v>
      </c>
      <c r="W547" s="8">
        <f t="shared" si="61"/>
        <v>0.5</v>
      </c>
      <c r="X547" s="8">
        <v>2.8045399999999998</v>
      </c>
      <c r="Y547">
        <v>12</v>
      </c>
      <c r="Z547" s="8">
        <f t="shared" si="62"/>
        <v>0.35294117647058826</v>
      </c>
      <c r="AA547" s="8">
        <v>2.83907</v>
      </c>
    </row>
    <row r="548" spans="2:27" ht="15" customHeight="1" x14ac:dyDescent="0.25">
      <c r="B548">
        <v>529</v>
      </c>
      <c r="C548" s="8">
        <v>-12456.5944</v>
      </c>
      <c r="D548" s="2">
        <v>-12458.129988000001</v>
      </c>
      <c r="F548" s="12">
        <v>0.99675999999999998</v>
      </c>
      <c r="G548" s="13">
        <v>0.19272</v>
      </c>
      <c r="H548">
        <v>8</v>
      </c>
      <c r="I548">
        <v>5</v>
      </c>
      <c r="K548" s="8">
        <f t="shared" si="56"/>
        <v>-0.86639230769287678</v>
      </c>
      <c r="L548" s="8">
        <f t="shared" si="57"/>
        <v>-6.6645562130221297E-2</v>
      </c>
      <c r="M548" s="8">
        <f t="shared" si="58"/>
        <v>-1.0259964615379431</v>
      </c>
      <c r="N548" s="8">
        <f t="shared" si="59"/>
        <v>-7.8922804733687929E-2</v>
      </c>
      <c r="O548" s="8"/>
      <c r="P548" t="s">
        <v>836</v>
      </c>
      <c r="Q548">
        <v>35</v>
      </c>
      <c r="R548" s="8">
        <v>2.83039</v>
      </c>
      <c r="S548">
        <v>5</v>
      </c>
      <c r="T548" s="8">
        <f t="shared" si="60"/>
        <v>0.14285714285714285</v>
      </c>
      <c r="U548" s="8">
        <v>2.8173699999999999</v>
      </c>
      <c r="V548">
        <v>15</v>
      </c>
      <c r="W548" s="8">
        <f t="shared" si="61"/>
        <v>0.42857142857142855</v>
      </c>
      <c r="X548" s="8">
        <v>2.8165499999999999</v>
      </c>
      <c r="Y548">
        <v>15</v>
      </c>
      <c r="Z548" s="8">
        <f t="shared" si="62"/>
        <v>0.42857142857142855</v>
      </c>
      <c r="AA548" s="8">
        <v>2.84857</v>
      </c>
    </row>
    <row r="549" spans="2:27" ht="15" customHeight="1" x14ac:dyDescent="0.25">
      <c r="B549">
        <v>530</v>
      </c>
      <c r="C549" s="8">
        <v>-12456.648499999999</v>
      </c>
      <c r="D549" s="2">
        <v>-12458.133248</v>
      </c>
      <c r="F549" s="12">
        <v>0.99660300000000002</v>
      </c>
      <c r="G549" s="13">
        <v>0.19128999999999999</v>
      </c>
      <c r="H549">
        <v>8</v>
      </c>
      <c r="I549">
        <v>5</v>
      </c>
      <c r="K549" s="8">
        <f t="shared" si="56"/>
        <v>-0.92049230769225687</v>
      </c>
      <c r="L549" s="8">
        <f t="shared" si="57"/>
        <v>-7.0807100591712066E-2</v>
      </c>
      <c r="M549" s="8">
        <f t="shared" si="58"/>
        <v>-1.0292564615374431</v>
      </c>
      <c r="N549" s="8">
        <f t="shared" si="59"/>
        <v>-7.9173573964418695E-2</v>
      </c>
      <c r="O549" s="8"/>
      <c r="P549" t="s">
        <v>837</v>
      </c>
      <c r="Q549">
        <v>34</v>
      </c>
      <c r="R549" s="8">
        <v>2.82172</v>
      </c>
      <c r="S549">
        <v>4</v>
      </c>
      <c r="T549" s="8">
        <f t="shared" si="60"/>
        <v>0.11764705882352941</v>
      </c>
      <c r="U549" s="8">
        <v>2.8027700000000002</v>
      </c>
      <c r="V549">
        <v>19</v>
      </c>
      <c r="W549" s="8">
        <f t="shared" si="61"/>
        <v>0.55882352941176472</v>
      </c>
      <c r="X549" s="8">
        <v>2.8139500000000002</v>
      </c>
      <c r="Y549">
        <v>11</v>
      </c>
      <c r="Z549" s="8">
        <f t="shared" si="62"/>
        <v>0.3235294117647059</v>
      </c>
      <c r="AA549" s="8">
        <v>2.84205</v>
      </c>
    </row>
    <row r="550" spans="2:27" ht="15" customHeight="1" x14ac:dyDescent="0.25">
      <c r="B550">
        <v>531</v>
      </c>
      <c r="C550" s="8">
        <v>-12456.565699999999</v>
      </c>
      <c r="D550" s="2">
        <v>-12458.043205</v>
      </c>
      <c r="F550" s="12">
        <v>0.99744900000000003</v>
      </c>
      <c r="G550" s="13">
        <v>0.199879999999999</v>
      </c>
      <c r="H550">
        <v>8</v>
      </c>
      <c r="I550">
        <v>5</v>
      </c>
      <c r="K550" s="8">
        <f t="shared" si="56"/>
        <v>-0.83769230769212299</v>
      </c>
      <c r="L550" s="8">
        <f t="shared" si="57"/>
        <v>-6.4437869822471003E-2</v>
      </c>
      <c r="M550" s="8">
        <f t="shared" si="58"/>
        <v>-0.93921346153729246</v>
      </c>
      <c r="N550" s="8">
        <f t="shared" si="59"/>
        <v>-7.2247189349022495E-2</v>
      </c>
      <c r="O550" s="8"/>
      <c r="P550" t="s">
        <v>838</v>
      </c>
      <c r="Q550">
        <v>34</v>
      </c>
      <c r="R550" s="8">
        <v>2.8233299999999999</v>
      </c>
      <c r="S550">
        <v>5</v>
      </c>
      <c r="T550" s="8">
        <f t="shared" si="60"/>
        <v>0.14705882352941177</v>
      </c>
      <c r="U550" s="8">
        <v>2.82185</v>
      </c>
      <c r="V550">
        <v>17</v>
      </c>
      <c r="W550" s="8">
        <f t="shared" si="61"/>
        <v>0.5</v>
      </c>
      <c r="X550" s="8">
        <v>2.8230300000000002</v>
      </c>
      <c r="Y550">
        <v>12</v>
      </c>
      <c r="Z550" s="8">
        <f t="shared" si="62"/>
        <v>0.35294117647058826</v>
      </c>
      <c r="AA550" s="8">
        <v>2.8243800000000001</v>
      </c>
    </row>
    <row r="551" spans="2:27" ht="15" customHeight="1" x14ac:dyDescent="0.25">
      <c r="B551">
        <v>532</v>
      </c>
      <c r="C551" s="8">
        <v>-12456.6558</v>
      </c>
      <c r="D551" s="2">
        <v>-12457.983561999999</v>
      </c>
      <c r="F551" s="12">
        <v>0.99486399999999997</v>
      </c>
      <c r="G551" s="13">
        <v>0.1789</v>
      </c>
      <c r="H551">
        <v>8</v>
      </c>
      <c r="I551">
        <v>5</v>
      </c>
      <c r="K551" s="8">
        <f t="shared" si="56"/>
        <v>-0.92779230769338028</v>
      </c>
      <c r="L551" s="8">
        <f t="shared" si="57"/>
        <v>-7.1368639053336944E-2</v>
      </c>
      <c r="M551" s="8">
        <f t="shared" si="58"/>
        <v>-0.87957046153678675</v>
      </c>
      <c r="N551" s="8">
        <f t="shared" si="59"/>
        <v>-6.7659266272060523E-2</v>
      </c>
      <c r="O551" s="8"/>
      <c r="P551" t="s">
        <v>839</v>
      </c>
      <c r="Q551">
        <v>33</v>
      </c>
      <c r="R551" s="8">
        <v>2.8164400000000001</v>
      </c>
      <c r="S551">
        <v>4</v>
      </c>
      <c r="T551" s="8">
        <f t="shared" si="60"/>
        <v>0.12121212121212122</v>
      </c>
      <c r="U551" s="8">
        <v>2.81412</v>
      </c>
      <c r="V551">
        <v>19</v>
      </c>
      <c r="W551" s="8">
        <f t="shared" si="61"/>
        <v>0.5757575757575758</v>
      </c>
      <c r="X551" s="8">
        <v>2.81196</v>
      </c>
      <c r="Y551">
        <v>10</v>
      </c>
      <c r="Z551" s="8">
        <f t="shared" si="62"/>
        <v>0.30303030303030304</v>
      </c>
      <c r="AA551" s="8">
        <v>2.8258800000000002</v>
      </c>
    </row>
    <row r="552" spans="2:27" ht="15" customHeight="1" x14ac:dyDescent="0.25">
      <c r="B552">
        <v>533</v>
      </c>
      <c r="C552" s="8">
        <v>-12456.732</v>
      </c>
      <c r="D552" s="2">
        <v>-12458.189281999999</v>
      </c>
      <c r="F552" s="12">
        <v>0.99211700000000003</v>
      </c>
      <c r="G552" s="13">
        <v>0.165959999999999</v>
      </c>
      <c r="H552">
        <v>8</v>
      </c>
      <c r="I552">
        <v>5</v>
      </c>
      <c r="K552" s="8">
        <f t="shared" si="56"/>
        <v>-1.0039923076928972</v>
      </c>
      <c r="L552" s="8">
        <f t="shared" si="57"/>
        <v>-7.7230177514838239E-2</v>
      </c>
      <c r="M552" s="8">
        <f t="shared" si="58"/>
        <v>-1.0852904615367152</v>
      </c>
      <c r="N552" s="8">
        <f t="shared" si="59"/>
        <v>-8.3483881656670395E-2</v>
      </c>
      <c r="O552" s="8"/>
      <c r="P552" t="s">
        <v>840</v>
      </c>
      <c r="Q552">
        <v>35</v>
      </c>
      <c r="R552" s="8">
        <v>2.8318500000000002</v>
      </c>
      <c r="S552">
        <v>4</v>
      </c>
      <c r="T552" s="8">
        <f t="shared" si="60"/>
        <v>0.11428571428571428</v>
      </c>
      <c r="U552" s="8">
        <v>2.8381599999999998</v>
      </c>
      <c r="V552">
        <v>18</v>
      </c>
      <c r="W552" s="8">
        <f t="shared" si="61"/>
        <v>0.51428571428571423</v>
      </c>
      <c r="X552" s="8">
        <v>2.80884</v>
      </c>
      <c r="Y552">
        <v>13</v>
      </c>
      <c r="Z552" s="8">
        <f t="shared" si="62"/>
        <v>0.37142857142857144</v>
      </c>
      <c r="AA552" s="8">
        <v>2.8617599999999999</v>
      </c>
    </row>
    <row r="553" spans="2:27" ht="15" customHeight="1" x14ac:dyDescent="0.25">
      <c r="B553">
        <v>534</v>
      </c>
      <c r="C553" s="8">
        <v>-12456.640600000001</v>
      </c>
      <c r="D553" s="2">
        <v>-12458.101554000001</v>
      </c>
      <c r="F553" s="12">
        <v>0.99698500000000001</v>
      </c>
      <c r="G553" s="13">
        <v>0.19489999999999999</v>
      </c>
      <c r="H553">
        <v>8</v>
      </c>
      <c r="I553">
        <v>5</v>
      </c>
      <c r="K553" s="8">
        <f t="shared" si="56"/>
        <v>-0.91259230769355781</v>
      </c>
      <c r="L553" s="8">
        <f t="shared" si="57"/>
        <v>-7.019940828411983E-2</v>
      </c>
      <c r="M553" s="8">
        <f t="shared" si="58"/>
        <v>-0.99756246153810935</v>
      </c>
      <c r="N553" s="8">
        <f t="shared" si="59"/>
        <v>-7.673557396446995E-2</v>
      </c>
      <c r="O553" s="8"/>
      <c r="P553" t="s">
        <v>841</v>
      </c>
      <c r="Q553">
        <v>35</v>
      </c>
      <c r="R553" s="8">
        <v>2.8328000000000002</v>
      </c>
      <c r="S553">
        <v>5</v>
      </c>
      <c r="T553" s="8">
        <f t="shared" si="60"/>
        <v>0.14285714285714285</v>
      </c>
      <c r="U553" s="8">
        <v>2.8112699999999999</v>
      </c>
      <c r="V553">
        <v>16</v>
      </c>
      <c r="W553" s="8">
        <f t="shared" si="61"/>
        <v>0.45714285714285713</v>
      </c>
      <c r="X553" s="8">
        <v>2.8098700000000001</v>
      </c>
      <c r="Y553">
        <v>14</v>
      </c>
      <c r="Z553" s="8">
        <f t="shared" si="62"/>
        <v>0.4</v>
      </c>
      <c r="AA553" s="8">
        <v>2.8667099999999999</v>
      </c>
    </row>
    <row r="554" spans="2:27" ht="15" customHeight="1" x14ac:dyDescent="0.25">
      <c r="B554">
        <v>535</v>
      </c>
      <c r="C554" s="8">
        <v>-12456.6958</v>
      </c>
      <c r="D554" s="2">
        <v>-12458.506183</v>
      </c>
      <c r="F554" s="12">
        <v>0.99740899999999999</v>
      </c>
      <c r="G554" s="13">
        <v>0.19938</v>
      </c>
      <c r="H554">
        <v>8</v>
      </c>
      <c r="I554">
        <v>5</v>
      </c>
      <c r="K554" s="8">
        <f t="shared" si="56"/>
        <v>-0.96779230769243441</v>
      </c>
      <c r="L554" s="8">
        <f t="shared" si="57"/>
        <v>-7.4445562130187257E-2</v>
      </c>
      <c r="M554" s="8">
        <f t="shared" si="58"/>
        <v>-1.4021914615368587</v>
      </c>
      <c r="N554" s="8">
        <f t="shared" si="59"/>
        <v>-0.10786088165668144</v>
      </c>
      <c r="O554" s="8"/>
      <c r="P554" t="s">
        <v>842</v>
      </c>
      <c r="Q554">
        <v>34</v>
      </c>
      <c r="R554" s="8">
        <v>2.8250199999999999</v>
      </c>
      <c r="S554">
        <v>4</v>
      </c>
      <c r="T554" s="8">
        <f t="shared" si="60"/>
        <v>0.11764705882352941</v>
      </c>
      <c r="U554" s="8">
        <v>2.86287</v>
      </c>
      <c r="V554">
        <v>17</v>
      </c>
      <c r="W554" s="8">
        <f t="shared" si="61"/>
        <v>0.5</v>
      </c>
      <c r="X554" s="8">
        <v>2.7982</v>
      </c>
      <c r="Y554">
        <v>13</v>
      </c>
      <c r="Z554" s="8">
        <f t="shared" si="62"/>
        <v>0.38235294117647056</v>
      </c>
      <c r="AA554" s="8">
        <v>2.8484500000000001</v>
      </c>
    </row>
    <row r="555" spans="2:27" ht="15" customHeight="1" x14ac:dyDescent="0.25">
      <c r="B555">
        <v>536</v>
      </c>
      <c r="C555" s="8">
        <v>-12456.766600000001</v>
      </c>
      <c r="D555" s="2">
        <v>-12458.066545</v>
      </c>
      <c r="F555" s="12">
        <v>0.99616199999999999</v>
      </c>
      <c r="G555" s="13">
        <v>0.18756999999999999</v>
      </c>
      <c r="H555">
        <v>8</v>
      </c>
      <c r="I555">
        <v>5</v>
      </c>
      <c r="K555" s="8">
        <f t="shared" si="56"/>
        <v>-1.0385923076937615</v>
      </c>
      <c r="L555" s="8">
        <f t="shared" si="57"/>
        <v>-7.9891715976443192E-2</v>
      </c>
      <c r="M555" s="8">
        <f t="shared" si="58"/>
        <v>-0.96255346153702703</v>
      </c>
      <c r="N555" s="8">
        <f t="shared" si="59"/>
        <v>-7.4042573964386696E-2</v>
      </c>
      <c r="O555" s="8"/>
      <c r="P555" t="s">
        <v>843</v>
      </c>
      <c r="Q555">
        <v>33</v>
      </c>
      <c r="R555" s="8">
        <v>2.8079200000000002</v>
      </c>
      <c r="S555">
        <v>4</v>
      </c>
      <c r="T555" s="8">
        <f t="shared" si="60"/>
        <v>0.12121212121212122</v>
      </c>
      <c r="U555" s="8">
        <v>2.7497099999999999</v>
      </c>
      <c r="V555">
        <v>18</v>
      </c>
      <c r="W555" s="8">
        <f t="shared" si="61"/>
        <v>0.54545454545454541</v>
      </c>
      <c r="X555" s="8">
        <v>2.8181699999999998</v>
      </c>
      <c r="Y555">
        <v>11</v>
      </c>
      <c r="Z555" s="8">
        <f t="shared" si="62"/>
        <v>0.33333333333333331</v>
      </c>
      <c r="AA555" s="8">
        <v>2.8123100000000001</v>
      </c>
    </row>
    <row r="556" spans="2:27" ht="15" customHeight="1" x14ac:dyDescent="0.25">
      <c r="B556">
        <v>537</v>
      </c>
      <c r="C556" s="8">
        <v>-12456.893599999999</v>
      </c>
      <c r="D556" s="2">
        <v>-12458.177568999999</v>
      </c>
      <c r="F556" s="12">
        <v>0.99659900000000001</v>
      </c>
      <c r="G556" s="13">
        <v>0.19125</v>
      </c>
      <c r="H556">
        <v>8</v>
      </c>
      <c r="I556">
        <v>5</v>
      </c>
      <c r="K556" s="8">
        <f t="shared" si="56"/>
        <v>-1.16559230769235</v>
      </c>
      <c r="L556" s="8">
        <f t="shared" si="57"/>
        <v>-8.9660946745565379E-2</v>
      </c>
      <c r="M556" s="8">
        <f t="shared" si="58"/>
        <v>-1.0735774615368427</v>
      </c>
      <c r="N556" s="8">
        <f t="shared" si="59"/>
        <v>-8.2582881656680207E-2</v>
      </c>
      <c r="O556" s="8"/>
      <c r="P556" t="s">
        <v>844</v>
      </c>
      <c r="Q556">
        <v>34</v>
      </c>
      <c r="R556" s="8">
        <v>2.8199399999999999</v>
      </c>
      <c r="S556">
        <v>3</v>
      </c>
      <c r="T556" s="8">
        <f t="shared" si="60"/>
        <v>8.8235294117647065E-2</v>
      </c>
      <c r="U556" s="8">
        <v>2.8191899999999999</v>
      </c>
      <c r="V556">
        <v>20</v>
      </c>
      <c r="W556" s="8">
        <f t="shared" si="61"/>
        <v>0.58823529411764708</v>
      </c>
      <c r="X556" s="8">
        <v>2.8024499999999999</v>
      </c>
      <c r="Y556">
        <v>11</v>
      </c>
      <c r="Z556" s="8">
        <f t="shared" si="62"/>
        <v>0.3235294117647059</v>
      </c>
      <c r="AA556" s="8">
        <v>2.8519399999999999</v>
      </c>
    </row>
    <row r="557" spans="2:27" ht="15" customHeight="1" x14ac:dyDescent="0.25">
      <c r="B557">
        <v>538</v>
      </c>
      <c r="C557" s="8">
        <v>-12456.8271</v>
      </c>
      <c r="D557" s="2">
        <v>-12458.309042999999</v>
      </c>
      <c r="F557" s="12">
        <v>0.99709099999999995</v>
      </c>
      <c r="G557" s="13">
        <v>0.195959999999999</v>
      </c>
      <c r="H557">
        <v>8</v>
      </c>
      <c r="I557">
        <v>5</v>
      </c>
      <c r="K557" s="8">
        <f t="shared" si="56"/>
        <v>-1.0990923076933541</v>
      </c>
      <c r="L557" s="8">
        <f t="shared" si="57"/>
        <v>-8.4545562130258003E-2</v>
      </c>
      <c r="M557" s="8">
        <f t="shared" si="58"/>
        <v>-1.205051461536641</v>
      </c>
      <c r="N557" s="8">
        <f t="shared" si="59"/>
        <v>-9.2696266272049313E-2</v>
      </c>
      <c r="O557" s="8"/>
      <c r="P557" t="s">
        <v>845</v>
      </c>
      <c r="Q557">
        <v>34</v>
      </c>
      <c r="R557" s="8">
        <v>2.8218999999999999</v>
      </c>
      <c r="S557">
        <v>3</v>
      </c>
      <c r="T557" s="8">
        <f t="shared" si="60"/>
        <v>8.8235294117647065E-2</v>
      </c>
      <c r="U557" s="8">
        <v>2.7858100000000001</v>
      </c>
      <c r="V557">
        <v>19</v>
      </c>
      <c r="W557" s="8">
        <f t="shared" si="61"/>
        <v>0.55882352941176472</v>
      </c>
      <c r="X557" s="8">
        <v>2.8068</v>
      </c>
      <c r="Y557">
        <v>12</v>
      </c>
      <c r="Z557" s="8">
        <f t="shared" si="62"/>
        <v>0.35294117647058826</v>
      </c>
      <c r="AA557" s="8">
        <v>2.8548499999999999</v>
      </c>
    </row>
    <row r="558" spans="2:27" ht="15" customHeight="1" x14ac:dyDescent="0.25">
      <c r="B558">
        <v>539</v>
      </c>
      <c r="C558" s="8">
        <v>-12456.9283</v>
      </c>
      <c r="D558" s="2">
        <v>-12458.230718999999</v>
      </c>
      <c r="F558" s="12">
        <v>0.99765800000000004</v>
      </c>
      <c r="G558" s="13">
        <v>0.202459999999999</v>
      </c>
      <c r="H558">
        <v>8</v>
      </c>
      <c r="I558">
        <v>5</v>
      </c>
      <c r="K558" s="8">
        <f t="shared" si="56"/>
        <v>-1.2002923076925072</v>
      </c>
      <c r="L558" s="8">
        <f t="shared" si="57"/>
        <v>-9.2330177514808237E-2</v>
      </c>
      <c r="M558" s="8">
        <f t="shared" si="58"/>
        <v>-1.126727461536575</v>
      </c>
      <c r="N558" s="8">
        <f t="shared" si="59"/>
        <v>-8.6671343195121153E-2</v>
      </c>
      <c r="O558" s="8"/>
      <c r="P558" t="s">
        <v>846</v>
      </c>
      <c r="Q558">
        <v>33</v>
      </c>
      <c r="R558" s="8">
        <v>2.81067</v>
      </c>
      <c r="S558">
        <v>3</v>
      </c>
      <c r="T558" s="8">
        <f t="shared" si="60"/>
        <v>9.0909090909090912E-2</v>
      </c>
      <c r="U558" s="8">
        <v>2.7928299999999999</v>
      </c>
      <c r="V558">
        <v>19</v>
      </c>
      <c r="W558" s="8">
        <f t="shared" si="61"/>
        <v>0.5757575757575758</v>
      </c>
      <c r="X558" s="8">
        <v>2.80714</v>
      </c>
      <c r="Y558">
        <v>11</v>
      </c>
      <c r="Z558" s="8">
        <f t="shared" si="62"/>
        <v>0.33333333333333331</v>
      </c>
      <c r="AA558" s="8">
        <v>2.8216199999999998</v>
      </c>
    </row>
    <row r="559" spans="2:27" ht="15" customHeight="1" x14ac:dyDescent="0.25">
      <c r="B559">
        <v>540</v>
      </c>
      <c r="C559" s="8">
        <v>-12456.9373</v>
      </c>
      <c r="D559" s="2">
        <v>-12458.246956000001</v>
      </c>
      <c r="F559" s="12">
        <v>0.99555499999999997</v>
      </c>
      <c r="G559" s="13">
        <v>0.18293999999999899</v>
      </c>
      <c r="H559">
        <v>8</v>
      </c>
      <c r="I559">
        <v>5</v>
      </c>
      <c r="K559" s="8">
        <f t="shared" si="56"/>
        <v>-1.2092923076925217</v>
      </c>
      <c r="L559" s="8">
        <f t="shared" si="57"/>
        <v>-9.3022485207117062E-2</v>
      </c>
      <c r="M559" s="8">
        <f t="shared" si="58"/>
        <v>-1.1429644615382131</v>
      </c>
      <c r="N559" s="8">
        <f t="shared" si="59"/>
        <v>-8.7920343195247164E-2</v>
      </c>
      <c r="O559" s="8"/>
      <c r="P559" t="s">
        <v>847</v>
      </c>
      <c r="Q559">
        <v>34</v>
      </c>
      <c r="R559" s="8">
        <v>2.82429</v>
      </c>
      <c r="S559">
        <v>3</v>
      </c>
      <c r="T559" s="8">
        <f t="shared" si="60"/>
        <v>8.8235294117647065E-2</v>
      </c>
      <c r="U559" s="8">
        <v>2.8302900000000002</v>
      </c>
      <c r="V559">
        <v>21</v>
      </c>
      <c r="W559" s="8">
        <f t="shared" si="61"/>
        <v>0.61764705882352944</v>
      </c>
      <c r="X559" s="8">
        <v>2.8288099999999998</v>
      </c>
      <c r="Y559">
        <v>10</v>
      </c>
      <c r="Z559" s="8">
        <f t="shared" si="62"/>
        <v>0.29411764705882354</v>
      </c>
      <c r="AA559" s="8">
        <v>2.8130000000000002</v>
      </c>
    </row>
    <row r="560" spans="2:27" ht="15" customHeight="1" x14ac:dyDescent="0.25">
      <c r="B560">
        <v>541</v>
      </c>
      <c r="C560" s="8">
        <v>-12456.8392</v>
      </c>
      <c r="D560" s="2">
        <v>-12458.173987</v>
      </c>
      <c r="F560" s="12">
        <v>0.99405900000000003</v>
      </c>
      <c r="G560" s="13">
        <v>0.17455999999999999</v>
      </c>
      <c r="H560">
        <v>8</v>
      </c>
      <c r="I560">
        <v>5</v>
      </c>
      <c r="K560" s="8">
        <f t="shared" si="56"/>
        <v>-1.1111923076932726</v>
      </c>
      <c r="L560" s="8">
        <f t="shared" si="57"/>
        <v>-8.5476331361020966E-2</v>
      </c>
      <c r="M560" s="8">
        <f t="shared" si="58"/>
        <v>-1.0699954615374736</v>
      </c>
      <c r="N560" s="8">
        <f t="shared" si="59"/>
        <v>-8.2307343195190272E-2</v>
      </c>
      <c r="O560" s="8"/>
      <c r="P560" t="s">
        <v>848</v>
      </c>
      <c r="Q560">
        <v>34</v>
      </c>
      <c r="R560" s="8">
        <v>2.8206099999999998</v>
      </c>
      <c r="S560">
        <v>3</v>
      </c>
      <c r="T560" s="8">
        <f t="shared" si="60"/>
        <v>8.8235294117647065E-2</v>
      </c>
      <c r="U560" s="8">
        <v>2.8759700000000001</v>
      </c>
      <c r="V560">
        <v>21</v>
      </c>
      <c r="W560" s="8">
        <f t="shared" si="61"/>
        <v>0.61764705882352944</v>
      </c>
      <c r="X560" s="8">
        <v>2.7978200000000002</v>
      </c>
      <c r="Y560">
        <v>10</v>
      </c>
      <c r="Z560" s="8">
        <f t="shared" si="62"/>
        <v>0.29411764705882354</v>
      </c>
      <c r="AA560" s="8">
        <v>2.8518699999999999</v>
      </c>
    </row>
    <row r="561" spans="2:27" ht="15" customHeight="1" x14ac:dyDescent="0.25">
      <c r="B561">
        <v>542</v>
      </c>
      <c r="C561" s="8">
        <v>-12456.9231</v>
      </c>
      <c r="D561" s="2">
        <v>-12458.386598999999</v>
      </c>
      <c r="F561" s="12">
        <v>0.99669099999999999</v>
      </c>
      <c r="G561" s="13">
        <v>0.19208</v>
      </c>
      <c r="H561">
        <v>8</v>
      </c>
      <c r="I561">
        <v>5</v>
      </c>
      <c r="K561" s="8">
        <f t="shared" si="56"/>
        <v>-1.195092307692903</v>
      </c>
      <c r="L561" s="8">
        <f t="shared" si="57"/>
        <v>-9.1930177514838687E-2</v>
      </c>
      <c r="M561" s="8">
        <f t="shared" si="58"/>
        <v>-1.282607461536827</v>
      </c>
      <c r="N561" s="8">
        <f t="shared" si="59"/>
        <v>-9.8662112425909776E-2</v>
      </c>
      <c r="O561" s="8"/>
      <c r="P561" t="s">
        <v>849</v>
      </c>
      <c r="Q561">
        <v>34</v>
      </c>
      <c r="R561" s="8">
        <v>2.8220299999999998</v>
      </c>
      <c r="S561">
        <v>3</v>
      </c>
      <c r="T561" s="8">
        <f t="shared" si="60"/>
        <v>8.8235294117647065E-2</v>
      </c>
      <c r="U561" s="8">
        <v>2.91059</v>
      </c>
      <c r="V561">
        <v>22</v>
      </c>
      <c r="W561" s="8">
        <f t="shared" si="61"/>
        <v>0.6470588235294118</v>
      </c>
      <c r="X561" s="8">
        <v>2.7956300000000001</v>
      </c>
      <c r="Y561">
        <v>9</v>
      </c>
      <c r="Z561" s="8">
        <f t="shared" si="62"/>
        <v>0.26470588235294118</v>
      </c>
      <c r="AA561" s="8">
        <v>2.8570199999999999</v>
      </c>
    </row>
    <row r="562" spans="2:27" ht="15" customHeight="1" x14ac:dyDescent="0.25">
      <c r="B562">
        <v>543</v>
      </c>
      <c r="C562" s="8">
        <v>-12456.933499999999</v>
      </c>
      <c r="D562" s="2">
        <v>-12458.369842</v>
      </c>
      <c r="F562" s="12">
        <v>0.99488399999999999</v>
      </c>
      <c r="G562" s="13">
        <v>0.178949999999999</v>
      </c>
      <c r="H562">
        <v>8</v>
      </c>
      <c r="I562">
        <v>5</v>
      </c>
      <c r="K562" s="8">
        <f t="shared" si="56"/>
        <v>-1.2054923076921114</v>
      </c>
      <c r="L562" s="8">
        <f t="shared" si="57"/>
        <v>-9.2730177514777801E-2</v>
      </c>
      <c r="M562" s="8">
        <f t="shared" si="58"/>
        <v>-1.2658504615374113</v>
      </c>
      <c r="N562" s="8">
        <f t="shared" si="59"/>
        <v>-9.7373112425954714E-2</v>
      </c>
      <c r="O562" s="8"/>
      <c r="P562" t="s">
        <v>850</v>
      </c>
      <c r="Q562">
        <v>34</v>
      </c>
      <c r="R562" s="8">
        <v>2.8211900000000001</v>
      </c>
      <c r="S562">
        <v>3</v>
      </c>
      <c r="T562" s="8">
        <f t="shared" si="60"/>
        <v>8.8235294117647065E-2</v>
      </c>
      <c r="U562" s="8">
        <v>2.8605700000000001</v>
      </c>
      <c r="V562">
        <v>20</v>
      </c>
      <c r="W562" s="8">
        <f t="shared" si="61"/>
        <v>0.58823529411764708</v>
      </c>
      <c r="X562" s="8">
        <v>2.8082099999999999</v>
      </c>
      <c r="Y562">
        <v>11</v>
      </c>
      <c r="Z562" s="8">
        <f t="shared" si="62"/>
        <v>0.3235294117647059</v>
      </c>
      <c r="AA562" s="8">
        <v>2.83406</v>
      </c>
    </row>
    <row r="563" spans="2:27" ht="15" customHeight="1" x14ac:dyDescent="0.25">
      <c r="B563">
        <v>544</v>
      </c>
      <c r="C563" s="8">
        <v>-12457.067842</v>
      </c>
      <c r="D563" s="2">
        <v>-12458.385762</v>
      </c>
      <c r="F563" s="12">
        <v>0.99585000000000001</v>
      </c>
      <c r="G563" s="13">
        <v>0.18528999999999901</v>
      </c>
      <c r="H563">
        <v>8</v>
      </c>
      <c r="I563">
        <v>5</v>
      </c>
      <c r="K563" s="8">
        <f t="shared" si="56"/>
        <v>-1.3398343076933088</v>
      </c>
      <c r="L563" s="8">
        <f t="shared" si="57"/>
        <v>-0.1030641775148699</v>
      </c>
      <c r="M563" s="8">
        <f t="shared" si="58"/>
        <v>-1.281770461537235</v>
      </c>
      <c r="N563" s="8">
        <f t="shared" si="59"/>
        <v>-9.8597727810556535E-2</v>
      </c>
      <c r="O563" s="8"/>
      <c r="P563" t="s">
        <v>851</v>
      </c>
      <c r="Q563">
        <v>34</v>
      </c>
      <c r="R563" s="8">
        <v>2.8184300000000002</v>
      </c>
      <c r="S563">
        <v>2</v>
      </c>
      <c r="T563" s="8">
        <f t="shared" si="60"/>
        <v>5.8823529411764705E-2</v>
      </c>
      <c r="U563" s="8">
        <v>2.8473700000000002</v>
      </c>
      <c r="V563">
        <v>22</v>
      </c>
      <c r="W563" s="8">
        <f t="shared" si="61"/>
        <v>0.6470588235294118</v>
      </c>
      <c r="X563" s="8">
        <v>2.8036699999999999</v>
      </c>
      <c r="Y563">
        <v>10</v>
      </c>
      <c r="Z563" s="8">
        <f t="shared" si="62"/>
        <v>0.29411764705882354</v>
      </c>
      <c r="AA563" s="8">
        <v>2.84511</v>
      </c>
    </row>
    <row r="564" spans="2:27" ht="15" customHeight="1" x14ac:dyDescent="0.25">
      <c r="B564">
        <v>545</v>
      </c>
      <c r="C564" s="8">
        <v>-12456.791499999999</v>
      </c>
      <c r="D564" s="2">
        <v>-12458.113455999999</v>
      </c>
      <c r="F564" s="12">
        <v>0.99337600000000004</v>
      </c>
      <c r="G564" s="13">
        <v>0.171259999999999</v>
      </c>
      <c r="H564">
        <v>8</v>
      </c>
      <c r="I564">
        <v>5</v>
      </c>
      <c r="K564" s="8">
        <f t="shared" si="56"/>
        <v>-1.063492307692286</v>
      </c>
      <c r="L564" s="8">
        <f t="shared" si="57"/>
        <v>-8.180710059171431E-2</v>
      </c>
      <c r="M564" s="8">
        <f t="shared" si="58"/>
        <v>-1.0094644615364814</v>
      </c>
      <c r="N564" s="8">
        <f t="shared" si="59"/>
        <v>-7.7651112425883184E-2</v>
      </c>
      <c r="O564" s="8"/>
      <c r="P564" t="s">
        <v>852</v>
      </c>
      <c r="Q564">
        <v>32</v>
      </c>
      <c r="R564" s="8">
        <v>2.79922</v>
      </c>
      <c r="S564">
        <v>3</v>
      </c>
      <c r="T564" s="8">
        <f t="shared" si="60"/>
        <v>9.375E-2</v>
      </c>
      <c r="U564" s="8">
        <v>2.8153199999999998</v>
      </c>
      <c r="V564">
        <v>19</v>
      </c>
      <c r="W564" s="8">
        <f t="shared" si="61"/>
        <v>0.59375</v>
      </c>
      <c r="X564" s="8">
        <v>2.7839499999999999</v>
      </c>
      <c r="Y564">
        <v>10</v>
      </c>
      <c r="Z564" s="8">
        <f t="shared" si="62"/>
        <v>0.3125</v>
      </c>
      <c r="AA564" s="8">
        <v>2.82341</v>
      </c>
    </row>
    <row r="565" spans="2:27" ht="15" customHeight="1" x14ac:dyDescent="0.25">
      <c r="B565">
        <v>546</v>
      </c>
      <c r="C565" s="8">
        <v>-12456.9012</v>
      </c>
      <c r="D565" s="2">
        <v>-12458.222212000001</v>
      </c>
      <c r="F565" s="12">
        <v>0.99473</v>
      </c>
      <c r="G565" s="13">
        <v>0.178119999999999</v>
      </c>
      <c r="H565">
        <v>8</v>
      </c>
      <c r="I565">
        <v>5</v>
      </c>
      <c r="K565" s="8">
        <f t="shared" si="56"/>
        <v>-1.1731923076931707</v>
      </c>
      <c r="L565" s="8">
        <f t="shared" si="57"/>
        <v>-9.02455621302439E-2</v>
      </c>
      <c r="M565" s="8">
        <f t="shared" si="58"/>
        <v>-1.1182204615379305</v>
      </c>
      <c r="N565" s="8">
        <f t="shared" si="59"/>
        <v>-8.6016958579840805E-2</v>
      </c>
      <c r="O565" s="8"/>
      <c r="P565" t="s">
        <v>853</v>
      </c>
      <c r="Q565">
        <v>34</v>
      </c>
      <c r="R565" s="8">
        <v>2.8188599999999999</v>
      </c>
      <c r="S565">
        <v>3</v>
      </c>
      <c r="T565" s="8">
        <f t="shared" si="60"/>
        <v>8.8235294117647065E-2</v>
      </c>
      <c r="U565" s="8">
        <v>2.8039000000000001</v>
      </c>
      <c r="V565">
        <v>19</v>
      </c>
      <c r="W565" s="8">
        <f t="shared" si="61"/>
        <v>0.55882352941176472</v>
      </c>
      <c r="X565" s="8">
        <v>2.8035899999999998</v>
      </c>
      <c r="Y565">
        <v>12</v>
      </c>
      <c r="Z565" s="8">
        <f t="shared" si="62"/>
        <v>0.35294117647058826</v>
      </c>
      <c r="AA565" s="8">
        <v>2.8467899999999999</v>
      </c>
    </row>
    <row r="566" spans="2:27" ht="15" customHeight="1" x14ac:dyDescent="0.25">
      <c r="B566">
        <v>547</v>
      </c>
      <c r="C566" s="8">
        <v>-12456.9902</v>
      </c>
      <c r="D566" s="2">
        <v>-12458.474874</v>
      </c>
      <c r="F566" s="12">
        <v>0.994757</v>
      </c>
      <c r="G566" s="13">
        <v>0.17821999999999899</v>
      </c>
      <c r="H566">
        <v>8</v>
      </c>
      <c r="I566">
        <v>5</v>
      </c>
      <c r="K566" s="8">
        <f t="shared" si="56"/>
        <v>-1.2621923076931125</v>
      </c>
      <c r="L566" s="8">
        <f t="shared" si="57"/>
        <v>-9.7091715976393267E-2</v>
      </c>
      <c r="M566" s="8">
        <f t="shared" si="58"/>
        <v>-1.370882461536894</v>
      </c>
      <c r="N566" s="8">
        <f t="shared" si="59"/>
        <v>-0.10545249704129954</v>
      </c>
      <c r="O566" s="8"/>
      <c r="P566" t="s">
        <v>854</v>
      </c>
      <c r="Q566">
        <v>33</v>
      </c>
      <c r="R566" s="8">
        <v>2.8086700000000002</v>
      </c>
      <c r="S566">
        <v>2</v>
      </c>
      <c r="T566" s="8">
        <f t="shared" si="60"/>
        <v>6.0606060606060608E-2</v>
      </c>
      <c r="U566" s="8">
        <v>2.8564600000000002</v>
      </c>
      <c r="V566">
        <v>21</v>
      </c>
      <c r="W566" s="8">
        <f t="shared" si="61"/>
        <v>0.63636363636363635</v>
      </c>
      <c r="X566" s="8">
        <v>2.7866</v>
      </c>
      <c r="Y566">
        <v>10</v>
      </c>
      <c r="Z566" s="8">
        <f t="shared" si="62"/>
        <v>0.30303030303030304</v>
      </c>
      <c r="AA566" s="8">
        <v>2.84545</v>
      </c>
    </row>
    <row r="567" spans="2:27" ht="15" customHeight="1" x14ac:dyDescent="0.25">
      <c r="B567" s="7">
        <v>548</v>
      </c>
      <c r="C567" s="5">
        <v>-12457.134099999999</v>
      </c>
      <c r="D567" s="23">
        <v>-12458.439358</v>
      </c>
      <c r="E567" s="7"/>
      <c r="F567" s="21">
        <v>0.99779799999999996</v>
      </c>
      <c r="G567" s="22">
        <v>0.204369999999999</v>
      </c>
      <c r="H567" s="7">
        <v>8</v>
      </c>
      <c r="I567" s="7">
        <v>5</v>
      </c>
      <c r="K567" s="8">
        <f t="shared" si="56"/>
        <v>-1.4060923076922336</v>
      </c>
      <c r="L567" s="8">
        <f t="shared" si="57"/>
        <v>-0.10816094674555643</v>
      </c>
      <c r="M567" s="8">
        <f t="shared" si="58"/>
        <v>-1.335366461536978</v>
      </c>
      <c r="N567" s="8">
        <f t="shared" si="59"/>
        <v>-0.10272049704130601</v>
      </c>
      <c r="O567" s="8"/>
      <c r="P567" t="s">
        <v>855</v>
      </c>
      <c r="Q567">
        <v>32</v>
      </c>
      <c r="R567" s="8">
        <v>2.8010299999999999</v>
      </c>
      <c r="S567">
        <v>2</v>
      </c>
      <c r="T567" s="8">
        <f t="shared" si="60"/>
        <v>6.25E-2</v>
      </c>
      <c r="U567" s="8">
        <v>2.8033000000000001</v>
      </c>
      <c r="V567">
        <v>19</v>
      </c>
      <c r="W567" s="8">
        <f t="shared" si="61"/>
        <v>0.59375</v>
      </c>
      <c r="X567" s="8">
        <v>2.7985199999999999</v>
      </c>
      <c r="Y567">
        <v>11</v>
      </c>
      <c r="Z567" s="8">
        <f t="shared" si="62"/>
        <v>0.34375</v>
      </c>
      <c r="AA567" s="8">
        <v>2.80497</v>
      </c>
    </row>
    <row r="568" spans="2:27" ht="15" customHeight="1" x14ac:dyDescent="0.25">
      <c r="B568">
        <v>549</v>
      </c>
      <c r="C568" s="8">
        <v>-12456.543900000001</v>
      </c>
      <c r="D568" s="2">
        <v>-12458.071538</v>
      </c>
      <c r="F568" s="12">
        <v>0.99695599999999995</v>
      </c>
      <c r="G568" s="13">
        <v>0.19456999999999899</v>
      </c>
      <c r="H568">
        <v>8</v>
      </c>
      <c r="I568">
        <v>5</v>
      </c>
      <c r="K568" s="8">
        <f t="shared" si="56"/>
        <v>-0.81589230769350252</v>
      </c>
      <c r="L568" s="8">
        <f t="shared" si="57"/>
        <v>-6.2760946745654037E-2</v>
      </c>
      <c r="M568" s="8">
        <f t="shared" si="58"/>
        <v>-0.96754646153749491</v>
      </c>
      <c r="N568" s="8">
        <f t="shared" si="59"/>
        <v>-7.4426650887499612E-2</v>
      </c>
      <c r="O568" s="8"/>
      <c r="P568" t="s">
        <v>856</v>
      </c>
      <c r="Q568">
        <v>34</v>
      </c>
      <c r="R568" s="8">
        <v>2.8242500000000001</v>
      </c>
      <c r="S568">
        <v>5</v>
      </c>
      <c r="T568" s="8">
        <f t="shared" si="60"/>
        <v>0.14705882352941177</v>
      </c>
      <c r="U568" s="8">
        <v>2.8360400000000001</v>
      </c>
      <c r="V568">
        <v>17</v>
      </c>
      <c r="W568" s="8">
        <f t="shared" si="61"/>
        <v>0.5</v>
      </c>
      <c r="X568" s="8">
        <v>2.8066599999999999</v>
      </c>
      <c r="Y568">
        <v>12</v>
      </c>
      <c r="Z568" s="8">
        <f t="shared" si="62"/>
        <v>0.35294117647058826</v>
      </c>
      <c r="AA568" s="8">
        <v>2.8442599999999998</v>
      </c>
    </row>
    <row r="569" spans="2:27" ht="15" customHeight="1" x14ac:dyDescent="0.25">
      <c r="B569">
        <v>550</v>
      </c>
      <c r="C569" s="8">
        <v>-12456.645</v>
      </c>
      <c r="D569" s="2">
        <v>-12458.137739</v>
      </c>
      <c r="F569" s="12">
        <v>0.99576500000000001</v>
      </c>
      <c r="G569" s="13">
        <v>0.18467</v>
      </c>
      <c r="H569">
        <v>8</v>
      </c>
      <c r="I569">
        <v>5</v>
      </c>
      <c r="K569" s="8">
        <f t="shared" si="56"/>
        <v>-0.91699230769336282</v>
      </c>
      <c r="L569" s="8">
        <f t="shared" si="57"/>
        <v>-7.0537869822566365E-2</v>
      </c>
      <c r="M569" s="8">
        <f t="shared" si="58"/>
        <v>-1.033747461537132</v>
      </c>
      <c r="N569" s="8">
        <f t="shared" si="59"/>
        <v>-7.9519035502856314E-2</v>
      </c>
      <c r="O569" s="8"/>
      <c r="P569" t="s">
        <v>857</v>
      </c>
      <c r="Q569">
        <v>34</v>
      </c>
      <c r="R569" s="8">
        <v>2.81562</v>
      </c>
      <c r="S569">
        <v>5</v>
      </c>
      <c r="T569" s="8">
        <f t="shared" si="60"/>
        <v>0.14705882352941177</v>
      </c>
      <c r="U569" s="8">
        <v>2.8555600000000001</v>
      </c>
      <c r="V569">
        <v>19</v>
      </c>
      <c r="W569" s="8">
        <f t="shared" si="61"/>
        <v>0.55882352941176472</v>
      </c>
      <c r="X569" s="8">
        <v>2.8111100000000002</v>
      </c>
      <c r="Y569">
        <v>10</v>
      </c>
      <c r="Z569" s="8">
        <f t="shared" si="62"/>
        <v>0.29411764705882354</v>
      </c>
      <c r="AA569" s="8">
        <v>2.8041900000000002</v>
      </c>
    </row>
    <row r="570" spans="2:27" ht="15" customHeight="1" x14ac:dyDescent="0.25">
      <c r="B570">
        <v>551</v>
      </c>
      <c r="C570" s="8">
        <v>-12456.677100000001</v>
      </c>
      <c r="D570" s="2">
        <v>-12458.145168999999</v>
      </c>
      <c r="F570" s="12">
        <v>0.99480800000000003</v>
      </c>
      <c r="G570" s="13">
        <v>0.17854999999999999</v>
      </c>
      <c r="H570">
        <v>8</v>
      </c>
      <c r="I570">
        <v>5</v>
      </c>
      <c r="K570" s="8">
        <f t="shared" si="56"/>
        <v>-0.94909230769371788</v>
      </c>
      <c r="L570" s="8">
        <f t="shared" si="57"/>
        <v>-7.3007100591824456E-2</v>
      </c>
      <c r="M570" s="8">
        <f t="shared" si="58"/>
        <v>-1.0411774615367904</v>
      </c>
      <c r="N570" s="8">
        <f t="shared" si="59"/>
        <v>-8.0090573964368486E-2</v>
      </c>
      <c r="O570" s="8"/>
      <c r="P570" t="s">
        <v>858</v>
      </c>
      <c r="Q570">
        <v>34</v>
      </c>
      <c r="R570" s="8">
        <v>2.8184100000000001</v>
      </c>
      <c r="S570">
        <v>5</v>
      </c>
      <c r="T570" s="8">
        <f t="shared" si="60"/>
        <v>0.14705882352941177</v>
      </c>
      <c r="U570" s="8">
        <v>2.8424800000000001</v>
      </c>
      <c r="V570">
        <v>16</v>
      </c>
      <c r="W570" s="8">
        <f t="shared" si="61"/>
        <v>0.47058823529411764</v>
      </c>
      <c r="X570" s="8">
        <v>2.7957700000000001</v>
      </c>
      <c r="Y570">
        <v>13</v>
      </c>
      <c r="Z570" s="8">
        <f t="shared" si="62"/>
        <v>0.38235294117647056</v>
      </c>
      <c r="AA570" s="8">
        <v>2.8370099999999998</v>
      </c>
    </row>
    <row r="571" spans="2:27" ht="15" customHeight="1" x14ac:dyDescent="0.25">
      <c r="B571">
        <v>552</v>
      </c>
      <c r="C571" s="8">
        <v>-12456.7901</v>
      </c>
      <c r="D571" s="2">
        <v>-12458.117161</v>
      </c>
      <c r="F571" s="12">
        <v>0.99629800000000002</v>
      </c>
      <c r="G571" s="13">
        <v>0.188829999999999</v>
      </c>
      <c r="H571">
        <v>8</v>
      </c>
      <c r="I571">
        <v>5</v>
      </c>
      <c r="K571" s="8">
        <f t="shared" si="56"/>
        <v>-1.0620923076930922</v>
      </c>
      <c r="L571" s="8">
        <f t="shared" si="57"/>
        <v>-8.1699408284084007E-2</v>
      </c>
      <c r="M571" s="8">
        <f t="shared" si="58"/>
        <v>-1.0131694615374727</v>
      </c>
      <c r="N571" s="8">
        <f t="shared" si="59"/>
        <v>-7.7936112425959436E-2</v>
      </c>
      <c r="O571" s="8"/>
      <c r="P571" t="s">
        <v>859</v>
      </c>
      <c r="Q571">
        <v>34</v>
      </c>
      <c r="R571" s="8">
        <v>2.8172999999999999</v>
      </c>
      <c r="S571">
        <v>4</v>
      </c>
      <c r="T571" s="8">
        <f t="shared" si="60"/>
        <v>0.11764705882352941</v>
      </c>
      <c r="U571" s="8">
        <v>2.8385500000000001</v>
      </c>
      <c r="V571">
        <v>18</v>
      </c>
      <c r="W571" s="8">
        <f t="shared" si="61"/>
        <v>0.52941176470588236</v>
      </c>
      <c r="X571" s="8">
        <v>2.7955100000000002</v>
      </c>
      <c r="Y571">
        <v>12</v>
      </c>
      <c r="Z571" s="8">
        <f t="shared" si="62"/>
        <v>0.35294117647058826</v>
      </c>
      <c r="AA571" s="8">
        <v>2.8429000000000002</v>
      </c>
    </row>
    <row r="572" spans="2:27" ht="15" customHeight="1" x14ac:dyDescent="0.25">
      <c r="B572">
        <v>553</v>
      </c>
      <c r="C572" s="8">
        <v>-12456.507900000001</v>
      </c>
      <c r="D572" s="2">
        <v>-12458.012639</v>
      </c>
      <c r="F572" s="12">
        <v>0.99442200000000003</v>
      </c>
      <c r="G572" s="13">
        <v>0.17632999999999999</v>
      </c>
      <c r="H572">
        <v>8</v>
      </c>
      <c r="I572">
        <v>5</v>
      </c>
      <c r="K572" s="8">
        <f t="shared" si="56"/>
        <v>-0.77989230769344431</v>
      </c>
      <c r="L572" s="8">
        <f t="shared" si="57"/>
        <v>-5.9991715976418794E-2</v>
      </c>
      <c r="M572" s="8">
        <f t="shared" si="58"/>
        <v>-0.90864746153783926</v>
      </c>
      <c r="N572" s="8">
        <f t="shared" si="59"/>
        <v>-6.9895958579833786E-2</v>
      </c>
      <c r="O572" s="8"/>
      <c r="P572" t="s">
        <v>860</v>
      </c>
      <c r="Q572">
        <v>34</v>
      </c>
      <c r="R572" s="8">
        <v>2.8205900000000002</v>
      </c>
      <c r="S572">
        <v>4</v>
      </c>
      <c r="T572" s="8">
        <f t="shared" si="60"/>
        <v>0.11764705882352941</v>
      </c>
      <c r="U572" s="8">
        <v>2.8078699999999999</v>
      </c>
      <c r="V572">
        <v>18</v>
      </c>
      <c r="W572" s="8">
        <f t="shared" si="61"/>
        <v>0.52941176470588236</v>
      </c>
      <c r="X572" s="8">
        <v>2.7876099999999999</v>
      </c>
      <c r="Y572">
        <v>12</v>
      </c>
      <c r="Z572" s="8">
        <f t="shared" si="62"/>
        <v>0.35294117647058826</v>
      </c>
      <c r="AA572" s="8">
        <v>2.8743099999999999</v>
      </c>
    </row>
    <row r="573" spans="2:27" ht="15" customHeight="1" x14ac:dyDescent="0.25">
      <c r="B573">
        <v>554</v>
      </c>
      <c r="C573" s="8">
        <v>-12456.416499999999</v>
      </c>
      <c r="D573" s="2">
        <v>-12457.917530000001</v>
      </c>
      <c r="F573" s="12">
        <v>0.99529000000000001</v>
      </c>
      <c r="G573" s="13">
        <v>0.18146999999999999</v>
      </c>
      <c r="H573">
        <v>8</v>
      </c>
      <c r="I573">
        <v>5</v>
      </c>
      <c r="K573" s="8">
        <f t="shared" si="56"/>
        <v>-0.68849230769228598</v>
      </c>
      <c r="L573" s="8">
        <f t="shared" si="57"/>
        <v>-5.2960946745560462E-2</v>
      </c>
      <c r="M573" s="8">
        <f t="shared" si="58"/>
        <v>-0.81353846153797349</v>
      </c>
      <c r="N573" s="8">
        <f t="shared" si="59"/>
        <v>-6.2579881656767186E-2</v>
      </c>
      <c r="O573" s="8"/>
      <c r="P573" t="s">
        <v>861</v>
      </c>
      <c r="Q573">
        <v>34</v>
      </c>
      <c r="R573" s="8">
        <v>2.8168799999999998</v>
      </c>
      <c r="S573">
        <v>6</v>
      </c>
      <c r="T573" s="8">
        <f t="shared" si="60"/>
        <v>0.17647058823529413</v>
      </c>
      <c r="U573" s="8">
        <v>2.7806799999999998</v>
      </c>
      <c r="V573">
        <v>13</v>
      </c>
      <c r="W573" s="8">
        <f t="shared" si="61"/>
        <v>0.38235294117647056</v>
      </c>
      <c r="X573" s="8">
        <v>2.8098999999999998</v>
      </c>
      <c r="Y573">
        <v>15</v>
      </c>
      <c r="Z573" s="8">
        <f t="shared" si="62"/>
        <v>0.44117647058823528</v>
      </c>
      <c r="AA573" s="8">
        <v>2.8374199999999998</v>
      </c>
    </row>
    <row r="574" spans="2:27" ht="15" customHeight="1" x14ac:dyDescent="0.25">
      <c r="B574">
        <v>555</v>
      </c>
      <c r="C574" s="8">
        <v>-12456.7528</v>
      </c>
      <c r="D574" s="2">
        <v>-12458.231051999999</v>
      </c>
      <c r="F574" s="12">
        <v>0.99470800000000004</v>
      </c>
      <c r="G574" s="13">
        <v>0.17795999999999901</v>
      </c>
      <c r="H574">
        <v>8</v>
      </c>
      <c r="I574">
        <v>5</v>
      </c>
      <c r="K574" s="8">
        <f t="shared" si="56"/>
        <v>-1.0247923076931329</v>
      </c>
      <c r="L574" s="8">
        <f t="shared" si="57"/>
        <v>-7.8830177514856381E-2</v>
      </c>
      <c r="M574" s="8">
        <f t="shared" si="58"/>
        <v>-1.1270604615365301</v>
      </c>
      <c r="N574" s="8">
        <f t="shared" si="59"/>
        <v>-8.6696958579733086E-2</v>
      </c>
      <c r="O574" s="8"/>
      <c r="P574" t="s">
        <v>862</v>
      </c>
      <c r="Q574">
        <v>34</v>
      </c>
      <c r="R574" s="8">
        <v>2.8211900000000001</v>
      </c>
      <c r="S574">
        <v>3</v>
      </c>
      <c r="T574" s="8">
        <f t="shared" si="60"/>
        <v>8.8235294117647065E-2</v>
      </c>
      <c r="U574" s="8">
        <v>2.8364600000000002</v>
      </c>
      <c r="V574">
        <v>19</v>
      </c>
      <c r="W574" s="8">
        <f t="shared" si="61"/>
        <v>0.55882352941176472</v>
      </c>
      <c r="X574" s="8">
        <v>2.7826</v>
      </c>
      <c r="Y574">
        <v>12</v>
      </c>
      <c r="Z574" s="8">
        <f t="shared" si="62"/>
        <v>0.35294117647058826</v>
      </c>
      <c r="AA574" s="8">
        <v>2.8784800000000001</v>
      </c>
    </row>
    <row r="575" spans="2:27" ht="15" customHeight="1" x14ac:dyDescent="0.25">
      <c r="B575">
        <v>556</v>
      </c>
      <c r="C575" s="8">
        <v>-12456.635700000001</v>
      </c>
      <c r="D575" s="2">
        <v>-12458.001168000001</v>
      </c>
      <c r="F575" s="12">
        <v>0.99538800000000005</v>
      </c>
      <c r="G575" s="13">
        <v>0.182059999999999</v>
      </c>
      <c r="H575">
        <v>8</v>
      </c>
      <c r="I575">
        <v>5</v>
      </c>
      <c r="K575" s="8">
        <f t="shared" si="56"/>
        <v>-0.90769230769365095</v>
      </c>
      <c r="L575" s="8">
        <f t="shared" si="57"/>
        <v>-6.9822485207203924E-2</v>
      </c>
      <c r="M575" s="8">
        <f t="shared" si="58"/>
        <v>-0.89717646153803798</v>
      </c>
      <c r="N575" s="8">
        <f t="shared" si="59"/>
        <v>-6.9013573964464461E-2</v>
      </c>
      <c r="O575" s="8"/>
      <c r="P575" t="s">
        <v>863</v>
      </c>
      <c r="Q575">
        <v>34</v>
      </c>
      <c r="R575" s="8">
        <v>2.8210999999999999</v>
      </c>
      <c r="S575">
        <v>4</v>
      </c>
      <c r="T575" s="8">
        <f t="shared" si="60"/>
        <v>0.11764705882352941</v>
      </c>
      <c r="U575" s="8">
        <v>2.87073</v>
      </c>
      <c r="V575">
        <v>19</v>
      </c>
      <c r="W575" s="8">
        <f t="shared" si="61"/>
        <v>0.55882352941176472</v>
      </c>
      <c r="X575" s="8">
        <v>2.8075800000000002</v>
      </c>
      <c r="Y575">
        <v>11</v>
      </c>
      <c r="Z575" s="8">
        <f t="shared" si="62"/>
        <v>0.3235294117647059</v>
      </c>
      <c r="AA575" s="8">
        <v>2.82639</v>
      </c>
    </row>
    <row r="576" spans="2:27" ht="15" customHeight="1" x14ac:dyDescent="0.25">
      <c r="B576">
        <v>557</v>
      </c>
      <c r="C576" s="8">
        <v>-12456.797200000001</v>
      </c>
      <c r="D576" s="2">
        <v>-12458.209199000001</v>
      </c>
      <c r="F576" s="12">
        <v>0.99543599999999999</v>
      </c>
      <c r="G576" s="13">
        <v>0.18239999999999901</v>
      </c>
      <c r="H576">
        <v>8</v>
      </c>
      <c r="I576">
        <v>5</v>
      </c>
      <c r="K576" s="8">
        <f t="shared" si="56"/>
        <v>-1.069192307693811</v>
      </c>
      <c r="L576" s="8">
        <f t="shared" si="57"/>
        <v>-8.2245562130293159E-2</v>
      </c>
      <c r="M576" s="8">
        <f t="shared" si="58"/>
        <v>-1.1052074615381571</v>
      </c>
      <c r="N576" s="8">
        <f t="shared" si="59"/>
        <v>-8.5015958579858233E-2</v>
      </c>
      <c r="O576" s="8"/>
      <c r="P576" t="s">
        <v>864</v>
      </c>
      <c r="Q576">
        <v>35</v>
      </c>
      <c r="R576" s="8">
        <v>2.83371</v>
      </c>
      <c r="S576">
        <v>3</v>
      </c>
      <c r="T576" s="8">
        <f t="shared" si="60"/>
        <v>8.5714285714285715E-2</v>
      </c>
      <c r="U576" s="8">
        <v>2.9272399999999998</v>
      </c>
      <c r="V576">
        <v>22</v>
      </c>
      <c r="W576" s="8">
        <f t="shared" si="61"/>
        <v>0.62857142857142856</v>
      </c>
      <c r="X576" s="8">
        <v>2.8190599999999999</v>
      </c>
      <c r="Y576">
        <v>10</v>
      </c>
      <c r="Z576" s="8">
        <f t="shared" si="62"/>
        <v>0.2857142857142857</v>
      </c>
      <c r="AA576" s="8">
        <v>2.8378800000000002</v>
      </c>
    </row>
    <row r="577" spans="2:27" ht="15" customHeight="1" x14ac:dyDescent="0.25">
      <c r="B577">
        <v>558</v>
      </c>
      <c r="C577" s="8">
        <v>-12456.8346</v>
      </c>
      <c r="D577" s="2">
        <v>-12458.336821000001</v>
      </c>
      <c r="F577" s="12">
        <v>0.99632600000000004</v>
      </c>
      <c r="G577" s="13">
        <v>0.188969999999999</v>
      </c>
      <c r="H577">
        <v>8</v>
      </c>
      <c r="I577">
        <v>5</v>
      </c>
      <c r="K577" s="8">
        <f t="shared" si="56"/>
        <v>-1.106592307693063</v>
      </c>
      <c r="L577" s="8">
        <f t="shared" si="57"/>
        <v>-8.5122485207158691E-2</v>
      </c>
      <c r="M577" s="8">
        <f t="shared" si="58"/>
        <v>-1.232829461538131</v>
      </c>
      <c r="N577" s="8">
        <f t="shared" si="59"/>
        <v>-9.483303550293315E-2</v>
      </c>
      <c r="O577" s="8"/>
      <c r="P577" t="s">
        <v>865</v>
      </c>
      <c r="Q577">
        <v>34</v>
      </c>
      <c r="R577" s="8">
        <v>2.8175599999999998</v>
      </c>
      <c r="S577">
        <v>3</v>
      </c>
      <c r="T577" s="8">
        <f t="shared" si="60"/>
        <v>8.8235294117647065E-2</v>
      </c>
      <c r="U577" s="8">
        <v>2.84849</v>
      </c>
      <c r="V577">
        <v>19</v>
      </c>
      <c r="W577" s="8">
        <f t="shared" si="61"/>
        <v>0.55882352941176472</v>
      </c>
      <c r="X577" s="8">
        <v>2.79684</v>
      </c>
      <c r="Y577">
        <v>12</v>
      </c>
      <c r="Z577" s="8">
        <f t="shared" si="62"/>
        <v>0.35294117647058826</v>
      </c>
      <c r="AA577" s="8">
        <v>2.8426200000000001</v>
      </c>
    </row>
    <row r="578" spans="2:27" ht="15" customHeight="1" x14ac:dyDescent="0.25">
      <c r="B578">
        <v>559</v>
      </c>
      <c r="C578" s="8">
        <v>-12456.604300000001</v>
      </c>
      <c r="D578" s="2">
        <v>-12458.116169999999</v>
      </c>
      <c r="F578" s="12">
        <v>0.99550400000000006</v>
      </c>
      <c r="G578" s="13">
        <v>0.18287999999999899</v>
      </c>
      <c r="H578">
        <v>8</v>
      </c>
      <c r="I578">
        <v>5</v>
      </c>
      <c r="K578" s="8">
        <f t="shared" si="56"/>
        <v>-0.87629230769380229</v>
      </c>
      <c r="L578" s="8">
        <f t="shared" si="57"/>
        <v>-6.7407100591830943E-2</v>
      </c>
      <c r="M578" s="8">
        <f t="shared" si="58"/>
        <v>-1.0121784615366778</v>
      </c>
      <c r="N578" s="8">
        <f t="shared" si="59"/>
        <v>-7.7859881656667518E-2</v>
      </c>
      <c r="O578" s="8"/>
      <c r="P578" t="s">
        <v>866</v>
      </c>
      <c r="Q578">
        <v>34</v>
      </c>
      <c r="R578" s="8">
        <v>2.81623</v>
      </c>
      <c r="S578">
        <v>4</v>
      </c>
      <c r="T578" s="8">
        <f t="shared" si="60"/>
        <v>0.11764705882352941</v>
      </c>
      <c r="U578" s="8">
        <v>2.8174199999999998</v>
      </c>
      <c r="V578">
        <v>19</v>
      </c>
      <c r="W578" s="8">
        <f t="shared" si="61"/>
        <v>0.55882352941176472</v>
      </c>
      <c r="X578" s="8">
        <v>2.7991999999999999</v>
      </c>
      <c r="Y578">
        <v>11</v>
      </c>
      <c r="Z578" s="8">
        <f t="shared" si="62"/>
        <v>0.3235294117647059</v>
      </c>
      <c r="AA578" s="8">
        <v>2.8452199999999999</v>
      </c>
    </row>
    <row r="579" spans="2:27" ht="15" customHeight="1" x14ac:dyDescent="0.25">
      <c r="B579">
        <v>560</v>
      </c>
      <c r="C579" s="8">
        <v>-12456.688599999999</v>
      </c>
      <c r="D579" s="2">
        <v>-12458.076921</v>
      </c>
      <c r="F579" s="12">
        <v>0.99563999999999997</v>
      </c>
      <c r="G579" s="13">
        <v>0.18378999999999901</v>
      </c>
      <c r="H579">
        <v>8</v>
      </c>
      <c r="I579">
        <v>5</v>
      </c>
      <c r="K579" s="8">
        <f t="shared" ref="K579:K642" si="63">IF(ISNUMBER(C579),C579-(($C$3-$C$2236)/($H$3-$H$2236)*H579+$C$2236),"")</f>
        <v>-0.96059230769242276</v>
      </c>
      <c r="L579" s="8">
        <f t="shared" ref="L579:L642" si="64">IF(ISNUMBER(C579),K579/(H579+I579),"")</f>
        <v>-7.3891715976340214E-2</v>
      </c>
      <c r="M579" s="8">
        <f t="shared" ref="M579:M642" si="65">IF(ISNUMBER(D579),D579-(($D$3-$D$2236)/($H$3-$H$2236)*H579+$D$2236),"")</f>
        <v>-0.9729294615372055</v>
      </c>
      <c r="N579" s="8">
        <f t="shared" ref="N579:N642" si="66">IF(ISNUMBER(D579),M579/(H579+I579),"")</f>
        <v>-7.4840727810554272E-2</v>
      </c>
      <c r="O579" s="8"/>
      <c r="P579" t="s">
        <v>867</v>
      </c>
      <c r="Q579">
        <v>34</v>
      </c>
      <c r="R579" s="8">
        <v>2.8242400000000001</v>
      </c>
      <c r="S579">
        <v>5</v>
      </c>
      <c r="T579" s="8">
        <f t="shared" ref="T579:T642" si="67">IF(ISNUMBER(S579),S579/(Q579),"")</f>
        <v>0.14705882352941177</v>
      </c>
      <c r="U579" s="8">
        <v>2.8677199999999998</v>
      </c>
      <c r="V579">
        <v>17</v>
      </c>
      <c r="W579" s="8">
        <f t="shared" ref="W579:W642" si="68">IF(ISNUMBER(V579),V579/($Q579),"")</f>
        <v>0.5</v>
      </c>
      <c r="X579" s="8">
        <v>2.8073299999999999</v>
      </c>
      <c r="Y579">
        <v>12</v>
      </c>
      <c r="Z579" s="8">
        <f t="shared" ref="Z579:Z642" si="69">IF(ISNUMBER(Y579),Y579/($Q579),"")</f>
        <v>0.35294117647058826</v>
      </c>
      <c r="AA579" s="8">
        <v>2.8300999999999998</v>
      </c>
    </row>
    <row r="580" spans="2:27" ht="15" customHeight="1" x14ac:dyDescent="0.25">
      <c r="B580">
        <v>561</v>
      </c>
      <c r="C580" s="8">
        <v>-12456.759599999999</v>
      </c>
      <c r="D580" s="2">
        <v>-12458.109898000001</v>
      </c>
      <c r="F580" s="12">
        <v>0.99655199999999999</v>
      </c>
      <c r="G580" s="13">
        <v>0.19084999999999899</v>
      </c>
      <c r="H580">
        <v>8</v>
      </c>
      <c r="I580">
        <v>5</v>
      </c>
      <c r="K580" s="8">
        <f t="shared" si="63"/>
        <v>-1.0315923076923355</v>
      </c>
      <c r="L580" s="8">
        <f t="shared" si="64"/>
        <v>-7.9353254437871959E-2</v>
      </c>
      <c r="M580" s="8">
        <f t="shared" si="65"/>
        <v>-1.0059064615379611</v>
      </c>
      <c r="N580" s="8">
        <f t="shared" si="66"/>
        <v>-7.7377420118304702E-2</v>
      </c>
      <c r="O580" s="8"/>
      <c r="P580" t="s">
        <v>868</v>
      </c>
      <c r="Q580">
        <v>34</v>
      </c>
      <c r="R580" s="8">
        <v>2.8228200000000001</v>
      </c>
      <c r="S580">
        <v>4</v>
      </c>
      <c r="T580" s="8">
        <f t="shared" si="67"/>
        <v>0.11764705882352941</v>
      </c>
      <c r="U580" s="8">
        <v>2.89602</v>
      </c>
      <c r="V580">
        <v>19</v>
      </c>
      <c r="W580" s="8">
        <f t="shared" si="68"/>
        <v>0.55882352941176472</v>
      </c>
      <c r="X580" s="8">
        <v>2.7925599999999999</v>
      </c>
      <c r="Y580">
        <v>11</v>
      </c>
      <c r="Z580" s="8">
        <f t="shared" si="69"/>
        <v>0.3235294117647059</v>
      </c>
      <c r="AA580" s="8">
        <v>2.84849</v>
      </c>
    </row>
    <row r="581" spans="2:27" ht="15" customHeight="1" x14ac:dyDescent="0.25">
      <c r="B581">
        <v>562</v>
      </c>
      <c r="C581" s="8">
        <v>-12456.841700000001</v>
      </c>
      <c r="D581" s="2">
        <v>-12458.344861</v>
      </c>
      <c r="F581" s="12">
        <v>0.99280199999999996</v>
      </c>
      <c r="G581" s="13">
        <v>0.168679999999999</v>
      </c>
      <c r="H581">
        <v>8</v>
      </c>
      <c r="I581">
        <v>5</v>
      </c>
      <c r="K581" s="8">
        <f t="shared" si="63"/>
        <v>-1.1136923076937819</v>
      </c>
      <c r="L581" s="8">
        <f t="shared" si="64"/>
        <v>-8.5668639053367843E-2</v>
      </c>
      <c r="M581" s="8">
        <f t="shared" si="65"/>
        <v>-1.2408694615369313</v>
      </c>
      <c r="N581" s="8">
        <f t="shared" si="66"/>
        <v>-9.5451497041302416E-2</v>
      </c>
      <c r="O581" s="8"/>
      <c r="P581" t="s">
        <v>869</v>
      </c>
      <c r="Q581">
        <v>34</v>
      </c>
      <c r="R581" s="8">
        <v>2.8191799999999998</v>
      </c>
      <c r="S581">
        <v>3</v>
      </c>
      <c r="T581" s="8">
        <f t="shared" si="67"/>
        <v>8.8235294117647065E-2</v>
      </c>
      <c r="U581" s="8">
        <v>2.8097699999999999</v>
      </c>
      <c r="V581">
        <v>19</v>
      </c>
      <c r="W581" s="8">
        <f t="shared" si="68"/>
        <v>0.55882352941176472</v>
      </c>
      <c r="X581" s="8">
        <v>2.79982</v>
      </c>
      <c r="Y581">
        <v>12</v>
      </c>
      <c r="Z581" s="8">
        <f t="shared" si="69"/>
        <v>0.35294117647058826</v>
      </c>
      <c r="AA581" s="8">
        <v>2.8521800000000002</v>
      </c>
    </row>
    <row r="582" spans="2:27" ht="15" customHeight="1" x14ac:dyDescent="0.25">
      <c r="B582">
        <v>563</v>
      </c>
      <c r="C582" s="8">
        <v>-12456.733700000001</v>
      </c>
      <c r="D582" s="2">
        <v>-12458.076633999999</v>
      </c>
      <c r="F582" s="12">
        <v>0.99487499999999995</v>
      </c>
      <c r="G582" s="13">
        <v>0.17888999999999999</v>
      </c>
      <c r="H582">
        <v>8</v>
      </c>
      <c r="I582">
        <v>5</v>
      </c>
      <c r="K582" s="8">
        <f t="shared" si="63"/>
        <v>-1.0056923076936073</v>
      </c>
      <c r="L582" s="8">
        <f t="shared" si="64"/>
        <v>-7.7360946745662101E-2</v>
      </c>
      <c r="M582" s="8">
        <f t="shared" si="65"/>
        <v>-0.97264246153645217</v>
      </c>
      <c r="N582" s="8">
        <f t="shared" si="66"/>
        <v>-7.4818650887419402E-2</v>
      </c>
      <c r="O582" s="8"/>
      <c r="P582" t="s">
        <v>870</v>
      </c>
      <c r="Q582">
        <v>34</v>
      </c>
      <c r="R582" s="8">
        <v>2.8187700000000002</v>
      </c>
      <c r="S582">
        <v>4</v>
      </c>
      <c r="T582" s="8">
        <f t="shared" si="67"/>
        <v>0.11764705882352941</v>
      </c>
      <c r="U582" s="8">
        <v>2.7944900000000001</v>
      </c>
      <c r="V582">
        <v>17</v>
      </c>
      <c r="W582" s="8">
        <f t="shared" si="68"/>
        <v>0.5</v>
      </c>
      <c r="X582" s="8">
        <v>2.8022</v>
      </c>
      <c r="Y582">
        <v>13</v>
      </c>
      <c r="Z582" s="8">
        <f t="shared" si="69"/>
        <v>0.38235294117647056</v>
      </c>
      <c r="AA582" s="8">
        <v>2.8479199999999998</v>
      </c>
    </row>
    <row r="583" spans="2:27" ht="15" customHeight="1" x14ac:dyDescent="0.25">
      <c r="B583">
        <v>564</v>
      </c>
      <c r="C583" s="8">
        <v>-12456.9377</v>
      </c>
      <c r="D583" s="2">
        <v>-12458.296629</v>
      </c>
      <c r="F583" s="12">
        <v>0.99729199999999996</v>
      </c>
      <c r="G583" s="13">
        <v>0.1981</v>
      </c>
      <c r="H583">
        <v>8</v>
      </c>
      <c r="I583">
        <v>5</v>
      </c>
      <c r="K583" s="8">
        <f t="shared" si="63"/>
        <v>-1.2096923076933308</v>
      </c>
      <c r="L583" s="8">
        <f t="shared" si="64"/>
        <v>-9.3053254437948527E-2</v>
      </c>
      <c r="M583" s="8">
        <f t="shared" si="65"/>
        <v>-1.1926374615377426</v>
      </c>
      <c r="N583" s="8">
        <f t="shared" si="66"/>
        <v>-9.1741343195210975E-2</v>
      </c>
      <c r="O583" s="8"/>
      <c r="P583" t="s">
        <v>871</v>
      </c>
      <c r="Q583">
        <v>34</v>
      </c>
      <c r="R583" s="8">
        <v>2.8174800000000002</v>
      </c>
      <c r="S583">
        <v>3</v>
      </c>
      <c r="T583" s="8">
        <f t="shared" si="67"/>
        <v>8.8235294117647065E-2</v>
      </c>
      <c r="U583" s="8">
        <v>2.8251300000000001</v>
      </c>
      <c r="V583">
        <v>19</v>
      </c>
      <c r="W583" s="8">
        <f t="shared" si="68"/>
        <v>0.55882352941176472</v>
      </c>
      <c r="X583" s="8">
        <v>2.8087200000000001</v>
      </c>
      <c r="Y583">
        <v>12</v>
      </c>
      <c r="Z583" s="8">
        <f t="shared" si="69"/>
        <v>0.35294117647058826</v>
      </c>
      <c r="AA583" s="8">
        <v>2.8294299999999999</v>
      </c>
    </row>
    <row r="584" spans="2:27" ht="15" customHeight="1" x14ac:dyDescent="0.25">
      <c r="B584">
        <v>565</v>
      </c>
      <c r="C584" s="8">
        <v>-12456.639300000001</v>
      </c>
      <c r="D584" s="2">
        <v>-12457.963948000001</v>
      </c>
      <c r="F584" s="12">
        <v>0.99396700000000004</v>
      </c>
      <c r="G584" s="13">
        <v>0.17391999999999999</v>
      </c>
      <c r="H584">
        <v>8</v>
      </c>
      <c r="I584">
        <v>5</v>
      </c>
      <c r="K584" s="8">
        <f t="shared" si="63"/>
        <v>-0.91129230769365677</v>
      </c>
      <c r="L584" s="8">
        <f t="shared" si="64"/>
        <v>-7.0099408284127446E-2</v>
      </c>
      <c r="M584" s="8">
        <f t="shared" si="65"/>
        <v>-0.85995646153787675</v>
      </c>
      <c r="N584" s="8">
        <f t="shared" si="66"/>
        <v>-6.6150497041375128E-2</v>
      </c>
      <c r="O584" s="8"/>
      <c r="P584" t="s">
        <v>872</v>
      </c>
      <c r="Q584">
        <v>35</v>
      </c>
      <c r="R584" s="8">
        <v>2.8284500000000001</v>
      </c>
      <c r="S584">
        <v>4</v>
      </c>
      <c r="T584" s="8">
        <f t="shared" si="67"/>
        <v>0.11428571428571428</v>
      </c>
      <c r="U584" s="8">
        <v>2.82334</v>
      </c>
      <c r="V584">
        <v>20</v>
      </c>
      <c r="W584" s="8">
        <f t="shared" si="68"/>
        <v>0.5714285714285714</v>
      </c>
      <c r="X584" s="8">
        <v>2.8378000000000001</v>
      </c>
      <c r="Y584">
        <v>11</v>
      </c>
      <c r="Z584" s="8">
        <f t="shared" si="69"/>
        <v>0.31428571428571428</v>
      </c>
      <c r="AA584" s="8">
        <v>2.8132999999999999</v>
      </c>
    </row>
    <row r="585" spans="2:27" ht="15" customHeight="1" x14ac:dyDescent="0.25">
      <c r="B585">
        <v>566</v>
      </c>
      <c r="C585" s="8">
        <v>-12456.757299999999</v>
      </c>
      <c r="D585" s="2">
        <v>-12458.056521</v>
      </c>
      <c r="F585" s="12">
        <v>0.99569399999999997</v>
      </c>
      <c r="G585" s="13">
        <v>0.18418000000000001</v>
      </c>
      <c r="H585">
        <v>8</v>
      </c>
      <c r="I585">
        <v>5</v>
      </c>
      <c r="K585" s="8">
        <f t="shared" si="63"/>
        <v>-1.0292923076922307</v>
      </c>
      <c r="L585" s="8">
        <f t="shared" si="64"/>
        <v>-7.9176331360940821E-2</v>
      </c>
      <c r="M585" s="8">
        <f t="shared" si="65"/>
        <v>-0.95252946153777884</v>
      </c>
      <c r="N585" s="8">
        <f t="shared" si="66"/>
        <v>-7.3271497041367609E-2</v>
      </c>
      <c r="O585" s="8"/>
      <c r="P585" t="s">
        <v>873</v>
      </c>
      <c r="Q585">
        <v>33</v>
      </c>
      <c r="R585" s="8">
        <v>2.8143199999999999</v>
      </c>
      <c r="S585">
        <v>3</v>
      </c>
      <c r="T585" s="8">
        <f t="shared" si="67"/>
        <v>9.0909090909090912E-2</v>
      </c>
      <c r="U585" s="8">
        <v>2.8007300000000002</v>
      </c>
      <c r="V585">
        <v>18</v>
      </c>
      <c r="W585" s="8">
        <f t="shared" si="68"/>
        <v>0.54545454545454541</v>
      </c>
      <c r="X585" s="8">
        <v>2.7898900000000002</v>
      </c>
      <c r="Y585">
        <v>12</v>
      </c>
      <c r="Z585" s="8">
        <f t="shared" si="69"/>
        <v>0.36363636363636365</v>
      </c>
      <c r="AA585" s="8">
        <v>2.8543500000000002</v>
      </c>
    </row>
    <row r="586" spans="2:27" ht="15" customHeight="1" x14ac:dyDescent="0.25">
      <c r="B586">
        <v>567</v>
      </c>
      <c r="C586" s="8">
        <v>-12456.7952</v>
      </c>
      <c r="D586" s="2">
        <v>-12458.317255</v>
      </c>
      <c r="F586" s="12">
        <v>0.99673699999999998</v>
      </c>
      <c r="G586" s="13">
        <v>0.19256999999999899</v>
      </c>
      <c r="H586">
        <v>8</v>
      </c>
      <c r="I586">
        <v>5</v>
      </c>
      <c r="K586" s="8">
        <f t="shared" si="63"/>
        <v>-1.0671923076934036</v>
      </c>
      <c r="L586" s="8">
        <f t="shared" si="64"/>
        <v>-8.2091715976415652E-2</v>
      </c>
      <c r="M586" s="8">
        <f t="shared" si="65"/>
        <v>-1.2132634615372808</v>
      </c>
      <c r="N586" s="8">
        <f t="shared" si="66"/>
        <v>-9.3327958579790829E-2</v>
      </c>
      <c r="O586" s="8"/>
      <c r="P586" t="s">
        <v>874</v>
      </c>
      <c r="Q586">
        <v>34</v>
      </c>
      <c r="R586" s="8">
        <v>2.8218299999999998</v>
      </c>
      <c r="S586">
        <v>3</v>
      </c>
      <c r="T586" s="8">
        <f t="shared" si="67"/>
        <v>8.8235294117647065E-2</v>
      </c>
      <c r="U586" s="8">
        <v>2.8073299999999999</v>
      </c>
      <c r="V586">
        <v>18</v>
      </c>
      <c r="W586" s="8">
        <f t="shared" si="68"/>
        <v>0.52941176470588236</v>
      </c>
      <c r="X586" s="8">
        <v>2.8014999999999999</v>
      </c>
      <c r="Y586">
        <v>13</v>
      </c>
      <c r="Z586" s="8">
        <f t="shared" si="69"/>
        <v>0.38235294117647056</v>
      </c>
      <c r="AA586" s="8">
        <v>2.8533200000000001</v>
      </c>
    </row>
    <row r="587" spans="2:27" ht="15" customHeight="1" x14ac:dyDescent="0.25">
      <c r="B587" s="7">
        <v>568</v>
      </c>
      <c r="C587" s="19">
        <v>-12456.903899999999</v>
      </c>
      <c r="D587" s="20">
        <v>-12458.63812</v>
      </c>
      <c r="E587" s="7"/>
      <c r="F587" s="21">
        <v>0.99545099999999997</v>
      </c>
      <c r="G587" s="22">
        <v>0.182529999999999</v>
      </c>
      <c r="H587" s="7">
        <v>8</v>
      </c>
      <c r="I587" s="7">
        <v>5</v>
      </c>
      <c r="K587" s="8">
        <f t="shared" si="63"/>
        <v>-1.1758923076922656</v>
      </c>
      <c r="L587" s="8">
        <f t="shared" si="64"/>
        <v>-9.0453254437866587E-2</v>
      </c>
      <c r="M587" s="8">
        <f t="shared" si="65"/>
        <v>-1.5341284615369659</v>
      </c>
      <c r="N587" s="8">
        <f t="shared" si="66"/>
        <v>-0.11800988165668969</v>
      </c>
      <c r="O587" s="8"/>
      <c r="P587" t="s">
        <v>875</v>
      </c>
      <c r="Q587">
        <v>34</v>
      </c>
      <c r="R587" s="8">
        <v>2.8210700000000002</v>
      </c>
      <c r="S587">
        <v>2</v>
      </c>
      <c r="T587" s="8">
        <f t="shared" si="67"/>
        <v>5.8823529411764705E-2</v>
      </c>
      <c r="U587" s="8">
        <v>2.8742800000000002</v>
      </c>
      <c r="V587">
        <v>21</v>
      </c>
      <c r="W587" s="8">
        <f t="shared" si="68"/>
        <v>0.61764705882352944</v>
      </c>
      <c r="X587" s="8">
        <v>2.8005499999999999</v>
      </c>
      <c r="Y587">
        <v>11</v>
      </c>
      <c r="Z587" s="8">
        <f t="shared" si="69"/>
        <v>0.3235294117647059</v>
      </c>
      <c r="AA587" s="8">
        <v>2.8505799999999999</v>
      </c>
    </row>
    <row r="588" spans="2:27" ht="15" customHeight="1" x14ac:dyDescent="0.25">
      <c r="B588">
        <v>569</v>
      </c>
      <c r="C588" s="8">
        <v>-12456.2137</v>
      </c>
      <c r="D588" s="2">
        <v>-12457.654893000001</v>
      </c>
      <c r="F588" s="12">
        <v>0.99409999999999998</v>
      </c>
      <c r="G588" s="13">
        <v>0.17473</v>
      </c>
      <c r="H588">
        <v>8</v>
      </c>
      <c r="I588">
        <v>5</v>
      </c>
      <c r="K588" s="8">
        <f t="shared" si="63"/>
        <v>-0.48569230769317073</v>
      </c>
      <c r="L588" s="8">
        <f t="shared" si="64"/>
        <v>-3.7360946745628516E-2</v>
      </c>
      <c r="M588" s="8">
        <f t="shared" si="65"/>
        <v>-0.55090146153816022</v>
      </c>
      <c r="N588" s="8">
        <f t="shared" si="66"/>
        <v>-4.2377035502935402E-2</v>
      </c>
      <c r="O588" s="8"/>
      <c r="P588" t="s">
        <v>876</v>
      </c>
      <c r="Q588">
        <v>36</v>
      </c>
      <c r="R588" s="8">
        <v>2.8370899999999999</v>
      </c>
      <c r="S588">
        <v>6</v>
      </c>
      <c r="T588" s="8">
        <f t="shared" si="67"/>
        <v>0.16666666666666666</v>
      </c>
      <c r="U588" s="8">
        <v>2.8229600000000001</v>
      </c>
      <c r="V588">
        <v>17</v>
      </c>
      <c r="W588" s="8">
        <f t="shared" si="68"/>
        <v>0.47222222222222221</v>
      </c>
      <c r="X588" s="8">
        <v>2.8425400000000001</v>
      </c>
      <c r="Y588">
        <v>13</v>
      </c>
      <c r="Z588" s="8">
        <f t="shared" si="69"/>
        <v>0.3611111111111111</v>
      </c>
      <c r="AA588" s="8">
        <v>2.8364799999999999</v>
      </c>
    </row>
    <row r="589" spans="2:27" ht="15" customHeight="1" x14ac:dyDescent="0.25">
      <c r="B589">
        <v>570</v>
      </c>
      <c r="C589" s="8">
        <v>-12456.3284</v>
      </c>
      <c r="D589" s="2">
        <v>-12457.913984999999</v>
      </c>
      <c r="F589" s="12">
        <v>0.99618399999999996</v>
      </c>
      <c r="G589" s="13">
        <v>0.18778</v>
      </c>
      <c r="H589">
        <v>8</v>
      </c>
      <c r="I589">
        <v>5</v>
      </c>
      <c r="K589" s="8">
        <f t="shared" si="63"/>
        <v>-0.60039230769325513</v>
      </c>
      <c r="L589" s="8">
        <f t="shared" si="64"/>
        <v>-4.6184023668711931E-2</v>
      </c>
      <c r="M589" s="8">
        <f t="shared" si="65"/>
        <v>-0.80999346153657825</v>
      </c>
      <c r="N589" s="8">
        <f t="shared" si="66"/>
        <v>-6.2307189348967555E-2</v>
      </c>
      <c r="O589" s="8"/>
      <c r="P589" t="s">
        <v>877</v>
      </c>
      <c r="Q589">
        <v>34</v>
      </c>
      <c r="R589" s="8">
        <v>2.8237399999999999</v>
      </c>
      <c r="S589">
        <v>6</v>
      </c>
      <c r="T589" s="8">
        <f t="shared" si="67"/>
        <v>0.17647058823529413</v>
      </c>
      <c r="U589" s="8">
        <v>2.83196</v>
      </c>
      <c r="V589">
        <v>14</v>
      </c>
      <c r="W589" s="8">
        <f t="shared" si="68"/>
        <v>0.41176470588235292</v>
      </c>
      <c r="X589" s="8">
        <v>2.8132700000000002</v>
      </c>
      <c r="Y589">
        <v>14</v>
      </c>
      <c r="Z589" s="8">
        <f t="shared" si="69"/>
        <v>0.41176470588235292</v>
      </c>
      <c r="AA589" s="8">
        <v>2.8306800000000001</v>
      </c>
    </row>
    <row r="590" spans="2:27" ht="15" customHeight="1" x14ac:dyDescent="0.25">
      <c r="B590">
        <v>571</v>
      </c>
      <c r="C590" s="8">
        <v>-12456.4141</v>
      </c>
      <c r="D590" s="2">
        <v>-12457.914350999999</v>
      </c>
      <c r="F590" s="12">
        <v>0.99598699999999996</v>
      </c>
      <c r="G590" s="13">
        <v>0.18629000000000001</v>
      </c>
      <c r="H590">
        <v>8</v>
      </c>
      <c r="I590">
        <v>5</v>
      </c>
      <c r="K590" s="8">
        <f t="shared" si="63"/>
        <v>-0.68609230769288843</v>
      </c>
      <c r="L590" s="8">
        <f t="shared" si="64"/>
        <v>-5.277633136099142E-2</v>
      </c>
      <c r="M590" s="8">
        <f t="shared" si="65"/>
        <v>-0.81035946153679106</v>
      </c>
      <c r="N590" s="8">
        <f t="shared" si="66"/>
        <v>-6.2335343195137775E-2</v>
      </c>
      <c r="O590" s="8"/>
      <c r="P590" t="s">
        <v>878</v>
      </c>
      <c r="Q590">
        <v>34</v>
      </c>
      <c r="R590" s="8">
        <v>2.8224499999999999</v>
      </c>
      <c r="S590">
        <v>5</v>
      </c>
      <c r="T590" s="8">
        <f t="shared" si="67"/>
        <v>0.14705882352941177</v>
      </c>
      <c r="U590" s="8">
        <v>2.8305600000000002</v>
      </c>
      <c r="V590">
        <v>16</v>
      </c>
      <c r="W590" s="8">
        <f t="shared" si="68"/>
        <v>0.47058823529411764</v>
      </c>
      <c r="X590" s="8">
        <v>2.8060900000000002</v>
      </c>
      <c r="Y590">
        <v>13</v>
      </c>
      <c r="Z590" s="8">
        <f t="shared" si="69"/>
        <v>0.38235294117647056</v>
      </c>
      <c r="AA590" s="8">
        <v>2.8394599999999999</v>
      </c>
    </row>
    <row r="591" spans="2:27" ht="15" customHeight="1" x14ac:dyDescent="0.25">
      <c r="B591">
        <v>572</v>
      </c>
      <c r="C591" s="8">
        <v>-12456.5417</v>
      </c>
      <c r="D591" s="2">
        <v>-12457.890265</v>
      </c>
      <c r="F591" s="12">
        <v>0.996614</v>
      </c>
      <c r="G591" s="13">
        <v>0.19134000000000001</v>
      </c>
      <c r="H591">
        <v>8</v>
      </c>
      <c r="I591">
        <v>5</v>
      </c>
      <c r="K591" s="8">
        <f t="shared" si="63"/>
        <v>-0.81369230769269052</v>
      </c>
      <c r="L591" s="8">
        <f t="shared" si="64"/>
        <v>-6.2591715976360804E-2</v>
      </c>
      <c r="M591" s="8">
        <f t="shared" si="65"/>
        <v>-0.78627346153734834</v>
      </c>
      <c r="N591" s="8">
        <f t="shared" si="66"/>
        <v>-6.048257396441141E-2</v>
      </c>
      <c r="O591" s="8"/>
      <c r="P591" t="s">
        <v>879</v>
      </c>
      <c r="Q591">
        <v>34</v>
      </c>
      <c r="R591" s="8">
        <v>2.81948</v>
      </c>
      <c r="S591">
        <v>5</v>
      </c>
      <c r="T591" s="8">
        <f t="shared" si="67"/>
        <v>0.14705882352941177</v>
      </c>
      <c r="U591" s="8">
        <v>2.8060399999999999</v>
      </c>
      <c r="V591">
        <v>15</v>
      </c>
      <c r="W591" s="8">
        <f t="shared" si="68"/>
        <v>0.44117647058823528</v>
      </c>
      <c r="X591" s="8">
        <v>2.8146800000000001</v>
      </c>
      <c r="Y591">
        <v>14</v>
      </c>
      <c r="Z591" s="8">
        <f t="shared" si="69"/>
        <v>0.41176470588235292</v>
      </c>
      <c r="AA591" s="8">
        <v>2.8294199999999998</v>
      </c>
    </row>
    <row r="592" spans="2:27" ht="15" customHeight="1" x14ac:dyDescent="0.25">
      <c r="B592">
        <v>573</v>
      </c>
      <c r="C592" s="8">
        <v>-12456.403899999999</v>
      </c>
      <c r="D592" s="2">
        <v>-12457.76082</v>
      </c>
      <c r="F592" s="12">
        <v>0.99553400000000003</v>
      </c>
      <c r="G592" s="13">
        <v>0.18300999999999901</v>
      </c>
      <c r="H592">
        <v>8</v>
      </c>
      <c r="I592">
        <v>5</v>
      </c>
      <c r="K592" s="8">
        <f t="shared" si="63"/>
        <v>-0.6758923076922656</v>
      </c>
      <c r="L592" s="8">
        <f t="shared" si="64"/>
        <v>-5.1991715976328123E-2</v>
      </c>
      <c r="M592" s="8">
        <f t="shared" si="65"/>
        <v>-0.65682846153686114</v>
      </c>
      <c r="N592" s="8">
        <f t="shared" si="66"/>
        <v>-5.0525266272066244E-2</v>
      </c>
      <c r="O592" s="8"/>
      <c r="P592" t="s">
        <v>880</v>
      </c>
      <c r="Q592">
        <v>34</v>
      </c>
      <c r="R592" s="8">
        <v>2.81698</v>
      </c>
      <c r="S592">
        <v>5</v>
      </c>
      <c r="T592" s="8">
        <f t="shared" si="67"/>
        <v>0.14705882352941177</v>
      </c>
      <c r="U592" s="8">
        <v>2.8111299999999999</v>
      </c>
      <c r="V592">
        <v>16</v>
      </c>
      <c r="W592" s="8">
        <f t="shared" si="68"/>
        <v>0.47058823529411764</v>
      </c>
      <c r="X592" s="8">
        <v>2.8114300000000001</v>
      </c>
      <c r="Y592">
        <v>13</v>
      </c>
      <c r="Z592" s="8">
        <f t="shared" si="69"/>
        <v>0.38235294117647056</v>
      </c>
      <c r="AA592" s="8">
        <v>2.82606</v>
      </c>
    </row>
    <row r="593" spans="2:27" ht="15" customHeight="1" x14ac:dyDescent="0.25">
      <c r="B593">
        <v>574</v>
      </c>
      <c r="C593" s="8">
        <v>-12456.5358</v>
      </c>
      <c r="D593" s="2">
        <v>-12458.034094000001</v>
      </c>
      <c r="F593" s="12">
        <v>0.997525</v>
      </c>
      <c r="G593" s="13">
        <v>0.20074</v>
      </c>
      <c r="H593">
        <v>8</v>
      </c>
      <c r="I593">
        <v>5</v>
      </c>
      <c r="K593" s="8">
        <f t="shared" si="63"/>
        <v>-0.80779230769257993</v>
      </c>
      <c r="L593" s="8">
        <f t="shared" si="64"/>
        <v>-6.2137869822506145E-2</v>
      </c>
      <c r="M593" s="8">
        <f t="shared" si="65"/>
        <v>-0.93010246153789922</v>
      </c>
      <c r="N593" s="8">
        <f t="shared" si="66"/>
        <v>-7.1546343195223017E-2</v>
      </c>
      <c r="O593" s="8"/>
      <c r="P593" t="s">
        <v>881</v>
      </c>
      <c r="Q593">
        <v>34</v>
      </c>
      <c r="R593" s="8">
        <v>2.8182299999999998</v>
      </c>
      <c r="S593">
        <v>5</v>
      </c>
      <c r="T593" s="8">
        <f t="shared" si="67"/>
        <v>0.14705882352941177</v>
      </c>
      <c r="U593" s="8">
        <v>2.8679600000000001</v>
      </c>
      <c r="V593">
        <v>17</v>
      </c>
      <c r="W593" s="8">
        <f t="shared" si="68"/>
        <v>0.5</v>
      </c>
      <c r="X593" s="8">
        <v>2.7956300000000001</v>
      </c>
      <c r="Y593">
        <v>12</v>
      </c>
      <c r="Z593" s="8">
        <f t="shared" si="69"/>
        <v>0.35294117647058826</v>
      </c>
      <c r="AA593" s="8">
        <v>2.8295300000000001</v>
      </c>
    </row>
    <row r="594" spans="2:27" ht="15" customHeight="1" x14ac:dyDescent="0.25">
      <c r="B594">
        <v>575</v>
      </c>
      <c r="C594" s="8">
        <v>-12456.589</v>
      </c>
      <c r="D594" s="2">
        <v>-12458.239411</v>
      </c>
      <c r="F594" s="12">
        <v>0.99551299999999998</v>
      </c>
      <c r="G594" s="13">
        <v>0.18293999999999899</v>
      </c>
      <c r="H594">
        <v>8</v>
      </c>
      <c r="I594">
        <v>5</v>
      </c>
      <c r="K594" s="8">
        <f t="shared" si="63"/>
        <v>-0.86099230769286805</v>
      </c>
      <c r="L594" s="8">
        <f t="shared" si="64"/>
        <v>-6.6230177514836008E-2</v>
      </c>
      <c r="M594" s="8">
        <f t="shared" si="65"/>
        <v>-1.1354194615378219</v>
      </c>
      <c r="N594" s="8">
        <f t="shared" si="66"/>
        <v>-8.7339958579832455E-2</v>
      </c>
      <c r="O594" s="8"/>
      <c r="P594" t="s">
        <v>882</v>
      </c>
      <c r="Q594">
        <v>35</v>
      </c>
      <c r="R594" s="8">
        <v>2.8295699999999999</v>
      </c>
      <c r="S594">
        <v>4</v>
      </c>
      <c r="T594" s="8">
        <f t="shared" si="67"/>
        <v>0.11428571428571428</v>
      </c>
      <c r="U594" s="8">
        <v>2.8184999999999998</v>
      </c>
      <c r="V594">
        <v>17</v>
      </c>
      <c r="W594" s="8">
        <f t="shared" si="68"/>
        <v>0.48571428571428571</v>
      </c>
      <c r="X594" s="8">
        <v>2.8125200000000001</v>
      </c>
      <c r="Y594">
        <v>14</v>
      </c>
      <c r="Z594" s="8">
        <f t="shared" si="69"/>
        <v>0.4</v>
      </c>
      <c r="AA594" s="8">
        <v>2.85344</v>
      </c>
    </row>
    <row r="595" spans="2:27" ht="15" customHeight="1" x14ac:dyDescent="0.25">
      <c r="B595">
        <v>576</v>
      </c>
      <c r="C595" s="8">
        <v>-12456.536400000001</v>
      </c>
      <c r="D595" s="2">
        <v>-12457.885366</v>
      </c>
      <c r="F595" s="12">
        <v>0.99639999999999995</v>
      </c>
      <c r="G595" s="13">
        <v>0.18953999999999999</v>
      </c>
      <c r="H595">
        <v>8</v>
      </c>
      <c r="I595">
        <v>5</v>
      </c>
      <c r="K595" s="8">
        <f t="shared" si="63"/>
        <v>-0.80839230769379355</v>
      </c>
      <c r="L595" s="8">
        <f t="shared" si="64"/>
        <v>-6.2184023668753349E-2</v>
      </c>
      <c r="M595" s="8">
        <f t="shared" si="65"/>
        <v>-0.78137446153778001</v>
      </c>
      <c r="N595" s="8">
        <f t="shared" si="66"/>
        <v>-6.0105727810598461E-2</v>
      </c>
      <c r="O595" s="8"/>
      <c r="P595" t="s">
        <v>883</v>
      </c>
      <c r="Q595">
        <v>34</v>
      </c>
      <c r="R595" s="8">
        <v>2.8197399999999999</v>
      </c>
      <c r="S595">
        <v>4</v>
      </c>
      <c r="T595" s="8">
        <f t="shared" si="67"/>
        <v>0.11764705882352941</v>
      </c>
      <c r="U595" s="8">
        <v>2.8994900000000001</v>
      </c>
      <c r="V595">
        <v>18</v>
      </c>
      <c r="W595" s="8">
        <f t="shared" si="68"/>
        <v>0.52941176470588236</v>
      </c>
      <c r="X595" s="8">
        <v>2.7904100000000001</v>
      </c>
      <c r="Y595">
        <v>12</v>
      </c>
      <c r="Z595" s="8">
        <f t="shared" si="69"/>
        <v>0.35294117647058826</v>
      </c>
      <c r="AA595" s="8">
        <v>2.8371599999999999</v>
      </c>
    </row>
    <row r="596" spans="2:27" ht="15" customHeight="1" x14ac:dyDescent="0.25">
      <c r="B596">
        <v>577</v>
      </c>
      <c r="C596" s="8">
        <v>-12456.733399999999</v>
      </c>
      <c r="D596" s="2">
        <v>-12458.010356999999</v>
      </c>
      <c r="F596" s="12">
        <v>0.99709700000000001</v>
      </c>
      <c r="G596" s="13">
        <v>0.19597999999999999</v>
      </c>
      <c r="H596">
        <v>8</v>
      </c>
      <c r="I596">
        <v>5</v>
      </c>
      <c r="K596" s="8">
        <f t="shared" si="63"/>
        <v>-1.005392307692091</v>
      </c>
      <c r="L596" s="8">
        <f t="shared" si="64"/>
        <v>-7.7337869822468541E-2</v>
      </c>
      <c r="M596" s="8">
        <f t="shared" si="65"/>
        <v>-0.90636546153655217</v>
      </c>
      <c r="N596" s="8">
        <f t="shared" si="66"/>
        <v>-6.9720420118196319E-2</v>
      </c>
      <c r="O596" s="8"/>
      <c r="P596" t="s">
        <v>884</v>
      </c>
      <c r="Q596">
        <v>32</v>
      </c>
      <c r="R596" s="8">
        <v>2.8001299999999998</v>
      </c>
      <c r="S596">
        <v>3</v>
      </c>
      <c r="T596" s="8">
        <f t="shared" si="67"/>
        <v>9.375E-2</v>
      </c>
      <c r="U596" s="8">
        <v>2.7931300000000001</v>
      </c>
      <c r="V596">
        <v>17</v>
      </c>
      <c r="W596" s="8">
        <f t="shared" si="68"/>
        <v>0.53125</v>
      </c>
      <c r="X596" s="8">
        <v>2.7859099999999999</v>
      </c>
      <c r="Y596">
        <v>12</v>
      </c>
      <c r="Z596" s="8">
        <f t="shared" si="69"/>
        <v>0.375</v>
      </c>
      <c r="AA596" s="8">
        <v>2.8220399999999999</v>
      </c>
    </row>
    <row r="597" spans="2:27" ht="15" customHeight="1" x14ac:dyDescent="0.25">
      <c r="B597">
        <v>578</v>
      </c>
      <c r="C597" s="8">
        <v>-12456.9717</v>
      </c>
      <c r="D597" s="2">
        <v>-12458.354401000001</v>
      </c>
      <c r="F597" s="12">
        <v>0.99741299999999999</v>
      </c>
      <c r="G597" s="13">
        <v>0.19944999999999999</v>
      </c>
      <c r="H597">
        <v>8</v>
      </c>
      <c r="I597">
        <v>5</v>
      </c>
      <c r="K597" s="8">
        <f t="shared" si="63"/>
        <v>-1.2436923076929816</v>
      </c>
      <c r="L597" s="8">
        <f t="shared" si="64"/>
        <v>-9.5668639053306276E-2</v>
      </c>
      <c r="M597" s="8">
        <f t="shared" si="65"/>
        <v>-1.2504094615378563</v>
      </c>
      <c r="N597" s="8">
        <f t="shared" si="66"/>
        <v>-9.6185343195219708E-2</v>
      </c>
      <c r="O597" s="8"/>
      <c r="P597" t="s">
        <v>885</v>
      </c>
      <c r="Q597">
        <v>35</v>
      </c>
      <c r="R597" s="8">
        <v>2.8385699999999998</v>
      </c>
      <c r="S597">
        <v>4</v>
      </c>
      <c r="T597" s="8">
        <f t="shared" si="67"/>
        <v>0.11428571428571428</v>
      </c>
      <c r="U597" s="8">
        <v>2.9036900000000001</v>
      </c>
      <c r="V597">
        <v>22</v>
      </c>
      <c r="W597" s="8">
        <f t="shared" si="68"/>
        <v>0.62857142857142856</v>
      </c>
      <c r="X597" s="8">
        <v>2.8548399999999998</v>
      </c>
      <c r="Y597">
        <v>9</v>
      </c>
      <c r="Z597" s="8">
        <f t="shared" si="69"/>
        <v>0.25714285714285712</v>
      </c>
      <c r="AA597" s="8">
        <v>2.76986</v>
      </c>
    </row>
    <row r="598" spans="2:27" ht="15" customHeight="1" x14ac:dyDescent="0.25">
      <c r="B598">
        <v>579</v>
      </c>
      <c r="C598" s="8">
        <v>-12457.0059</v>
      </c>
      <c r="D598" s="2">
        <v>-12458.265808</v>
      </c>
      <c r="F598" s="12">
        <v>0.99695299999999998</v>
      </c>
      <c r="G598" s="13">
        <v>0.19458</v>
      </c>
      <c r="H598">
        <v>8</v>
      </c>
      <c r="I598">
        <v>5</v>
      </c>
      <c r="K598" s="8">
        <f t="shared" si="63"/>
        <v>-1.2778923076930369</v>
      </c>
      <c r="L598" s="8">
        <f t="shared" si="64"/>
        <v>-9.8299408284079764E-2</v>
      </c>
      <c r="M598" s="8">
        <f t="shared" si="65"/>
        <v>-1.1618164615374553</v>
      </c>
      <c r="N598" s="8">
        <f t="shared" si="66"/>
        <v>-8.9370497041342714E-2</v>
      </c>
      <c r="O598" s="8"/>
      <c r="P598" t="s">
        <v>886</v>
      </c>
      <c r="Q598">
        <v>32</v>
      </c>
      <c r="R598" s="8">
        <v>2.79603</v>
      </c>
      <c r="S598">
        <v>4</v>
      </c>
      <c r="T598" s="8">
        <f t="shared" si="67"/>
        <v>0.125</v>
      </c>
      <c r="U598" s="8">
        <v>2.8262299999999998</v>
      </c>
      <c r="V598">
        <v>16</v>
      </c>
      <c r="W598" s="8">
        <f t="shared" si="68"/>
        <v>0.5</v>
      </c>
      <c r="X598" s="8">
        <v>2.79908</v>
      </c>
      <c r="Y598">
        <v>12</v>
      </c>
      <c r="Z598" s="8">
        <f t="shared" si="69"/>
        <v>0.375</v>
      </c>
      <c r="AA598" s="8">
        <v>2.7818800000000001</v>
      </c>
    </row>
    <row r="599" spans="2:27" ht="15" customHeight="1" x14ac:dyDescent="0.25">
      <c r="B599">
        <v>580</v>
      </c>
      <c r="C599" s="8">
        <v>-12456.772199999999</v>
      </c>
      <c r="D599" s="2">
        <v>-12458.085445999999</v>
      </c>
      <c r="F599" s="12">
        <v>0.99643899999999996</v>
      </c>
      <c r="G599" s="13">
        <v>0.18975</v>
      </c>
      <c r="H599">
        <v>8</v>
      </c>
      <c r="I599">
        <v>5</v>
      </c>
      <c r="K599" s="8">
        <f t="shared" si="63"/>
        <v>-1.0441923076923558</v>
      </c>
      <c r="L599" s="8">
        <f t="shared" si="64"/>
        <v>-8.0322485207104291E-2</v>
      </c>
      <c r="M599" s="8">
        <f t="shared" si="65"/>
        <v>-0.98145446153648663</v>
      </c>
      <c r="N599" s="8">
        <f t="shared" si="66"/>
        <v>-7.5496497041268207E-2</v>
      </c>
      <c r="O599" s="8"/>
      <c r="P599" t="s">
        <v>887</v>
      </c>
      <c r="Q599">
        <v>34</v>
      </c>
      <c r="R599" s="8">
        <v>2.8222900000000002</v>
      </c>
      <c r="S599">
        <v>4</v>
      </c>
      <c r="T599" s="8">
        <f t="shared" si="67"/>
        <v>0.11764705882352941</v>
      </c>
      <c r="U599" s="8">
        <v>2.9061499999999998</v>
      </c>
      <c r="V599">
        <v>19</v>
      </c>
      <c r="W599" s="8">
        <f t="shared" si="68"/>
        <v>0.55882352941176472</v>
      </c>
      <c r="X599" s="8">
        <v>2.7853400000000001</v>
      </c>
      <c r="Y599">
        <v>11</v>
      </c>
      <c r="Z599" s="8">
        <f t="shared" si="69"/>
        <v>0.3235294117647059</v>
      </c>
      <c r="AA599" s="8">
        <v>2.85561</v>
      </c>
    </row>
    <row r="600" spans="2:27" ht="15" customHeight="1" x14ac:dyDescent="0.25">
      <c r="B600">
        <v>581</v>
      </c>
      <c r="C600" s="8">
        <v>-12456.7143</v>
      </c>
      <c r="D600" s="2">
        <v>-12458.152002999999</v>
      </c>
      <c r="F600" s="12">
        <v>0.99653700000000001</v>
      </c>
      <c r="G600" s="13">
        <v>0.19083</v>
      </c>
      <c r="H600">
        <v>8</v>
      </c>
      <c r="I600">
        <v>5</v>
      </c>
      <c r="K600" s="8">
        <f t="shared" si="63"/>
        <v>-0.98629230769256537</v>
      </c>
      <c r="L600" s="8">
        <f t="shared" si="64"/>
        <v>-7.5868639053274262E-2</v>
      </c>
      <c r="M600" s="8">
        <f t="shared" si="65"/>
        <v>-1.0480114615365892</v>
      </c>
      <c r="N600" s="8">
        <f t="shared" si="66"/>
        <v>-8.0616266272045323E-2</v>
      </c>
      <c r="O600" s="8"/>
      <c r="P600" t="s">
        <v>888</v>
      </c>
      <c r="Q600">
        <v>34</v>
      </c>
      <c r="R600" s="8">
        <v>2.8171300000000001</v>
      </c>
      <c r="S600">
        <v>4</v>
      </c>
      <c r="T600" s="8">
        <f t="shared" si="67"/>
        <v>0.11764705882352941</v>
      </c>
      <c r="U600" s="8">
        <v>2.9039199999999998</v>
      </c>
      <c r="V600">
        <v>20</v>
      </c>
      <c r="W600" s="8">
        <f t="shared" si="68"/>
        <v>0.58823529411764708</v>
      </c>
      <c r="X600" s="8">
        <v>2.8002099999999999</v>
      </c>
      <c r="Y600">
        <v>10</v>
      </c>
      <c r="Z600" s="8">
        <f t="shared" si="69"/>
        <v>0.29411764705882354</v>
      </c>
      <c r="AA600" s="8">
        <v>2.8162799999999999</v>
      </c>
    </row>
    <row r="601" spans="2:27" ht="15" customHeight="1" x14ac:dyDescent="0.25">
      <c r="B601">
        <v>582</v>
      </c>
      <c r="C601" s="8">
        <v>-12456.8922</v>
      </c>
      <c r="D601" s="2">
        <v>-12458.36061</v>
      </c>
      <c r="F601" s="12">
        <v>0.997062</v>
      </c>
      <c r="G601" s="13">
        <v>0.19561999999999899</v>
      </c>
      <c r="H601">
        <v>8</v>
      </c>
      <c r="I601">
        <v>5</v>
      </c>
      <c r="K601" s="8">
        <f t="shared" si="63"/>
        <v>-1.1641923076931562</v>
      </c>
      <c r="L601" s="8">
        <f t="shared" si="64"/>
        <v>-8.955325443793509E-2</v>
      </c>
      <c r="M601" s="8">
        <f t="shared" si="65"/>
        <v>-1.256618461537073</v>
      </c>
      <c r="N601" s="8">
        <f t="shared" si="66"/>
        <v>-9.6662958579774846E-2</v>
      </c>
      <c r="O601" s="8"/>
      <c r="P601" t="s">
        <v>889</v>
      </c>
      <c r="Q601">
        <v>34</v>
      </c>
      <c r="R601" s="8">
        <v>2.8283399999999999</v>
      </c>
      <c r="S601">
        <v>4</v>
      </c>
      <c r="T601" s="8">
        <f t="shared" si="67"/>
        <v>0.11764705882352941</v>
      </c>
      <c r="U601" s="8">
        <v>2.9576600000000002</v>
      </c>
      <c r="V601">
        <v>22</v>
      </c>
      <c r="W601" s="8">
        <f t="shared" si="68"/>
        <v>0.6470588235294118</v>
      </c>
      <c r="X601" s="8">
        <v>2.8260000000000001</v>
      </c>
      <c r="Y601">
        <v>8</v>
      </c>
      <c r="Z601" s="8">
        <f t="shared" si="69"/>
        <v>0.23529411764705882</v>
      </c>
      <c r="AA601" s="8">
        <v>2.7700999999999998</v>
      </c>
    </row>
    <row r="602" spans="2:27" ht="15" customHeight="1" x14ac:dyDescent="0.25">
      <c r="B602">
        <v>583</v>
      </c>
      <c r="C602" s="8">
        <v>-12456.714099999999</v>
      </c>
      <c r="D602" s="2">
        <v>-12458.024558999999</v>
      </c>
      <c r="F602" s="12">
        <v>0.99601700000000004</v>
      </c>
      <c r="G602" s="13">
        <v>0.18651999999999899</v>
      </c>
      <c r="H602">
        <v>8</v>
      </c>
      <c r="I602">
        <v>5</v>
      </c>
      <c r="K602" s="8">
        <f t="shared" si="63"/>
        <v>-0.98609230769216083</v>
      </c>
      <c r="L602" s="8">
        <f t="shared" si="64"/>
        <v>-7.5853254437858522E-2</v>
      </c>
      <c r="M602" s="8">
        <f t="shared" si="65"/>
        <v>-0.92056746153684799</v>
      </c>
      <c r="N602" s="8">
        <f t="shared" si="66"/>
        <v>-7.0812881656680621E-2</v>
      </c>
      <c r="O602" s="8"/>
      <c r="P602" t="s">
        <v>890</v>
      </c>
      <c r="Q602">
        <v>34</v>
      </c>
      <c r="R602" s="8">
        <v>2.8141400000000001</v>
      </c>
      <c r="S602">
        <v>5</v>
      </c>
      <c r="T602" s="8">
        <f t="shared" si="67"/>
        <v>0.14705882352941177</v>
      </c>
      <c r="U602" s="8">
        <v>2.8227899999999999</v>
      </c>
      <c r="V602">
        <v>15</v>
      </c>
      <c r="W602" s="8">
        <f t="shared" si="68"/>
        <v>0.44117647058823528</v>
      </c>
      <c r="X602" s="8">
        <v>2.78952</v>
      </c>
      <c r="Y602">
        <v>14</v>
      </c>
      <c r="Z602" s="8">
        <f t="shared" si="69"/>
        <v>0.41176470588235292</v>
      </c>
      <c r="AA602" s="8">
        <v>2.8374299999999999</v>
      </c>
    </row>
    <row r="603" spans="2:27" ht="15" customHeight="1" x14ac:dyDescent="0.25">
      <c r="B603">
        <v>584</v>
      </c>
      <c r="C603" s="8">
        <v>-12456.9583</v>
      </c>
      <c r="D603" s="2">
        <v>-12458.259851000001</v>
      </c>
      <c r="F603" s="12">
        <v>0.99433000000000005</v>
      </c>
      <c r="G603" s="13">
        <v>0.17588999999999999</v>
      </c>
      <c r="H603">
        <v>8</v>
      </c>
      <c r="I603">
        <v>5</v>
      </c>
      <c r="K603" s="8">
        <f t="shared" si="63"/>
        <v>-1.230292307693162</v>
      </c>
      <c r="L603" s="8">
        <f t="shared" si="64"/>
        <v>-9.463786982255093E-2</v>
      </c>
      <c r="M603" s="8">
        <f t="shared" si="65"/>
        <v>-1.1558594615380571</v>
      </c>
      <c r="N603" s="8">
        <f t="shared" si="66"/>
        <v>-8.891226627215823E-2</v>
      </c>
      <c r="O603" s="8"/>
      <c r="P603" t="s">
        <v>891</v>
      </c>
      <c r="Q603">
        <v>34</v>
      </c>
      <c r="R603" s="8">
        <v>2.8168000000000002</v>
      </c>
      <c r="S603">
        <v>3</v>
      </c>
      <c r="T603" s="8">
        <f t="shared" si="67"/>
        <v>8.8235294117647065E-2</v>
      </c>
      <c r="U603" s="8">
        <v>2.8224399999999998</v>
      </c>
      <c r="V603">
        <v>18</v>
      </c>
      <c r="W603" s="8">
        <f t="shared" si="68"/>
        <v>0.52941176470588236</v>
      </c>
      <c r="X603" s="8">
        <v>2.7831000000000001</v>
      </c>
      <c r="Y603">
        <v>13</v>
      </c>
      <c r="Z603" s="8">
        <f t="shared" si="69"/>
        <v>0.38235294117647056</v>
      </c>
      <c r="AA603" s="8">
        <v>2.8621500000000002</v>
      </c>
    </row>
    <row r="604" spans="2:27" ht="15" customHeight="1" x14ac:dyDescent="0.25">
      <c r="B604">
        <v>585</v>
      </c>
      <c r="C604" s="8">
        <v>-12456.870500000001</v>
      </c>
      <c r="D604" s="2">
        <v>-12458.196784</v>
      </c>
      <c r="F604" s="12">
        <v>0.998193</v>
      </c>
      <c r="G604" s="13">
        <v>0.21023</v>
      </c>
      <c r="H604">
        <v>8</v>
      </c>
      <c r="I604">
        <v>5</v>
      </c>
      <c r="K604" s="8">
        <f t="shared" si="63"/>
        <v>-1.1424923076938285</v>
      </c>
      <c r="L604" s="8">
        <f t="shared" si="64"/>
        <v>-8.7884023668756042E-2</v>
      </c>
      <c r="M604" s="8">
        <f t="shared" si="65"/>
        <v>-1.0927924615371012</v>
      </c>
      <c r="N604" s="8">
        <f t="shared" si="66"/>
        <v>-8.4060958579777009E-2</v>
      </c>
      <c r="O604" s="8"/>
      <c r="P604" t="s">
        <v>892</v>
      </c>
      <c r="Q604">
        <v>36</v>
      </c>
      <c r="R604" s="8">
        <v>2.8413300000000001</v>
      </c>
      <c r="S604">
        <v>5</v>
      </c>
      <c r="T604" s="8">
        <f t="shared" si="67"/>
        <v>0.1388888888888889</v>
      </c>
      <c r="U604" s="8">
        <v>2.9479700000000002</v>
      </c>
      <c r="V604">
        <v>21</v>
      </c>
      <c r="W604" s="8">
        <f t="shared" si="68"/>
        <v>0.58333333333333337</v>
      </c>
      <c r="X604" s="8">
        <v>2.8099599999999998</v>
      </c>
      <c r="Y604">
        <v>10</v>
      </c>
      <c r="Z604" s="8">
        <f t="shared" si="69"/>
        <v>0.27777777777777779</v>
      </c>
      <c r="AA604" s="8">
        <v>2.8538999999999999</v>
      </c>
    </row>
    <row r="605" spans="2:27" ht="15" customHeight="1" x14ac:dyDescent="0.25">
      <c r="B605">
        <v>586</v>
      </c>
      <c r="C605" s="8">
        <v>-12456.892900000001</v>
      </c>
      <c r="D605" s="2">
        <v>-12458.214755000001</v>
      </c>
      <c r="F605" s="12">
        <v>0.99646599999999996</v>
      </c>
      <c r="G605" s="13">
        <v>0.19005999999999901</v>
      </c>
      <c r="H605">
        <v>8</v>
      </c>
      <c r="I605">
        <v>5</v>
      </c>
      <c r="K605" s="8">
        <f t="shared" si="63"/>
        <v>-1.1648923076936626</v>
      </c>
      <c r="L605" s="8">
        <f t="shared" si="64"/>
        <v>-8.9607100591820199E-2</v>
      </c>
      <c r="M605" s="8">
        <f t="shared" si="65"/>
        <v>-1.1107634615382267</v>
      </c>
      <c r="N605" s="8">
        <f t="shared" si="66"/>
        <v>-8.5443343195248211E-2</v>
      </c>
      <c r="O605" s="8"/>
      <c r="P605" t="s">
        <v>893</v>
      </c>
      <c r="Q605">
        <v>35</v>
      </c>
      <c r="R605" s="8">
        <v>2.8315899999999998</v>
      </c>
      <c r="S605">
        <v>4</v>
      </c>
      <c r="T605" s="8">
        <f t="shared" si="67"/>
        <v>0.11428571428571428</v>
      </c>
      <c r="U605" s="8">
        <v>2.8799000000000001</v>
      </c>
      <c r="V605">
        <v>21</v>
      </c>
      <c r="W605" s="8">
        <f t="shared" si="68"/>
        <v>0.6</v>
      </c>
      <c r="X605" s="8">
        <v>2.8094199999999998</v>
      </c>
      <c r="Y605">
        <v>10</v>
      </c>
      <c r="Z605" s="8">
        <f t="shared" si="69"/>
        <v>0.2857142857142857</v>
      </c>
      <c r="AA605" s="8">
        <v>2.8588200000000001</v>
      </c>
    </row>
    <row r="606" spans="2:27" ht="15" customHeight="1" x14ac:dyDescent="0.25">
      <c r="B606">
        <v>587</v>
      </c>
      <c r="C606" s="8">
        <v>-12456.8868</v>
      </c>
      <c r="D606" s="2">
        <v>-12458.190567</v>
      </c>
      <c r="F606" s="12">
        <v>0.99538800000000005</v>
      </c>
      <c r="G606" s="13">
        <v>0.18210000000000001</v>
      </c>
      <c r="H606">
        <v>8</v>
      </c>
      <c r="I606">
        <v>5</v>
      </c>
      <c r="K606" s="8">
        <f t="shared" si="63"/>
        <v>-1.1587923076931474</v>
      </c>
      <c r="L606" s="8">
        <f t="shared" si="64"/>
        <v>-8.9137869822549801E-2</v>
      </c>
      <c r="M606" s="8">
        <f t="shared" si="65"/>
        <v>-1.0865754615369951</v>
      </c>
      <c r="N606" s="8">
        <f t="shared" si="66"/>
        <v>-8.3582727810538091E-2</v>
      </c>
      <c r="O606" s="8"/>
      <c r="P606" t="s">
        <v>894</v>
      </c>
      <c r="Q606">
        <v>33</v>
      </c>
      <c r="R606" s="8">
        <v>2.8117299999999998</v>
      </c>
      <c r="S606">
        <v>4</v>
      </c>
      <c r="T606" s="8">
        <f t="shared" si="67"/>
        <v>0.12121212121212122</v>
      </c>
      <c r="U606" s="8">
        <v>2.8323700000000001</v>
      </c>
      <c r="V606">
        <v>17</v>
      </c>
      <c r="W606" s="8">
        <f t="shared" si="68"/>
        <v>0.51515151515151514</v>
      </c>
      <c r="X606" s="8">
        <v>2.7972999999999999</v>
      </c>
      <c r="Y606">
        <v>12</v>
      </c>
      <c r="Z606" s="8">
        <f t="shared" si="69"/>
        <v>0.36363636363636365</v>
      </c>
      <c r="AA606" s="8">
        <v>2.8252899999999999</v>
      </c>
    </row>
    <row r="607" spans="2:27" ht="15" customHeight="1" x14ac:dyDescent="0.25">
      <c r="B607">
        <v>588</v>
      </c>
      <c r="C607" s="8">
        <v>-12456.940699999999</v>
      </c>
      <c r="D607" s="2">
        <v>-12458.263047</v>
      </c>
      <c r="F607" s="12">
        <v>0.99703399999999998</v>
      </c>
      <c r="G607" s="13">
        <v>0.195329999999999</v>
      </c>
      <c r="H607">
        <v>8</v>
      </c>
      <c r="I607">
        <v>5</v>
      </c>
      <c r="K607" s="8">
        <f t="shared" si="63"/>
        <v>-1.212692307692123</v>
      </c>
      <c r="L607" s="8">
        <f t="shared" si="64"/>
        <v>-9.3284023668624844E-2</v>
      </c>
      <c r="M607" s="8">
        <f t="shared" si="65"/>
        <v>-1.1590554615377187</v>
      </c>
      <c r="N607" s="8">
        <f t="shared" si="66"/>
        <v>-8.9158112425978361E-2</v>
      </c>
      <c r="O607" s="8"/>
      <c r="P607" t="s">
        <v>895</v>
      </c>
      <c r="Q607">
        <v>34</v>
      </c>
      <c r="R607" s="8">
        <v>2.8224399999999998</v>
      </c>
      <c r="S607">
        <v>4</v>
      </c>
      <c r="T607" s="8">
        <f t="shared" si="67"/>
        <v>0.11764705882352941</v>
      </c>
      <c r="U607" s="8">
        <v>2.8294600000000001</v>
      </c>
      <c r="V607">
        <v>17</v>
      </c>
      <c r="W607" s="8">
        <f t="shared" si="68"/>
        <v>0.5</v>
      </c>
      <c r="X607" s="8">
        <v>2.7944300000000002</v>
      </c>
      <c r="Y607">
        <v>13</v>
      </c>
      <c r="Z607" s="8">
        <f t="shared" si="69"/>
        <v>0.38235294117647056</v>
      </c>
      <c r="AA607" s="8">
        <v>2.8568899999999999</v>
      </c>
    </row>
    <row r="608" spans="2:27" ht="15" customHeight="1" x14ac:dyDescent="0.25">
      <c r="B608">
        <v>589</v>
      </c>
      <c r="C608" s="8">
        <v>-12456.937</v>
      </c>
      <c r="D608" s="2">
        <v>-12458.236843999999</v>
      </c>
      <c r="F608" s="12">
        <v>0.99583500000000003</v>
      </c>
      <c r="G608" s="13">
        <v>0.18515999999999899</v>
      </c>
      <c r="H608">
        <v>8</v>
      </c>
      <c r="I608">
        <v>5</v>
      </c>
      <c r="K608" s="8">
        <f t="shared" si="63"/>
        <v>-1.2089923076928244</v>
      </c>
      <c r="L608" s="8">
        <f t="shared" si="64"/>
        <v>-9.2999408284063417E-2</v>
      </c>
      <c r="M608" s="8">
        <f t="shared" si="65"/>
        <v>-1.1328524615364586</v>
      </c>
      <c r="N608" s="8">
        <f t="shared" si="66"/>
        <v>-8.7142497041266045E-2</v>
      </c>
      <c r="O608" s="8"/>
      <c r="P608" t="s">
        <v>896</v>
      </c>
      <c r="Q608">
        <v>34</v>
      </c>
      <c r="R608" s="8">
        <v>2.82281</v>
      </c>
      <c r="S608">
        <v>4</v>
      </c>
      <c r="T608" s="8">
        <f t="shared" si="67"/>
        <v>0.11764705882352941</v>
      </c>
      <c r="U608" s="8">
        <v>2.87201</v>
      </c>
      <c r="V608">
        <v>21</v>
      </c>
      <c r="W608" s="8">
        <f t="shared" si="68"/>
        <v>0.61764705882352944</v>
      </c>
      <c r="X608" s="8">
        <v>2.8154400000000002</v>
      </c>
      <c r="Y608">
        <v>9</v>
      </c>
      <c r="Z608" s="8">
        <f t="shared" si="69"/>
        <v>0.26470588235294118</v>
      </c>
      <c r="AA608" s="8">
        <v>2.8181400000000001</v>
      </c>
    </row>
    <row r="609" spans="2:27" ht="15" customHeight="1" x14ac:dyDescent="0.25">
      <c r="B609">
        <v>590</v>
      </c>
      <c r="C609" s="8">
        <v>-12456.787399999999</v>
      </c>
      <c r="D609" s="2">
        <v>-12458.212326000001</v>
      </c>
      <c r="F609" s="12">
        <v>0.99709000000000003</v>
      </c>
      <c r="G609" s="13">
        <v>0.195939999999999</v>
      </c>
      <c r="H609">
        <v>8</v>
      </c>
      <c r="I609">
        <v>5</v>
      </c>
      <c r="K609" s="8">
        <f t="shared" si="63"/>
        <v>-1.0593923076921783</v>
      </c>
      <c r="L609" s="8">
        <f t="shared" si="64"/>
        <v>-8.1491715976321405E-2</v>
      </c>
      <c r="M609" s="8">
        <f t="shared" si="65"/>
        <v>-1.1083344615381066</v>
      </c>
      <c r="N609" s="8">
        <f t="shared" si="66"/>
        <v>-8.5256497041392806E-2</v>
      </c>
      <c r="O609" s="8"/>
      <c r="P609" t="s">
        <v>897</v>
      </c>
      <c r="Q609">
        <v>34</v>
      </c>
      <c r="R609" s="8">
        <v>2.8186100000000001</v>
      </c>
      <c r="S609">
        <v>5</v>
      </c>
      <c r="T609" s="8">
        <f t="shared" si="67"/>
        <v>0.14705882352941177</v>
      </c>
      <c r="U609" s="8">
        <v>2.7880500000000001</v>
      </c>
      <c r="V609">
        <v>16</v>
      </c>
      <c r="W609" s="8">
        <f t="shared" si="68"/>
        <v>0.47058823529411764</v>
      </c>
      <c r="X609" s="8">
        <v>2.8187199999999999</v>
      </c>
      <c r="Y609">
        <v>13</v>
      </c>
      <c r="Z609" s="8">
        <f t="shared" si="69"/>
        <v>0.38235294117647056</v>
      </c>
      <c r="AA609" s="8">
        <v>2.8302200000000002</v>
      </c>
    </row>
    <row r="610" spans="2:27" ht="15" customHeight="1" x14ac:dyDescent="0.25">
      <c r="B610">
        <v>591</v>
      </c>
      <c r="C610" s="8">
        <v>-12457.0278</v>
      </c>
      <c r="D610" s="2">
        <v>-12458.328453</v>
      </c>
      <c r="F610" s="12">
        <v>0.99482800000000005</v>
      </c>
      <c r="G610" s="13">
        <v>0.17865999999999899</v>
      </c>
      <c r="H610">
        <v>8</v>
      </c>
      <c r="I610">
        <v>5</v>
      </c>
      <c r="K610" s="8">
        <f t="shared" si="63"/>
        <v>-1.2997923076927691</v>
      </c>
      <c r="L610" s="8">
        <f t="shared" si="64"/>
        <v>-9.9984023668674551E-2</v>
      </c>
      <c r="M610" s="8">
        <f t="shared" si="65"/>
        <v>-1.2244614615374303</v>
      </c>
      <c r="N610" s="8">
        <f t="shared" si="66"/>
        <v>-9.4189343195186945E-2</v>
      </c>
      <c r="O610" s="8"/>
      <c r="P610" t="s">
        <v>898</v>
      </c>
      <c r="Q610">
        <v>34</v>
      </c>
      <c r="R610" s="8">
        <v>2.8166500000000001</v>
      </c>
      <c r="S610">
        <v>3</v>
      </c>
      <c r="T610" s="8">
        <f t="shared" si="67"/>
        <v>8.8235294117647065E-2</v>
      </c>
      <c r="U610" s="8">
        <v>2.7681399999999998</v>
      </c>
      <c r="V610">
        <v>20</v>
      </c>
      <c r="W610" s="8">
        <f t="shared" si="68"/>
        <v>0.58823529411764708</v>
      </c>
      <c r="X610" s="8">
        <v>2.8193700000000002</v>
      </c>
      <c r="Y610">
        <v>11</v>
      </c>
      <c r="Z610" s="8">
        <f t="shared" si="69"/>
        <v>0.3235294117647059</v>
      </c>
      <c r="AA610" s="8">
        <v>2.8249399999999998</v>
      </c>
    </row>
    <row r="611" spans="2:27" ht="15" customHeight="1" x14ac:dyDescent="0.25">
      <c r="B611">
        <v>592</v>
      </c>
      <c r="C611" s="8">
        <v>-12456.981900000001</v>
      </c>
      <c r="D611" s="2">
        <v>-12458.280875</v>
      </c>
      <c r="F611" s="12">
        <v>0.99636599999999997</v>
      </c>
      <c r="G611" s="13">
        <v>0.18926000000000001</v>
      </c>
      <c r="H611">
        <v>8</v>
      </c>
      <c r="I611">
        <v>5</v>
      </c>
      <c r="K611" s="8">
        <f t="shared" si="63"/>
        <v>-1.2538923076936044</v>
      </c>
      <c r="L611" s="8">
        <f t="shared" si="64"/>
        <v>-9.6453254437969566E-2</v>
      </c>
      <c r="M611" s="8">
        <f t="shared" si="65"/>
        <v>-1.1768834615377273</v>
      </c>
      <c r="N611" s="8">
        <f t="shared" si="66"/>
        <v>-9.0529497041363635E-2</v>
      </c>
      <c r="O611" s="8"/>
      <c r="P611" t="s">
        <v>899</v>
      </c>
      <c r="Q611">
        <v>34</v>
      </c>
      <c r="R611" s="8">
        <v>2.8226599999999999</v>
      </c>
      <c r="S611">
        <v>3</v>
      </c>
      <c r="T611" s="8">
        <f t="shared" si="67"/>
        <v>8.8235294117647065E-2</v>
      </c>
      <c r="U611" s="8">
        <v>2.81027</v>
      </c>
      <c r="V611">
        <v>20</v>
      </c>
      <c r="W611" s="8">
        <f t="shared" si="68"/>
        <v>0.58823529411764708</v>
      </c>
      <c r="X611" s="8">
        <v>2.8128700000000002</v>
      </c>
      <c r="Y611">
        <v>11</v>
      </c>
      <c r="Z611" s="8">
        <f t="shared" si="69"/>
        <v>0.3235294117647059</v>
      </c>
      <c r="AA611" s="8">
        <v>2.8438500000000002</v>
      </c>
    </row>
    <row r="612" spans="2:27" ht="15" customHeight="1" x14ac:dyDescent="0.25">
      <c r="B612">
        <v>593</v>
      </c>
      <c r="C612" s="8">
        <v>-12457.015799999999</v>
      </c>
      <c r="D612" s="2">
        <v>-12458.304598999999</v>
      </c>
      <c r="F612" s="12">
        <v>0.99578999999999995</v>
      </c>
      <c r="G612" s="13">
        <v>0.18483999999999901</v>
      </c>
      <c r="H612">
        <v>8</v>
      </c>
      <c r="I612">
        <v>5</v>
      </c>
      <c r="K612" s="8">
        <f t="shared" si="63"/>
        <v>-1.2877923076921434</v>
      </c>
      <c r="L612" s="8">
        <f t="shared" si="64"/>
        <v>-9.9060946745549494E-2</v>
      </c>
      <c r="M612" s="8">
        <f t="shared" si="65"/>
        <v>-1.2006074615364923</v>
      </c>
      <c r="N612" s="8">
        <f t="shared" si="66"/>
        <v>-9.2354420118191713E-2</v>
      </c>
      <c r="O612" s="8"/>
      <c r="P612" t="s">
        <v>900</v>
      </c>
      <c r="Q612">
        <v>34</v>
      </c>
      <c r="R612" s="8">
        <v>2.8180200000000002</v>
      </c>
      <c r="S612">
        <v>3</v>
      </c>
      <c r="T612" s="8">
        <f t="shared" si="67"/>
        <v>8.8235294117647065E-2</v>
      </c>
      <c r="U612" s="8">
        <v>2.7693699999999999</v>
      </c>
      <c r="V612">
        <v>20</v>
      </c>
      <c r="W612" s="8">
        <f t="shared" si="68"/>
        <v>0.58823529411764708</v>
      </c>
      <c r="X612" s="8">
        <v>2.8192200000000001</v>
      </c>
      <c r="Y612">
        <v>11</v>
      </c>
      <c r="Z612" s="8">
        <f t="shared" si="69"/>
        <v>0.3235294117647059</v>
      </c>
      <c r="AA612" s="8">
        <v>2.8291200000000001</v>
      </c>
    </row>
    <row r="613" spans="2:27" ht="15" customHeight="1" x14ac:dyDescent="0.25">
      <c r="B613">
        <v>594</v>
      </c>
      <c r="C613" s="8">
        <v>-12457.001</v>
      </c>
      <c r="D613" s="2">
        <v>-12458.313023999999</v>
      </c>
      <c r="F613" s="12">
        <v>0.99796899999999999</v>
      </c>
      <c r="G613" s="13">
        <v>0.20676</v>
      </c>
      <c r="H613">
        <v>8</v>
      </c>
      <c r="I613">
        <v>5</v>
      </c>
      <c r="K613" s="8">
        <f t="shared" si="63"/>
        <v>-1.27299230769313</v>
      </c>
      <c r="L613" s="8">
        <f t="shared" si="64"/>
        <v>-9.7922485207163845E-2</v>
      </c>
      <c r="M613" s="8">
        <f t="shared" si="65"/>
        <v>-1.2090324615364807</v>
      </c>
      <c r="N613" s="8">
        <f t="shared" si="66"/>
        <v>-9.3002497041267743E-2</v>
      </c>
      <c r="O613" s="8"/>
      <c r="P613" t="s">
        <v>901</v>
      </c>
      <c r="Q613">
        <v>34</v>
      </c>
      <c r="R613" s="8">
        <v>2.8181500000000002</v>
      </c>
      <c r="S613">
        <v>4</v>
      </c>
      <c r="T613" s="8">
        <f t="shared" si="67"/>
        <v>0.11764705882352941</v>
      </c>
      <c r="U613" s="8">
        <v>2.7789799999999998</v>
      </c>
      <c r="V613">
        <v>15</v>
      </c>
      <c r="W613" s="8">
        <f t="shared" si="68"/>
        <v>0.44117647058823528</v>
      </c>
      <c r="X613" s="8">
        <v>2.80253</v>
      </c>
      <c r="Y613">
        <v>15</v>
      </c>
      <c r="Z613" s="8">
        <f t="shared" si="69"/>
        <v>0.44117647058823528</v>
      </c>
      <c r="AA613" s="8">
        <v>2.84422</v>
      </c>
    </row>
    <row r="614" spans="2:27" ht="15" customHeight="1" x14ac:dyDescent="0.25">
      <c r="B614">
        <v>595</v>
      </c>
      <c r="C614" s="8">
        <v>-12456.513499999999</v>
      </c>
      <c r="D614" s="2">
        <v>-12458.041843999999</v>
      </c>
      <c r="F614" s="12">
        <v>0.99736800000000003</v>
      </c>
      <c r="G614" s="13">
        <v>0.19894999999999999</v>
      </c>
      <c r="H614">
        <v>8</v>
      </c>
      <c r="I614">
        <v>5</v>
      </c>
      <c r="K614" s="8">
        <f t="shared" si="63"/>
        <v>-0.78549230769203859</v>
      </c>
      <c r="L614" s="8">
        <f t="shared" si="64"/>
        <v>-6.0422485207079893E-2</v>
      </c>
      <c r="M614" s="8">
        <f t="shared" si="65"/>
        <v>-0.93785246153674962</v>
      </c>
      <c r="N614" s="8">
        <f t="shared" si="66"/>
        <v>-7.2142497041288431E-2</v>
      </c>
      <c r="O614" s="8"/>
      <c r="P614" t="s">
        <v>902</v>
      </c>
      <c r="Q614">
        <v>34</v>
      </c>
      <c r="R614" s="8">
        <v>2.8150300000000001</v>
      </c>
      <c r="S614">
        <v>6</v>
      </c>
      <c r="T614" s="8">
        <f t="shared" si="67"/>
        <v>0.17647058823529413</v>
      </c>
      <c r="U614" s="8">
        <v>2.8132000000000001</v>
      </c>
      <c r="V614">
        <v>16</v>
      </c>
      <c r="W614" s="8">
        <f t="shared" si="68"/>
        <v>0.47058823529411764</v>
      </c>
      <c r="X614" s="8">
        <v>2.8211400000000002</v>
      </c>
      <c r="Y614">
        <v>12</v>
      </c>
      <c r="Z614" s="8">
        <f t="shared" si="69"/>
        <v>0.35294117647058826</v>
      </c>
      <c r="AA614" s="8">
        <v>2.8077999999999999</v>
      </c>
    </row>
    <row r="615" spans="2:27" ht="15" customHeight="1" x14ac:dyDescent="0.25">
      <c r="B615">
        <v>596</v>
      </c>
      <c r="C615" s="8">
        <v>-12456.7063</v>
      </c>
      <c r="D615" s="2">
        <v>-12458.179279</v>
      </c>
      <c r="F615" s="12">
        <v>0.99726499999999996</v>
      </c>
      <c r="G615" s="13">
        <v>0.1978</v>
      </c>
      <c r="H615">
        <v>8</v>
      </c>
      <c r="I615">
        <v>5</v>
      </c>
      <c r="K615" s="8">
        <f t="shared" si="63"/>
        <v>-0.97829230769275455</v>
      </c>
      <c r="L615" s="8">
        <f t="shared" si="64"/>
        <v>-7.5253254437904191E-2</v>
      </c>
      <c r="M615" s="8">
        <f t="shared" si="65"/>
        <v>-1.0752874615373003</v>
      </c>
      <c r="N615" s="8">
        <f t="shared" si="66"/>
        <v>-8.2714420118253862E-2</v>
      </c>
      <c r="O615" s="8"/>
      <c r="P615" t="s">
        <v>903</v>
      </c>
      <c r="Q615">
        <v>34</v>
      </c>
      <c r="R615" s="8">
        <v>2.81453</v>
      </c>
      <c r="S615">
        <v>5</v>
      </c>
      <c r="T615" s="8">
        <f t="shared" si="67"/>
        <v>0.14705882352941177</v>
      </c>
      <c r="U615" s="8">
        <v>2.8385500000000001</v>
      </c>
      <c r="V615">
        <v>19</v>
      </c>
      <c r="W615" s="8">
        <f t="shared" si="68"/>
        <v>0.55882352941176472</v>
      </c>
      <c r="X615" s="8">
        <v>2.8121800000000001</v>
      </c>
      <c r="Y615">
        <v>10</v>
      </c>
      <c r="Z615" s="8">
        <f t="shared" si="69"/>
        <v>0.29411764705882354</v>
      </c>
      <c r="AA615" s="8">
        <v>2.8069799999999998</v>
      </c>
    </row>
    <row r="616" spans="2:27" ht="15" customHeight="1" x14ac:dyDescent="0.25">
      <c r="B616">
        <v>597</v>
      </c>
      <c r="C616" s="8">
        <v>-12456.6065</v>
      </c>
      <c r="D616" s="2">
        <v>-12457.949538999999</v>
      </c>
      <c r="F616" s="12">
        <v>0.99716000000000005</v>
      </c>
      <c r="G616" s="13">
        <v>0.19661999999999999</v>
      </c>
      <c r="H616">
        <v>8</v>
      </c>
      <c r="I616">
        <v>5</v>
      </c>
      <c r="K616" s="8">
        <f t="shared" si="63"/>
        <v>-0.87849230769279529</v>
      </c>
      <c r="L616" s="8">
        <f t="shared" si="64"/>
        <v>-6.757633136098426E-2</v>
      </c>
      <c r="M616" s="8">
        <f t="shared" si="65"/>
        <v>-0.84554746153662563</v>
      </c>
      <c r="N616" s="8">
        <f t="shared" si="66"/>
        <v>-6.5042112425894277E-2</v>
      </c>
      <c r="O616" s="8"/>
      <c r="P616" t="s">
        <v>904</v>
      </c>
      <c r="Q616">
        <v>34</v>
      </c>
      <c r="R616" s="8">
        <v>2.8170000000000002</v>
      </c>
      <c r="S616">
        <v>6</v>
      </c>
      <c r="T616" s="8">
        <f t="shared" si="67"/>
        <v>0.17647058823529413</v>
      </c>
      <c r="U616" s="8">
        <v>2.7850199999999998</v>
      </c>
      <c r="V616">
        <v>14</v>
      </c>
      <c r="W616" s="8">
        <f t="shared" si="68"/>
        <v>0.41176470588235292</v>
      </c>
      <c r="X616" s="8">
        <v>2.8184800000000001</v>
      </c>
      <c r="Y616">
        <v>14</v>
      </c>
      <c r="Z616" s="8">
        <f t="shared" si="69"/>
        <v>0.41176470588235292</v>
      </c>
      <c r="AA616" s="8">
        <v>2.8292199999999998</v>
      </c>
    </row>
    <row r="617" spans="2:27" ht="15" customHeight="1" x14ac:dyDescent="0.25">
      <c r="B617">
        <v>598</v>
      </c>
      <c r="C617" s="8">
        <v>-12456.869699999999</v>
      </c>
      <c r="D617" s="2">
        <v>-12458.172816</v>
      </c>
      <c r="F617" s="12">
        <v>0.99627500000000002</v>
      </c>
      <c r="G617" s="13">
        <v>0.18845000000000001</v>
      </c>
      <c r="H617">
        <v>8</v>
      </c>
      <c r="I617">
        <v>5</v>
      </c>
      <c r="K617" s="8">
        <f t="shared" si="63"/>
        <v>-1.1416923076922103</v>
      </c>
      <c r="L617" s="8">
        <f t="shared" si="64"/>
        <v>-8.7822485207093098E-2</v>
      </c>
      <c r="M617" s="8">
        <f t="shared" si="65"/>
        <v>-1.0688244615375879</v>
      </c>
      <c r="N617" s="8">
        <f t="shared" si="66"/>
        <v>-8.2217266272122141E-2</v>
      </c>
      <c r="O617" s="8"/>
      <c r="P617" t="s">
        <v>905</v>
      </c>
      <c r="Q617">
        <v>33</v>
      </c>
      <c r="R617" s="8">
        <v>2.8085200000000001</v>
      </c>
      <c r="S617">
        <v>4</v>
      </c>
      <c r="T617" s="8">
        <f t="shared" si="67"/>
        <v>0.12121212121212122</v>
      </c>
      <c r="U617" s="8">
        <v>2.7693500000000002</v>
      </c>
      <c r="V617">
        <v>17</v>
      </c>
      <c r="W617" s="8">
        <f t="shared" si="68"/>
        <v>0.51515151515151514</v>
      </c>
      <c r="X617" s="8">
        <v>2.8083200000000001</v>
      </c>
      <c r="Y617">
        <v>12</v>
      </c>
      <c r="Z617" s="8">
        <f t="shared" si="69"/>
        <v>0.36363636363636365</v>
      </c>
      <c r="AA617" s="8">
        <v>2.82186</v>
      </c>
    </row>
    <row r="618" spans="2:27" ht="15" customHeight="1" x14ac:dyDescent="0.25">
      <c r="B618">
        <v>599</v>
      </c>
      <c r="C618" s="8">
        <v>-12456.255999999999</v>
      </c>
      <c r="D618" s="2">
        <v>-12457.59288</v>
      </c>
      <c r="F618" s="12">
        <v>0.99582599999999999</v>
      </c>
      <c r="G618" s="13">
        <v>0.18506</v>
      </c>
      <c r="H618">
        <v>8</v>
      </c>
      <c r="I618">
        <v>5</v>
      </c>
      <c r="K618" s="8">
        <f t="shared" si="63"/>
        <v>-0.52799230769232963</v>
      </c>
      <c r="L618" s="8">
        <f t="shared" si="64"/>
        <v>-4.0614792899409974E-2</v>
      </c>
      <c r="M618" s="8">
        <f t="shared" si="65"/>
        <v>-0.4888884615374991</v>
      </c>
      <c r="N618" s="8">
        <f t="shared" si="66"/>
        <v>-3.7606804733653777E-2</v>
      </c>
      <c r="O618" s="8"/>
      <c r="P618" t="s">
        <v>906</v>
      </c>
      <c r="Q618">
        <v>34</v>
      </c>
      <c r="R618" s="8">
        <v>2.82741</v>
      </c>
      <c r="S618">
        <v>8</v>
      </c>
      <c r="T618" s="8">
        <f t="shared" si="67"/>
        <v>0.23529411764705882</v>
      </c>
      <c r="U618" s="8">
        <v>2.8047499999999999</v>
      </c>
      <c r="V618">
        <v>10</v>
      </c>
      <c r="W618" s="8">
        <f t="shared" si="68"/>
        <v>0.29411764705882354</v>
      </c>
      <c r="X618" s="8">
        <v>2.8667400000000001</v>
      </c>
      <c r="Y618">
        <v>16</v>
      </c>
      <c r="Z618" s="8">
        <f t="shared" si="69"/>
        <v>0.47058823529411764</v>
      </c>
      <c r="AA618" s="8">
        <v>2.8141600000000002</v>
      </c>
    </row>
    <row r="619" spans="2:27" ht="15" customHeight="1" x14ac:dyDescent="0.25">
      <c r="B619">
        <v>600</v>
      </c>
      <c r="C619" s="8">
        <v>-12456.715399999999</v>
      </c>
      <c r="D619" s="2">
        <v>-12458.019027</v>
      </c>
      <c r="F619" s="12">
        <v>0.99511000000000005</v>
      </c>
      <c r="G619" s="13">
        <v>0.18032000000000001</v>
      </c>
      <c r="H619">
        <v>8</v>
      </c>
      <c r="I619">
        <v>5</v>
      </c>
      <c r="K619" s="8">
        <f t="shared" si="63"/>
        <v>-0.98739230769206188</v>
      </c>
      <c r="L619" s="8">
        <f t="shared" si="64"/>
        <v>-7.595325443785092E-2</v>
      </c>
      <c r="M619" s="8">
        <f t="shared" si="65"/>
        <v>-0.91503546153762727</v>
      </c>
      <c r="N619" s="8">
        <f t="shared" si="66"/>
        <v>-7.0387343195202096E-2</v>
      </c>
      <c r="O619" s="8"/>
      <c r="P619" t="s">
        <v>907</v>
      </c>
      <c r="Q619">
        <v>34</v>
      </c>
      <c r="R619" s="8">
        <v>2.8290000000000002</v>
      </c>
      <c r="S619">
        <v>4</v>
      </c>
      <c r="T619" s="8">
        <f t="shared" si="67"/>
        <v>0.11764705882352941</v>
      </c>
      <c r="U619" s="8">
        <v>2.8411499999999998</v>
      </c>
      <c r="V619">
        <v>18</v>
      </c>
      <c r="W619" s="8">
        <f t="shared" si="68"/>
        <v>0.52941176470588236</v>
      </c>
      <c r="X619" s="8">
        <v>2.8263400000000001</v>
      </c>
      <c r="Y619">
        <v>12</v>
      </c>
      <c r="Z619" s="8">
        <f t="shared" si="69"/>
        <v>0.35294117647058826</v>
      </c>
      <c r="AA619" s="8">
        <v>2.8289300000000002</v>
      </c>
    </row>
    <row r="620" spans="2:27" ht="15" customHeight="1" x14ac:dyDescent="0.25">
      <c r="B620">
        <v>601</v>
      </c>
      <c r="C620" s="8">
        <v>-12456.5859</v>
      </c>
      <c r="D620" s="2">
        <v>-12457.933412</v>
      </c>
      <c r="F620" s="12">
        <v>0.99554200000000004</v>
      </c>
      <c r="G620" s="13">
        <v>0.18300999999999901</v>
      </c>
      <c r="H620">
        <v>8</v>
      </c>
      <c r="I620">
        <v>5</v>
      </c>
      <c r="K620" s="8">
        <f t="shared" si="63"/>
        <v>-0.8578923076929641</v>
      </c>
      <c r="L620" s="8">
        <f t="shared" si="64"/>
        <v>-6.5991715976381857E-2</v>
      </c>
      <c r="M620" s="8">
        <f t="shared" si="65"/>
        <v>-0.82942046153766569</v>
      </c>
      <c r="N620" s="8">
        <f t="shared" si="66"/>
        <v>-6.3801573964435823E-2</v>
      </c>
      <c r="O620" s="8"/>
      <c r="P620" t="s">
        <v>908</v>
      </c>
      <c r="Q620">
        <v>34</v>
      </c>
      <c r="R620" s="8">
        <v>2.8204400000000001</v>
      </c>
      <c r="S620">
        <v>6</v>
      </c>
      <c r="T620" s="8">
        <f t="shared" si="67"/>
        <v>0.17647058823529413</v>
      </c>
      <c r="U620" s="8">
        <v>2.7953100000000002</v>
      </c>
      <c r="V620">
        <v>15</v>
      </c>
      <c r="W620" s="8">
        <f t="shared" si="68"/>
        <v>0.44117647058823528</v>
      </c>
      <c r="X620" s="8">
        <v>2.8388</v>
      </c>
      <c r="Y620">
        <v>13</v>
      </c>
      <c r="Z620" s="8">
        <f t="shared" si="69"/>
        <v>0.38235294117647056</v>
      </c>
      <c r="AA620" s="8">
        <v>2.8108599999999999</v>
      </c>
    </row>
    <row r="621" spans="2:27" ht="15" customHeight="1" x14ac:dyDescent="0.25">
      <c r="B621">
        <v>602</v>
      </c>
      <c r="C621" s="8">
        <v>-12456.8681</v>
      </c>
      <c r="D621" s="2">
        <v>-12458.328896000001</v>
      </c>
      <c r="F621" s="12">
        <v>0.99736800000000003</v>
      </c>
      <c r="G621" s="13">
        <v>0.198929999999999</v>
      </c>
      <c r="H621">
        <v>8</v>
      </c>
      <c r="I621">
        <v>5</v>
      </c>
      <c r="K621" s="8">
        <f t="shared" si="63"/>
        <v>-1.1400923076926119</v>
      </c>
      <c r="L621" s="8">
        <f t="shared" si="64"/>
        <v>-8.769940828404707E-2</v>
      </c>
      <c r="M621" s="8">
        <f t="shared" si="65"/>
        <v>-1.2249044615382445</v>
      </c>
      <c r="N621" s="8">
        <f t="shared" si="66"/>
        <v>-9.4223420118326504E-2</v>
      </c>
      <c r="O621" s="8"/>
      <c r="P621" t="s">
        <v>909</v>
      </c>
      <c r="Q621">
        <v>34</v>
      </c>
      <c r="R621" s="8">
        <v>2.8211900000000001</v>
      </c>
      <c r="S621">
        <v>4</v>
      </c>
      <c r="T621" s="8">
        <f t="shared" si="67"/>
        <v>0.11764705882352941</v>
      </c>
      <c r="U621" s="8">
        <v>2.8193199999999998</v>
      </c>
      <c r="V621">
        <v>19</v>
      </c>
      <c r="W621" s="8">
        <f t="shared" si="68"/>
        <v>0.55882352941176472</v>
      </c>
      <c r="X621" s="8">
        <v>2.8143099999999999</v>
      </c>
      <c r="Y621">
        <v>11</v>
      </c>
      <c r="Z621" s="8">
        <f t="shared" si="69"/>
        <v>0.3235294117647059</v>
      </c>
      <c r="AA621" s="8">
        <v>2.8337500000000002</v>
      </c>
    </row>
    <row r="622" spans="2:27" ht="15" customHeight="1" x14ac:dyDescent="0.25">
      <c r="B622">
        <v>603</v>
      </c>
      <c r="C622" s="8">
        <v>-12456.72</v>
      </c>
      <c r="D622" s="2">
        <v>-12458.434985</v>
      </c>
      <c r="F622" s="12">
        <v>0.99492800000000003</v>
      </c>
      <c r="G622" s="13">
        <v>0.17923</v>
      </c>
      <c r="H622">
        <v>8</v>
      </c>
      <c r="I622">
        <v>5</v>
      </c>
      <c r="K622" s="8">
        <f t="shared" si="63"/>
        <v>-0.99199230769227142</v>
      </c>
      <c r="L622" s="8">
        <f t="shared" si="64"/>
        <v>-7.6307100591713181E-2</v>
      </c>
      <c r="M622" s="8">
        <f t="shared" si="65"/>
        <v>-1.3309934615372185</v>
      </c>
      <c r="N622" s="8">
        <f t="shared" si="66"/>
        <v>-0.10238411242593989</v>
      </c>
      <c r="O622" s="8"/>
      <c r="P622" t="s">
        <v>910</v>
      </c>
      <c r="Q622">
        <v>34</v>
      </c>
      <c r="R622" s="8">
        <v>2.81589</v>
      </c>
      <c r="S622">
        <v>5</v>
      </c>
      <c r="T622" s="8">
        <f t="shared" si="67"/>
        <v>0.14705882352941177</v>
      </c>
      <c r="U622" s="8">
        <v>2.7720600000000002</v>
      </c>
      <c r="V622">
        <v>15</v>
      </c>
      <c r="W622" s="8">
        <f t="shared" si="68"/>
        <v>0.44117647058823528</v>
      </c>
      <c r="X622" s="8">
        <v>2.8191000000000002</v>
      </c>
      <c r="Y622">
        <v>14</v>
      </c>
      <c r="Z622" s="8">
        <f t="shared" si="69"/>
        <v>0.41176470588235292</v>
      </c>
      <c r="AA622" s="8">
        <v>2.8281100000000001</v>
      </c>
    </row>
    <row r="623" spans="2:27" ht="15" customHeight="1" x14ac:dyDescent="0.25">
      <c r="B623">
        <v>604</v>
      </c>
      <c r="C623" s="8">
        <v>-12456.834699999999</v>
      </c>
      <c r="D623" s="2">
        <v>-12458.15777</v>
      </c>
      <c r="F623" s="12">
        <v>0.99431700000000001</v>
      </c>
      <c r="G623" s="13">
        <v>0.17579</v>
      </c>
      <c r="H623">
        <v>8</v>
      </c>
      <c r="I623">
        <v>5</v>
      </c>
      <c r="K623" s="8">
        <f t="shared" si="63"/>
        <v>-1.1066923076923558</v>
      </c>
      <c r="L623" s="8">
        <f t="shared" si="64"/>
        <v>-8.5130177514796596E-2</v>
      </c>
      <c r="M623" s="8">
        <f t="shared" si="65"/>
        <v>-1.0537784615371493</v>
      </c>
      <c r="N623" s="8">
        <f t="shared" si="66"/>
        <v>-8.1059881656703789E-2</v>
      </c>
      <c r="O623" s="8"/>
      <c r="P623" t="s">
        <v>911</v>
      </c>
      <c r="Q623">
        <v>32</v>
      </c>
      <c r="R623" s="8">
        <v>2.7997999999999998</v>
      </c>
      <c r="S623">
        <v>4</v>
      </c>
      <c r="T623" s="8">
        <f t="shared" si="67"/>
        <v>0.125</v>
      </c>
      <c r="U623" s="8">
        <v>2.80457</v>
      </c>
      <c r="V623">
        <v>16</v>
      </c>
      <c r="W623" s="8">
        <f t="shared" si="68"/>
        <v>0.5</v>
      </c>
      <c r="X623" s="8">
        <v>2.7884799999999998</v>
      </c>
      <c r="Y623">
        <v>12</v>
      </c>
      <c r="Z623" s="8">
        <f t="shared" si="69"/>
        <v>0.375</v>
      </c>
      <c r="AA623" s="8">
        <v>2.8132999999999999</v>
      </c>
    </row>
    <row r="624" spans="2:27" ht="15" customHeight="1" x14ac:dyDescent="0.25">
      <c r="B624">
        <v>605</v>
      </c>
      <c r="C624" s="8">
        <v>-12456.906800000001</v>
      </c>
      <c r="D624" s="2">
        <v>-12458.214861</v>
      </c>
      <c r="F624" s="12">
        <v>0.99726499999999996</v>
      </c>
      <c r="G624" s="13">
        <v>0.19781000000000001</v>
      </c>
      <c r="H624">
        <v>8</v>
      </c>
      <c r="I624">
        <v>5</v>
      </c>
      <c r="K624" s="8">
        <f t="shared" si="63"/>
        <v>-1.178792307693584</v>
      </c>
      <c r="L624" s="8">
        <f t="shared" si="64"/>
        <v>-9.0676331361044929E-2</v>
      </c>
      <c r="M624" s="8">
        <f t="shared" si="65"/>
        <v>-1.1108694615377317</v>
      </c>
      <c r="N624" s="8">
        <f t="shared" si="66"/>
        <v>-8.5451497041363983E-2</v>
      </c>
      <c r="O624" s="8"/>
      <c r="P624" t="s">
        <v>912</v>
      </c>
      <c r="Q624">
        <v>32</v>
      </c>
      <c r="R624" s="8">
        <v>2.8002799999999999</v>
      </c>
      <c r="S624">
        <v>4</v>
      </c>
      <c r="T624" s="8">
        <f t="shared" si="67"/>
        <v>0.125</v>
      </c>
      <c r="U624" s="8">
        <v>2.7919</v>
      </c>
      <c r="V624">
        <v>16</v>
      </c>
      <c r="W624" s="8">
        <f t="shared" si="68"/>
        <v>0.5</v>
      </c>
      <c r="X624" s="8">
        <v>2.7911999999999999</v>
      </c>
      <c r="Y624">
        <v>12</v>
      </c>
      <c r="Z624" s="8">
        <f t="shared" si="69"/>
        <v>0.375</v>
      </c>
      <c r="AA624" s="8">
        <v>2.8151799999999998</v>
      </c>
    </row>
    <row r="625" spans="2:27" ht="15" customHeight="1" x14ac:dyDescent="0.25">
      <c r="B625">
        <v>606</v>
      </c>
      <c r="C625" s="8">
        <v>-12456.916499999999</v>
      </c>
      <c r="D625" s="2">
        <v>-12458.211873</v>
      </c>
      <c r="F625" s="12">
        <v>0.99769399999999997</v>
      </c>
      <c r="G625" s="13">
        <v>0.20296</v>
      </c>
      <c r="H625">
        <v>8</v>
      </c>
      <c r="I625">
        <v>5</v>
      </c>
      <c r="K625" s="8">
        <f t="shared" si="63"/>
        <v>-1.188492307692286</v>
      </c>
      <c r="L625" s="8">
        <f t="shared" si="64"/>
        <v>-9.1422485207098919E-2</v>
      </c>
      <c r="M625" s="8">
        <f t="shared" si="65"/>
        <v>-1.107881461537545</v>
      </c>
      <c r="N625" s="8">
        <f t="shared" si="66"/>
        <v>-8.5221650887503456E-2</v>
      </c>
      <c r="O625" s="8"/>
      <c r="P625" t="s">
        <v>913</v>
      </c>
      <c r="Q625">
        <v>34</v>
      </c>
      <c r="R625" s="8">
        <v>2.81914</v>
      </c>
      <c r="S625">
        <v>4</v>
      </c>
      <c r="T625" s="8">
        <f t="shared" si="67"/>
        <v>0.11764705882352941</v>
      </c>
      <c r="U625" s="8">
        <v>2.8147000000000002</v>
      </c>
      <c r="V625">
        <v>17</v>
      </c>
      <c r="W625" s="8">
        <f t="shared" si="68"/>
        <v>0.5</v>
      </c>
      <c r="X625" s="8">
        <v>2.8055400000000001</v>
      </c>
      <c r="Y625">
        <v>13</v>
      </c>
      <c r="Z625" s="8">
        <f t="shared" si="69"/>
        <v>0.38235294117647056</v>
      </c>
      <c r="AA625" s="8">
        <v>2.8382999999999998</v>
      </c>
    </row>
    <row r="626" spans="2:27" ht="15" customHeight="1" x14ac:dyDescent="0.25">
      <c r="B626">
        <v>607</v>
      </c>
      <c r="C626" s="8">
        <v>-12456.618899999999</v>
      </c>
      <c r="D626" s="2">
        <v>-12458.116346999999</v>
      </c>
      <c r="F626" s="12">
        <v>0.99572499999999997</v>
      </c>
      <c r="G626" s="13">
        <v>0.18431</v>
      </c>
      <c r="H626">
        <v>8</v>
      </c>
      <c r="I626">
        <v>5</v>
      </c>
      <c r="K626" s="8">
        <f t="shared" si="63"/>
        <v>-0.89089230769241112</v>
      </c>
      <c r="L626" s="8">
        <f t="shared" si="64"/>
        <v>-6.8530177514800852E-2</v>
      </c>
      <c r="M626" s="8">
        <f t="shared" si="65"/>
        <v>-1.012355461536572</v>
      </c>
      <c r="N626" s="8">
        <f t="shared" si="66"/>
        <v>-7.7873497041274761E-2</v>
      </c>
      <c r="O626" s="8"/>
      <c r="P626" t="s">
        <v>914</v>
      </c>
      <c r="Q626">
        <v>35</v>
      </c>
      <c r="R626" s="8">
        <v>2.8365399999999998</v>
      </c>
      <c r="S626">
        <v>5</v>
      </c>
      <c r="T626" s="8">
        <f t="shared" si="67"/>
        <v>0.14285714285714285</v>
      </c>
      <c r="U626" s="8">
        <v>2.9051300000000002</v>
      </c>
      <c r="V626">
        <v>19</v>
      </c>
      <c r="W626" s="8">
        <f t="shared" si="68"/>
        <v>0.54285714285714282</v>
      </c>
      <c r="X626" s="8">
        <v>2.7918799999999999</v>
      </c>
      <c r="Y626">
        <v>11</v>
      </c>
      <c r="Z626" s="8">
        <f t="shared" si="69"/>
        <v>0.31428571428571428</v>
      </c>
      <c r="AA626" s="8">
        <v>2.8825099999999999</v>
      </c>
    </row>
    <row r="627" spans="2:27" ht="15" customHeight="1" x14ac:dyDescent="0.25">
      <c r="B627">
        <v>608</v>
      </c>
      <c r="C627" s="8">
        <v>-12456.661599999999</v>
      </c>
      <c r="D627" s="2">
        <v>-12458.006804000001</v>
      </c>
      <c r="F627" s="12">
        <v>0.99337299999999995</v>
      </c>
      <c r="G627" s="13">
        <v>0.171209999999999</v>
      </c>
      <c r="H627">
        <v>8</v>
      </c>
      <c r="I627">
        <v>5</v>
      </c>
      <c r="K627" s="8">
        <f t="shared" si="63"/>
        <v>-0.93359230769237911</v>
      </c>
      <c r="L627" s="8">
        <f t="shared" si="64"/>
        <v>-7.1814792899413782E-2</v>
      </c>
      <c r="M627" s="8">
        <f t="shared" si="65"/>
        <v>-0.90281246153790562</v>
      </c>
      <c r="N627" s="8">
        <f t="shared" si="66"/>
        <v>-6.9447112425992746E-2</v>
      </c>
      <c r="O627" s="8"/>
      <c r="P627" t="s">
        <v>915</v>
      </c>
      <c r="Q627">
        <v>32</v>
      </c>
      <c r="R627" s="8">
        <v>2.80003</v>
      </c>
      <c r="S627">
        <v>5</v>
      </c>
      <c r="T627" s="8">
        <f t="shared" si="67"/>
        <v>0.15625</v>
      </c>
      <c r="U627" s="8">
        <v>2.7974299999999999</v>
      </c>
      <c r="V627">
        <v>14</v>
      </c>
      <c r="W627" s="8">
        <f t="shared" si="68"/>
        <v>0.4375</v>
      </c>
      <c r="X627" s="8">
        <v>2.7893500000000002</v>
      </c>
      <c r="Y627">
        <v>13</v>
      </c>
      <c r="Z627" s="8">
        <f t="shared" si="69"/>
        <v>0.40625</v>
      </c>
      <c r="AA627" s="8">
        <v>2.8125399999999998</v>
      </c>
    </row>
    <row r="628" spans="2:27" ht="15" customHeight="1" x14ac:dyDescent="0.25">
      <c r="B628">
        <v>609</v>
      </c>
      <c r="C628" s="8">
        <v>-12456.8122</v>
      </c>
      <c r="D628" s="2">
        <v>-12458.300622000001</v>
      </c>
      <c r="F628" s="12">
        <v>0.99820500000000001</v>
      </c>
      <c r="G628" s="13">
        <v>0.21042999999999901</v>
      </c>
      <c r="H628">
        <v>8</v>
      </c>
      <c r="I628">
        <v>5</v>
      </c>
      <c r="K628" s="8">
        <f t="shared" si="63"/>
        <v>-1.0841923076932289</v>
      </c>
      <c r="L628" s="8">
        <f t="shared" si="64"/>
        <v>-8.3399408284094534E-2</v>
      </c>
      <c r="M628" s="8">
        <f t="shared" si="65"/>
        <v>-1.1966304615380068</v>
      </c>
      <c r="N628" s="8">
        <f t="shared" si="66"/>
        <v>-9.2048497041385138E-2</v>
      </c>
      <c r="O628" s="8"/>
      <c r="P628" t="s">
        <v>916</v>
      </c>
      <c r="Q628">
        <v>34</v>
      </c>
      <c r="R628" s="8">
        <v>2.8233899999999998</v>
      </c>
      <c r="S628">
        <v>3</v>
      </c>
      <c r="T628" s="8">
        <f t="shared" si="67"/>
        <v>8.8235294117647065E-2</v>
      </c>
      <c r="U628" s="8">
        <v>2.8454600000000001</v>
      </c>
      <c r="V628">
        <v>21</v>
      </c>
      <c r="W628" s="8">
        <f t="shared" si="68"/>
        <v>0.61764705882352944</v>
      </c>
      <c r="X628" s="8">
        <v>2.7877399999999999</v>
      </c>
      <c r="Y628">
        <v>10</v>
      </c>
      <c r="Z628" s="8">
        <f t="shared" si="69"/>
        <v>0.29411764705882354</v>
      </c>
      <c r="AA628" s="8">
        <v>2.8916200000000001</v>
      </c>
    </row>
    <row r="629" spans="2:27" ht="15" customHeight="1" x14ac:dyDescent="0.25">
      <c r="B629">
        <v>610</v>
      </c>
      <c r="C629" s="8">
        <v>-12456.7053</v>
      </c>
      <c r="D629" s="2">
        <v>-12458.059069000001</v>
      </c>
      <c r="F629" s="12">
        <v>0.995251</v>
      </c>
      <c r="G629" s="13">
        <v>0.18134</v>
      </c>
      <c r="H629">
        <v>8</v>
      </c>
      <c r="I629">
        <v>5</v>
      </c>
      <c r="K629" s="8">
        <f t="shared" si="63"/>
        <v>-0.97729230769255082</v>
      </c>
      <c r="L629" s="8">
        <f t="shared" si="64"/>
        <v>-7.5176331360965451E-2</v>
      </c>
      <c r="M629" s="8">
        <f t="shared" si="65"/>
        <v>-0.95507746153816697</v>
      </c>
      <c r="N629" s="8">
        <f t="shared" si="66"/>
        <v>-7.3467497041397462E-2</v>
      </c>
      <c r="O629" s="8"/>
      <c r="P629" t="s">
        <v>917</v>
      </c>
      <c r="Q629">
        <v>32</v>
      </c>
      <c r="R629" s="8">
        <v>2.79881</v>
      </c>
      <c r="S629">
        <v>5</v>
      </c>
      <c r="T629" s="8">
        <f t="shared" si="67"/>
        <v>0.15625</v>
      </c>
      <c r="U629" s="8">
        <v>2.7806299999999999</v>
      </c>
      <c r="V629">
        <v>14</v>
      </c>
      <c r="W629" s="8">
        <f t="shared" si="68"/>
        <v>0.4375</v>
      </c>
      <c r="X629" s="8">
        <v>2.79392</v>
      </c>
      <c r="Y629">
        <v>13</v>
      </c>
      <c r="Z629" s="8">
        <f t="shared" si="69"/>
        <v>0.40625</v>
      </c>
      <c r="AA629" s="8">
        <v>2.81107</v>
      </c>
    </row>
    <row r="630" spans="2:27" ht="15" customHeight="1" x14ac:dyDescent="0.25">
      <c r="B630">
        <v>611</v>
      </c>
      <c r="C630" s="8">
        <v>-12456.8999</v>
      </c>
      <c r="D630" s="2">
        <v>-12458.362862</v>
      </c>
      <c r="F630" s="12">
        <v>0.99305100000000002</v>
      </c>
      <c r="G630" s="13">
        <v>0.169789999999999</v>
      </c>
      <c r="H630">
        <v>8</v>
      </c>
      <c r="I630">
        <v>5</v>
      </c>
      <c r="K630" s="8">
        <f t="shared" si="63"/>
        <v>-1.1718923076932697</v>
      </c>
      <c r="L630" s="8">
        <f t="shared" si="64"/>
        <v>-9.0145562130251516E-2</v>
      </c>
      <c r="M630" s="8">
        <f t="shared" si="65"/>
        <v>-1.258870461537299</v>
      </c>
      <c r="N630" s="8">
        <f t="shared" si="66"/>
        <v>-9.6836189349022994E-2</v>
      </c>
      <c r="O630" s="8"/>
      <c r="P630" t="s">
        <v>918</v>
      </c>
      <c r="Q630">
        <v>36</v>
      </c>
      <c r="R630" s="8">
        <v>2.8410199999999999</v>
      </c>
      <c r="S630">
        <v>4</v>
      </c>
      <c r="T630" s="8">
        <f t="shared" si="67"/>
        <v>0.1111111111111111</v>
      </c>
      <c r="U630" s="8">
        <v>2.87534</v>
      </c>
      <c r="V630">
        <v>21</v>
      </c>
      <c r="W630" s="8">
        <f t="shared" si="68"/>
        <v>0.58333333333333337</v>
      </c>
      <c r="X630" s="8">
        <v>2.81732</v>
      </c>
      <c r="Y630">
        <v>11</v>
      </c>
      <c r="Z630" s="8">
        <f t="shared" si="69"/>
        <v>0.30555555555555558</v>
      </c>
      <c r="AA630" s="8">
        <v>2.8738000000000001</v>
      </c>
    </row>
    <row r="631" spans="2:27" ht="15" customHeight="1" x14ac:dyDescent="0.25">
      <c r="B631">
        <v>612</v>
      </c>
      <c r="C631" s="8">
        <v>-12456.8631</v>
      </c>
      <c r="D631" s="2">
        <v>-12458.220229</v>
      </c>
      <c r="F631" s="12">
        <v>0.99636999999999998</v>
      </c>
      <c r="G631" s="13">
        <v>0.18942999999999899</v>
      </c>
      <c r="H631">
        <v>8</v>
      </c>
      <c r="I631">
        <v>5</v>
      </c>
      <c r="K631" s="8">
        <f t="shared" si="63"/>
        <v>-1.1350923076934123</v>
      </c>
      <c r="L631" s="8">
        <f t="shared" si="64"/>
        <v>-8.731479289949326E-2</v>
      </c>
      <c r="M631" s="8">
        <f t="shared" si="65"/>
        <v>-1.1162374615378212</v>
      </c>
      <c r="N631" s="8">
        <f t="shared" si="66"/>
        <v>-8.5864420118293941E-2</v>
      </c>
      <c r="O631" s="8"/>
      <c r="P631" t="s">
        <v>919</v>
      </c>
      <c r="Q631">
        <v>33</v>
      </c>
      <c r="R631" s="8">
        <v>2.81555</v>
      </c>
      <c r="S631">
        <v>4</v>
      </c>
      <c r="T631" s="8">
        <f t="shared" si="67"/>
        <v>0.12121212121212122</v>
      </c>
      <c r="U631" s="8">
        <v>2.8279200000000002</v>
      </c>
      <c r="V631">
        <v>19</v>
      </c>
      <c r="W631" s="8">
        <f t="shared" si="68"/>
        <v>0.5757575757575758</v>
      </c>
      <c r="X631" s="8">
        <v>2.8195299999999999</v>
      </c>
      <c r="Y631">
        <v>10</v>
      </c>
      <c r="Z631" s="8">
        <f t="shared" si="69"/>
        <v>0.30303030303030304</v>
      </c>
      <c r="AA631" s="8">
        <v>2.8030300000000001</v>
      </c>
    </row>
    <row r="632" spans="2:27" ht="15" customHeight="1" x14ac:dyDescent="0.25">
      <c r="B632">
        <v>613</v>
      </c>
      <c r="C632" s="8">
        <v>-12456.845499999999</v>
      </c>
      <c r="D632" s="2">
        <v>-12458.19227</v>
      </c>
      <c r="F632" s="12">
        <v>0.99697199999999997</v>
      </c>
      <c r="G632" s="13">
        <v>0.194739999999999</v>
      </c>
      <c r="H632">
        <v>8</v>
      </c>
      <c r="I632">
        <v>5</v>
      </c>
      <c r="K632" s="8">
        <f t="shared" si="63"/>
        <v>-1.1174923076923733</v>
      </c>
      <c r="L632" s="8">
        <f t="shared" si="64"/>
        <v>-8.5960946745567174E-2</v>
      </c>
      <c r="M632" s="8">
        <f t="shared" si="65"/>
        <v>-1.0882784615369019</v>
      </c>
      <c r="N632" s="8">
        <f t="shared" si="66"/>
        <v>-8.3713727810530908E-2</v>
      </c>
      <c r="O632" s="8"/>
      <c r="P632" t="s">
        <v>920</v>
      </c>
      <c r="Q632">
        <v>34</v>
      </c>
      <c r="R632" s="8">
        <v>2.8197899999999998</v>
      </c>
      <c r="S632">
        <v>4</v>
      </c>
      <c r="T632" s="8">
        <f t="shared" si="67"/>
        <v>0.11764705882352941</v>
      </c>
      <c r="U632" s="8">
        <v>2.8535699999999999</v>
      </c>
      <c r="V632">
        <v>19</v>
      </c>
      <c r="W632" s="8">
        <f t="shared" si="68"/>
        <v>0.55882352941176472</v>
      </c>
      <c r="X632" s="8">
        <v>2.8081999999999998</v>
      </c>
      <c r="Y632">
        <v>11</v>
      </c>
      <c r="Z632" s="8">
        <f t="shared" si="69"/>
        <v>0.3235294117647059</v>
      </c>
      <c r="AA632" s="8">
        <v>2.8275100000000002</v>
      </c>
    </row>
    <row r="633" spans="2:27" ht="15" customHeight="1" x14ac:dyDescent="0.25">
      <c r="B633">
        <v>614</v>
      </c>
      <c r="C633" s="8">
        <v>-12456.8979</v>
      </c>
      <c r="D633" s="2">
        <v>-12458.409011</v>
      </c>
      <c r="F633" s="12">
        <v>0.99747600000000003</v>
      </c>
      <c r="G633" s="13">
        <v>0.20021999999999901</v>
      </c>
      <c r="H633">
        <v>8</v>
      </c>
      <c r="I633">
        <v>5</v>
      </c>
      <c r="K633" s="8">
        <f t="shared" si="63"/>
        <v>-1.1698923076928622</v>
      </c>
      <c r="L633" s="8">
        <f t="shared" si="64"/>
        <v>-8.9991715976374023E-2</v>
      </c>
      <c r="M633" s="8">
        <f t="shared" si="65"/>
        <v>-1.3050194615370856</v>
      </c>
      <c r="N633" s="8">
        <f t="shared" si="66"/>
        <v>-0.10038611242592967</v>
      </c>
      <c r="O633" s="8"/>
      <c r="P633" t="s">
        <v>921</v>
      </c>
      <c r="Q633">
        <v>35</v>
      </c>
      <c r="R633" s="8">
        <v>2.8317999999999999</v>
      </c>
      <c r="S633">
        <v>4</v>
      </c>
      <c r="T633" s="8">
        <f t="shared" si="67"/>
        <v>0.11428571428571428</v>
      </c>
      <c r="U633" s="8">
        <v>2.81595</v>
      </c>
      <c r="V633">
        <v>17</v>
      </c>
      <c r="W633" s="8">
        <f t="shared" si="68"/>
        <v>0.48571428571428571</v>
      </c>
      <c r="X633" s="8">
        <v>2.81629</v>
      </c>
      <c r="Y633">
        <v>14</v>
      </c>
      <c r="Z633" s="8">
        <f t="shared" si="69"/>
        <v>0.4</v>
      </c>
      <c r="AA633" s="8">
        <v>2.8551799999999998</v>
      </c>
    </row>
    <row r="634" spans="2:27" ht="15" customHeight="1" x14ac:dyDescent="0.25">
      <c r="B634">
        <v>615</v>
      </c>
      <c r="C634" s="8">
        <v>-12456.973599999999</v>
      </c>
      <c r="D634" s="2">
        <v>-12458.28429</v>
      </c>
      <c r="F634" s="12">
        <v>0.99590599999999996</v>
      </c>
      <c r="G634" s="13">
        <v>0.185639999999999</v>
      </c>
      <c r="H634">
        <v>8</v>
      </c>
      <c r="I634">
        <v>5</v>
      </c>
      <c r="K634" s="8">
        <f t="shared" si="63"/>
        <v>-1.2455923076922772</v>
      </c>
      <c r="L634" s="8">
        <f t="shared" si="64"/>
        <v>-9.5814792899405948E-2</v>
      </c>
      <c r="M634" s="8">
        <f t="shared" si="65"/>
        <v>-1.1802984615369496</v>
      </c>
      <c r="N634" s="8">
        <f t="shared" si="66"/>
        <v>-9.0792189348996119E-2</v>
      </c>
      <c r="O634" s="8"/>
      <c r="P634" t="s">
        <v>922</v>
      </c>
      <c r="Q634">
        <v>34</v>
      </c>
      <c r="R634" s="8">
        <v>2.8184</v>
      </c>
      <c r="S634">
        <v>3</v>
      </c>
      <c r="T634" s="8">
        <f t="shared" si="67"/>
        <v>8.8235294117647065E-2</v>
      </c>
      <c r="U634" s="8">
        <v>2.7942300000000002</v>
      </c>
      <c r="V634">
        <v>20</v>
      </c>
      <c r="W634" s="8">
        <f t="shared" si="68"/>
        <v>0.58823529411764708</v>
      </c>
      <c r="X634" s="8">
        <v>2.7961499999999999</v>
      </c>
      <c r="Y634">
        <v>11</v>
      </c>
      <c r="Z634" s="8">
        <f t="shared" si="69"/>
        <v>0.3235294117647059</v>
      </c>
      <c r="AA634" s="8">
        <v>2.8654600000000001</v>
      </c>
    </row>
    <row r="635" spans="2:27" ht="15" customHeight="1" x14ac:dyDescent="0.25">
      <c r="B635">
        <v>616</v>
      </c>
      <c r="C635" s="8">
        <v>-12457.043799999999</v>
      </c>
      <c r="D635" s="2">
        <v>-12458.383338</v>
      </c>
      <c r="F635" s="12">
        <v>0.99758500000000006</v>
      </c>
      <c r="G635" s="13">
        <v>0.20154</v>
      </c>
      <c r="H635">
        <v>8</v>
      </c>
      <c r="I635">
        <v>5</v>
      </c>
      <c r="K635" s="8">
        <f t="shared" si="63"/>
        <v>-1.3157923076923908</v>
      </c>
      <c r="L635" s="8">
        <f t="shared" si="64"/>
        <v>-0.10121479289941468</v>
      </c>
      <c r="M635" s="8">
        <f t="shared" si="65"/>
        <v>-1.2793464615369885</v>
      </c>
      <c r="N635" s="8">
        <f t="shared" si="66"/>
        <v>-9.8411266272076039E-2</v>
      </c>
      <c r="O635" s="8"/>
      <c r="P635" t="s">
        <v>923</v>
      </c>
      <c r="Q635">
        <v>34</v>
      </c>
      <c r="R635" s="8">
        <v>2.8165900000000001</v>
      </c>
      <c r="S635">
        <v>3</v>
      </c>
      <c r="T635" s="8">
        <f t="shared" si="67"/>
        <v>8.8235294117647065E-2</v>
      </c>
      <c r="U635" s="8">
        <v>2.77366</v>
      </c>
      <c r="V635">
        <v>19</v>
      </c>
      <c r="W635" s="8">
        <f t="shared" si="68"/>
        <v>0.55882352941176472</v>
      </c>
      <c r="X635" s="8">
        <v>2.8118699999999999</v>
      </c>
      <c r="Y635">
        <v>12</v>
      </c>
      <c r="Z635" s="8">
        <f t="shared" si="69"/>
        <v>0.35294117647058826</v>
      </c>
      <c r="AA635" s="8">
        <v>2.8347899999999999</v>
      </c>
    </row>
    <row r="636" spans="2:27" ht="15" customHeight="1" x14ac:dyDescent="0.25">
      <c r="B636">
        <v>617</v>
      </c>
      <c r="C636" s="8">
        <v>-12456.681699999999</v>
      </c>
      <c r="D636" s="2">
        <v>-12458.177151</v>
      </c>
      <c r="F636" s="12">
        <v>0.99611400000000005</v>
      </c>
      <c r="G636" s="13">
        <v>0.18723999999999999</v>
      </c>
      <c r="H636">
        <v>8</v>
      </c>
      <c r="I636">
        <v>5</v>
      </c>
      <c r="K636" s="8">
        <f t="shared" si="63"/>
        <v>-0.95369230769210844</v>
      </c>
      <c r="L636" s="8">
        <f t="shared" si="64"/>
        <v>-7.3360946745546801E-2</v>
      </c>
      <c r="M636" s="8">
        <f t="shared" si="65"/>
        <v>-1.073159461537216</v>
      </c>
      <c r="N636" s="8">
        <f t="shared" si="66"/>
        <v>-8.2550727810555072E-2</v>
      </c>
      <c r="O636" s="8"/>
      <c r="P636" t="s">
        <v>924</v>
      </c>
      <c r="Q636">
        <v>34</v>
      </c>
      <c r="R636" s="8">
        <v>2.8195100000000002</v>
      </c>
      <c r="S636">
        <v>4</v>
      </c>
      <c r="T636" s="8">
        <f t="shared" si="67"/>
        <v>0.11764705882352941</v>
      </c>
      <c r="U636" s="8">
        <v>2.8601100000000002</v>
      </c>
      <c r="V636">
        <v>21</v>
      </c>
      <c r="W636" s="8">
        <f t="shared" si="68"/>
        <v>0.61764705882352944</v>
      </c>
      <c r="X636" s="8">
        <v>2.8184800000000001</v>
      </c>
      <c r="Y636">
        <v>9</v>
      </c>
      <c r="Z636" s="8">
        <f t="shared" si="69"/>
        <v>0.26470588235294118</v>
      </c>
      <c r="AA636" s="8">
        <v>2.8038599999999998</v>
      </c>
    </row>
    <row r="637" spans="2:27" ht="15" customHeight="1" x14ac:dyDescent="0.25">
      <c r="B637">
        <v>618</v>
      </c>
      <c r="C637" s="8">
        <v>-12456.651599999999</v>
      </c>
      <c r="D637" s="2">
        <v>-12458.019633</v>
      </c>
      <c r="F637" s="12">
        <v>0.99813799999999997</v>
      </c>
      <c r="G637" s="13">
        <v>0.20930000000000001</v>
      </c>
      <c r="H637">
        <v>8</v>
      </c>
      <c r="I637">
        <v>5</v>
      </c>
      <c r="K637" s="8">
        <f t="shared" si="63"/>
        <v>-0.92359230769216083</v>
      </c>
      <c r="L637" s="8">
        <f t="shared" si="64"/>
        <v>-7.1045562130166218E-2</v>
      </c>
      <c r="M637" s="8">
        <f t="shared" si="65"/>
        <v>-0.91564146153723414</v>
      </c>
      <c r="N637" s="8">
        <f t="shared" si="66"/>
        <v>-7.0433958579787237E-2</v>
      </c>
      <c r="O637" s="8"/>
      <c r="P637" t="s">
        <v>925</v>
      </c>
      <c r="Q637">
        <v>33</v>
      </c>
      <c r="R637" s="8">
        <v>2.8097699999999999</v>
      </c>
      <c r="S637">
        <v>5</v>
      </c>
      <c r="T637" s="8">
        <f t="shared" si="67"/>
        <v>0.15151515151515152</v>
      </c>
      <c r="U637" s="8">
        <v>2.8656600000000001</v>
      </c>
      <c r="V637">
        <v>18</v>
      </c>
      <c r="W637" s="8">
        <f t="shared" si="68"/>
        <v>0.54545454545454541</v>
      </c>
      <c r="X637" s="8">
        <v>2.7883</v>
      </c>
      <c r="Y637">
        <v>10</v>
      </c>
      <c r="Z637" s="8">
        <f t="shared" si="69"/>
        <v>0.30303030303030304</v>
      </c>
      <c r="AA637" s="8">
        <v>2.8204699999999998</v>
      </c>
    </row>
    <row r="638" spans="2:27" ht="15" customHeight="1" x14ac:dyDescent="0.25">
      <c r="B638">
        <v>619</v>
      </c>
      <c r="C638" s="8">
        <v>-12456.804</v>
      </c>
      <c r="D638" s="2">
        <v>-12458.131942</v>
      </c>
      <c r="F638" s="12">
        <v>0.99673100000000003</v>
      </c>
      <c r="G638" s="13">
        <v>0.19252</v>
      </c>
      <c r="H638">
        <v>8</v>
      </c>
      <c r="I638">
        <v>5</v>
      </c>
      <c r="K638" s="8">
        <f t="shared" si="63"/>
        <v>-1.0759923076930136</v>
      </c>
      <c r="L638" s="8">
        <f t="shared" si="64"/>
        <v>-8.2768639053308737E-2</v>
      </c>
      <c r="M638" s="8">
        <f t="shared" si="65"/>
        <v>-1.0279504615373298</v>
      </c>
      <c r="N638" s="8">
        <f t="shared" si="66"/>
        <v>-7.9073112425948444E-2</v>
      </c>
      <c r="O638" s="8"/>
      <c r="P638" t="s">
        <v>926</v>
      </c>
      <c r="Q638">
        <v>33</v>
      </c>
      <c r="R638" s="8">
        <v>2.8168799999999998</v>
      </c>
      <c r="S638">
        <v>4</v>
      </c>
      <c r="T638" s="8">
        <f t="shared" si="67"/>
        <v>0.12121212121212122</v>
      </c>
      <c r="U638" s="8">
        <v>2.7906900000000001</v>
      </c>
      <c r="V638">
        <v>17</v>
      </c>
      <c r="W638" s="8">
        <f t="shared" si="68"/>
        <v>0.51515151515151514</v>
      </c>
      <c r="X638" s="8">
        <v>2.8101400000000001</v>
      </c>
      <c r="Y638">
        <v>12</v>
      </c>
      <c r="Z638" s="8">
        <f t="shared" si="69"/>
        <v>0.36363636363636365</v>
      </c>
      <c r="AA638" s="8">
        <v>2.8351500000000001</v>
      </c>
    </row>
    <row r="639" spans="2:27" ht="15" customHeight="1" x14ac:dyDescent="0.25">
      <c r="B639">
        <v>620</v>
      </c>
      <c r="C639" s="8">
        <v>-12456.805899999999</v>
      </c>
      <c r="D639" s="2">
        <v>-12458.243356000001</v>
      </c>
      <c r="F639" s="12">
        <v>0.99487300000000001</v>
      </c>
      <c r="G639" s="13">
        <v>0.17890999999999899</v>
      </c>
      <c r="H639">
        <v>8</v>
      </c>
      <c r="I639">
        <v>5</v>
      </c>
      <c r="K639" s="8">
        <f t="shared" si="63"/>
        <v>-1.0778923076923093</v>
      </c>
      <c r="L639" s="8">
        <f t="shared" si="64"/>
        <v>-8.291479289940841E-2</v>
      </c>
      <c r="M639" s="8">
        <f t="shared" si="65"/>
        <v>-1.1393644615382073</v>
      </c>
      <c r="N639" s="8">
        <f t="shared" si="66"/>
        <v>-8.7643420118323628E-2</v>
      </c>
      <c r="O639" s="8"/>
      <c r="P639" t="s">
        <v>927</v>
      </c>
      <c r="Q639">
        <v>33</v>
      </c>
      <c r="R639" s="8">
        <v>2.8113199999999998</v>
      </c>
      <c r="S639">
        <v>4</v>
      </c>
      <c r="T639" s="8">
        <f t="shared" si="67"/>
        <v>0.12121212121212122</v>
      </c>
      <c r="U639" s="8">
        <v>2.7539099999999999</v>
      </c>
      <c r="V639">
        <v>17</v>
      </c>
      <c r="W639" s="8">
        <f t="shared" si="68"/>
        <v>0.51515151515151514</v>
      </c>
      <c r="X639" s="8">
        <v>2.8247399999999998</v>
      </c>
      <c r="Y639">
        <v>12</v>
      </c>
      <c r="Z639" s="8">
        <f t="shared" si="69"/>
        <v>0.36363636363636365</v>
      </c>
      <c r="AA639" s="8">
        <v>2.8114400000000002</v>
      </c>
    </row>
    <row r="640" spans="2:27" ht="15" customHeight="1" x14ac:dyDescent="0.25">
      <c r="B640">
        <v>621</v>
      </c>
      <c r="C640" s="8">
        <v>-12456.6489</v>
      </c>
      <c r="D640" s="2">
        <v>-12458.001485999999</v>
      </c>
      <c r="F640" s="12">
        <v>0.99713700000000005</v>
      </c>
      <c r="G640" s="13">
        <v>0.19642999999999999</v>
      </c>
      <c r="H640">
        <v>8</v>
      </c>
      <c r="I640">
        <v>5</v>
      </c>
      <c r="K640" s="8">
        <f t="shared" si="63"/>
        <v>-0.92089230769306596</v>
      </c>
      <c r="L640" s="8">
        <f t="shared" si="64"/>
        <v>-7.0837869822543531E-2</v>
      </c>
      <c r="M640" s="8">
        <f t="shared" si="65"/>
        <v>-0.89749446153655299</v>
      </c>
      <c r="N640" s="8">
        <f t="shared" si="66"/>
        <v>-6.9038035502811762E-2</v>
      </c>
      <c r="O640" s="8"/>
      <c r="P640" t="s">
        <v>928</v>
      </c>
      <c r="Q640">
        <v>34</v>
      </c>
      <c r="R640" s="8">
        <v>2.8186</v>
      </c>
      <c r="S640">
        <v>5</v>
      </c>
      <c r="T640" s="8">
        <f t="shared" si="67"/>
        <v>0.14705882352941177</v>
      </c>
      <c r="U640" s="8">
        <v>2.7952900000000001</v>
      </c>
      <c r="V640">
        <v>15</v>
      </c>
      <c r="W640" s="8">
        <f t="shared" si="68"/>
        <v>0.44117647058823528</v>
      </c>
      <c r="X640" s="8">
        <v>2.8132600000000001</v>
      </c>
      <c r="Y640">
        <v>14</v>
      </c>
      <c r="Z640" s="8">
        <f t="shared" si="69"/>
        <v>0.41176470588235292</v>
      </c>
      <c r="AA640" s="8">
        <v>2.83264</v>
      </c>
    </row>
    <row r="641" spans="1:27" ht="15" customHeight="1" x14ac:dyDescent="0.25">
      <c r="B641">
        <v>622</v>
      </c>
      <c r="C641" s="8">
        <v>-12456.8516</v>
      </c>
      <c r="D641" s="2">
        <v>-12458.198920000001</v>
      </c>
      <c r="F641" s="12">
        <v>0.99459799999999998</v>
      </c>
      <c r="G641" s="13">
        <v>0.1774</v>
      </c>
      <c r="H641">
        <v>8</v>
      </c>
      <c r="I641">
        <v>5</v>
      </c>
      <c r="K641" s="8">
        <f t="shared" si="63"/>
        <v>-1.1235923076928884</v>
      </c>
      <c r="L641" s="8">
        <f t="shared" si="64"/>
        <v>-8.6430177514837572E-2</v>
      </c>
      <c r="M641" s="8">
        <f t="shared" si="65"/>
        <v>-1.0949284615380748</v>
      </c>
      <c r="N641" s="8">
        <f t="shared" si="66"/>
        <v>-8.4225266272159593E-2</v>
      </c>
      <c r="O641" s="8"/>
      <c r="P641" t="s">
        <v>929</v>
      </c>
      <c r="Q641">
        <v>35</v>
      </c>
      <c r="R641" s="8">
        <v>2.83074</v>
      </c>
      <c r="S641">
        <v>4</v>
      </c>
      <c r="T641" s="8">
        <f t="shared" si="67"/>
        <v>0.11428571428571428</v>
      </c>
      <c r="U641" s="8">
        <v>2.9060999999999999</v>
      </c>
      <c r="V641">
        <v>20</v>
      </c>
      <c r="W641" s="8">
        <f t="shared" si="68"/>
        <v>0.5714285714285714</v>
      </c>
      <c r="X641" s="8">
        <v>2.7969900000000001</v>
      </c>
      <c r="Y641">
        <v>11</v>
      </c>
      <c r="Z641" s="8">
        <f t="shared" si="69"/>
        <v>0.31428571428571428</v>
      </c>
      <c r="AA641" s="8">
        <v>2.8647</v>
      </c>
    </row>
    <row r="642" spans="1:27" ht="15" customHeight="1" x14ac:dyDescent="0.25">
      <c r="B642">
        <v>623</v>
      </c>
      <c r="C642" s="8">
        <v>-12456.758400000001</v>
      </c>
      <c r="D642" s="2">
        <v>-12458.092245</v>
      </c>
      <c r="F642" s="12">
        <v>0.99779399999999996</v>
      </c>
      <c r="G642" s="13">
        <v>0.20072000000000001</v>
      </c>
      <c r="H642">
        <v>8</v>
      </c>
      <c r="I642">
        <v>5</v>
      </c>
      <c r="K642" s="8">
        <f t="shared" si="63"/>
        <v>-1.0303923076935462</v>
      </c>
      <c r="L642" s="8">
        <f t="shared" si="64"/>
        <v>-7.9260946745657396E-2</v>
      </c>
      <c r="M642" s="8">
        <f t="shared" si="65"/>
        <v>-0.98825346153716964</v>
      </c>
      <c r="N642" s="8">
        <f t="shared" si="66"/>
        <v>-7.6019497041320744E-2</v>
      </c>
      <c r="O642" s="8"/>
      <c r="P642" t="s">
        <v>930</v>
      </c>
      <c r="Q642">
        <v>34</v>
      </c>
      <c r="R642" s="8">
        <v>2.8248799999999998</v>
      </c>
      <c r="S642">
        <v>5</v>
      </c>
      <c r="T642" s="8">
        <f t="shared" si="67"/>
        <v>0.14705882352941177</v>
      </c>
      <c r="U642" s="8">
        <v>2.8774099999999998</v>
      </c>
      <c r="V642">
        <v>18</v>
      </c>
      <c r="W642" s="8">
        <f t="shared" si="68"/>
        <v>0.52941176470588236</v>
      </c>
      <c r="X642" s="8">
        <v>2.8129</v>
      </c>
      <c r="Y642">
        <v>11</v>
      </c>
      <c r="Z642" s="8">
        <f t="shared" si="69"/>
        <v>0.3235294117647059</v>
      </c>
      <c r="AA642" s="8">
        <v>2.8206000000000002</v>
      </c>
    </row>
    <row r="643" spans="1:27" ht="15" customHeight="1" x14ac:dyDescent="0.25">
      <c r="B643">
        <v>624</v>
      </c>
      <c r="C643" s="8">
        <v>-12456.882600000001</v>
      </c>
      <c r="D643" s="2">
        <v>-12458.261522000001</v>
      </c>
      <c r="F643" s="12">
        <v>0.99684300000000003</v>
      </c>
      <c r="G643" s="13">
        <v>0.19347</v>
      </c>
      <c r="H643">
        <v>8</v>
      </c>
      <c r="I643">
        <v>5</v>
      </c>
      <c r="K643" s="8">
        <f t="shared" ref="K643:K706" si="70">IF(ISNUMBER(C643),C643-(($C$3-$C$2236)/($H$3-$H$2236)*H643+$C$2236),"")</f>
        <v>-1.154592307693747</v>
      </c>
      <c r="L643" s="8">
        <f t="shared" ref="L643:L706" si="71">IF(ISNUMBER(C643),K643/(H643+I643),"")</f>
        <v>-8.8814792899519004E-2</v>
      </c>
      <c r="M643" s="8">
        <f t="shared" ref="M643:M706" si="72">IF(ISNUMBER(D643),D643-(($D$3-$D$2236)/($H$3-$H$2236)*H643+$D$2236),"")</f>
        <v>-1.1575304615380446</v>
      </c>
      <c r="N643" s="8">
        <f t="shared" ref="N643:N706" si="73">IF(ISNUMBER(D643),M643/(H643+I643),"")</f>
        <v>-8.9040804733695744E-2</v>
      </c>
      <c r="O643" s="8"/>
      <c r="P643" t="s">
        <v>931</v>
      </c>
      <c r="Q643">
        <v>34</v>
      </c>
      <c r="R643" s="8">
        <v>2.8213400000000002</v>
      </c>
      <c r="S643">
        <v>4</v>
      </c>
      <c r="T643" s="8">
        <f t="shared" ref="T643:T706" si="74">IF(ISNUMBER(S643),S643/(Q643),"")</f>
        <v>0.11764705882352941</v>
      </c>
      <c r="U643" s="8">
        <v>2.8065099999999998</v>
      </c>
      <c r="V643">
        <v>17</v>
      </c>
      <c r="W643" s="8">
        <f t="shared" ref="W643:W706" si="75">IF(ISNUMBER(V643),V643/($Q643),"")</f>
        <v>0.5</v>
      </c>
      <c r="X643" s="8">
        <v>2.8211200000000001</v>
      </c>
      <c r="Y643">
        <v>13</v>
      </c>
      <c r="Z643" s="8">
        <f t="shared" ref="Z643:Z706" si="76">IF(ISNUMBER(Y643),Y643/($Q643),"")</f>
        <v>0.38235294117647056</v>
      </c>
      <c r="AA643" s="8">
        <v>2.8261799999999999</v>
      </c>
    </row>
    <row r="644" spans="1:27" ht="15" customHeight="1" x14ac:dyDescent="0.25">
      <c r="B644">
        <v>625</v>
      </c>
      <c r="C644" s="8">
        <v>-12456.782513</v>
      </c>
      <c r="D644" s="2">
        <v>-12458.201928</v>
      </c>
      <c r="F644" s="12">
        <v>0.99538700000000002</v>
      </c>
      <c r="G644" s="13">
        <v>0.18209</v>
      </c>
      <c r="H644">
        <v>8</v>
      </c>
      <c r="I644">
        <v>5</v>
      </c>
      <c r="K644" s="8">
        <f t="shared" si="70"/>
        <v>-1.0545053076930344</v>
      </c>
      <c r="L644" s="8">
        <f t="shared" si="71"/>
        <v>-8.111579289946419E-2</v>
      </c>
      <c r="M644" s="8">
        <f t="shared" si="72"/>
        <v>-1.0979364615377563</v>
      </c>
      <c r="N644" s="8">
        <f t="shared" si="73"/>
        <v>-8.4456650887519719E-2</v>
      </c>
      <c r="O644" s="8"/>
      <c r="P644" t="s">
        <v>932</v>
      </c>
      <c r="Q644">
        <v>34</v>
      </c>
      <c r="R644" s="8">
        <v>2.81833</v>
      </c>
      <c r="S644">
        <v>3</v>
      </c>
      <c r="T644" s="8">
        <f t="shared" si="74"/>
        <v>8.8235294117647065E-2</v>
      </c>
      <c r="U644" s="8">
        <v>2.85467</v>
      </c>
      <c r="V644">
        <v>21</v>
      </c>
      <c r="W644" s="8">
        <f t="shared" si="75"/>
        <v>0.61764705882352944</v>
      </c>
      <c r="X644" s="8">
        <v>2.8092600000000001</v>
      </c>
      <c r="Y644">
        <v>10</v>
      </c>
      <c r="Z644" s="8">
        <f t="shared" si="76"/>
        <v>0.29411764705882354</v>
      </c>
      <c r="AA644" s="8">
        <v>2.82646</v>
      </c>
    </row>
    <row r="645" spans="1:27" ht="15" customHeight="1" x14ac:dyDescent="0.25">
      <c r="B645">
        <v>626</v>
      </c>
      <c r="C645" s="8">
        <v>-12456.864799999999</v>
      </c>
      <c r="D645" s="2">
        <v>-12458.554731</v>
      </c>
      <c r="F645" s="12">
        <v>0.996417</v>
      </c>
      <c r="G645" s="13">
        <v>0.189659999999999</v>
      </c>
      <c r="H645">
        <v>8</v>
      </c>
      <c r="I645">
        <v>5</v>
      </c>
      <c r="K645" s="8">
        <f t="shared" si="70"/>
        <v>-1.1367923076923034</v>
      </c>
      <c r="L645" s="8">
        <f t="shared" si="71"/>
        <v>-8.7445562130177193E-2</v>
      </c>
      <c r="M645" s="8">
        <f t="shared" si="72"/>
        <v>-1.4507394615375233</v>
      </c>
      <c r="N645" s="8">
        <f t="shared" si="73"/>
        <v>-0.1115953431951941</v>
      </c>
      <c r="O645" s="8"/>
      <c r="P645" t="s">
        <v>933</v>
      </c>
      <c r="Q645">
        <v>34</v>
      </c>
      <c r="R645" s="8">
        <v>2.82193</v>
      </c>
      <c r="S645">
        <v>3</v>
      </c>
      <c r="T645" s="8">
        <f t="shared" si="74"/>
        <v>8.8235294117647065E-2</v>
      </c>
      <c r="U645" s="8">
        <v>2.85032</v>
      </c>
      <c r="V645">
        <v>19</v>
      </c>
      <c r="W645" s="8">
        <f t="shared" si="75"/>
        <v>0.55882352941176472</v>
      </c>
      <c r="X645" s="8">
        <v>2.8048700000000002</v>
      </c>
      <c r="Y645">
        <v>12</v>
      </c>
      <c r="Z645" s="8">
        <f t="shared" si="76"/>
        <v>0.35294117647058826</v>
      </c>
      <c r="AA645" s="8">
        <v>2.8418299999999999</v>
      </c>
    </row>
    <row r="646" spans="1:27" ht="15" customHeight="1" x14ac:dyDescent="0.25">
      <c r="B646">
        <v>627</v>
      </c>
      <c r="C646" s="8">
        <v>-12456.4072</v>
      </c>
      <c r="D646" s="2">
        <v>-12457.842284</v>
      </c>
      <c r="F646" s="12">
        <v>0.99456800000000001</v>
      </c>
      <c r="G646" s="13">
        <v>0.17727000000000001</v>
      </c>
      <c r="H646">
        <v>8</v>
      </c>
      <c r="I646">
        <v>5</v>
      </c>
      <c r="K646" s="8">
        <f t="shared" si="70"/>
        <v>-0.6791923076925741</v>
      </c>
      <c r="L646" s="8">
        <f t="shared" si="71"/>
        <v>-5.2245562130198007E-2</v>
      </c>
      <c r="M646" s="8">
        <f t="shared" si="72"/>
        <v>-0.73829246153763961</v>
      </c>
      <c r="N646" s="8">
        <f t="shared" si="73"/>
        <v>-5.679172781058766E-2</v>
      </c>
      <c r="O646" s="8"/>
      <c r="P646" t="s">
        <v>934</v>
      </c>
      <c r="Q646">
        <v>34</v>
      </c>
      <c r="R646" s="8">
        <v>2.8233199999999998</v>
      </c>
      <c r="S646">
        <v>5</v>
      </c>
      <c r="T646" s="8">
        <f t="shared" si="74"/>
        <v>0.14705882352941177</v>
      </c>
      <c r="U646" s="8">
        <v>2.7738200000000002</v>
      </c>
      <c r="V646">
        <v>17</v>
      </c>
      <c r="W646" s="8">
        <f t="shared" si="75"/>
        <v>0.5</v>
      </c>
      <c r="X646" s="8">
        <v>2.8359999999999999</v>
      </c>
      <c r="Y646">
        <v>12</v>
      </c>
      <c r="Z646" s="8">
        <f t="shared" si="76"/>
        <v>0.35294117647058826</v>
      </c>
      <c r="AA646" s="8">
        <v>2.8259599999999998</v>
      </c>
    </row>
    <row r="647" spans="1:27" ht="15" customHeight="1" x14ac:dyDescent="0.25">
      <c r="B647">
        <v>628</v>
      </c>
      <c r="C647" s="8">
        <v>-12456.3406</v>
      </c>
      <c r="D647" s="2">
        <v>-12457.803308</v>
      </c>
      <c r="F647" s="12">
        <v>0.99402900000000005</v>
      </c>
      <c r="G647" s="13">
        <v>0.17430999999999899</v>
      </c>
      <c r="H647">
        <v>8</v>
      </c>
      <c r="I647">
        <v>5</v>
      </c>
      <c r="K647" s="8">
        <f t="shared" si="70"/>
        <v>-0.61259230769246642</v>
      </c>
      <c r="L647" s="8">
        <f t="shared" si="71"/>
        <v>-4.7122485207112805E-2</v>
      </c>
      <c r="M647" s="8">
        <f t="shared" si="72"/>
        <v>-0.69931646153781912</v>
      </c>
      <c r="N647" s="8">
        <f t="shared" si="73"/>
        <v>-5.3793573964447623E-2</v>
      </c>
      <c r="O647" s="8"/>
      <c r="P647" t="s">
        <v>935</v>
      </c>
      <c r="Q647">
        <v>36</v>
      </c>
      <c r="R647" s="8">
        <v>2.8419400000000001</v>
      </c>
      <c r="S647">
        <v>6</v>
      </c>
      <c r="T647" s="8">
        <f t="shared" si="74"/>
        <v>0.16666666666666666</v>
      </c>
      <c r="U647" s="8">
        <v>2.7832699999999999</v>
      </c>
      <c r="V647">
        <v>15</v>
      </c>
      <c r="W647" s="8">
        <f t="shared" si="75"/>
        <v>0.41666666666666669</v>
      </c>
      <c r="X647" s="8">
        <v>2.8785599999999998</v>
      </c>
      <c r="Y647">
        <v>15</v>
      </c>
      <c r="Z647" s="8">
        <f t="shared" si="76"/>
        <v>0.41666666666666669</v>
      </c>
      <c r="AA647" s="8">
        <v>2.8287800000000001</v>
      </c>
    </row>
    <row r="648" spans="1:27" ht="15" customHeight="1" x14ac:dyDescent="0.25">
      <c r="B648" s="14">
        <v>629</v>
      </c>
      <c r="C648" s="15">
        <v>-12456.565882999999</v>
      </c>
      <c r="D648" s="16">
        <v>-12457.976844999999</v>
      </c>
      <c r="E648" s="14"/>
      <c r="F648" s="17">
        <v>0.99712900000000004</v>
      </c>
      <c r="G648" s="18">
        <v>0.19639000000000001</v>
      </c>
      <c r="H648" s="14">
        <v>8</v>
      </c>
      <c r="I648" s="14">
        <v>5</v>
      </c>
      <c r="K648" s="8">
        <f t="shared" si="70"/>
        <v>-0.8378753076922294</v>
      </c>
      <c r="L648" s="8">
        <f t="shared" si="71"/>
        <v>-6.4451946745556113E-2</v>
      </c>
      <c r="M648" s="8">
        <f t="shared" si="72"/>
        <v>-0.87285346153657883</v>
      </c>
      <c r="N648" s="8">
        <f t="shared" si="73"/>
        <v>-6.714257396435222E-2</v>
      </c>
      <c r="O648" s="8"/>
      <c r="P648" t="s">
        <v>936</v>
      </c>
      <c r="Q648">
        <v>35</v>
      </c>
      <c r="R648" s="8">
        <v>2.8325200000000001</v>
      </c>
      <c r="S648">
        <v>4</v>
      </c>
      <c r="T648" s="8">
        <f t="shared" si="74"/>
        <v>0.11428571428571428</v>
      </c>
      <c r="U648" s="8">
        <v>2.8051300000000001</v>
      </c>
      <c r="V648">
        <v>18</v>
      </c>
      <c r="W648" s="8">
        <f t="shared" si="75"/>
        <v>0.51428571428571423</v>
      </c>
      <c r="X648" s="8">
        <v>2.8229199999999999</v>
      </c>
      <c r="Y648">
        <v>13</v>
      </c>
      <c r="Z648" s="8">
        <f t="shared" si="76"/>
        <v>0.37142857142857144</v>
      </c>
      <c r="AA648" s="8">
        <v>2.8542299999999998</v>
      </c>
    </row>
    <row r="649" spans="1:27" ht="15" customHeight="1" x14ac:dyDescent="0.25">
      <c r="B649">
        <v>630</v>
      </c>
      <c r="C649" s="8">
        <v>-12456.5594</v>
      </c>
      <c r="D649" s="2">
        <v>-12457.968346</v>
      </c>
      <c r="F649" s="12">
        <v>0.99390999999999996</v>
      </c>
      <c r="G649" s="13">
        <v>0.17372000000000001</v>
      </c>
      <c r="H649">
        <v>8</v>
      </c>
      <c r="I649">
        <v>5</v>
      </c>
      <c r="K649" s="8">
        <f t="shared" si="70"/>
        <v>-0.8313923076930223</v>
      </c>
      <c r="L649" s="8">
        <f t="shared" si="71"/>
        <v>-6.3953254437924795E-2</v>
      </c>
      <c r="M649" s="8">
        <f t="shared" si="72"/>
        <v>-0.86435446153700468</v>
      </c>
      <c r="N649" s="8">
        <f t="shared" si="73"/>
        <v>-6.648880473361575E-2</v>
      </c>
      <c r="O649" s="8"/>
      <c r="P649" t="s">
        <v>937</v>
      </c>
      <c r="Q649">
        <v>35</v>
      </c>
      <c r="R649" s="8">
        <v>2.83046</v>
      </c>
      <c r="S649">
        <v>5</v>
      </c>
      <c r="T649" s="8">
        <f t="shared" si="74"/>
        <v>0.14285714285714285</v>
      </c>
      <c r="U649" s="8">
        <v>2.7993299999999999</v>
      </c>
      <c r="V649">
        <v>16</v>
      </c>
      <c r="W649" s="8">
        <f t="shared" si="75"/>
        <v>0.45714285714285713</v>
      </c>
      <c r="X649" s="8">
        <v>2.82281</v>
      </c>
      <c r="Y649">
        <v>14</v>
      </c>
      <c r="Z649" s="8">
        <f t="shared" si="76"/>
        <v>0.4</v>
      </c>
      <c r="AA649" s="8">
        <v>2.8503099999999999</v>
      </c>
    </row>
    <row r="650" spans="1:27" ht="15" customHeight="1" x14ac:dyDescent="0.25">
      <c r="B650">
        <v>631</v>
      </c>
      <c r="C650" s="8">
        <v>-12456.584699999999</v>
      </c>
      <c r="D650" s="2">
        <v>-12458.080534000001</v>
      </c>
      <c r="F650" s="12">
        <v>0.99669700000000006</v>
      </c>
      <c r="G650" s="13">
        <v>0.19214999999999899</v>
      </c>
      <c r="H650">
        <v>8</v>
      </c>
      <c r="I650">
        <v>5</v>
      </c>
      <c r="K650" s="8">
        <f t="shared" si="70"/>
        <v>-0.85669230769235583</v>
      </c>
      <c r="L650" s="8">
        <f t="shared" si="71"/>
        <v>-6.5899408284027378E-2</v>
      </c>
      <c r="M650" s="8">
        <f t="shared" si="72"/>
        <v>-0.9765424615379743</v>
      </c>
      <c r="N650" s="8">
        <f t="shared" si="73"/>
        <v>-7.5118650887536484E-2</v>
      </c>
      <c r="O650" s="8"/>
      <c r="P650" t="s">
        <v>938</v>
      </c>
      <c r="Q650">
        <v>34</v>
      </c>
      <c r="R650" s="8">
        <v>2.81995</v>
      </c>
      <c r="S650">
        <v>5</v>
      </c>
      <c r="T650" s="8">
        <f t="shared" si="74"/>
        <v>0.14705882352941177</v>
      </c>
      <c r="U650" s="8">
        <v>2.8145500000000001</v>
      </c>
      <c r="V650">
        <v>16</v>
      </c>
      <c r="W650" s="8">
        <f t="shared" si="75"/>
        <v>0.47058823529411764</v>
      </c>
      <c r="X650" s="8">
        <v>2.8052299999999999</v>
      </c>
      <c r="Y650">
        <v>13</v>
      </c>
      <c r="Z650" s="8">
        <f t="shared" si="76"/>
        <v>0.38235294117647056</v>
      </c>
      <c r="AA650" s="8">
        <v>2.84015</v>
      </c>
    </row>
    <row r="651" spans="1:27" ht="15" customHeight="1" x14ac:dyDescent="0.25">
      <c r="B651">
        <v>632</v>
      </c>
      <c r="C651" s="8">
        <v>-12456.6157</v>
      </c>
      <c r="D651" s="2">
        <v>-12458.255045</v>
      </c>
      <c r="F651" s="12">
        <v>0.998116</v>
      </c>
      <c r="G651" s="13">
        <v>0.20083999999999999</v>
      </c>
      <c r="H651">
        <v>8</v>
      </c>
      <c r="I651">
        <v>5</v>
      </c>
      <c r="K651" s="8">
        <f t="shared" si="70"/>
        <v>-0.88769230769321439</v>
      </c>
      <c r="L651" s="8">
        <f t="shared" si="71"/>
        <v>-6.8284023668708796E-2</v>
      </c>
      <c r="M651" s="8">
        <f t="shared" si="72"/>
        <v>-1.1510534615372308</v>
      </c>
      <c r="N651" s="8">
        <f t="shared" si="73"/>
        <v>-8.8542573964402363E-2</v>
      </c>
      <c r="O651" s="8"/>
      <c r="P651" t="s">
        <v>939</v>
      </c>
      <c r="Q651">
        <v>34</v>
      </c>
      <c r="R651" s="8">
        <v>2.81609</v>
      </c>
      <c r="S651">
        <v>5</v>
      </c>
      <c r="T651" s="8">
        <f t="shared" si="74"/>
        <v>0.14705882352941177</v>
      </c>
      <c r="U651" s="8">
        <v>2.8004500000000001</v>
      </c>
      <c r="V651">
        <v>15</v>
      </c>
      <c r="W651" s="8">
        <f t="shared" si="75"/>
        <v>0.44117647058823528</v>
      </c>
      <c r="X651" s="8">
        <v>2.8117299999999998</v>
      </c>
      <c r="Y651">
        <v>14</v>
      </c>
      <c r="Z651" s="8">
        <f t="shared" si="76"/>
        <v>0.41176470588235292</v>
      </c>
      <c r="AA651" s="8">
        <v>2.82633</v>
      </c>
    </row>
    <row r="652" spans="1:27" ht="15" customHeight="1" x14ac:dyDescent="0.25">
      <c r="B652">
        <v>633</v>
      </c>
      <c r="C652" s="8">
        <v>-12456.4845</v>
      </c>
      <c r="D652" s="2">
        <v>-12457.989258</v>
      </c>
      <c r="F652" s="12">
        <v>0.99657899999999999</v>
      </c>
      <c r="G652" s="13">
        <v>0.19109000000000001</v>
      </c>
      <c r="H652">
        <v>8</v>
      </c>
      <c r="I652">
        <v>5</v>
      </c>
      <c r="K652" s="8">
        <f t="shared" si="70"/>
        <v>-0.75649230769340647</v>
      </c>
      <c r="L652" s="8">
        <f t="shared" si="71"/>
        <v>-5.8191715976415884E-2</v>
      </c>
      <c r="M652" s="8">
        <f t="shared" si="72"/>
        <v>-0.88526646153695765</v>
      </c>
      <c r="N652" s="8">
        <f t="shared" si="73"/>
        <v>-6.8097420118227517E-2</v>
      </c>
      <c r="O652" s="8"/>
      <c r="P652" t="s">
        <v>940</v>
      </c>
      <c r="Q652">
        <v>34</v>
      </c>
      <c r="R652" s="8">
        <v>2.81663</v>
      </c>
      <c r="S652">
        <v>6</v>
      </c>
      <c r="T652" s="8">
        <f t="shared" si="74"/>
        <v>0.17647058823529413</v>
      </c>
      <c r="U652" s="8">
        <v>2.7823899999999999</v>
      </c>
      <c r="V652">
        <v>14</v>
      </c>
      <c r="W652" s="8">
        <f t="shared" si="75"/>
        <v>0.41176470588235292</v>
      </c>
      <c r="X652" s="8">
        <v>2.82206</v>
      </c>
      <c r="Y652">
        <v>14</v>
      </c>
      <c r="Z652" s="8">
        <f t="shared" si="76"/>
        <v>0.41176470588235292</v>
      </c>
      <c r="AA652" s="8">
        <v>2.8258700000000001</v>
      </c>
    </row>
    <row r="653" spans="1:27" ht="15" customHeight="1" x14ac:dyDescent="0.25">
      <c r="B653">
        <v>634</v>
      </c>
      <c r="C653" s="8">
        <v>-12456.6993</v>
      </c>
      <c r="D653" s="2">
        <v>-12458.201037999999</v>
      </c>
      <c r="F653" s="12">
        <v>0.99797199999999997</v>
      </c>
      <c r="G653" s="13">
        <v>0.20659</v>
      </c>
      <c r="H653">
        <v>8</v>
      </c>
      <c r="I653">
        <v>5</v>
      </c>
      <c r="K653" s="8">
        <f t="shared" si="70"/>
        <v>-0.97129230769314745</v>
      </c>
      <c r="L653" s="8">
        <f t="shared" si="71"/>
        <v>-7.4714792899472887E-2</v>
      </c>
      <c r="M653" s="8">
        <f t="shared" si="72"/>
        <v>-1.0970464615365927</v>
      </c>
      <c r="N653" s="8">
        <f t="shared" si="73"/>
        <v>-8.4388189348968662E-2</v>
      </c>
      <c r="O653" s="8"/>
      <c r="P653" t="s">
        <v>941</v>
      </c>
      <c r="Q653">
        <v>34</v>
      </c>
      <c r="R653" s="8">
        <v>2.8224399999999998</v>
      </c>
      <c r="S653">
        <v>5</v>
      </c>
      <c r="T653" s="8">
        <f t="shared" si="74"/>
        <v>0.14705882352941177</v>
      </c>
      <c r="U653" s="8">
        <v>2.88347</v>
      </c>
      <c r="V653">
        <v>17</v>
      </c>
      <c r="W653" s="8">
        <f t="shared" si="75"/>
        <v>0.5</v>
      </c>
      <c r="X653" s="8">
        <v>2.7923900000000001</v>
      </c>
      <c r="Y653">
        <v>12</v>
      </c>
      <c r="Z653" s="8">
        <f t="shared" si="76"/>
        <v>0.35294117647058826</v>
      </c>
      <c r="AA653" s="8">
        <v>2.8395800000000002</v>
      </c>
    </row>
    <row r="654" spans="1:27" ht="15" customHeight="1" x14ac:dyDescent="0.25">
      <c r="B654">
        <v>635</v>
      </c>
      <c r="C654" s="8">
        <v>-12456.612499999999</v>
      </c>
      <c r="D654" s="2">
        <v>-12457.989699</v>
      </c>
      <c r="F654" s="12">
        <v>0.995394</v>
      </c>
      <c r="G654" s="13">
        <v>0.18212</v>
      </c>
      <c r="H654">
        <v>8</v>
      </c>
      <c r="I654">
        <v>5</v>
      </c>
      <c r="K654" s="8">
        <f t="shared" si="70"/>
        <v>-0.88449230769219866</v>
      </c>
      <c r="L654" s="8">
        <f t="shared" si="71"/>
        <v>-6.8037869822476824E-2</v>
      </c>
      <c r="M654" s="8">
        <f t="shared" si="72"/>
        <v>-0.88570746153709479</v>
      </c>
      <c r="N654" s="8">
        <f t="shared" si="73"/>
        <v>-6.8131343195161134E-2</v>
      </c>
      <c r="O654" s="8"/>
      <c r="P654" t="s">
        <v>942</v>
      </c>
      <c r="Q654">
        <v>34</v>
      </c>
      <c r="R654" s="8">
        <v>2.8177400000000001</v>
      </c>
      <c r="S654">
        <v>5</v>
      </c>
      <c r="T654" s="8">
        <f t="shared" si="74"/>
        <v>0.14705882352941177</v>
      </c>
      <c r="U654" s="8">
        <v>2.7981500000000001</v>
      </c>
      <c r="V654">
        <v>14</v>
      </c>
      <c r="W654" s="8">
        <f t="shared" si="75"/>
        <v>0.41176470588235292</v>
      </c>
      <c r="X654" s="8">
        <v>2.79833</v>
      </c>
      <c r="Y654">
        <v>15</v>
      </c>
      <c r="Z654" s="8">
        <f t="shared" si="76"/>
        <v>0.44117647058823528</v>
      </c>
      <c r="AA654" s="8">
        <v>2.8423799999999999</v>
      </c>
    </row>
    <row r="655" spans="1:27" ht="15" customHeight="1" x14ac:dyDescent="0.25">
      <c r="B655">
        <v>636</v>
      </c>
      <c r="C655" s="8">
        <v>-12456.743899999999</v>
      </c>
      <c r="D655" s="2">
        <v>-12458.133546999999</v>
      </c>
      <c r="F655" s="12">
        <v>0.99688600000000005</v>
      </c>
      <c r="G655" s="13">
        <v>0.19386999999999999</v>
      </c>
      <c r="H655">
        <v>8</v>
      </c>
      <c r="I655">
        <v>5</v>
      </c>
      <c r="K655" s="8">
        <f t="shared" si="70"/>
        <v>-1.0158923076924111</v>
      </c>
      <c r="L655" s="8">
        <f t="shared" si="71"/>
        <v>-7.8145562130185475E-2</v>
      </c>
      <c r="M655" s="8">
        <f t="shared" si="72"/>
        <v>-1.0295554615368019</v>
      </c>
      <c r="N655" s="8">
        <f t="shared" si="73"/>
        <v>-7.9196573964369382E-2</v>
      </c>
      <c r="O655" s="8"/>
      <c r="P655" t="s">
        <v>943</v>
      </c>
      <c r="Q655">
        <v>34</v>
      </c>
      <c r="R655" s="8">
        <v>2.82179</v>
      </c>
      <c r="S655">
        <v>5</v>
      </c>
      <c r="T655" s="8">
        <f t="shared" si="74"/>
        <v>0.14705882352941177</v>
      </c>
      <c r="U655" s="8">
        <v>2.8392200000000001</v>
      </c>
      <c r="V655">
        <v>16</v>
      </c>
      <c r="W655" s="8">
        <f t="shared" si="75"/>
        <v>0.47058823529411764</v>
      </c>
      <c r="X655" s="8">
        <v>2.8082199999999999</v>
      </c>
      <c r="Y655">
        <v>13</v>
      </c>
      <c r="Z655" s="8">
        <f t="shared" si="76"/>
        <v>0.38235294117647056</v>
      </c>
      <c r="AA655" s="8">
        <v>2.8317800000000002</v>
      </c>
    </row>
    <row r="656" spans="1:27" ht="15" customHeight="1" x14ac:dyDescent="0.25">
      <c r="A656" s="8"/>
      <c r="B656">
        <v>637</v>
      </c>
      <c r="C656" s="8">
        <v>-12456.6865</v>
      </c>
      <c r="D656" s="2">
        <v>-12458.058889</v>
      </c>
      <c r="F656" s="12">
        <v>0.99561100000000002</v>
      </c>
      <c r="G656" s="13">
        <v>0.18367</v>
      </c>
      <c r="H656">
        <v>8</v>
      </c>
      <c r="I656">
        <v>5</v>
      </c>
      <c r="K656" s="8">
        <f t="shared" si="70"/>
        <v>-0.95849230769272253</v>
      </c>
      <c r="L656" s="8">
        <f t="shared" si="71"/>
        <v>-7.3730177514824816E-2</v>
      </c>
      <c r="M656" s="8">
        <f t="shared" si="72"/>
        <v>-0.95489746153725719</v>
      </c>
      <c r="N656" s="8">
        <f t="shared" si="73"/>
        <v>-7.345365088748132E-2</v>
      </c>
      <c r="O656" s="8"/>
      <c r="P656" t="s">
        <v>944</v>
      </c>
      <c r="Q656">
        <v>34</v>
      </c>
      <c r="R656" s="8">
        <v>2.81203</v>
      </c>
      <c r="S656">
        <v>6</v>
      </c>
      <c r="T656" s="8">
        <f t="shared" si="74"/>
        <v>0.17647058823529413</v>
      </c>
      <c r="U656" s="8">
        <v>2.8551500000000001</v>
      </c>
      <c r="V656">
        <v>17</v>
      </c>
      <c r="W656" s="8">
        <f t="shared" si="75"/>
        <v>0.5</v>
      </c>
      <c r="X656" s="8">
        <v>2.7963200000000001</v>
      </c>
      <c r="Y656">
        <v>11</v>
      </c>
      <c r="Z656" s="8">
        <f t="shared" si="76"/>
        <v>0.3235294117647059</v>
      </c>
      <c r="AA656" s="8">
        <v>2.8127800000000001</v>
      </c>
    </row>
    <row r="657" spans="1:27" ht="15" customHeight="1" x14ac:dyDescent="0.25">
      <c r="A657" s="8"/>
      <c r="B657">
        <v>638</v>
      </c>
      <c r="C657" s="8">
        <v>-12456.712799999999</v>
      </c>
      <c r="D657" s="2">
        <v>-12458.082312</v>
      </c>
      <c r="F657" s="12">
        <v>0.995973</v>
      </c>
      <c r="G657" s="13">
        <v>0.18623000000000001</v>
      </c>
      <c r="H657">
        <v>8</v>
      </c>
      <c r="I657">
        <v>5</v>
      </c>
      <c r="K657" s="8">
        <f t="shared" si="70"/>
        <v>-0.98479230769225978</v>
      </c>
      <c r="L657" s="8">
        <f t="shared" si="71"/>
        <v>-7.5753254437866138E-2</v>
      </c>
      <c r="M657" s="8">
        <f t="shared" si="72"/>
        <v>-0.97832046153780539</v>
      </c>
      <c r="N657" s="8">
        <f t="shared" si="73"/>
        <v>-7.5255420118292726E-2</v>
      </c>
      <c r="O657" s="8"/>
      <c r="P657" t="s">
        <v>945</v>
      </c>
      <c r="Q657">
        <v>34</v>
      </c>
      <c r="R657" s="8">
        <v>2.8155399999999999</v>
      </c>
      <c r="S657">
        <v>4</v>
      </c>
      <c r="T657" s="8">
        <f t="shared" si="74"/>
        <v>0.11764705882352941</v>
      </c>
      <c r="U657" s="8">
        <v>2.7936100000000001</v>
      </c>
      <c r="V657">
        <v>18</v>
      </c>
      <c r="W657" s="8">
        <f t="shared" si="75"/>
        <v>0.52941176470588236</v>
      </c>
      <c r="X657" s="8">
        <v>2.8181400000000001</v>
      </c>
      <c r="Y657">
        <v>12</v>
      </c>
      <c r="Z657" s="8">
        <f t="shared" si="76"/>
        <v>0.35294117647058826</v>
      </c>
      <c r="AA657" s="8">
        <v>2.8189500000000001</v>
      </c>
    </row>
    <row r="658" spans="1:27" ht="15" customHeight="1" x14ac:dyDescent="0.25">
      <c r="A658" s="8"/>
      <c r="B658">
        <v>639</v>
      </c>
      <c r="C658" s="8">
        <v>-12456.740900000001</v>
      </c>
      <c r="D658" s="2">
        <v>-12458.240301</v>
      </c>
      <c r="F658" s="12">
        <v>0.99705500000000002</v>
      </c>
      <c r="G658" s="13">
        <v>0.19552999999999901</v>
      </c>
      <c r="H658">
        <v>8</v>
      </c>
      <c r="I658">
        <v>5</v>
      </c>
      <c r="K658" s="8">
        <f t="shared" si="70"/>
        <v>-1.0128923076936189</v>
      </c>
      <c r="L658" s="8">
        <f t="shared" si="71"/>
        <v>-7.7914792899509144E-2</v>
      </c>
      <c r="M658" s="8">
        <f t="shared" si="72"/>
        <v>-1.1363094615371665</v>
      </c>
      <c r="N658" s="8">
        <f t="shared" si="73"/>
        <v>-8.7408420118243582E-2</v>
      </c>
      <c r="O658" s="8"/>
      <c r="P658" t="s">
        <v>946</v>
      </c>
      <c r="Q658">
        <v>34</v>
      </c>
      <c r="R658" s="8">
        <v>2.8226</v>
      </c>
      <c r="S658">
        <v>4</v>
      </c>
      <c r="T658" s="8">
        <f t="shared" si="74"/>
        <v>0.11764705882352941</v>
      </c>
      <c r="U658" s="8">
        <v>2.84043</v>
      </c>
      <c r="V658">
        <v>18</v>
      </c>
      <c r="W658" s="8">
        <f t="shared" si="75"/>
        <v>0.52941176470588236</v>
      </c>
      <c r="X658" s="8">
        <v>2.8105099999999998</v>
      </c>
      <c r="Y658">
        <v>12</v>
      </c>
      <c r="Z658" s="8">
        <f t="shared" si="76"/>
        <v>0.35294117647058826</v>
      </c>
      <c r="AA658" s="8">
        <v>2.8347799999999999</v>
      </c>
    </row>
    <row r="659" spans="1:27" ht="15" customHeight="1" x14ac:dyDescent="0.25">
      <c r="A659" s="8"/>
      <c r="B659">
        <v>640</v>
      </c>
      <c r="C659" s="8">
        <v>-12456.844300000001</v>
      </c>
      <c r="D659" s="2">
        <v>-12458.617617</v>
      </c>
      <c r="F659" s="12">
        <v>0.99297299999999999</v>
      </c>
      <c r="G659" s="13">
        <v>0.16941999999999999</v>
      </c>
      <c r="H659">
        <v>8</v>
      </c>
      <c r="I659">
        <v>5</v>
      </c>
      <c r="K659" s="8">
        <f t="shared" si="70"/>
        <v>-1.116292307693584</v>
      </c>
      <c r="L659" s="8">
        <f t="shared" si="71"/>
        <v>-8.5868639053352611E-2</v>
      </c>
      <c r="M659" s="8">
        <f t="shared" si="72"/>
        <v>-1.5136254615372309</v>
      </c>
      <c r="N659" s="8">
        <f t="shared" si="73"/>
        <v>-0.11643272781055622</v>
      </c>
      <c r="O659" s="8"/>
      <c r="P659" t="s">
        <v>947</v>
      </c>
      <c r="Q659">
        <v>35</v>
      </c>
      <c r="R659" s="8">
        <v>2.8268900000000001</v>
      </c>
      <c r="S659">
        <v>4</v>
      </c>
      <c r="T659" s="8">
        <f t="shared" si="74"/>
        <v>0.11428571428571428</v>
      </c>
      <c r="U659" s="8">
        <v>2.8004699999999998</v>
      </c>
      <c r="V659">
        <v>17</v>
      </c>
      <c r="W659" s="8">
        <f t="shared" si="75"/>
        <v>0.48571428571428571</v>
      </c>
      <c r="X659" s="8">
        <v>2.81454</v>
      </c>
      <c r="Y659">
        <v>14</v>
      </c>
      <c r="Z659" s="8">
        <f t="shared" si="76"/>
        <v>0.4</v>
      </c>
      <c r="AA659" s="8">
        <v>2.84944</v>
      </c>
    </row>
    <row r="660" spans="1:27" ht="15" customHeight="1" x14ac:dyDescent="0.25">
      <c r="A660" s="8"/>
      <c r="B660">
        <v>641</v>
      </c>
      <c r="C660" s="8">
        <v>-12456.873600000001</v>
      </c>
      <c r="D660" s="2">
        <v>-12458.205282000001</v>
      </c>
      <c r="F660" s="12">
        <v>0.99687199999999998</v>
      </c>
      <c r="G660" s="13">
        <v>0.19381000000000001</v>
      </c>
      <c r="H660">
        <v>8</v>
      </c>
      <c r="I660">
        <v>5</v>
      </c>
      <c r="K660" s="8">
        <f t="shared" si="70"/>
        <v>-1.1455923076937324</v>
      </c>
      <c r="L660" s="8">
        <f t="shared" si="71"/>
        <v>-8.8122485207210194E-2</v>
      </c>
      <c r="M660" s="8">
        <f t="shared" si="72"/>
        <v>-1.1012904615381558</v>
      </c>
      <c r="N660" s="8">
        <f t="shared" si="73"/>
        <v>-8.4714650887550452E-2</v>
      </c>
      <c r="O660" s="8"/>
      <c r="P660" t="s">
        <v>948</v>
      </c>
      <c r="Q660">
        <v>34</v>
      </c>
      <c r="R660" s="8">
        <v>2.8159000000000001</v>
      </c>
      <c r="S660">
        <v>4</v>
      </c>
      <c r="T660" s="8">
        <f t="shared" si="74"/>
        <v>0.11764705882352941</v>
      </c>
      <c r="U660" s="8">
        <v>2.7756099999999999</v>
      </c>
      <c r="V660">
        <v>17</v>
      </c>
      <c r="W660" s="8">
        <f t="shared" si="75"/>
        <v>0.5</v>
      </c>
      <c r="X660" s="8">
        <v>2.8134800000000002</v>
      </c>
      <c r="Y660">
        <v>13</v>
      </c>
      <c r="Z660" s="8">
        <f t="shared" si="76"/>
        <v>0.38235294117647056</v>
      </c>
      <c r="AA660" s="8">
        <v>2.8314699999999999</v>
      </c>
    </row>
    <row r="661" spans="1:27" ht="15" customHeight="1" x14ac:dyDescent="0.25">
      <c r="A661" s="8"/>
      <c r="B661">
        <v>642</v>
      </c>
      <c r="C661" s="8">
        <v>-12456.2742</v>
      </c>
      <c r="D661" s="2">
        <v>-12457.703154000001</v>
      </c>
      <c r="F661" s="12">
        <v>0.99506899999999998</v>
      </c>
      <c r="G661" s="13">
        <v>0.18007999999999899</v>
      </c>
      <c r="H661">
        <v>8</v>
      </c>
      <c r="I661">
        <v>5</v>
      </c>
      <c r="K661" s="8">
        <f t="shared" si="70"/>
        <v>-0.54619230769276328</v>
      </c>
      <c r="L661" s="8">
        <f t="shared" si="71"/>
        <v>-4.2014792899443328E-2</v>
      </c>
      <c r="M661" s="8">
        <f t="shared" si="72"/>
        <v>-0.59916246153807151</v>
      </c>
      <c r="N661" s="8">
        <f t="shared" si="73"/>
        <v>-4.6089420118313192E-2</v>
      </c>
      <c r="O661" s="8"/>
      <c r="P661" t="s">
        <v>949</v>
      </c>
      <c r="Q661">
        <v>36</v>
      </c>
      <c r="R661" s="8">
        <v>2.8366400000000001</v>
      </c>
      <c r="S661">
        <v>6</v>
      </c>
      <c r="T661" s="8">
        <f t="shared" si="74"/>
        <v>0.16666666666666666</v>
      </c>
      <c r="U661" s="8">
        <v>2.78938</v>
      </c>
      <c r="V661">
        <v>16</v>
      </c>
      <c r="W661" s="8">
        <f t="shared" si="75"/>
        <v>0.44444444444444442</v>
      </c>
      <c r="X661" s="8">
        <v>2.8658899999999998</v>
      </c>
      <c r="Y661">
        <v>14</v>
      </c>
      <c r="Z661" s="8">
        <f t="shared" si="76"/>
        <v>0.3888888888888889</v>
      </c>
      <c r="AA661" s="8">
        <v>2.8234699999999999</v>
      </c>
    </row>
    <row r="662" spans="1:27" ht="15" customHeight="1" x14ac:dyDescent="0.25">
      <c r="A662" s="25"/>
      <c r="B662">
        <v>643</v>
      </c>
      <c r="C662" s="8">
        <v>-12456.485000000001</v>
      </c>
      <c r="D662" s="2">
        <v>-12457.93238</v>
      </c>
      <c r="F662" s="12">
        <v>0.99558999999999997</v>
      </c>
      <c r="G662" s="13">
        <v>0.18343999999999999</v>
      </c>
      <c r="H662">
        <v>8</v>
      </c>
      <c r="I662">
        <v>5</v>
      </c>
      <c r="K662" s="8">
        <f t="shared" si="70"/>
        <v>-0.75699230769350834</v>
      </c>
      <c r="L662" s="8">
        <f t="shared" si="71"/>
        <v>-5.8230177514885254E-2</v>
      </c>
      <c r="M662" s="8">
        <f t="shared" si="72"/>
        <v>-0.82838846153754275</v>
      </c>
      <c r="N662" s="8">
        <f t="shared" si="73"/>
        <v>-6.3722189349041752E-2</v>
      </c>
      <c r="O662" s="8"/>
      <c r="P662" t="s">
        <v>950</v>
      </c>
      <c r="Q662">
        <v>35</v>
      </c>
      <c r="R662" s="8">
        <v>2.8281499999999999</v>
      </c>
      <c r="S662">
        <v>6</v>
      </c>
      <c r="T662" s="8">
        <f t="shared" si="74"/>
        <v>0.17142857142857143</v>
      </c>
      <c r="U662" s="8">
        <v>2.8211300000000001</v>
      </c>
      <c r="V662">
        <v>15</v>
      </c>
      <c r="W662" s="8">
        <f t="shared" si="75"/>
        <v>0.42857142857142855</v>
      </c>
      <c r="X662" s="8">
        <v>2.8406400000000001</v>
      </c>
      <c r="Y662">
        <v>14</v>
      </c>
      <c r="Z662" s="8">
        <f t="shared" si="76"/>
        <v>0.4</v>
      </c>
      <c r="AA662" s="8">
        <v>2.8177699999999999</v>
      </c>
    </row>
    <row r="663" spans="1:27" ht="15" customHeight="1" x14ac:dyDescent="0.25">
      <c r="A663" s="8"/>
      <c r="C663" s="4"/>
      <c r="F663" s="12"/>
      <c r="G663" s="13"/>
      <c r="K663" s="8" t="str">
        <f t="shared" si="70"/>
        <v/>
      </c>
      <c r="L663" s="8" t="str">
        <f t="shared" si="71"/>
        <v/>
      </c>
      <c r="M663" s="8" t="str">
        <f t="shared" si="72"/>
        <v/>
      </c>
      <c r="N663" s="8" t="str">
        <f t="shared" si="73"/>
        <v/>
      </c>
      <c r="O663" s="8"/>
      <c r="T663" s="8" t="str">
        <f t="shared" si="74"/>
        <v/>
      </c>
      <c r="W663" s="8" t="str">
        <f t="shared" si="75"/>
        <v/>
      </c>
      <c r="Z663" s="8" t="str">
        <f t="shared" si="76"/>
        <v/>
      </c>
    </row>
    <row r="664" spans="1:27" ht="15" customHeight="1" x14ac:dyDescent="0.25">
      <c r="C664" s="5" t="s">
        <v>0</v>
      </c>
      <c r="D664" s="6" t="s">
        <v>1</v>
      </c>
      <c r="E664" s="7"/>
      <c r="F664" s="7" t="s">
        <v>2</v>
      </c>
      <c r="G664" s="7" t="s">
        <v>3</v>
      </c>
      <c r="H664" s="7" t="s">
        <v>4</v>
      </c>
      <c r="I664" s="7" t="s">
        <v>5</v>
      </c>
      <c r="K664" s="8" t="str">
        <f t="shared" si="70"/>
        <v/>
      </c>
      <c r="L664" s="8" t="str">
        <f t="shared" si="71"/>
        <v/>
      </c>
      <c r="M664" s="8" t="str">
        <f t="shared" si="72"/>
        <v/>
      </c>
      <c r="N664" s="8" t="str">
        <f t="shared" si="73"/>
        <v/>
      </c>
      <c r="O664" s="8"/>
      <c r="T664" s="8" t="str">
        <f t="shared" si="74"/>
        <v/>
      </c>
      <c r="W664" s="8" t="str">
        <f t="shared" si="75"/>
        <v/>
      </c>
      <c r="Z664" s="8" t="str">
        <f t="shared" si="76"/>
        <v/>
      </c>
    </row>
    <row r="665" spans="1:27" ht="15" customHeight="1" x14ac:dyDescent="0.25">
      <c r="A665" s="7" t="s">
        <v>951</v>
      </c>
      <c r="B665" s="26">
        <v>542</v>
      </c>
      <c r="C665" s="27">
        <v>-12363.718594</v>
      </c>
      <c r="D665" s="28">
        <v>-12365.688034999999</v>
      </c>
      <c r="E665" s="10"/>
      <c r="F665" s="29">
        <v>0.99701499999999998</v>
      </c>
      <c r="G665" s="30">
        <v>0.187219999999999</v>
      </c>
      <c r="H665" s="31">
        <v>7</v>
      </c>
      <c r="I665" s="31">
        <v>6</v>
      </c>
      <c r="K665" s="8">
        <f t="shared" si="70"/>
        <v>-1.2759247692320059</v>
      </c>
      <c r="L665" s="8">
        <f t="shared" si="71"/>
        <v>-9.8148059171692767E-2</v>
      </c>
      <c r="M665" s="8">
        <f t="shared" si="72"/>
        <v>-1.8192431538445817</v>
      </c>
      <c r="N665" s="8">
        <f t="shared" si="73"/>
        <v>-0.13994178106496782</v>
      </c>
      <c r="O665" s="8"/>
      <c r="P665" t="s">
        <v>952</v>
      </c>
      <c r="Q665">
        <v>35</v>
      </c>
      <c r="R665" s="8">
        <v>2.8266300000000002</v>
      </c>
      <c r="S665">
        <v>4</v>
      </c>
      <c r="T665" s="8">
        <f t="shared" si="74"/>
        <v>0.11428571428571428</v>
      </c>
      <c r="U665" s="8">
        <v>2.7943699999999998</v>
      </c>
      <c r="V665">
        <v>20</v>
      </c>
      <c r="W665" s="8">
        <f t="shared" si="75"/>
        <v>0.5714285714285714</v>
      </c>
      <c r="X665" s="8">
        <v>2.7972199999999998</v>
      </c>
      <c r="Y665">
        <v>11</v>
      </c>
      <c r="Z665" s="8">
        <f t="shared" si="76"/>
        <v>0.31428571428571428</v>
      </c>
      <c r="AA665" s="8">
        <v>2.8918200000000001</v>
      </c>
    </row>
    <row r="666" spans="1:27" ht="15" customHeight="1" x14ac:dyDescent="0.25">
      <c r="B666">
        <v>690</v>
      </c>
      <c r="C666" s="1">
        <v>-12363.653985999999</v>
      </c>
      <c r="D666" s="2">
        <v>-12365.48</v>
      </c>
      <c r="F666" s="3">
        <v>0.99136999999999997</v>
      </c>
      <c r="G666" s="2">
        <v>0.16228000000000001</v>
      </c>
      <c r="H666">
        <v>7</v>
      </c>
      <c r="I666">
        <v>6</v>
      </c>
      <c r="K666" s="8">
        <f t="shared" si="70"/>
        <v>-1.2113167692314164</v>
      </c>
      <c r="L666" s="8">
        <f t="shared" si="71"/>
        <v>-9.3178213017801256E-2</v>
      </c>
      <c r="M666" s="8">
        <f t="shared" si="72"/>
        <v>-1.6112081538449274</v>
      </c>
      <c r="N666" s="8">
        <f t="shared" si="73"/>
        <v>-0.12393908875730211</v>
      </c>
      <c r="O666" s="8"/>
      <c r="P666" t="s">
        <v>953</v>
      </c>
      <c r="Q666">
        <v>35</v>
      </c>
      <c r="R666" s="8">
        <v>2.82944</v>
      </c>
      <c r="S666">
        <v>5</v>
      </c>
      <c r="T666" s="8">
        <f t="shared" si="74"/>
        <v>0.14285714285714285</v>
      </c>
      <c r="U666" s="8">
        <v>2.8112699999999999</v>
      </c>
      <c r="V666">
        <v>20</v>
      </c>
      <c r="W666" s="8">
        <f t="shared" si="75"/>
        <v>0.5714285714285714</v>
      </c>
      <c r="X666" s="8">
        <v>2.8134999999999999</v>
      </c>
      <c r="Y666">
        <v>10</v>
      </c>
      <c r="Z666" s="8">
        <f t="shared" si="76"/>
        <v>0.2857142857142857</v>
      </c>
      <c r="AA666" s="8">
        <v>2.8704000000000001</v>
      </c>
    </row>
    <row r="667" spans="1:27" ht="15" customHeight="1" x14ac:dyDescent="0.25">
      <c r="B667">
        <v>558</v>
      </c>
      <c r="C667" s="1">
        <v>-12363.601710000001</v>
      </c>
      <c r="D667" s="2">
        <v>-12365.448607</v>
      </c>
      <c r="F667" s="3">
        <v>0.99752300000000005</v>
      </c>
      <c r="G667" s="2">
        <v>0.20555999999999899</v>
      </c>
      <c r="H667">
        <v>7</v>
      </c>
      <c r="I667">
        <v>6</v>
      </c>
      <c r="K667" s="8">
        <f t="shared" si="70"/>
        <v>-1.1590407692328881</v>
      </c>
      <c r="L667" s="8">
        <f t="shared" si="71"/>
        <v>-8.9156982248683708E-2</v>
      </c>
      <c r="M667" s="8">
        <f t="shared" si="72"/>
        <v>-1.5798151538456295</v>
      </c>
      <c r="N667" s="8">
        <f t="shared" si="73"/>
        <v>-0.12152424260350997</v>
      </c>
      <c r="O667" s="8"/>
      <c r="P667" t="s">
        <v>954</v>
      </c>
      <c r="Q667">
        <v>34</v>
      </c>
      <c r="R667" s="8">
        <v>2.8205</v>
      </c>
      <c r="S667">
        <v>4</v>
      </c>
      <c r="T667" s="8">
        <f t="shared" si="74"/>
        <v>0.11764705882352941</v>
      </c>
      <c r="U667" s="8">
        <v>2.8703400000000001</v>
      </c>
      <c r="V667">
        <v>22</v>
      </c>
      <c r="W667" s="8">
        <f t="shared" si="75"/>
        <v>0.6470588235294118</v>
      </c>
      <c r="X667" s="8">
        <v>2.79182</v>
      </c>
      <c r="Y667">
        <v>8</v>
      </c>
      <c r="Z667" s="8">
        <f t="shared" si="76"/>
        <v>0.23529411764705882</v>
      </c>
      <c r="AA667" s="8">
        <v>2.8744299999999998</v>
      </c>
    </row>
    <row r="668" spans="1:27" ht="15" customHeight="1" x14ac:dyDescent="0.25">
      <c r="B668">
        <v>650</v>
      </c>
      <c r="C668" s="1">
        <v>-12363.684039</v>
      </c>
      <c r="D668" s="2">
        <v>-12365.434297</v>
      </c>
      <c r="F668" s="3">
        <v>0.99615500000000001</v>
      </c>
      <c r="G668" s="2">
        <v>0.18892999999999999</v>
      </c>
      <c r="H668">
        <v>7</v>
      </c>
      <c r="I668">
        <v>6</v>
      </c>
      <c r="K668" s="8">
        <f t="shared" si="70"/>
        <v>-1.2413697692318237</v>
      </c>
      <c r="L668" s="8">
        <f t="shared" si="71"/>
        <v>-9.5489982248601821E-2</v>
      </c>
      <c r="M668" s="8">
        <f t="shared" si="72"/>
        <v>-1.5655051538451517</v>
      </c>
      <c r="N668" s="8">
        <f t="shared" si="73"/>
        <v>-0.12042347337270397</v>
      </c>
      <c r="O668" s="8"/>
      <c r="P668" t="s">
        <v>955</v>
      </c>
      <c r="Q668">
        <v>35</v>
      </c>
      <c r="R668" s="8">
        <v>2.8309799999999998</v>
      </c>
      <c r="S668">
        <v>5</v>
      </c>
      <c r="T668" s="8">
        <f t="shared" si="74"/>
        <v>0.14285714285714285</v>
      </c>
      <c r="U668" s="8">
        <v>2.8790399999999998</v>
      </c>
      <c r="V668">
        <v>22</v>
      </c>
      <c r="W668" s="8">
        <f t="shared" si="75"/>
        <v>0.62857142857142856</v>
      </c>
      <c r="X668" s="8">
        <v>2.7946900000000001</v>
      </c>
      <c r="Y668">
        <v>8</v>
      </c>
      <c r="Z668" s="8">
        <f t="shared" si="76"/>
        <v>0.22857142857142856</v>
      </c>
      <c r="AA668" s="8">
        <v>2.9007499999999999</v>
      </c>
    </row>
    <row r="669" spans="1:27" ht="15" customHeight="1" x14ac:dyDescent="0.25">
      <c r="B669" s="32">
        <v>404</v>
      </c>
      <c r="C669" s="1">
        <v>-12363.4653</v>
      </c>
      <c r="D669" s="2">
        <v>-12365.412511</v>
      </c>
      <c r="F669" s="3">
        <v>0.99382000000000004</v>
      </c>
      <c r="G669" s="2">
        <v>0.17327000000000001</v>
      </c>
      <c r="H669">
        <v>7</v>
      </c>
      <c r="I669">
        <v>6</v>
      </c>
      <c r="K669" s="8">
        <f t="shared" si="70"/>
        <v>-1.0226307692319097</v>
      </c>
      <c r="L669" s="8">
        <f t="shared" si="71"/>
        <v>-7.8663905325531511E-2</v>
      </c>
      <c r="M669" s="8">
        <f t="shared" si="72"/>
        <v>-1.5437191538458137</v>
      </c>
      <c r="N669" s="8">
        <f t="shared" si="73"/>
        <v>-0.11874762721890875</v>
      </c>
      <c r="O669" s="8"/>
      <c r="P669" t="s">
        <v>956</v>
      </c>
      <c r="Q669">
        <v>36</v>
      </c>
      <c r="R669" s="8">
        <v>2.8364500000000001</v>
      </c>
      <c r="S669">
        <v>6</v>
      </c>
      <c r="T669" s="8">
        <f t="shared" si="74"/>
        <v>0.16666666666666666</v>
      </c>
      <c r="U669" s="8">
        <v>2.8471500000000001</v>
      </c>
      <c r="V669">
        <v>22</v>
      </c>
      <c r="W669" s="8">
        <f t="shared" si="75"/>
        <v>0.61111111111111116</v>
      </c>
      <c r="X669" s="8">
        <v>2.83751</v>
      </c>
      <c r="Y669">
        <v>8</v>
      </c>
      <c r="Z669" s="8">
        <f t="shared" si="76"/>
        <v>0.22222222222222221</v>
      </c>
      <c r="AA669" s="8">
        <v>2.8255300000000001</v>
      </c>
    </row>
    <row r="670" spans="1:27" ht="15" customHeight="1" x14ac:dyDescent="0.25">
      <c r="B670">
        <v>524</v>
      </c>
      <c r="C670" s="1">
        <v>-12363.661548</v>
      </c>
      <c r="D670" s="2">
        <v>-12365.411469999999</v>
      </c>
      <c r="F670" s="3">
        <v>0.99709199999999998</v>
      </c>
      <c r="G670" s="2">
        <v>0.19708000000000001</v>
      </c>
      <c r="H670">
        <v>7</v>
      </c>
      <c r="I670">
        <v>6</v>
      </c>
      <c r="K670" s="8">
        <f t="shared" si="70"/>
        <v>-1.2188787692321057</v>
      </c>
      <c r="L670" s="8">
        <f t="shared" si="71"/>
        <v>-9.3759905325546594E-2</v>
      </c>
      <c r="M670" s="8">
        <f t="shared" si="72"/>
        <v>-1.5426781538444629</v>
      </c>
      <c r="N670" s="8">
        <f t="shared" si="73"/>
        <v>-0.11866755029572792</v>
      </c>
      <c r="O670" s="8"/>
      <c r="P670" t="s">
        <v>957</v>
      </c>
      <c r="Q670">
        <v>32</v>
      </c>
      <c r="R670" s="8">
        <v>2.79941</v>
      </c>
      <c r="S670">
        <v>5</v>
      </c>
      <c r="T670" s="8">
        <f t="shared" si="74"/>
        <v>0.15625</v>
      </c>
      <c r="U670" s="8">
        <v>2.82836</v>
      </c>
      <c r="V670">
        <v>18</v>
      </c>
      <c r="W670" s="8">
        <f t="shared" si="75"/>
        <v>0.5625</v>
      </c>
      <c r="X670" s="8">
        <v>2.7799900000000002</v>
      </c>
      <c r="Y670">
        <v>9</v>
      </c>
      <c r="Z670" s="8">
        <f t="shared" si="76"/>
        <v>0.28125</v>
      </c>
      <c r="AA670" s="8">
        <v>2.8221699999999998</v>
      </c>
    </row>
    <row r="671" spans="1:27" ht="15" customHeight="1" x14ac:dyDescent="0.25">
      <c r="B671" s="32">
        <v>505</v>
      </c>
      <c r="C671" s="1">
        <v>-12363.4537</v>
      </c>
      <c r="D671" s="2">
        <v>-12365.399181999999</v>
      </c>
      <c r="F671" s="3">
        <v>0.99279399999999995</v>
      </c>
      <c r="G671" s="2">
        <v>0.16864999999999999</v>
      </c>
      <c r="H671">
        <v>7</v>
      </c>
      <c r="I671">
        <v>6</v>
      </c>
      <c r="K671" s="8">
        <f t="shared" si="70"/>
        <v>-1.011030769232093</v>
      </c>
      <c r="L671" s="8">
        <f t="shared" si="71"/>
        <v>-7.7771597633237918E-2</v>
      </c>
      <c r="M671" s="8">
        <f t="shared" si="72"/>
        <v>-1.5303901538445643</v>
      </c>
      <c r="N671" s="8">
        <f t="shared" si="73"/>
        <v>-0.11772231952650494</v>
      </c>
      <c r="O671" s="8"/>
      <c r="P671" t="s">
        <v>958</v>
      </c>
      <c r="Q671">
        <v>35</v>
      </c>
      <c r="R671" s="8">
        <v>2.8235000000000001</v>
      </c>
      <c r="S671">
        <v>6</v>
      </c>
      <c r="T671" s="8">
        <f t="shared" si="74"/>
        <v>0.17142857142857143</v>
      </c>
      <c r="U671" s="8">
        <v>2.8520400000000001</v>
      </c>
      <c r="V671">
        <v>21</v>
      </c>
      <c r="W671" s="8">
        <f t="shared" si="75"/>
        <v>0.6</v>
      </c>
      <c r="X671" s="8">
        <v>2.8060700000000001</v>
      </c>
      <c r="Y671">
        <v>8</v>
      </c>
      <c r="Z671" s="8">
        <f t="shared" si="76"/>
        <v>0.22857142857142856</v>
      </c>
      <c r="AA671" s="8">
        <v>2.8478500000000002</v>
      </c>
    </row>
    <row r="672" spans="1:27" ht="15" customHeight="1" x14ac:dyDescent="0.25">
      <c r="B672">
        <v>665</v>
      </c>
      <c r="C672" s="1">
        <v>-12363.540228</v>
      </c>
      <c r="D672" s="2">
        <v>-12365.39675</v>
      </c>
      <c r="F672" s="3">
        <v>0.99653099999999994</v>
      </c>
      <c r="G672" s="2">
        <v>0.197659999999999</v>
      </c>
      <c r="H672">
        <v>7</v>
      </c>
      <c r="I672">
        <v>6</v>
      </c>
      <c r="K672" s="8">
        <f t="shared" si="70"/>
        <v>-1.0975587692319095</v>
      </c>
      <c r="L672" s="8">
        <f t="shared" si="71"/>
        <v>-8.4427597633223814E-2</v>
      </c>
      <c r="M672" s="8">
        <f t="shared" si="72"/>
        <v>-1.5279581538452476</v>
      </c>
      <c r="N672" s="8">
        <f t="shared" si="73"/>
        <v>-0.11753524260348058</v>
      </c>
      <c r="O672" s="8"/>
      <c r="P672" t="s">
        <v>959</v>
      </c>
      <c r="Q672">
        <v>35</v>
      </c>
      <c r="R672" s="8">
        <v>2.8324400000000001</v>
      </c>
      <c r="S672">
        <v>6</v>
      </c>
      <c r="T672" s="8">
        <f t="shared" si="74"/>
        <v>0.17142857142857143</v>
      </c>
      <c r="U672" s="8">
        <v>2.82287</v>
      </c>
      <c r="V672">
        <v>18</v>
      </c>
      <c r="W672" s="8">
        <f t="shared" si="75"/>
        <v>0.51428571428571423</v>
      </c>
      <c r="X672" s="8">
        <v>2.8025799999999998</v>
      </c>
      <c r="Y672">
        <v>11</v>
      </c>
      <c r="Z672" s="8">
        <f t="shared" si="76"/>
        <v>0.31428571428571428</v>
      </c>
      <c r="AA672" s="8">
        <v>2.88652</v>
      </c>
    </row>
    <row r="673" spans="2:27" ht="15" customHeight="1" x14ac:dyDescent="0.25">
      <c r="B673" s="32">
        <v>676</v>
      </c>
      <c r="C673" s="1">
        <v>-12363.811299999999</v>
      </c>
      <c r="D673" s="2">
        <v>-12365.376548</v>
      </c>
      <c r="F673" s="3">
        <v>0.99670499999999995</v>
      </c>
      <c r="G673" s="2">
        <v>0.19217999999999999</v>
      </c>
      <c r="H673">
        <v>7</v>
      </c>
      <c r="I673">
        <v>6</v>
      </c>
      <c r="K673" s="8">
        <f t="shared" si="70"/>
        <v>-1.3686307692314585</v>
      </c>
      <c r="L673" s="8">
        <f t="shared" si="71"/>
        <v>-0.10527928994088143</v>
      </c>
      <c r="M673" s="8">
        <f t="shared" si="72"/>
        <v>-1.5077561538455484</v>
      </c>
      <c r="N673" s="8">
        <f t="shared" si="73"/>
        <v>-0.11598124260350372</v>
      </c>
      <c r="O673" s="8"/>
      <c r="P673" t="s">
        <v>960</v>
      </c>
      <c r="Q673">
        <v>34</v>
      </c>
      <c r="R673" s="8">
        <v>2.8205399999999998</v>
      </c>
      <c r="S673">
        <v>4</v>
      </c>
      <c r="T673" s="8">
        <f t="shared" si="74"/>
        <v>0.11764705882352941</v>
      </c>
      <c r="U673" s="8">
        <v>2.8072599999999999</v>
      </c>
      <c r="V673">
        <v>21</v>
      </c>
      <c r="W673" s="8">
        <f t="shared" si="75"/>
        <v>0.61764705882352944</v>
      </c>
      <c r="X673" s="8">
        <v>2.8011300000000001</v>
      </c>
      <c r="Y673">
        <v>9</v>
      </c>
      <c r="Z673" s="8">
        <f t="shared" si="76"/>
        <v>0.26470588235294118</v>
      </c>
      <c r="AA673" s="8">
        <v>2.8717199999999998</v>
      </c>
    </row>
    <row r="674" spans="2:27" ht="15" customHeight="1" x14ac:dyDescent="0.25">
      <c r="B674">
        <v>689</v>
      </c>
      <c r="C674" s="1">
        <v>-12363.548757</v>
      </c>
      <c r="D674" s="2">
        <v>-12365.343634999999</v>
      </c>
      <c r="F674" s="3">
        <v>0.99395299999999998</v>
      </c>
      <c r="G674" s="2">
        <v>0.17398</v>
      </c>
      <c r="H674">
        <v>7</v>
      </c>
      <c r="I674">
        <v>6</v>
      </c>
      <c r="K674" s="8">
        <f t="shared" si="70"/>
        <v>-1.1060877692325448</v>
      </c>
      <c r="L674" s="8">
        <f t="shared" si="71"/>
        <v>-8.5083674556349603E-2</v>
      </c>
      <c r="M674" s="8">
        <f t="shared" si="72"/>
        <v>-1.4748431538446312</v>
      </c>
      <c r="N674" s="8">
        <f t="shared" si="73"/>
        <v>-0.11344947337266394</v>
      </c>
      <c r="O674" s="8"/>
      <c r="P674" t="s">
        <v>961</v>
      </c>
      <c r="Q674">
        <v>34</v>
      </c>
      <c r="R674" s="8">
        <v>2.8224999999999998</v>
      </c>
      <c r="S674">
        <v>6</v>
      </c>
      <c r="T674" s="8">
        <f t="shared" si="74"/>
        <v>0.17647058823529413</v>
      </c>
      <c r="U674" s="8">
        <v>2.8635600000000001</v>
      </c>
      <c r="V674">
        <v>19</v>
      </c>
      <c r="W674" s="8">
        <f t="shared" si="75"/>
        <v>0.55882352941176472</v>
      </c>
      <c r="X674" s="8">
        <v>2.8001800000000001</v>
      </c>
      <c r="Y674">
        <v>9</v>
      </c>
      <c r="Z674" s="8">
        <f t="shared" si="76"/>
        <v>0.26470588235294118</v>
      </c>
      <c r="AA674" s="8">
        <v>2.8422399999999999</v>
      </c>
    </row>
    <row r="675" spans="2:27" ht="15" customHeight="1" x14ac:dyDescent="0.25">
      <c r="B675" s="32">
        <v>403</v>
      </c>
      <c r="C675" s="1">
        <v>-12363.367399999999</v>
      </c>
      <c r="D675" s="2">
        <v>-12365.323673000001</v>
      </c>
      <c r="F675" s="3">
        <v>0.99692199999999997</v>
      </c>
      <c r="G675" s="2">
        <v>0.19424</v>
      </c>
      <c r="H675">
        <v>7</v>
      </c>
      <c r="I675">
        <v>6</v>
      </c>
      <c r="K675" s="8">
        <f t="shared" si="70"/>
        <v>-0.92473076923124609</v>
      </c>
      <c r="L675" s="8">
        <f t="shared" si="71"/>
        <v>-7.1133136094711238E-2</v>
      </c>
      <c r="M675" s="8">
        <f t="shared" si="72"/>
        <v>-1.454881153846145</v>
      </c>
      <c r="N675" s="8">
        <f t="shared" si="73"/>
        <v>-0.11191393491124192</v>
      </c>
      <c r="O675" s="8"/>
      <c r="P675" t="s">
        <v>962</v>
      </c>
      <c r="Q675">
        <v>35</v>
      </c>
      <c r="R675" s="8">
        <v>2.8255300000000001</v>
      </c>
      <c r="S675">
        <v>6</v>
      </c>
      <c r="T675" s="8">
        <f t="shared" si="74"/>
        <v>0.17142857142857143</v>
      </c>
      <c r="U675" s="8">
        <v>2.85663</v>
      </c>
      <c r="V675">
        <v>21</v>
      </c>
      <c r="W675" s="8">
        <f t="shared" si="75"/>
        <v>0.6</v>
      </c>
      <c r="X675" s="8">
        <v>2.8196300000000001</v>
      </c>
      <c r="Y675">
        <v>8</v>
      </c>
      <c r="Z675" s="8">
        <f t="shared" si="76"/>
        <v>0.22857142857142856</v>
      </c>
      <c r="AA675" s="8">
        <v>2.81772</v>
      </c>
    </row>
    <row r="676" spans="2:27" ht="15" customHeight="1" x14ac:dyDescent="0.25">
      <c r="B676" s="32">
        <v>433</v>
      </c>
      <c r="C676" s="1">
        <v>-12363.429599999999</v>
      </c>
      <c r="D676" s="2">
        <v>-12365.309256</v>
      </c>
      <c r="F676" s="3">
        <v>0.99527699999999997</v>
      </c>
      <c r="G676" s="2">
        <v>0.18107000000000001</v>
      </c>
      <c r="H676">
        <v>7</v>
      </c>
      <c r="I676">
        <v>6</v>
      </c>
      <c r="K676" s="8">
        <f t="shared" si="70"/>
        <v>-0.98693076923154877</v>
      </c>
      <c r="L676" s="8">
        <f t="shared" si="71"/>
        <v>-7.5917751479349899E-2</v>
      </c>
      <c r="M676" s="8">
        <f t="shared" si="72"/>
        <v>-1.4404641538458236</v>
      </c>
      <c r="N676" s="8">
        <f t="shared" si="73"/>
        <v>-0.11080493491121721</v>
      </c>
      <c r="O676" s="8"/>
      <c r="P676" t="s">
        <v>963</v>
      </c>
      <c r="Q676">
        <v>36</v>
      </c>
      <c r="R676" s="8">
        <v>2.8365300000000002</v>
      </c>
      <c r="S676">
        <v>5</v>
      </c>
      <c r="T676" s="8">
        <f t="shared" si="74"/>
        <v>0.1388888888888889</v>
      </c>
      <c r="U676" s="8">
        <v>2.8861699999999999</v>
      </c>
      <c r="V676">
        <v>24</v>
      </c>
      <c r="W676" s="8">
        <f t="shared" si="75"/>
        <v>0.66666666666666663</v>
      </c>
      <c r="X676" s="8">
        <v>2.8298899999999998</v>
      </c>
      <c r="Y676">
        <v>7</v>
      </c>
      <c r="Z676" s="8">
        <f t="shared" si="76"/>
        <v>0.19444444444444445</v>
      </c>
      <c r="AA676" s="8">
        <v>2.8238599999999998</v>
      </c>
    </row>
    <row r="677" spans="2:27" ht="15" customHeight="1" x14ac:dyDescent="0.25">
      <c r="B677">
        <v>647</v>
      </c>
      <c r="C677" s="1">
        <v>-12363.57819</v>
      </c>
      <c r="D677" s="2">
        <v>-12365.305477</v>
      </c>
      <c r="F677" s="3">
        <v>0.99780500000000005</v>
      </c>
      <c r="G677" s="2">
        <v>0.20424</v>
      </c>
      <c r="H677">
        <v>7</v>
      </c>
      <c r="I677">
        <v>6</v>
      </c>
      <c r="K677" s="8">
        <f t="shared" si="70"/>
        <v>-1.1355207692322438</v>
      </c>
      <c r="L677" s="8">
        <f t="shared" si="71"/>
        <v>-8.7347751479403365E-2</v>
      </c>
      <c r="M677" s="8">
        <f t="shared" si="72"/>
        <v>-1.4366851538452465</v>
      </c>
      <c r="N677" s="8">
        <f t="shared" si="73"/>
        <v>-0.1105142426034805</v>
      </c>
      <c r="O677" s="8"/>
      <c r="P677" t="s">
        <v>964</v>
      </c>
      <c r="Q677">
        <v>34</v>
      </c>
      <c r="R677" s="8">
        <v>2.8189000000000002</v>
      </c>
      <c r="S677">
        <v>5</v>
      </c>
      <c r="T677" s="8">
        <f t="shared" si="74"/>
        <v>0.14705882352941177</v>
      </c>
      <c r="U677" s="8">
        <v>2.8583599999999998</v>
      </c>
      <c r="V677">
        <v>20</v>
      </c>
      <c r="W677" s="8">
        <f t="shared" si="75"/>
        <v>0.58823529411764708</v>
      </c>
      <c r="X677" s="8">
        <v>2.7884199999999999</v>
      </c>
      <c r="Y677">
        <v>9</v>
      </c>
      <c r="Z677" s="8">
        <f t="shared" si="76"/>
        <v>0.26470588235294118</v>
      </c>
      <c r="AA677" s="8">
        <v>2.8647200000000002</v>
      </c>
    </row>
    <row r="678" spans="2:27" ht="15" customHeight="1" x14ac:dyDescent="0.25">
      <c r="B678">
        <v>671</v>
      </c>
      <c r="C678" s="1">
        <v>-12363.76252</v>
      </c>
      <c r="D678" s="2">
        <v>-12365.303662</v>
      </c>
      <c r="F678" s="3">
        <v>0.99219599999999997</v>
      </c>
      <c r="G678" s="2">
        <v>0.16707999999999901</v>
      </c>
      <c r="H678">
        <v>7</v>
      </c>
      <c r="I678">
        <v>6</v>
      </c>
      <c r="K678" s="8">
        <f t="shared" si="70"/>
        <v>-1.3198507692322892</v>
      </c>
      <c r="L678" s="8">
        <f t="shared" si="71"/>
        <v>-0.10152698224863763</v>
      </c>
      <c r="M678" s="8">
        <f t="shared" si="72"/>
        <v>-1.4348701538456226</v>
      </c>
      <c r="N678" s="8">
        <f t="shared" si="73"/>
        <v>-0.11037462721889404</v>
      </c>
      <c r="O678" s="8"/>
      <c r="P678" t="s">
        <v>965</v>
      </c>
      <c r="Q678">
        <v>34</v>
      </c>
      <c r="R678" s="8">
        <v>2.8187899999999999</v>
      </c>
      <c r="S678">
        <v>4</v>
      </c>
      <c r="T678" s="8">
        <f t="shared" si="74"/>
        <v>0.11764705882352941</v>
      </c>
      <c r="U678" s="8">
        <v>2.82118</v>
      </c>
      <c r="V678">
        <v>22</v>
      </c>
      <c r="W678" s="8">
        <f t="shared" si="75"/>
        <v>0.6470588235294118</v>
      </c>
      <c r="X678" s="8">
        <v>2.7837800000000001</v>
      </c>
      <c r="Y678">
        <v>8</v>
      </c>
      <c r="Z678" s="8">
        <f t="shared" si="76"/>
        <v>0.23529411764705882</v>
      </c>
      <c r="AA678" s="8">
        <v>2.9138500000000001</v>
      </c>
    </row>
    <row r="679" spans="2:27" ht="15" customHeight="1" x14ac:dyDescent="0.25">
      <c r="B679" s="32">
        <v>471</v>
      </c>
      <c r="C679" s="1">
        <v>-12363.4594</v>
      </c>
      <c r="D679" s="2">
        <v>-12365.299053999999</v>
      </c>
      <c r="F679" s="3">
        <v>0.99109199999999997</v>
      </c>
      <c r="G679" s="2">
        <v>0.162239999999999</v>
      </c>
      <c r="H679">
        <v>7</v>
      </c>
      <c r="I679">
        <v>6</v>
      </c>
      <c r="K679" s="8">
        <f t="shared" si="70"/>
        <v>-1.0167307692317991</v>
      </c>
      <c r="L679" s="8">
        <f t="shared" si="71"/>
        <v>-7.8210059171676852E-2</v>
      </c>
      <c r="M679" s="8">
        <f t="shared" si="72"/>
        <v>-1.4302621538445237</v>
      </c>
      <c r="N679" s="8">
        <f t="shared" si="73"/>
        <v>-0.11002016568034798</v>
      </c>
      <c r="O679" s="8"/>
      <c r="P679" t="s">
        <v>966</v>
      </c>
      <c r="Q679">
        <v>35</v>
      </c>
      <c r="R679" s="8">
        <v>2.8273000000000001</v>
      </c>
      <c r="S679">
        <v>7</v>
      </c>
      <c r="T679" s="8">
        <f t="shared" si="74"/>
        <v>0.2</v>
      </c>
      <c r="U679" s="8">
        <v>2.88307</v>
      </c>
      <c r="V679">
        <v>19</v>
      </c>
      <c r="W679" s="8">
        <f t="shared" si="75"/>
        <v>0.54285714285714282</v>
      </c>
      <c r="X679" s="8">
        <v>2.7980800000000001</v>
      </c>
      <c r="Y679">
        <v>9</v>
      </c>
      <c r="Z679" s="8">
        <f t="shared" si="76"/>
        <v>0.25714285714285712</v>
      </c>
      <c r="AA679" s="8">
        <v>2.8456000000000001</v>
      </c>
    </row>
    <row r="680" spans="2:27" ht="15" customHeight="1" x14ac:dyDescent="0.25">
      <c r="B680">
        <v>745</v>
      </c>
      <c r="C680" s="1">
        <v>-12363.563657999999</v>
      </c>
      <c r="D680" s="2">
        <v>-12365.298655000001</v>
      </c>
      <c r="F680" s="3">
        <v>0.99664399999999997</v>
      </c>
      <c r="G680" s="2">
        <v>0.185219999999999</v>
      </c>
      <c r="H680">
        <v>7</v>
      </c>
      <c r="I680">
        <v>6</v>
      </c>
      <c r="K680" s="8">
        <f t="shared" si="70"/>
        <v>-1.1209887692311895</v>
      </c>
      <c r="L680" s="8">
        <f t="shared" si="71"/>
        <v>-8.6229905325476114E-2</v>
      </c>
      <c r="M680" s="8">
        <f t="shared" si="72"/>
        <v>-1.4298631538458721</v>
      </c>
      <c r="N680" s="8">
        <f t="shared" si="73"/>
        <v>-0.1099894733727594</v>
      </c>
      <c r="O680" s="8"/>
      <c r="P680" t="s">
        <v>967</v>
      </c>
      <c r="Q680">
        <v>34</v>
      </c>
      <c r="R680" s="8">
        <v>2.8170199999999999</v>
      </c>
      <c r="S680">
        <v>6</v>
      </c>
      <c r="T680" s="8">
        <f t="shared" si="74"/>
        <v>0.17647058823529413</v>
      </c>
      <c r="U680" s="8">
        <v>2.7995100000000002</v>
      </c>
      <c r="V680">
        <v>17</v>
      </c>
      <c r="W680" s="8">
        <f t="shared" si="75"/>
        <v>0.5</v>
      </c>
      <c r="X680" s="8">
        <v>2.80443</v>
      </c>
      <c r="Y680">
        <v>11</v>
      </c>
      <c r="Z680" s="8">
        <f t="shared" si="76"/>
        <v>0.3235294117647059</v>
      </c>
      <c r="AA680" s="8">
        <v>2.8460000000000001</v>
      </c>
    </row>
    <row r="681" spans="2:27" ht="15" customHeight="1" x14ac:dyDescent="0.25">
      <c r="B681" s="32">
        <v>326</v>
      </c>
      <c r="C681" s="1">
        <v>-12363.372100000001</v>
      </c>
      <c r="D681" s="2">
        <v>-12365.298378</v>
      </c>
      <c r="F681" s="3">
        <v>0.99907999999999997</v>
      </c>
      <c r="G681" s="2">
        <v>0.23043</v>
      </c>
      <c r="H681">
        <v>7</v>
      </c>
      <c r="I681">
        <v>6</v>
      </c>
      <c r="K681" s="8">
        <f t="shared" si="70"/>
        <v>-0.9294307692325674</v>
      </c>
      <c r="L681" s="8">
        <f t="shared" si="71"/>
        <v>-7.1494674556351334E-2</v>
      </c>
      <c r="M681" s="8">
        <f t="shared" si="72"/>
        <v>-1.4295861538448662</v>
      </c>
      <c r="N681" s="8">
        <f t="shared" si="73"/>
        <v>-0.10996816568037432</v>
      </c>
      <c r="O681" s="8"/>
      <c r="P681" t="s">
        <v>968</v>
      </c>
      <c r="Q681">
        <v>36</v>
      </c>
      <c r="R681" s="8">
        <v>2.8328199999999999</v>
      </c>
      <c r="S681">
        <v>5</v>
      </c>
      <c r="T681" s="8">
        <f t="shared" si="74"/>
        <v>0.1388888888888889</v>
      </c>
      <c r="U681" s="8">
        <v>2.8178200000000002</v>
      </c>
      <c r="V681">
        <v>23</v>
      </c>
      <c r="W681" s="8">
        <f t="shared" si="75"/>
        <v>0.63888888888888884</v>
      </c>
      <c r="X681" s="8">
        <v>2.84605</v>
      </c>
      <c r="Y681">
        <v>8</v>
      </c>
      <c r="Z681" s="8">
        <f t="shared" si="76"/>
        <v>0.22222222222222221</v>
      </c>
      <c r="AA681" s="8">
        <v>2.8041700000000001</v>
      </c>
    </row>
    <row r="682" spans="2:27" ht="15" customHeight="1" x14ac:dyDescent="0.25">
      <c r="B682">
        <v>744</v>
      </c>
      <c r="C682" s="1">
        <v>-12363.625308000001</v>
      </c>
      <c r="D682" s="2">
        <v>-12365.297903999999</v>
      </c>
      <c r="F682" s="3">
        <v>0.99681500000000001</v>
      </c>
      <c r="G682" s="2">
        <v>0.18747999999999901</v>
      </c>
      <c r="H682">
        <v>7</v>
      </c>
      <c r="I682">
        <v>6</v>
      </c>
      <c r="K682" s="8">
        <f t="shared" si="70"/>
        <v>-1.1826387692326534</v>
      </c>
      <c r="L682" s="8">
        <f t="shared" si="71"/>
        <v>-9.0972213017896417E-2</v>
      </c>
      <c r="M682" s="8">
        <f t="shared" si="72"/>
        <v>-1.4291121538444713</v>
      </c>
      <c r="N682" s="8">
        <f t="shared" si="73"/>
        <v>-0.10993170414188241</v>
      </c>
      <c r="O682" s="8"/>
      <c r="P682" t="s">
        <v>969</v>
      </c>
      <c r="Q682">
        <v>34</v>
      </c>
      <c r="R682" s="8">
        <v>2.8235199999999998</v>
      </c>
      <c r="S682">
        <v>6</v>
      </c>
      <c r="T682" s="8">
        <f t="shared" si="74"/>
        <v>0.17647058823529413</v>
      </c>
      <c r="U682" s="8">
        <v>2.7799800000000001</v>
      </c>
      <c r="V682">
        <v>18</v>
      </c>
      <c r="W682" s="8">
        <f t="shared" si="75"/>
        <v>0.52941176470588236</v>
      </c>
      <c r="X682" s="8">
        <v>2.8397100000000002</v>
      </c>
      <c r="Y682">
        <v>10</v>
      </c>
      <c r="Z682" s="8">
        <f t="shared" si="76"/>
        <v>0.29411764705882354</v>
      </c>
      <c r="AA682" s="8">
        <v>2.8205</v>
      </c>
    </row>
    <row r="683" spans="2:27" ht="15" customHeight="1" x14ac:dyDescent="0.25">
      <c r="B683">
        <v>747</v>
      </c>
      <c r="C683" s="1">
        <v>-12363.563147999999</v>
      </c>
      <c r="D683" s="2">
        <v>-12365.293258</v>
      </c>
      <c r="F683" s="3">
        <v>0.99737399999999998</v>
      </c>
      <c r="G683" s="2">
        <v>0.19544</v>
      </c>
      <c r="H683">
        <v>7</v>
      </c>
      <c r="I683">
        <v>6</v>
      </c>
      <c r="K683" s="8">
        <f t="shared" si="70"/>
        <v>-1.1204787692313403</v>
      </c>
      <c r="L683" s="8">
        <f t="shared" si="71"/>
        <v>-8.6190674556256938E-2</v>
      </c>
      <c r="M683" s="8">
        <f t="shared" si="72"/>
        <v>-1.42446615384506</v>
      </c>
      <c r="N683" s="8">
        <f t="shared" si="73"/>
        <v>-0.10957431952654308</v>
      </c>
      <c r="O683" s="8"/>
      <c r="P683" t="s">
        <v>970</v>
      </c>
      <c r="Q683">
        <v>34</v>
      </c>
      <c r="R683" s="8">
        <v>2.8202799999999999</v>
      </c>
      <c r="S683">
        <v>5</v>
      </c>
      <c r="T683" s="8">
        <f t="shared" si="74"/>
        <v>0.14705882352941177</v>
      </c>
      <c r="U683" s="8">
        <v>2.8179699999999999</v>
      </c>
      <c r="V683">
        <v>21</v>
      </c>
      <c r="W683" s="8">
        <f t="shared" si="75"/>
        <v>0.61764705882352944</v>
      </c>
      <c r="X683" s="8">
        <v>2.81223</v>
      </c>
      <c r="Y683">
        <v>8</v>
      </c>
      <c r="Z683" s="8">
        <f t="shared" si="76"/>
        <v>0.23529411764705882</v>
      </c>
      <c r="AA683" s="8">
        <v>2.8428499999999999</v>
      </c>
    </row>
    <row r="684" spans="2:27" ht="15" customHeight="1" x14ac:dyDescent="0.25">
      <c r="B684">
        <v>651</v>
      </c>
      <c r="C684" s="1">
        <v>-12363.693776</v>
      </c>
      <c r="D684" s="2">
        <v>-12365.286725</v>
      </c>
      <c r="F684" s="3">
        <v>0.99804800000000005</v>
      </c>
      <c r="G684" s="2">
        <v>0.20615999999999901</v>
      </c>
      <c r="H684">
        <v>7</v>
      </c>
      <c r="I684">
        <v>6</v>
      </c>
      <c r="K684" s="8">
        <f t="shared" si="70"/>
        <v>-1.2511067692321376</v>
      </c>
      <c r="L684" s="8">
        <f t="shared" si="71"/>
        <v>-9.6238982248625968E-2</v>
      </c>
      <c r="M684" s="8">
        <f t="shared" si="72"/>
        <v>-1.4179331538452971</v>
      </c>
      <c r="N684" s="8">
        <f t="shared" si="73"/>
        <v>-0.10907178106502285</v>
      </c>
      <c r="O684" s="8"/>
      <c r="P684" t="s">
        <v>971</v>
      </c>
      <c r="Q684">
        <v>35</v>
      </c>
      <c r="R684" s="8">
        <v>2.8318599999999998</v>
      </c>
      <c r="S684">
        <v>5</v>
      </c>
      <c r="T684" s="8">
        <f t="shared" si="74"/>
        <v>0.14285714285714285</v>
      </c>
      <c r="U684" s="8">
        <v>2.79637</v>
      </c>
      <c r="V684">
        <v>21</v>
      </c>
      <c r="W684" s="8">
        <f t="shared" si="75"/>
        <v>0.6</v>
      </c>
      <c r="X684" s="8">
        <v>2.8330099999999998</v>
      </c>
      <c r="Y684">
        <v>9</v>
      </c>
      <c r="Z684" s="8">
        <f t="shared" si="76"/>
        <v>0.25714285714285712</v>
      </c>
      <c r="AA684" s="8">
        <v>2.8488899999999999</v>
      </c>
    </row>
    <row r="685" spans="2:27" ht="15" customHeight="1" x14ac:dyDescent="0.25">
      <c r="B685">
        <v>562</v>
      </c>
      <c r="C685" s="1">
        <v>-12363.747744</v>
      </c>
      <c r="D685" s="2">
        <v>-12365.286474</v>
      </c>
      <c r="F685" s="3">
        <v>0.99692199999999997</v>
      </c>
      <c r="G685" s="2">
        <v>0.19297999999999901</v>
      </c>
      <c r="H685">
        <v>7</v>
      </c>
      <c r="I685">
        <v>6</v>
      </c>
      <c r="K685" s="8">
        <f t="shared" si="70"/>
        <v>-1.3050747692323057</v>
      </c>
      <c r="L685" s="8">
        <f t="shared" si="71"/>
        <v>-0.10039036686402351</v>
      </c>
      <c r="M685" s="8">
        <f t="shared" si="72"/>
        <v>-1.4176821538458171</v>
      </c>
      <c r="N685" s="8">
        <f t="shared" si="73"/>
        <v>-0.10905247337275516</v>
      </c>
      <c r="O685" s="8"/>
      <c r="P685" t="s">
        <v>972</v>
      </c>
      <c r="Q685">
        <v>34</v>
      </c>
      <c r="R685" s="8">
        <v>2.8195600000000001</v>
      </c>
      <c r="S685">
        <v>5</v>
      </c>
      <c r="T685" s="8">
        <f t="shared" si="74"/>
        <v>0.14705882352941177</v>
      </c>
      <c r="U685" s="8">
        <v>2.8666499999999999</v>
      </c>
      <c r="V685">
        <v>21</v>
      </c>
      <c r="W685" s="8">
        <f t="shared" si="75"/>
        <v>0.61764705882352944</v>
      </c>
      <c r="X685" s="8">
        <v>2.7895699999999999</v>
      </c>
      <c r="Y685">
        <v>8</v>
      </c>
      <c r="Z685" s="8">
        <f t="shared" si="76"/>
        <v>0.23529411764705882</v>
      </c>
      <c r="AA685" s="8">
        <v>2.8688600000000002</v>
      </c>
    </row>
    <row r="686" spans="2:27" ht="15" customHeight="1" x14ac:dyDescent="0.25">
      <c r="B686" s="32">
        <v>491</v>
      </c>
      <c r="C686" s="1">
        <v>-12363.4049</v>
      </c>
      <c r="D686" s="2">
        <v>-12365.285535999999</v>
      </c>
      <c r="F686" s="3">
        <v>0.996888</v>
      </c>
      <c r="G686" s="2">
        <v>0.19389999999999999</v>
      </c>
      <c r="H686">
        <v>7</v>
      </c>
      <c r="I686">
        <v>6</v>
      </c>
      <c r="K686" s="8">
        <f t="shared" si="70"/>
        <v>-0.96223076923160988</v>
      </c>
      <c r="L686" s="8">
        <f t="shared" si="71"/>
        <v>-7.4017751479354604E-2</v>
      </c>
      <c r="M686" s="8">
        <f t="shared" si="72"/>
        <v>-1.4167441538447747</v>
      </c>
      <c r="N686" s="8">
        <f t="shared" si="73"/>
        <v>-0.10898031952652112</v>
      </c>
      <c r="O686" s="8"/>
      <c r="P686" t="s">
        <v>973</v>
      </c>
      <c r="Q686">
        <v>35</v>
      </c>
      <c r="R686" s="8">
        <v>2.8268</v>
      </c>
      <c r="S686">
        <v>6</v>
      </c>
      <c r="T686" s="8">
        <f t="shared" si="74"/>
        <v>0.17142857142857143</v>
      </c>
      <c r="U686" s="8">
        <v>2.8630200000000001</v>
      </c>
      <c r="V686">
        <v>21</v>
      </c>
      <c r="W686" s="8">
        <f t="shared" si="75"/>
        <v>0.6</v>
      </c>
      <c r="X686" s="8">
        <v>2.81114</v>
      </c>
      <c r="Y686">
        <v>8</v>
      </c>
      <c r="Z686" s="8">
        <f t="shared" si="76"/>
        <v>0.22857142857142856</v>
      </c>
      <c r="AA686" s="8">
        <v>2.8407399999999998</v>
      </c>
    </row>
    <row r="687" spans="2:27" ht="15" customHeight="1" x14ac:dyDescent="0.25">
      <c r="B687" s="32">
        <v>501</v>
      </c>
      <c r="C687" s="1">
        <v>-12363.3495</v>
      </c>
      <c r="D687" s="2">
        <v>-12365.285400000001</v>
      </c>
      <c r="F687" s="3">
        <v>0.99634299999999998</v>
      </c>
      <c r="G687" s="2">
        <v>0.18906000000000001</v>
      </c>
      <c r="H687">
        <v>7</v>
      </c>
      <c r="I687">
        <v>6</v>
      </c>
      <c r="K687" s="8">
        <f t="shared" si="70"/>
        <v>-0.90683076923232875</v>
      </c>
      <c r="L687" s="8">
        <f t="shared" si="71"/>
        <v>-6.9756213017871438E-2</v>
      </c>
      <c r="M687" s="8">
        <f t="shared" si="72"/>
        <v>-1.4166081538460276</v>
      </c>
      <c r="N687" s="8">
        <f t="shared" si="73"/>
        <v>-0.10896985798815596</v>
      </c>
      <c r="O687" s="8"/>
      <c r="P687" t="s">
        <v>974</v>
      </c>
      <c r="Q687">
        <v>36</v>
      </c>
      <c r="R687" s="8">
        <v>2.8356400000000002</v>
      </c>
      <c r="S687">
        <v>7</v>
      </c>
      <c r="T687" s="8">
        <f t="shared" si="74"/>
        <v>0.19444444444444445</v>
      </c>
      <c r="U687" s="8">
        <v>2.8738999999999999</v>
      </c>
      <c r="V687">
        <v>21</v>
      </c>
      <c r="W687" s="8">
        <f t="shared" si="75"/>
        <v>0.58333333333333337</v>
      </c>
      <c r="X687" s="8">
        <v>2.8180200000000002</v>
      </c>
      <c r="Y687">
        <v>8</v>
      </c>
      <c r="Z687" s="8">
        <f t="shared" si="76"/>
        <v>0.22222222222222221</v>
      </c>
      <c r="AA687" s="8">
        <v>2.8484099999999999</v>
      </c>
    </row>
    <row r="688" spans="2:27" ht="15" customHeight="1" x14ac:dyDescent="0.25">
      <c r="B688" s="32">
        <v>431</v>
      </c>
      <c r="C688" s="1">
        <v>-12363.247600000001</v>
      </c>
      <c r="D688" s="2">
        <v>-12365.2844</v>
      </c>
      <c r="F688" s="3">
        <v>0.99472000000000005</v>
      </c>
      <c r="G688" s="2">
        <v>0.17802999999999899</v>
      </c>
      <c r="H688">
        <v>7</v>
      </c>
      <c r="I688">
        <v>6</v>
      </c>
      <c r="K688" s="8">
        <f t="shared" si="70"/>
        <v>-0.80493076923266926</v>
      </c>
      <c r="L688" s="8">
        <f t="shared" si="71"/>
        <v>-6.1917751479436095E-2</v>
      </c>
      <c r="M688" s="8">
        <f t="shared" si="72"/>
        <v>-1.4156081538458238</v>
      </c>
      <c r="N688" s="8">
        <f t="shared" si="73"/>
        <v>-0.10889293491121722</v>
      </c>
      <c r="O688" s="8"/>
      <c r="P688" t="s">
        <v>975</v>
      </c>
      <c r="Q688">
        <v>36</v>
      </c>
      <c r="R688" s="8">
        <v>2.8382200000000002</v>
      </c>
      <c r="S688">
        <v>7</v>
      </c>
      <c r="T688" s="8">
        <f t="shared" si="74"/>
        <v>0.19444444444444445</v>
      </c>
      <c r="U688" s="8">
        <v>2.9055</v>
      </c>
      <c r="V688">
        <v>22</v>
      </c>
      <c r="W688" s="8">
        <f t="shared" si="75"/>
        <v>0.61111111111111116</v>
      </c>
      <c r="X688" s="8">
        <v>2.8178899999999998</v>
      </c>
      <c r="Y688">
        <v>7</v>
      </c>
      <c r="Z688" s="8">
        <f t="shared" si="76"/>
        <v>0.19444444444444445</v>
      </c>
      <c r="AA688" s="8">
        <v>2.8348300000000002</v>
      </c>
    </row>
    <row r="689" spans="2:27" ht="15" customHeight="1" x14ac:dyDescent="0.25">
      <c r="B689">
        <v>598</v>
      </c>
      <c r="C689" s="1">
        <v>-12363.811057000001</v>
      </c>
      <c r="D689" s="2">
        <v>-12365.282510999999</v>
      </c>
      <c r="F689" s="3">
        <v>0.99372000000000005</v>
      </c>
      <c r="G689" s="2">
        <v>0.17491999999999899</v>
      </c>
      <c r="H689">
        <v>7</v>
      </c>
      <c r="I689">
        <v>6</v>
      </c>
      <c r="K689" s="8">
        <f t="shared" si="70"/>
        <v>-1.3683877692328679</v>
      </c>
      <c r="L689" s="8">
        <f t="shared" si="71"/>
        <v>-0.10526059763329752</v>
      </c>
      <c r="M689" s="8">
        <f t="shared" si="72"/>
        <v>-1.4137191538447951</v>
      </c>
      <c r="N689" s="8">
        <f t="shared" si="73"/>
        <v>-0.10874762721883038</v>
      </c>
      <c r="O689" s="8"/>
      <c r="P689" t="s">
        <v>976</v>
      </c>
      <c r="Q689">
        <v>33</v>
      </c>
      <c r="R689" s="8">
        <v>2.8097500000000002</v>
      </c>
      <c r="S689">
        <v>4</v>
      </c>
      <c r="T689" s="8">
        <f t="shared" si="74"/>
        <v>0.12121212121212122</v>
      </c>
      <c r="U689" s="8">
        <v>2.8096299999999998</v>
      </c>
      <c r="V689">
        <v>22</v>
      </c>
      <c r="W689" s="8">
        <f t="shared" si="75"/>
        <v>0.66666666666666663</v>
      </c>
      <c r="X689" s="8">
        <v>2.7893599999999998</v>
      </c>
      <c r="Y689">
        <v>7</v>
      </c>
      <c r="Z689" s="8">
        <f t="shared" si="76"/>
        <v>0.21212121212121213</v>
      </c>
      <c r="AA689" s="8">
        <v>2.87391</v>
      </c>
    </row>
    <row r="690" spans="2:27" ht="15" customHeight="1" x14ac:dyDescent="0.25">
      <c r="B690">
        <v>668</v>
      </c>
      <c r="C690" s="1">
        <v>-12363.736982</v>
      </c>
      <c r="D690" s="2">
        <v>-12365.274836000001</v>
      </c>
      <c r="F690" s="3">
        <v>0.993035</v>
      </c>
      <c r="G690" s="2">
        <v>0.16894999999999899</v>
      </c>
      <c r="H690">
        <v>7</v>
      </c>
      <c r="I690">
        <v>6</v>
      </c>
      <c r="K690" s="8">
        <f t="shared" si="70"/>
        <v>-1.2943127692324197</v>
      </c>
      <c r="L690" s="8">
        <f t="shared" si="71"/>
        <v>-9.9562520710186134E-2</v>
      </c>
      <c r="M690" s="8">
        <f t="shared" si="72"/>
        <v>-1.406044153845869</v>
      </c>
      <c r="N690" s="8">
        <f t="shared" si="73"/>
        <v>-0.10815724260352838</v>
      </c>
      <c r="O690" s="8"/>
      <c r="P690" t="s">
        <v>977</v>
      </c>
      <c r="Q690">
        <v>34</v>
      </c>
      <c r="R690" s="8">
        <v>2.8167499999999999</v>
      </c>
      <c r="S690">
        <v>5</v>
      </c>
      <c r="T690" s="8">
        <f t="shared" si="74"/>
        <v>0.14705882352941177</v>
      </c>
      <c r="U690" s="8">
        <v>2.8236699999999999</v>
      </c>
      <c r="V690">
        <v>21</v>
      </c>
      <c r="W690" s="8">
        <f t="shared" si="75"/>
        <v>0.61764705882352944</v>
      </c>
      <c r="X690" s="8">
        <v>2.8071999999999999</v>
      </c>
      <c r="Y690">
        <v>8</v>
      </c>
      <c r="Z690" s="8">
        <f t="shared" si="76"/>
        <v>0.23529411764705882</v>
      </c>
      <c r="AA690" s="8">
        <v>2.8374799999999998</v>
      </c>
    </row>
    <row r="691" spans="2:27" ht="15" customHeight="1" x14ac:dyDescent="0.25">
      <c r="B691">
        <v>600</v>
      </c>
      <c r="C691" s="1">
        <v>-12363.791794999999</v>
      </c>
      <c r="D691" s="2">
        <v>-12365.273805000001</v>
      </c>
      <c r="F691" s="3">
        <v>0.99751299999999998</v>
      </c>
      <c r="G691" s="2">
        <v>0.20075999999999899</v>
      </c>
      <c r="H691">
        <v>7</v>
      </c>
      <c r="I691">
        <v>6</v>
      </c>
      <c r="K691" s="8">
        <f t="shared" si="70"/>
        <v>-1.3491257692312502</v>
      </c>
      <c r="L691" s="8">
        <f t="shared" si="71"/>
        <v>-0.10377890532548079</v>
      </c>
      <c r="M691" s="8">
        <f t="shared" si="72"/>
        <v>-1.4050131538460846</v>
      </c>
      <c r="N691" s="8">
        <f t="shared" si="73"/>
        <v>-0.10807793491123728</v>
      </c>
      <c r="O691" s="8"/>
      <c r="P691" t="s">
        <v>978</v>
      </c>
      <c r="Q691">
        <v>34</v>
      </c>
      <c r="R691" s="8">
        <v>2.8199800000000002</v>
      </c>
      <c r="S691">
        <v>5</v>
      </c>
      <c r="T691" s="8">
        <f t="shared" si="74"/>
        <v>0.14705882352941177</v>
      </c>
      <c r="U691" s="8">
        <v>2.8095699999999999</v>
      </c>
      <c r="V691">
        <v>20</v>
      </c>
      <c r="W691" s="8">
        <f t="shared" si="75"/>
        <v>0.58823529411764708</v>
      </c>
      <c r="X691" s="8">
        <v>2.7963200000000001</v>
      </c>
      <c r="Y691">
        <v>9</v>
      </c>
      <c r="Z691" s="8">
        <f t="shared" si="76"/>
        <v>0.26470588235294118</v>
      </c>
      <c r="AA691" s="8">
        <v>2.8783300000000001</v>
      </c>
    </row>
    <row r="692" spans="2:27" ht="15" customHeight="1" x14ac:dyDescent="0.25">
      <c r="B692">
        <v>643</v>
      </c>
      <c r="C692" s="1">
        <v>-12363.539803</v>
      </c>
      <c r="D692" s="2">
        <v>-12365.270270999999</v>
      </c>
      <c r="F692" s="3">
        <v>0.99606600000000001</v>
      </c>
      <c r="G692" s="2">
        <v>0.18181</v>
      </c>
      <c r="H692">
        <v>7</v>
      </c>
      <c r="I692">
        <v>6</v>
      </c>
      <c r="K692" s="8">
        <f t="shared" si="70"/>
        <v>-1.097133769231732</v>
      </c>
      <c r="L692" s="8">
        <f t="shared" si="71"/>
        <v>-8.4394905325517841E-2</v>
      </c>
      <c r="M692" s="8">
        <f t="shared" si="72"/>
        <v>-1.4014791538447753</v>
      </c>
      <c r="N692" s="8">
        <f t="shared" si="73"/>
        <v>-0.10780608875729041</v>
      </c>
      <c r="O692" s="8"/>
      <c r="P692" t="s">
        <v>979</v>
      </c>
      <c r="Q692">
        <v>34</v>
      </c>
      <c r="R692" s="8">
        <v>2.8215300000000001</v>
      </c>
      <c r="S692">
        <v>5</v>
      </c>
      <c r="T692" s="8">
        <f t="shared" si="74"/>
        <v>0.14705882352941177</v>
      </c>
      <c r="U692" s="8">
        <v>2.8865599999999998</v>
      </c>
      <c r="V692">
        <v>22</v>
      </c>
      <c r="W692" s="8">
        <f t="shared" si="75"/>
        <v>0.6470588235294118</v>
      </c>
      <c r="X692" s="8">
        <v>2.7979099999999999</v>
      </c>
      <c r="Y692">
        <v>7</v>
      </c>
      <c r="Z692" s="8">
        <f t="shared" si="76"/>
        <v>0.20588235294117646</v>
      </c>
      <c r="AA692" s="8">
        <v>2.8493200000000001</v>
      </c>
    </row>
    <row r="693" spans="2:27" ht="15" customHeight="1" x14ac:dyDescent="0.25">
      <c r="B693" s="32">
        <v>400</v>
      </c>
      <c r="C693" s="1">
        <v>-12363.220600000001</v>
      </c>
      <c r="D693" s="2">
        <v>-12365.264687000001</v>
      </c>
      <c r="F693" s="3">
        <v>0.998228</v>
      </c>
      <c r="G693" s="2">
        <v>0.210869999999999</v>
      </c>
      <c r="H693">
        <v>7</v>
      </c>
      <c r="I693">
        <v>6</v>
      </c>
      <c r="K693" s="8">
        <f t="shared" si="70"/>
        <v>-0.77793076923262561</v>
      </c>
      <c r="L693" s="8">
        <f t="shared" si="71"/>
        <v>-5.9840828402509663E-2</v>
      </c>
      <c r="M693" s="8">
        <f t="shared" si="72"/>
        <v>-1.3958951538461406</v>
      </c>
      <c r="N693" s="8">
        <f t="shared" si="73"/>
        <v>-0.10737655029585697</v>
      </c>
      <c r="O693" s="8"/>
      <c r="P693" t="s">
        <v>980</v>
      </c>
      <c r="Q693">
        <v>34</v>
      </c>
      <c r="R693" s="8">
        <v>2.8208500000000001</v>
      </c>
      <c r="S693">
        <v>7</v>
      </c>
      <c r="T693" s="8">
        <f t="shared" si="74"/>
        <v>0.20588235294117646</v>
      </c>
      <c r="U693" s="8">
        <v>2.8861500000000002</v>
      </c>
      <c r="V693">
        <v>19</v>
      </c>
      <c r="W693" s="8">
        <f t="shared" si="75"/>
        <v>0.55882352941176472</v>
      </c>
      <c r="X693" s="8">
        <v>2.798</v>
      </c>
      <c r="Y693">
        <v>8</v>
      </c>
      <c r="Z693" s="8">
        <f t="shared" si="76"/>
        <v>0.23529411764705882</v>
      </c>
      <c r="AA693" s="8">
        <v>2.8179699999999999</v>
      </c>
    </row>
    <row r="694" spans="2:27" ht="15" customHeight="1" x14ac:dyDescent="0.25">
      <c r="B694" s="6">
        <v>674</v>
      </c>
      <c r="C694" s="33">
        <v>-12363.863969</v>
      </c>
      <c r="D694" s="23">
        <v>-12365.244441000001</v>
      </c>
      <c r="E694" s="7"/>
      <c r="F694" s="34">
        <v>0.99712900000000004</v>
      </c>
      <c r="G694" s="23">
        <v>0.19427999999999901</v>
      </c>
      <c r="H694" s="7">
        <v>7</v>
      </c>
      <c r="I694" s="7">
        <v>6</v>
      </c>
      <c r="K694" s="8">
        <f t="shared" si="70"/>
        <v>-1.4212997692320641</v>
      </c>
      <c r="L694" s="8">
        <f t="shared" si="71"/>
        <v>-0.10933075147938955</v>
      </c>
      <c r="M694" s="8">
        <f t="shared" si="72"/>
        <v>-1.3756491538460978</v>
      </c>
      <c r="N694" s="8">
        <f t="shared" si="73"/>
        <v>-0.10581916568046906</v>
      </c>
      <c r="O694" s="8"/>
      <c r="P694" t="s">
        <v>981</v>
      </c>
      <c r="Q694">
        <v>34</v>
      </c>
      <c r="R694" s="8">
        <v>2.8174199999999998</v>
      </c>
      <c r="S694">
        <v>4</v>
      </c>
      <c r="T694" s="8">
        <f t="shared" si="74"/>
        <v>0.11764705882352941</v>
      </c>
      <c r="U694" s="8">
        <v>2.8117100000000002</v>
      </c>
      <c r="V694">
        <v>22</v>
      </c>
      <c r="W694" s="8">
        <f t="shared" si="75"/>
        <v>0.6470588235294118</v>
      </c>
      <c r="X694" s="8">
        <v>2.80837</v>
      </c>
      <c r="Y694">
        <v>8</v>
      </c>
      <c r="Z694" s="8">
        <f t="shared" si="76"/>
        <v>0.23529411764705882</v>
      </c>
      <c r="AA694" s="8">
        <v>2.84517</v>
      </c>
    </row>
    <row r="695" spans="2:27" ht="15" customHeight="1" x14ac:dyDescent="0.25">
      <c r="B695">
        <v>719</v>
      </c>
      <c r="C695" s="1">
        <v>-12363.719476</v>
      </c>
      <c r="D695" s="2">
        <v>-12365.240254</v>
      </c>
      <c r="F695" s="3">
        <v>0.99778800000000001</v>
      </c>
      <c r="G695" s="2">
        <v>0.20719000000000001</v>
      </c>
      <c r="H695">
        <v>7</v>
      </c>
      <c r="I695">
        <v>6</v>
      </c>
      <c r="K695" s="8">
        <f t="shared" si="70"/>
        <v>-1.2768067692322802</v>
      </c>
      <c r="L695" s="8">
        <f t="shared" si="71"/>
        <v>-9.8215905325560016E-2</v>
      </c>
      <c r="M695" s="8">
        <f t="shared" si="72"/>
        <v>-1.3714621538456413</v>
      </c>
      <c r="N695" s="8">
        <f t="shared" si="73"/>
        <v>-0.10549708875735703</v>
      </c>
      <c r="O695" s="8"/>
      <c r="P695" t="s">
        <v>982</v>
      </c>
      <c r="Q695">
        <v>34</v>
      </c>
      <c r="R695" s="8">
        <v>2.8152599999999999</v>
      </c>
      <c r="S695">
        <v>6</v>
      </c>
      <c r="T695" s="8">
        <f t="shared" si="74"/>
        <v>0.17647058823529413</v>
      </c>
      <c r="U695" s="8">
        <v>2.7737500000000002</v>
      </c>
      <c r="V695">
        <v>18</v>
      </c>
      <c r="W695" s="8">
        <f t="shared" si="75"/>
        <v>0.52941176470588236</v>
      </c>
      <c r="X695" s="8">
        <v>2.8220399999999999</v>
      </c>
      <c r="Y695">
        <v>10</v>
      </c>
      <c r="Z695" s="8">
        <f t="shared" si="76"/>
        <v>0.29411764705882354</v>
      </c>
      <c r="AA695" s="8">
        <v>2.82796</v>
      </c>
    </row>
    <row r="696" spans="2:27" ht="15" customHeight="1" x14ac:dyDescent="0.25">
      <c r="B696">
        <v>631</v>
      </c>
      <c r="C696" s="1">
        <v>-12363.750018999999</v>
      </c>
      <c r="D696" s="2">
        <v>-12365.23727</v>
      </c>
      <c r="F696" s="3">
        <v>0.99759799999999998</v>
      </c>
      <c r="G696" s="2">
        <v>0.20311000000000001</v>
      </c>
      <c r="H696">
        <v>7</v>
      </c>
      <c r="I696">
        <v>6</v>
      </c>
      <c r="K696" s="8">
        <f t="shared" si="70"/>
        <v>-1.307349769231223</v>
      </c>
      <c r="L696" s="8">
        <f t="shared" si="71"/>
        <v>-0.10056536686394023</v>
      </c>
      <c r="M696" s="8">
        <f t="shared" si="72"/>
        <v>-1.3684781538449897</v>
      </c>
      <c r="N696" s="8">
        <f t="shared" si="73"/>
        <v>-0.10526755029576844</v>
      </c>
      <c r="O696" s="8"/>
      <c r="P696" t="s">
        <v>983</v>
      </c>
      <c r="Q696">
        <v>34</v>
      </c>
      <c r="R696" s="8">
        <v>2.8200099999999999</v>
      </c>
      <c r="S696">
        <v>6</v>
      </c>
      <c r="T696" s="8">
        <f t="shared" si="74"/>
        <v>0.17647058823529413</v>
      </c>
      <c r="U696" s="8">
        <v>2.8312900000000001</v>
      </c>
      <c r="V696">
        <v>20</v>
      </c>
      <c r="W696" s="8">
        <f t="shared" si="75"/>
        <v>0.58823529411764708</v>
      </c>
      <c r="X696" s="8">
        <v>2.8119700000000001</v>
      </c>
      <c r="Y696">
        <v>8</v>
      </c>
      <c r="Z696" s="8">
        <f t="shared" si="76"/>
        <v>0.23529411764705882</v>
      </c>
      <c r="AA696" s="8">
        <v>2.8316599999999998</v>
      </c>
    </row>
    <row r="697" spans="2:27" ht="15" customHeight="1" x14ac:dyDescent="0.25">
      <c r="B697" s="32">
        <v>489</v>
      </c>
      <c r="C697" s="1">
        <v>-12363.424300000001</v>
      </c>
      <c r="D697" s="2">
        <v>-12365.232499</v>
      </c>
      <c r="F697" s="3">
        <v>0.99617299999999998</v>
      </c>
      <c r="G697" s="2">
        <v>0.18762999999999999</v>
      </c>
      <c r="H697">
        <v>7</v>
      </c>
      <c r="I697">
        <v>6</v>
      </c>
      <c r="K697" s="8">
        <f t="shared" si="70"/>
        <v>-0.9816307692326518</v>
      </c>
      <c r="L697" s="8">
        <f t="shared" si="71"/>
        <v>-7.5510059171742444E-2</v>
      </c>
      <c r="M697" s="8">
        <f t="shared" si="72"/>
        <v>-1.3637071538450982</v>
      </c>
      <c r="N697" s="8">
        <f t="shared" si="73"/>
        <v>-0.10490055029577679</v>
      </c>
      <c r="O697" s="8"/>
      <c r="P697" t="s">
        <v>984</v>
      </c>
      <c r="Q697">
        <v>36</v>
      </c>
      <c r="R697" s="8">
        <v>2.8311000000000002</v>
      </c>
      <c r="S697">
        <v>7</v>
      </c>
      <c r="T697" s="8">
        <f t="shared" si="74"/>
        <v>0.19444444444444445</v>
      </c>
      <c r="U697" s="8">
        <v>2.83541</v>
      </c>
      <c r="V697">
        <v>20</v>
      </c>
      <c r="W697" s="8">
        <f t="shared" si="75"/>
        <v>0.55555555555555558</v>
      </c>
      <c r="X697" s="8">
        <v>2.8292299999999999</v>
      </c>
      <c r="Y697">
        <v>9</v>
      </c>
      <c r="Z697" s="8">
        <f t="shared" si="76"/>
        <v>0.25</v>
      </c>
      <c r="AA697" s="8">
        <v>2.8319000000000001</v>
      </c>
    </row>
    <row r="698" spans="2:27" ht="15" customHeight="1" x14ac:dyDescent="0.25">
      <c r="B698">
        <v>718</v>
      </c>
      <c r="C698" s="1">
        <v>-12363.785411999999</v>
      </c>
      <c r="D698" s="2">
        <v>-12365.229713999999</v>
      </c>
      <c r="F698" s="3">
        <v>0.99501499999999998</v>
      </c>
      <c r="G698" s="2">
        <v>0.18093000000000001</v>
      </c>
      <c r="H698">
        <v>7</v>
      </c>
      <c r="I698">
        <v>6</v>
      </c>
      <c r="K698" s="8">
        <f t="shared" si="70"/>
        <v>-1.3427427692313358</v>
      </c>
      <c r="L698" s="8">
        <f t="shared" si="71"/>
        <v>-0.10328790532548737</v>
      </c>
      <c r="M698" s="8">
        <f t="shared" si="72"/>
        <v>-1.3609221538445126</v>
      </c>
      <c r="N698" s="8">
        <f t="shared" si="73"/>
        <v>-0.10468631952650097</v>
      </c>
      <c r="O698" s="8"/>
      <c r="P698" t="s">
        <v>985</v>
      </c>
      <c r="Q698">
        <v>34</v>
      </c>
      <c r="R698" s="8">
        <v>2.81636</v>
      </c>
      <c r="S698">
        <v>5</v>
      </c>
      <c r="T698" s="8">
        <f t="shared" si="74"/>
        <v>0.14705882352941177</v>
      </c>
      <c r="U698" s="8">
        <v>2.7932000000000001</v>
      </c>
      <c r="V698">
        <v>21</v>
      </c>
      <c r="W698" s="8">
        <f t="shared" si="75"/>
        <v>0.61764705882352944</v>
      </c>
      <c r="X698" s="8">
        <v>2.8062900000000002</v>
      </c>
      <c r="Y698">
        <v>8</v>
      </c>
      <c r="Z698" s="8">
        <f t="shared" si="76"/>
        <v>0.23529411764705882</v>
      </c>
      <c r="AA698" s="8">
        <v>2.8572500000000001</v>
      </c>
    </row>
    <row r="699" spans="2:27" ht="15" customHeight="1" x14ac:dyDescent="0.25">
      <c r="B699" s="32">
        <v>538</v>
      </c>
      <c r="C699" s="1">
        <v>-12363.691999999999</v>
      </c>
      <c r="D699" s="2">
        <v>-12365.222465999999</v>
      </c>
      <c r="F699" s="3">
        <v>0.99582300000000001</v>
      </c>
      <c r="G699" s="2">
        <v>0.18509</v>
      </c>
      <c r="H699">
        <v>7</v>
      </c>
      <c r="I699">
        <v>6</v>
      </c>
      <c r="K699" s="8">
        <f t="shared" si="70"/>
        <v>-1.2493307692311646</v>
      </c>
      <c r="L699" s="8">
        <f t="shared" si="71"/>
        <v>-9.6102366863935737E-2</v>
      </c>
      <c r="M699" s="8">
        <f t="shared" si="72"/>
        <v>-1.3536741538446222</v>
      </c>
      <c r="N699" s="8">
        <f t="shared" si="73"/>
        <v>-0.10412878106497093</v>
      </c>
      <c r="O699" s="8"/>
      <c r="P699" t="s">
        <v>986</v>
      </c>
      <c r="Q699">
        <v>34</v>
      </c>
      <c r="R699" s="8">
        <v>2.8194699999999999</v>
      </c>
      <c r="S699">
        <v>5</v>
      </c>
      <c r="T699" s="8">
        <f t="shared" si="74"/>
        <v>0.14705882352941177</v>
      </c>
      <c r="U699" s="8">
        <v>2.7980700000000001</v>
      </c>
      <c r="V699">
        <v>21</v>
      </c>
      <c r="W699" s="8">
        <f t="shared" si="75"/>
        <v>0.61764705882352944</v>
      </c>
      <c r="X699" s="8">
        <v>2.8204500000000001</v>
      </c>
      <c r="Y699">
        <v>8</v>
      </c>
      <c r="Z699" s="8">
        <f t="shared" si="76"/>
        <v>0.23529411764705882</v>
      </c>
      <c r="AA699" s="8">
        <v>2.8302700000000001</v>
      </c>
    </row>
    <row r="700" spans="2:27" ht="15" customHeight="1" x14ac:dyDescent="0.25">
      <c r="B700">
        <v>599</v>
      </c>
      <c r="C700" s="1">
        <v>-12363.722813</v>
      </c>
      <c r="D700" s="2">
        <v>-12365.220136</v>
      </c>
      <c r="F700" s="3">
        <v>0.99722299999999997</v>
      </c>
      <c r="G700" s="2">
        <v>0.196099999999999</v>
      </c>
      <c r="H700">
        <v>7</v>
      </c>
      <c r="I700">
        <v>6</v>
      </c>
      <c r="K700" s="8">
        <f t="shared" si="70"/>
        <v>-1.2801437692323816</v>
      </c>
      <c r="L700" s="8">
        <f t="shared" si="71"/>
        <v>-9.847259763326012E-2</v>
      </c>
      <c r="M700" s="8">
        <f t="shared" si="72"/>
        <v>-1.3513441538452753</v>
      </c>
      <c r="N700" s="8">
        <f t="shared" si="73"/>
        <v>-0.10394955029579041</v>
      </c>
      <c r="O700" s="8"/>
      <c r="P700" t="s">
        <v>987</v>
      </c>
      <c r="Q700">
        <v>33</v>
      </c>
      <c r="R700" s="8">
        <v>2.8100299999999998</v>
      </c>
      <c r="S700">
        <v>5</v>
      </c>
      <c r="T700" s="8">
        <f t="shared" si="74"/>
        <v>0.15151515151515152</v>
      </c>
      <c r="U700" s="8">
        <v>2.81372</v>
      </c>
      <c r="V700">
        <v>20</v>
      </c>
      <c r="W700" s="8">
        <f t="shared" si="75"/>
        <v>0.60606060606060608</v>
      </c>
      <c r="X700" s="8">
        <v>2.7962699999999998</v>
      </c>
      <c r="Y700">
        <v>8</v>
      </c>
      <c r="Z700" s="8">
        <f t="shared" si="76"/>
        <v>0.24242424242424243</v>
      </c>
      <c r="AA700" s="8">
        <v>2.84212</v>
      </c>
    </row>
    <row r="701" spans="2:27" ht="15" customHeight="1" x14ac:dyDescent="0.25">
      <c r="B701" s="32">
        <v>398</v>
      </c>
      <c r="C701" s="1">
        <v>-12363.232</v>
      </c>
      <c r="D701" s="2">
        <v>-12365.21759</v>
      </c>
      <c r="F701" s="3">
        <v>0.99822999999999995</v>
      </c>
      <c r="G701" s="2">
        <v>0.21084</v>
      </c>
      <c r="H701">
        <v>7</v>
      </c>
      <c r="I701">
        <v>6</v>
      </c>
      <c r="K701" s="8">
        <f t="shared" si="70"/>
        <v>-0.78933076923203771</v>
      </c>
      <c r="L701" s="8">
        <f t="shared" si="71"/>
        <v>-6.0717751479387516E-2</v>
      </c>
      <c r="M701" s="8">
        <f t="shared" si="72"/>
        <v>-1.3487981538455642</v>
      </c>
      <c r="N701" s="8">
        <f t="shared" si="73"/>
        <v>-0.10375370414196648</v>
      </c>
      <c r="O701" s="8"/>
      <c r="P701" t="s">
        <v>988</v>
      </c>
      <c r="Q701">
        <v>36</v>
      </c>
      <c r="R701" s="8">
        <v>2.8377500000000002</v>
      </c>
      <c r="S701">
        <v>8</v>
      </c>
      <c r="T701" s="8">
        <f t="shared" si="74"/>
        <v>0.22222222222222221</v>
      </c>
      <c r="U701" s="8">
        <v>2.8985099999999999</v>
      </c>
      <c r="V701">
        <v>20</v>
      </c>
      <c r="W701" s="8">
        <f t="shared" si="75"/>
        <v>0.55555555555555558</v>
      </c>
      <c r="X701" s="8">
        <v>2.8143799999999999</v>
      </c>
      <c r="Y701">
        <v>8</v>
      </c>
      <c r="Z701" s="8">
        <f t="shared" si="76"/>
        <v>0.22222222222222221</v>
      </c>
      <c r="AA701" s="8">
        <v>2.8354300000000001</v>
      </c>
    </row>
    <row r="702" spans="2:27" ht="15" customHeight="1" x14ac:dyDescent="0.25">
      <c r="B702">
        <v>716</v>
      </c>
      <c r="C702" s="1">
        <v>-12363.706579</v>
      </c>
      <c r="D702" s="2">
        <v>-12365.214178</v>
      </c>
      <c r="F702" s="3">
        <v>0.99809199999999998</v>
      </c>
      <c r="G702" s="2">
        <v>0.20468</v>
      </c>
      <c r="H702">
        <v>7</v>
      </c>
      <c r="I702">
        <v>6</v>
      </c>
      <c r="K702" s="8">
        <f t="shared" si="70"/>
        <v>-1.2639097692317591</v>
      </c>
      <c r="L702" s="8">
        <f t="shared" si="71"/>
        <v>-9.7223828402443008E-2</v>
      </c>
      <c r="M702" s="8">
        <f t="shared" si="72"/>
        <v>-1.3453861538455385</v>
      </c>
      <c r="N702" s="8">
        <f t="shared" si="73"/>
        <v>-0.10349124260350297</v>
      </c>
      <c r="O702" s="8"/>
      <c r="P702" t="s">
        <v>989</v>
      </c>
      <c r="Q702">
        <v>35</v>
      </c>
      <c r="R702" s="8">
        <v>2.83073</v>
      </c>
      <c r="S702">
        <v>6</v>
      </c>
      <c r="T702" s="8">
        <f t="shared" si="74"/>
        <v>0.17142857142857143</v>
      </c>
      <c r="U702" s="8">
        <v>2.81013</v>
      </c>
      <c r="V702">
        <v>18</v>
      </c>
      <c r="W702" s="8">
        <f t="shared" si="75"/>
        <v>0.51428571428571423</v>
      </c>
      <c r="X702" s="8">
        <v>2.81277</v>
      </c>
      <c r="Y702">
        <v>11</v>
      </c>
      <c r="Z702" s="8">
        <f t="shared" si="76"/>
        <v>0.31428571428571428</v>
      </c>
      <c r="AA702" s="8">
        <v>2.8713500000000001</v>
      </c>
    </row>
    <row r="703" spans="2:27" ht="15" customHeight="1" x14ac:dyDescent="0.25">
      <c r="B703">
        <v>592</v>
      </c>
      <c r="C703" s="1">
        <v>-12363.692692000001</v>
      </c>
      <c r="D703" s="2">
        <v>-12365.210317999999</v>
      </c>
      <c r="F703" s="3">
        <v>0.99566900000000003</v>
      </c>
      <c r="G703" s="2">
        <v>0.18401999999999899</v>
      </c>
      <c r="H703">
        <v>7</v>
      </c>
      <c r="I703">
        <v>6</v>
      </c>
      <c r="K703" s="8">
        <f t="shared" si="70"/>
        <v>-1.2500227692326007</v>
      </c>
      <c r="L703" s="8">
        <f t="shared" si="71"/>
        <v>-9.6155597633276982E-2</v>
      </c>
      <c r="M703" s="8">
        <f t="shared" si="72"/>
        <v>-1.3415261538448249</v>
      </c>
      <c r="N703" s="8">
        <f t="shared" si="73"/>
        <v>-0.103194319526525</v>
      </c>
      <c r="O703" s="8"/>
      <c r="P703" t="s">
        <v>990</v>
      </c>
      <c r="Q703">
        <v>34</v>
      </c>
      <c r="R703" s="8">
        <v>2.8241700000000001</v>
      </c>
      <c r="S703">
        <v>6</v>
      </c>
      <c r="T703" s="8">
        <f t="shared" si="74"/>
        <v>0.17647058823529413</v>
      </c>
      <c r="U703" s="8">
        <v>2.8955299999999999</v>
      </c>
      <c r="V703">
        <v>23</v>
      </c>
      <c r="W703" s="8">
        <f t="shared" si="75"/>
        <v>0.67647058823529416</v>
      </c>
      <c r="X703" s="8">
        <v>2.81087</v>
      </c>
      <c r="Y703">
        <v>5</v>
      </c>
      <c r="Z703" s="8">
        <f t="shared" si="76"/>
        <v>0.14705882352941177</v>
      </c>
      <c r="AA703" s="8">
        <v>2.7997000000000001</v>
      </c>
    </row>
    <row r="704" spans="2:27" ht="15" customHeight="1" x14ac:dyDescent="0.25">
      <c r="B704" s="32">
        <v>468</v>
      </c>
      <c r="C704" s="1">
        <v>-12363.257799999999</v>
      </c>
      <c r="D704" s="2">
        <v>-12365.205704</v>
      </c>
      <c r="F704" s="3">
        <v>0.99239100000000002</v>
      </c>
      <c r="G704" s="2">
        <v>0.16703999999999999</v>
      </c>
      <c r="H704">
        <v>7</v>
      </c>
      <c r="I704">
        <v>6</v>
      </c>
      <c r="K704" s="8">
        <f t="shared" si="70"/>
        <v>-0.8151307692314731</v>
      </c>
      <c r="L704" s="8">
        <f t="shared" si="71"/>
        <v>-6.2702366863959469E-2</v>
      </c>
      <c r="M704" s="8">
        <f t="shared" si="72"/>
        <v>-1.3369121538453328</v>
      </c>
      <c r="N704" s="8">
        <f t="shared" si="73"/>
        <v>-0.10283939644964099</v>
      </c>
      <c r="O704" s="8"/>
      <c r="P704" t="s">
        <v>991</v>
      </c>
      <c r="Q704">
        <v>35</v>
      </c>
      <c r="R704" s="8">
        <v>2.8256899999999998</v>
      </c>
      <c r="S704">
        <v>8</v>
      </c>
      <c r="T704" s="8">
        <f t="shared" si="74"/>
        <v>0.22857142857142856</v>
      </c>
      <c r="U704" s="8">
        <v>2.84781</v>
      </c>
      <c r="V704">
        <v>17</v>
      </c>
      <c r="W704" s="8">
        <f t="shared" si="75"/>
        <v>0.48571428571428571</v>
      </c>
      <c r="X704" s="8">
        <v>2.81053</v>
      </c>
      <c r="Y704">
        <v>10</v>
      </c>
      <c r="Z704" s="8">
        <f t="shared" si="76"/>
        <v>0.2857142857142857</v>
      </c>
      <c r="AA704" s="8">
        <v>2.83379</v>
      </c>
    </row>
    <row r="705" spans="2:27" ht="15" customHeight="1" x14ac:dyDescent="0.25">
      <c r="B705">
        <v>709</v>
      </c>
      <c r="C705" s="1">
        <v>-12363.725506000001</v>
      </c>
      <c r="D705" s="2">
        <v>-12365.204459</v>
      </c>
      <c r="F705" s="3">
        <v>0.99676699999999996</v>
      </c>
      <c r="G705" s="2">
        <v>0.19546999999999901</v>
      </c>
      <c r="H705">
        <v>7</v>
      </c>
      <c r="I705">
        <v>6</v>
      </c>
      <c r="K705" s="8">
        <f t="shared" si="70"/>
        <v>-1.2828367692327447</v>
      </c>
      <c r="L705" s="8">
        <f t="shared" si="71"/>
        <v>-9.8679751479441899E-2</v>
      </c>
      <c r="M705" s="8">
        <f t="shared" si="72"/>
        <v>-1.3356671538458613</v>
      </c>
      <c r="N705" s="8">
        <f t="shared" si="73"/>
        <v>-0.10274362721891241</v>
      </c>
      <c r="O705" s="8"/>
      <c r="P705" t="s">
        <v>992</v>
      </c>
      <c r="Q705">
        <v>34</v>
      </c>
      <c r="R705" s="8">
        <v>2.82124</v>
      </c>
      <c r="S705">
        <v>5</v>
      </c>
      <c r="T705" s="8">
        <f t="shared" si="74"/>
        <v>0.14705882352941177</v>
      </c>
      <c r="U705" s="8">
        <v>2.83467</v>
      </c>
      <c r="V705">
        <v>22</v>
      </c>
      <c r="W705" s="8">
        <f t="shared" si="75"/>
        <v>0.6470588235294118</v>
      </c>
      <c r="X705" s="8">
        <v>2.8128899999999999</v>
      </c>
      <c r="Y705">
        <v>7</v>
      </c>
      <c r="Z705" s="8">
        <f t="shared" si="76"/>
        <v>0.20588235294117646</v>
      </c>
      <c r="AA705" s="8">
        <v>2.8378899999999998</v>
      </c>
    </row>
    <row r="706" spans="2:27" ht="15" customHeight="1" x14ac:dyDescent="0.25">
      <c r="B706">
        <v>714</v>
      </c>
      <c r="C706" s="1">
        <v>-12363.711929999999</v>
      </c>
      <c r="D706" s="2">
        <v>-12365.194890000001</v>
      </c>
      <c r="F706" s="3">
        <v>0.99497899999999995</v>
      </c>
      <c r="G706" s="2">
        <v>0.18107000000000001</v>
      </c>
      <c r="H706">
        <v>7</v>
      </c>
      <c r="I706">
        <v>6</v>
      </c>
      <c r="K706" s="8">
        <f t="shared" si="70"/>
        <v>-1.2692607692315505</v>
      </c>
      <c r="L706" s="8">
        <f t="shared" si="71"/>
        <v>-9.763544378704235E-2</v>
      </c>
      <c r="M706" s="8">
        <f t="shared" si="72"/>
        <v>-1.3260981538460328</v>
      </c>
      <c r="N706" s="8">
        <f t="shared" si="73"/>
        <v>-0.10200755029584868</v>
      </c>
      <c r="O706" s="8"/>
      <c r="P706" t="s">
        <v>993</v>
      </c>
      <c r="Q706">
        <v>35</v>
      </c>
      <c r="R706" s="8">
        <v>2.8286500000000001</v>
      </c>
      <c r="S706">
        <v>6</v>
      </c>
      <c r="T706" s="8">
        <f t="shared" si="74"/>
        <v>0.17142857142857143</v>
      </c>
      <c r="U706" s="8">
        <v>2.8506900000000002</v>
      </c>
      <c r="V706">
        <v>21</v>
      </c>
      <c r="W706" s="8">
        <f t="shared" si="75"/>
        <v>0.6</v>
      </c>
      <c r="X706" s="8">
        <v>2.8070900000000001</v>
      </c>
      <c r="Y706">
        <v>8</v>
      </c>
      <c r="Z706" s="8">
        <f t="shared" si="76"/>
        <v>0.22857142857142856</v>
      </c>
      <c r="AA706" s="8">
        <v>2.8686799999999999</v>
      </c>
    </row>
    <row r="707" spans="2:27" ht="15" customHeight="1" x14ac:dyDescent="0.25">
      <c r="B707">
        <v>751</v>
      </c>
      <c r="C707" s="1">
        <v>-12363.392574</v>
      </c>
      <c r="D707" s="2">
        <v>-12365.19435</v>
      </c>
      <c r="F707" s="3">
        <v>0.99509899999999996</v>
      </c>
      <c r="G707" s="2">
        <v>0.18187999999999999</v>
      </c>
      <c r="H707">
        <v>7</v>
      </c>
      <c r="I707">
        <v>6</v>
      </c>
      <c r="K707" s="8">
        <f t="shared" ref="K707:K770" si="77">IF(ISNUMBER(C707),C707-(($C$3-$C$2236)/($H$3-$H$2236)*H707+$C$2236),"")</f>
        <v>-0.94990476923157985</v>
      </c>
      <c r="L707" s="8">
        <f t="shared" ref="L707:L770" si="78">IF(ISNUMBER(C707),K707/(H707+I707),"")</f>
        <v>-7.3069597633198452E-2</v>
      </c>
      <c r="M707" s="8">
        <f t="shared" ref="M707:M770" si="79">IF(ISNUMBER(D707),D707-(($D$3-$D$2236)/($H$3-$H$2236)*H707+$D$2236),"")</f>
        <v>-1.3255581538451224</v>
      </c>
      <c r="N707" s="8">
        <f t="shared" ref="N707:N770" si="80">IF(ISNUMBER(D707),M707/(H707+I707),"")</f>
        <v>-0.10196601183424019</v>
      </c>
      <c r="O707" s="8"/>
      <c r="P707" t="s">
        <v>994</v>
      </c>
      <c r="Q707">
        <v>35</v>
      </c>
      <c r="R707" s="8">
        <v>2.82992</v>
      </c>
      <c r="S707">
        <v>8</v>
      </c>
      <c r="T707" s="8">
        <f t="shared" ref="T707:T770" si="81">IF(ISNUMBER(S707),S707/(Q707),"")</f>
        <v>0.22857142857142856</v>
      </c>
      <c r="U707" s="8">
        <v>2.8137699999999999</v>
      </c>
      <c r="V707">
        <v>16</v>
      </c>
      <c r="W707" s="8">
        <f t="shared" ref="W707:W770" si="82">IF(ISNUMBER(V707),V707/($Q707),"")</f>
        <v>0.45714285714285713</v>
      </c>
      <c r="X707" s="8">
        <v>2.8440500000000002</v>
      </c>
      <c r="Y707">
        <v>11</v>
      </c>
      <c r="Z707" s="8">
        <f t="shared" ref="Z707:Z770" si="83">IF(ISNUMBER(Y707),Y707/($Q707),"")</f>
        <v>0.31428571428571428</v>
      </c>
      <c r="AA707" s="8">
        <v>2.82111</v>
      </c>
    </row>
    <row r="708" spans="2:27" ht="15" customHeight="1" x14ac:dyDescent="0.25">
      <c r="B708">
        <v>595</v>
      </c>
      <c r="C708" s="1">
        <v>-12363.758827</v>
      </c>
      <c r="D708" s="2">
        <v>-12365.192891999999</v>
      </c>
      <c r="F708" s="3">
        <v>0.99496399999999996</v>
      </c>
      <c r="G708" s="2">
        <v>0.18043999999999999</v>
      </c>
      <c r="H708">
        <v>7</v>
      </c>
      <c r="I708">
        <v>6</v>
      </c>
      <c r="K708" s="8">
        <f t="shared" si="77"/>
        <v>-1.3161577692317223</v>
      </c>
      <c r="L708" s="8">
        <f t="shared" si="78"/>
        <v>-0.10124290532551711</v>
      </c>
      <c r="M708" s="8">
        <f t="shared" si="79"/>
        <v>-1.3241001538444834</v>
      </c>
      <c r="N708" s="8">
        <f t="shared" si="80"/>
        <v>-0.10185385798803719</v>
      </c>
      <c r="O708" s="8"/>
      <c r="P708" t="s">
        <v>995</v>
      </c>
      <c r="Q708">
        <v>34</v>
      </c>
      <c r="R708" s="8">
        <v>2.81819</v>
      </c>
      <c r="S708">
        <v>5</v>
      </c>
      <c r="T708" s="8">
        <f t="shared" si="81"/>
        <v>0.14705882352941177</v>
      </c>
      <c r="U708" s="8">
        <v>2.8091599999999999</v>
      </c>
      <c r="V708">
        <v>21</v>
      </c>
      <c r="W708" s="8">
        <f t="shared" si="82"/>
        <v>0.61764705882352944</v>
      </c>
      <c r="X708" s="8">
        <v>2.80511</v>
      </c>
      <c r="Y708">
        <v>8</v>
      </c>
      <c r="Z708" s="8">
        <f t="shared" si="83"/>
        <v>0.23529411764705882</v>
      </c>
      <c r="AA708" s="8">
        <v>2.8582000000000001</v>
      </c>
    </row>
    <row r="709" spans="2:27" ht="15" customHeight="1" x14ac:dyDescent="0.25">
      <c r="B709" s="32">
        <v>513</v>
      </c>
      <c r="C709" s="1">
        <v>-12363.7608</v>
      </c>
      <c r="D709" s="2">
        <v>-12365.192126</v>
      </c>
      <c r="F709" s="3">
        <v>0.99602900000000005</v>
      </c>
      <c r="G709" s="2">
        <v>0.18657000000000001</v>
      </c>
      <c r="H709">
        <v>7</v>
      </c>
      <c r="I709">
        <v>6</v>
      </c>
      <c r="K709" s="8">
        <f t="shared" si="77"/>
        <v>-1.3181307692320843</v>
      </c>
      <c r="L709" s="8">
        <f t="shared" si="78"/>
        <v>-0.10139467455631418</v>
      </c>
      <c r="M709" s="8">
        <f t="shared" si="79"/>
        <v>-1.3233341538452805</v>
      </c>
      <c r="N709" s="8">
        <f t="shared" si="80"/>
        <v>-0.10179493491117543</v>
      </c>
      <c r="O709" s="8"/>
      <c r="P709" t="s">
        <v>996</v>
      </c>
      <c r="Q709">
        <v>34</v>
      </c>
      <c r="R709" s="8">
        <v>2.8186399999999998</v>
      </c>
      <c r="S709">
        <v>6</v>
      </c>
      <c r="T709" s="8">
        <f t="shared" si="81"/>
        <v>0.17647058823529413</v>
      </c>
      <c r="U709" s="8">
        <v>2.78233</v>
      </c>
      <c r="V709">
        <v>20</v>
      </c>
      <c r="W709" s="8">
        <f t="shared" si="82"/>
        <v>0.58823529411764708</v>
      </c>
      <c r="X709" s="8">
        <v>2.8237800000000002</v>
      </c>
      <c r="Y709">
        <v>8</v>
      </c>
      <c r="Z709" s="8">
        <f t="shared" si="83"/>
        <v>0.23529411764705882</v>
      </c>
      <c r="AA709" s="8">
        <v>2.8330099999999998</v>
      </c>
    </row>
    <row r="710" spans="2:27" ht="15" customHeight="1" x14ac:dyDescent="0.25">
      <c r="B710" s="32">
        <v>423</v>
      </c>
      <c r="C710" s="1">
        <v>-12363.365299999999</v>
      </c>
      <c r="D710" s="2">
        <v>-12365.191409999999</v>
      </c>
      <c r="F710" s="3">
        <v>0.99801499999999999</v>
      </c>
      <c r="G710" s="2">
        <v>0.18973000000000001</v>
      </c>
      <c r="H710">
        <v>7</v>
      </c>
      <c r="I710">
        <v>6</v>
      </c>
      <c r="K710" s="8">
        <f t="shared" si="77"/>
        <v>-0.92263076923154586</v>
      </c>
      <c r="L710" s="8">
        <f t="shared" si="78"/>
        <v>-7.097159763319584E-2</v>
      </c>
      <c r="M710" s="8">
        <f t="shared" si="79"/>
        <v>-1.3226181538448145</v>
      </c>
      <c r="N710" s="8">
        <f t="shared" si="80"/>
        <v>-0.10173985798806265</v>
      </c>
      <c r="O710" s="8"/>
      <c r="P710" t="s">
        <v>997</v>
      </c>
      <c r="Q710">
        <v>35</v>
      </c>
      <c r="R710" s="8">
        <v>2.8243399999999999</v>
      </c>
      <c r="S710">
        <v>6</v>
      </c>
      <c r="T710" s="8">
        <f t="shared" si="81"/>
        <v>0.17142857142857143</v>
      </c>
      <c r="U710" s="8">
        <v>2.8786499999999999</v>
      </c>
      <c r="V710">
        <v>21</v>
      </c>
      <c r="W710" s="8">
        <f t="shared" si="82"/>
        <v>0.6</v>
      </c>
      <c r="X710" s="8">
        <v>2.8027099999999998</v>
      </c>
      <c r="Y710">
        <v>8</v>
      </c>
      <c r="Z710" s="8">
        <f t="shared" si="83"/>
        <v>0.22857142857142856</v>
      </c>
      <c r="AA710" s="8">
        <v>2.8403700000000001</v>
      </c>
    </row>
    <row r="711" spans="2:27" ht="15" customHeight="1" x14ac:dyDescent="0.25">
      <c r="B711">
        <v>691</v>
      </c>
      <c r="C711" s="1">
        <v>-12363.527168000001</v>
      </c>
      <c r="D711" s="2">
        <v>-12365.189183</v>
      </c>
      <c r="F711" s="3">
        <v>0.99785400000000002</v>
      </c>
      <c r="G711" s="2">
        <v>0.19947999999999899</v>
      </c>
      <c r="H711">
        <v>7</v>
      </c>
      <c r="I711">
        <v>6</v>
      </c>
      <c r="K711" s="8">
        <f t="shared" si="77"/>
        <v>-1.0844987692325958</v>
      </c>
      <c r="L711" s="8">
        <f t="shared" si="78"/>
        <v>-8.3422982248661209E-2</v>
      </c>
      <c r="M711" s="8">
        <f t="shared" si="79"/>
        <v>-1.320391153845776</v>
      </c>
      <c r="N711" s="8">
        <f t="shared" si="80"/>
        <v>-0.10156855029582892</v>
      </c>
      <c r="O711" s="8"/>
      <c r="P711" t="s">
        <v>998</v>
      </c>
      <c r="Q711">
        <v>33</v>
      </c>
      <c r="R711" s="8">
        <v>2.8125</v>
      </c>
      <c r="S711">
        <v>5</v>
      </c>
      <c r="T711" s="8">
        <f t="shared" si="81"/>
        <v>0.15151515151515152</v>
      </c>
      <c r="U711" s="8">
        <v>2.7874500000000002</v>
      </c>
      <c r="V711">
        <v>19</v>
      </c>
      <c r="W711" s="8">
        <f t="shared" si="82"/>
        <v>0.5757575757575758</v>
      </c>
      <c r="X711" s="8">
        <v>2.81366</v>
      </c>
      <c r="Y711">
        <v>9</v>
      </c>
      <c r="Z711" s="8">
        <f t="shared" si="83"/>
        <v>0.27272727272727271</v>
      </c>
      <c r="AA711" s="8">
        <v>2.82396</v>
      </c>
    </row>
    <row r="712" spans="2:27" ht="15" customHeight="1" x14ac:dyDescent="0.25">
      <c r="B712" s="32">
        <v>427</v>
      </c>
      <c r="C712" s="1">
        <v>-12363.3267</v>
      </c>
      <c r="D712" s="2">
        <v>-12365.186442</v>
      </c>
      <c r="F712" s="3">
        <v>0.99405600000000005</v>
      </c>
      <c r="G712" s="2">
        <v>0.17443999999999901</v>
      </c>
      <c r="H712">
        <v>7</v>
      </c>
      <c r="I712">
        <v>6</v>
      </c>
      <c r="K712" s="8">
        <f t="shared" si="77"/>
        <v>-0.88403076923168555</v>
      </c>
      <c r="L712" s="8">
        <f t="shared" si="78"/>
        <v>-6.8002366863975816E-2</v>
      </c>
      <c r="M712" s="8">
        <f t="shared" si="79"/>
        <v>-1.3176501538455341</v>
      </c>
      <c r="N712" s="8">
        <f t="shared" si="80"/>
        <v>-0.10135770414196416</v>
      </c>
      <c r="O712" s="8"/>
      <c r="P712" t="s">
        <v>999</v>
      </c>
      <c r="Q712">
        <v>35</v>
      </c>
      <c r="R712" s="8">
        <v>2.82545</v>
      </c>
      <c r="S712">
        <v>6</v>
      </c>
      <c r="T712" s="8">
        <f t="shared" si="81"/>
        <v>0.17142857142857143</v>
      </c>
      <c r="U712" s="8">
        <v>2.8486899999999999</v>
      </c>
      <c r="V712">
        <v>22</v>
      </c>
      <c r="W712" s="8">
        <f t="shared" si="82"/>
        <v>0.62857142857142856</v>
      </c>
      <c r="X712" s="8">
        <v>2.8152300000000001</v>
      </c>
      <c r="Y712">
        <v>7</v>
      </c>
      <c r="Z712" s="8">
        <f t="shared" si="83"/>
        <v>0.2</v>
      </c>
      <c r="AA712" s="8">
        <v>2.8376199999999998</v>
      </c>
    </row>
    <row r="713" spans="2:27" ht="15" customHeight="1" x14ac:dyDescent="0.25">
      <c r="B713">
        <v>697</v>
      </c>
      <c r="C713" s="1">
        <v>-12363.731389</v>
      </c>
      <c r="D713" s="2">
        <v>-12365.186105000001</v>
      </c>
      <c r="F713" s="3">
        <v>0.99873999999999996</v>
      </c>
      <c r="G713" s="2">
        <v>0.21798999999999899</v>
      </c>
      <c r="H713">
        <v>7</v>
      </c>
      <c r="I713">
        <v>6</v>
      </c>
      <c r="K713" s="8">
        <f t="shared" si="77"/>
        <v>-1.2887197692325572</v>
      </c>
      <c r="L713" s="8">
        <f t="shared" si="78"/>
        <v>-9.9132289940965929E-2</v>
      </c>
      <c r="M713" s="8">
        <f t="shared" si="79"/>
        <v>-1.3173131538460439</v>
      </c>
      <c r="N713" s="8">
        <f t="shared" si="80"/>
        <v>-0.1013317810650803</v>
      </c>
      <c r="O713" s="8"/>
      <c r="P713" t="s">
        <v>1000</v>
      </c>
      <c r="Q713">
        <v>32</v>
      </c>
      <c r="R713" s="8">
        <v>2.7951800000000002</v>
      </c>
      <c r="S713">
        <v>4</v>
      </c>
      <c r="T713" s="8">
        <f t="shared" si="81"/>
        <v>0.125</v>
      </c>
      <c r="U713" s="8">
        <v>2.8005100000000001</v>
      </c>
      <c r="V713">
        <v>22</v>
      </c>
      <c r="W713" s="8">
        <f t="shared" si="82"/>
        <v>0.6875</v>
      </c>
      <c r="X713" s="8">
        <v>2.79779</v>
      </c>
      <c r="Y713">
        <v>6</v>
      </c>
      <c r="Z713" s="8">
        <f t="shared" si="83"/>
        <v>0.1875</v>
      </c>
      <c r="AA713" s="8">
        <v>2.78207</v>
      </c>
    </row>
    <row r="714" spans="2:27" ht="15" customHeight="1" x14ac:dyDescent="0.25">
      <c r="B714">
        <v>720</v>
      </c>
      <c r="C714" s="1">
        <v>-12363.816918</v>
      </c>
      <c r="D714" s="2">
        <v>-12365.184305000001</v>
      </c>
      <c r="F714" s="3">
        <v>0.99784399999999995</v>
      </c>
      <c r="G714" s="2">
        <v>0.19539999999999999</v>
      </c>
      <c r="H714">
        <v>7</v>
      </c>
      <c r="I714">
        <v>6</v>
      </c>
      <c r="K714" s="8">
        <f t="shared" si="77"/>
        <v>-1.3742487692325085</v>
      </c>
      <c r="L714" s="8">
        <f t="shared" si="78"/>
        <v>-0.10571144378711604</v>
      </c>
      <c r="M714" s="8">
        <f t="shared" si="79"/>
        <v>-1.315513153846041</v>
      </c>
      <c r="N714" s="8">
        <f t="shared" si="80"/>
        <v>-0.10119331952661853</v>
      </c>
      <c r="O714" s="8"/>
      <c r="P714" t="s">
        <v>1001</v>
      </c>
      <c r="Q714">
        <v>34</v>
      </c>
      <c r="R714" s="8">
        <v>2.8174999999999999</v>
      </c>
      <c r="S714">
        <v>5</v>
      </c>
      <c r="T714" s="8">
        <f t="shared" si="81"/>
        <v>0.14705882352941177</v>
      </c>
      <c r="U714" s="8">
        <v>2.77806</v>
      </c>
      <c r="V714">
        <v>20</v>
      </c>
      <c r="W714" s="8">
        <f t="shared" si="82"/>
        <v>0.58823529411764708</v>
      </c>
      <c r="X714" s="8">
        <v>2.8113100000000002</v>
      </c>
      <c r="Y714">
        <v>9</v>
      </c>
      <c r="Z714" s="8">
        <f t="shared" si="83"/>
        <v>0.26470588235294118</v>
      </c>
      <c r="AA714" s="8">
        <v>2.8531599999999999</v>
      </c>
    </row>
    <row r="715" spans="2:27" ht="15" customHeight="1" x14ac:dyDescent="0.25">
      <c r="B715">
        <v>593</v>
      </c>
      <c r="C715" s="1">
        <v>-12363.685498999999</v>
      </c>
      <c r="D715" s="2">
        <v>-12365.183918999999</v>
      </c>
      <c r="F715" s="3">
        <v>0.99656100000000003</v>
      </c>
      <c r="G715" s="2">
        <v>0.19572000000000001</v>
      </c>
      <c r="H715">
        <v>7</v>
      </c>
      <c r="I715">
        <v>6</v>
      </c>
      <c r="K715" s="8">
        <f t="shared" si="77"/>
        <v>-1.2428297692313208</v>
      </c>
      <c r="L715" s="8">
        <f t="shared" si="78"/>
        <v>-9.5602289940870833E-2</v>
      </c>
      <c r="M715" s="8">
        <f t="shared" si="79"/>
        <v>-1.3151271538445144</v>
      </c>
      <c r="N715" s="8">
        <f t="shared" si="80"/>
        <v>-0.1011636272188088</v>
      </c>
      <c r="O715" s="8"/>
      <c r="P715" t="s">
        <v>1002</v>
      </c>
      <c r="Q715">
        <v>34</v>
      </c>
      <c r="R715" s="8">
        <v>2.81778</v>
      </c>
      <c r="S715">
        <v>6</v>
      </c>
      <c r="T715" s="8">
        <f t="shared" si="81"/>
        <v>0.17647058823529413</v>
      </c>
      <c r="U715" s="8">
        <v>2.8546399999999998</v>
      </c>
      <c r="V715">
        <v>21</v>
      </c>
      <c r="W715" s="8">
        <f t="shared" si="82"/>
        <v>0.61764705882352944</v>
      </c>
      <c r="X715" s="8">
        <v>2.78959</v>
      </c>
      <c r="Y715">
        <v>7</v>
      </c>
      <c r="Z715" s="8">
        <f t="shared" si="83"/>
        <v>0.20588235294117646</v>
      </c>
      <c r="AA715" s="8">
        <v>2.8707500000000001</v>
      </c>
    </row>
    <row r="716" spans="2:27" ht="15" customHeight="1" x14ac:dyDescent="0.25">
      <c r="B716">
        <v>752</v>
      </c>
      <c r="C716" s="1">
        <v>-12363.408561</v>
      </c>
      <c r="D716" s="2">
        <v>-12365.182038000001</v>
      </c>
      <c r="F716" s="3">
        <v>0.99647600000000003</v>
      </c>
      <c r="G716" s="2">
        <v>0.19606000000000001</v>
      </c>
      <c r="H716">
        <v>7</v>
      </c>
      <c r="I716">
        <v>6</v>
      </c>
      <c r="K716" s="8">
        <f t="shared" si="77"/>
        <v>-0.9658917692322575</v>
      </c>
      <c r="L716" s="8">
        <f t="shared" si="78"/>
        <v>-7.4299366864019806E-2</v>
      </c>
      <c r="M716" s="8">
        <f t="shared" si="79"/>
        <v>-1.3132461538461939</v>
      </c>
      <c r="N716" s="8">
        <f t="shared" si="80"/>
        <v>-0.10101893491124568</v>
      </c>
      <c r="O716" s="8"/>
      <c r="P716" t="s">
        <v>1003</v>
      </c>
      <c r="Q716">
        <v>34</v>
      </c>
      <c r="R716" s="8">
        <v>2.8162400000000001</v>
      </c>
      <c r="S716">
        <v>8</v>
      </c>
      <c r="T716" s="8">
        <f t="shared" si="81"/>
        <v>0.23529411764705882</v>
      </c>
      <c r="U716" s="8">
        <v>2.8100200000000002</v>
      </c>
      <c r="V716">
        <v>15</v>
      </c>
      <c r="W716" s="8">
        <f t="shared" si="82"/>
        <v>0.44117647058823528</v>
      </c>
      <c r="X716" s="8">
        <v>2.8130899999999999</v>
      </c>
      <c r="Y716">
        <v>11</v>
      </c>
      <c r="Z716" s="8">
        <f t="shared" si="83"/>
        <v>0.3235294117647059</v>
      </c>
      <c r="AA716" s="8">
        <v>2.8250500000000001</v>
      </c>
    </row>
    <row r="717" spans="2:27" ht="15" customHeight="1" x14ac:dyDescent="0.25">
      <c r="B717">
        <v>641</v>
      </c>
      <c r="C717" s="1">
        <v>-12363.611509</v>
      </c>
      <c r="D717" s="2">
        <v>-12365.178484</v>
      </c>
      <c r="F717" s="3">
        <v>0.99735099999999999</v>
      </c>
      <c r="G717" s="2">
        <v>0.205929999999999</v>
      </c>
      <c r="H717">
        <v>7</v>
      </c>
      <c r="I717">
        <v>6</v>
      </c>
      <c r="K717" s="8">
        <f t="shared" si="77"/>
        <v>-1.1688397692323633</v>
      </c>
      <c r="L717" s="8">
        <f t="shared" si="78"/>
        <v>-8.9910751479412562E-2</v>
      </c>
      <c r="M717" s="8">
        <f t="shared" si="79"/>
        <v>-1.3096921538453898</v>
      </c>
      <c r="N717" s="8">
        <f t="shared" si="80"/>
        <v>-0.10074555029579922</v>
      </c>
      <c r="O717" s="8"/>
      <c r="P717" t="s">
        <v>1004</v>
      </c>
      <c r="Q717">
        <v>34</v>
      </c>
      <c r="R717" s="8">
        <v>2.81976</v>
      </c>
      <c r="S717">
        <v>6</v>
      </c>
      <c r="T717" s="8">
        <f t="shared" si="81"/>
        <v>0.17647058823529413</v>
      </c>
      <c r="U717" s="8">
        <v>2.8288000000000002</v>
      </c>
      <c r="V717">
        <v>18</v>
      </c>
      <c r="W717" s="8">
        <f t="shared" si="82"/>
        <v>0.52941176470588236</v>
      </c>
      <c r="X717" s="8">
        <v>2.80775</v>
      </c>
      <c r="Y717">
        <v>10</v>
      </c>
      <c r="Z717" s="8">
        <f t="shared" si="83"/>
        <v>0.29411764705882354</v>
      </c>
      <c r="AA717" s="8">
        <v>2.8359700000000001</v>
      </c>
    </row>
    <row r="718" spans="2:27" ht="15" customHeight="1" x14ac:dyDescent="0.25">
      <c r="B718">
        <v>736</v>
      </c>
      <c r="C718" s="1">
        <v>-12363.647097999999</v>
      </c>
      <c r="D718" s="2">
        <v>-12365.174255</v>
      </c>
      <c r="F718" s="3">
        <v>0.99294300000000002</v>
      </c>
      <c r="G718" s="2">
        <v>0.17288999999999999</v>
      </c>
      <c r="H718">
        <v>7</v>
      </c>
      <c r="I718">
        <v>6</v>
      </c>
      <c r="K718" s="8">
        <f t="shared" si="77"/>
        <v>-1.2044287692315265</v>
      </c>
      <c r="L718" s="8">
        <f t="shared" si="78"/>
        <v>-9.2648366863963577E-2</v>
      </c>
      <c r="M718" s="8">
        <f t="shared" si="79"/>
        <v>-1.3054631538452668</v>
      </c>
      <c r="N718" s="8">
        <f t="shared" si="80"/>
        <v>-0.10042024260348206</v>
      </c>
      <c r="O718" s="8"/>
      <c r="P718" t="s">
        <v>1005</v>
      </c>
      <c r="Q718">
        <v>34</v>
      </c>
      <c r="R718" s="8">
        <v>2.8129200000000001</v>
      </c>
      <c r="S718">
        <v>6</v>
      </c>
      <c r="T718" s="8">
        <f t="shared" si="81"/>
        <v>0.17647058823529413</v>
      </c>
      <c r="U718" s="8">
        <v>2.7995999999999999</v>
      </c>
      <c r="V718">
        <v>18</v>
      </c>
      <c r="W718" s="8">
        <f t="shared" si="82"/>
        <v>0.52941176470588236</v>
      </c>
      <c r="X718" s="8">
        <v>2.80125</v>
      </c>
      <c r="Y718">
        <v>10</v>
      </c>
      <c r="Z718" s="8">
        <f t="shared" si="83"/>
        <v>0.29411764705882354</v>
      </c>
      <c r="AA718" s="8">
        <v>2.8419099999999999</v>
      </c>
    </row>
    <row r="719" spans="2:27" ht="15" customHeight="1" x14ac:dyDescent="0.25">
      <c r="B719">
        <v>601</v>
      </c>
      <c r="C719" s="1">
        <v>-12363.819418999999</v>
      </c>
      <c r="D719" s="2">
        <v>-12365.173075999999</v>
      </c>
      <c r="F719" s="3">
        <v>0.99865800000000005</v>
      </c>
      <c r="G719" s="2">
        <v>0.21287</v>
      </c>
      <c r="H719">
        <v>7</v>
      </c>
      <c r="I719">
        <v>6</v>
      </c>
      <c r="K719" s="8">
        <f t="shared" si="77"/>
        <v>-1.3767497692315374</v>
      </c>
      <c r="L719" s="8">
        <f t="shared" si="78"/>
        <v>-0.10590382840242595</v>
      </c>
      <c r="M719" s="8">
        <f t="shared" si="79"/>
        <v>-1.3042841538444918</v>
      </c>
      <c r="N719" s="8">
        <f t="shared" si="80"/>
        <v>-0.10032955029573014</v>
      </c>
      <c r="O719" s="8"/>
      <c r="P719" t="s">
        <v>1006</v>
      </c>
      <c r="Q719">
        <v>34</v>
      </c>
      <c r="R719" s="8">
        <v>2.8155700000000001</v>
      </c>
      <c r="S719">
        <v>5</v>
      </c>
      <c r="T719" s="8">
        <f t="shared" si="81"/>
        <v>0.14705882352941177</v>
      </c>
      <c r="U719" s="8">
        <v>2.7971900000000001</v>
      </c>
      <c r="V719">
        <v>18</v>
      </c>
      <c r="W719" s="8">
        <f t="shared" si="82"/>
        <v>0.52941176470588236</v>
      </c>
      <c r="X719" s="8">
        <v>2.79603</v>
      </c>
      <c r="Y719">
        <v>11</v>
      </c>
      <c r="Z719" s="8">
        <f t="shared" si="83"/>
        <v>0.3235294117647059</v>
      </c>
      <c r="AA719" s="8">
        <v>2.8559199999999998</v>
      </c>
    </row>
    <row r="720" spans="2:27" ht="15" customHeight="1" x14ac:dyDescent="0.25">
      <c r="B720" s="32">
        <v>500</v>
      </c>
      <c r="C720" s="1">
        <v>-12363.2243</v>
      </c>
      <c r="D720" s="2">
        <v>-12365.171037</v>
      </c>
      <c r="F720" s="3">
        <v>0.99659399999999998</v>
      </c>
      <c r="G720" s="2">
        <v>0.191219999999999</v>
      </c>
      <c r="H720">
        <v>7</v>
      </c>
      <c r="I720">
        <v>6</v>
      </c>
      <c r="K720" s="8">
        <f t="shared" si="77"/>
        <v>-0.78163076923192421</v>
      </c>
      <c r="L720" s="8">
        <f t="shared" si="78"/>
        <v>-6.0125443787071089E-2</v>
      </c>
      <c r="M720" s="8">
        <f t="shared" si="79"/>
        <v>-1.3022451538454334</v>
      </c>
      <c r="N720" s="8">
        <f t="shared" si="80"/>
        <v>-0.10017270414195642</v>
      </c>
      <c r="O720" s="8"/>
      <c r="P720" t="s">
        <v>1007</v>
      </c>
      <c r="Q720">
        <v>35</v>
      </c>
      <c r="R720" s="8">
        <v>2.82389</v>
      </c>
      <c r="S720">
        <v>7</v>
      </c>
      <c r="T720" s="8">
        <f t="shared" si="81"/>
        <v>0.2</v>
      </c>
      <c r="U720" s="8">
        <v>2.8362599999999998</v>
      </c>
      <c r="V720">
        <v>19</v>
      </c>
      <c r="W720" s="8">
        <f t="shared" si="82"/>
        <v>0.54285714285714282</v>
      </c>
      <c r="X720" s="8">
        <v>2.8157800000000002</v>
      </c>
      <c r="Y720">
        <v>9</v>
      </c>
      <c r="Z720" s="8">
        <f t="shared" si="83"/>
        <v>0.25714285714285712</v>
      </c>
      <c r="AA720" s="8">
        <v>2.83142</v>
      </c>
    </row>
    <row r="721" spans="2:27" ht="15" customHeight="1" x14ac:dyDescent="0.25">
      <c r="B721">
        <v>591</v>
      </c>
      <c r="C721" s="1">
        <v>-12363.809569999999</v>
      </c>
      <c r="D721" s="2">
        <v>-12365.169894000001</v>
      </c>
      <c r="F721" s="3">
        <v>0.99552200000000002</v>
      </c>
      <c r="G721" s="2">
        <v>0.17760000000000001</v>
      </c>
      <c r="H721">
        <v>7</v>
      </c>
      <c r="I721">
        <v>6</v>
      </c>
      <c r="K721" s="8">
        <f t="shared" si="77"/>
        <v>-1.3669007692315063</v>
      </c>
      <c r="L721" s="8">
        <f t="shared" si="78"/>
        <v>-0.10514621301780817</v>
      </c>
      <c r="M721" s="8">
        <f t="shared" si="79"/>
        <v>-1.3011021538459318</v>
      </c>
      <c r="N721" s="8">
        <f t="shared" si="80"/>
        <v>-0.10008478106507167</v>
      </c>
      <c r="O721" s="8"/>
      <c r="P721" t="s">
        <v>1008</v>
      </c>
      <c r="Q721">
        <v>34</v>
      </c>
      <c r="R721" s="8">
        <v>2.8161399999999999</v>
      </c>
      <c r="S721">
        <v>5</v>
      </c>
      <c r="T721" s="8">
        <f t="shared" si="81"/>
        <v>0.14705882352941177</v>
      </c>
      <c r="U721" s="8">
        <v>2.81596</v>
      </c>
      <c r="V721">
        <v>21</v>
      </c>
      <c r="W721" s="8">
        <f t="shared" si="82"/>
        <v>0.61764705882352944</v>
      </c>
      <c r="X721" s="8">
        <v>2.8048299999999999</v>
      </c>
      <c r="Y721">
        <v>8</v>
      </c>
      <c r="Z721" s="8">
        <f t="shared" si="83"/>
        <v>0.23529411764705882</v>
      </c>
      <c r="AA721" s="8">
        <v>2.8459400000000001</v>
      </c>
    </row>
    <row r="722" spans="2:27" ht="15" customHeight="1" x14ac:dyDescent="0.25">
      <c r="B722">
        <v>529</v>
      </c>
      <c r="C722" s="1">
        <v>-12363.65373</v>
      </c>
      <c r="D722" s="2">
        <v>-12365.168161</v>
      </c>
      <c r="F722" s="3">
        <v>0.99474399999999996</v>
      </c>
      <c r="G722" s="2">
        <v>0.17526999999999901</v>
      </c>
      <c r="H722">
        <v>7</v>
      </c>
      <c r="I722">
        <v>6</v>
      </c>
      <c r="K722" s="8">
        <f t="shared" si="77"/>
        <v>-1.2110607692320627</v>
      </c>
      <c r="L722" s="8">
        <f t="shared" si="78"/>
        <v>-9.3158520710158677E-2</v>
      </c>
      <c r="M722" s="8">
        <f t="shared" si="79"/>
        <v>-1.2993691538449639</v>
      </c>
      <c r="N722" s="8">
        <f t="shared" si="80"/>
        <v>-9.9951473372689531E-2</v>
      </c>
      <c r="O722" s="8"/>
      <c r="P722" t="s">
        <v>1009</v>
      </c>
      <c r="Q722">
        <v>33</v>
      </c>
      <c r="R722" s="8">
        <v>2.8091499999999998</v>
      </c>
      <c r="S722">
        <v>5</v>
      </c>
      <c r="T722" s="8">
        <f t="shared" si="81"/>
        <v>0.15151515151515152</v>
      </c>
      <c r="U722" s="8">
        <v>2.8208000000000002</v>
      </c>
      <c r="V722">
        <v>20</v>
      </c>
      <c r="W722" s="8">
        <f t="shared" si="82"/>
        <v>0.60606060606060608</v>
      </c>
      <c r="X722" s="8">
        <v>2.79305</v>
      </c>
      <c r="Y722">
        <v>8</v>
      </c>
      <c r="Z722" s="8">
        <f t="shared" si="83"/>
        <v>0.24242424242424243</v>
      </c>
      <c r="AA722" s="8">
        <v>2.8420999999999998</v>
      </c>
    </row>
    <row r="723" spans="2:27" ht="15" customHeight="1" x14ac:dyDescent="0.25">
      <c r="B723">
        <v>672</v>
      </c>
      <c r="C723" s="1">
        <v>-12363.678817</v>
      </c>
      <c r="D723" s="2">
        <v>-12365.168135</v>
      </c>
      <c r="F723" s="3">
        <v>0.99757600000000002</v>
      </c>
      <c r="G723" s="2">
        <v>0.19188999999999901</v>
      </c>
      <c r="H723">
        <v>7</v>
      </c>
      <c r="I723">
        <v>6</v>
      </c>
      <c r="K723" s="8">
        <f t="shared" si="77"/>
        <v>-1.2361477692320477</v>
      </c>
      <c r="L723" s="8">
        <f t="shared" si="78"/>
        <v>-9.5088289940926746E-2</v>
      </c>
      <c r="M723" s="8">
        <f t="shared" si="79"/>
        <v>-1.2993431538452569</v>
      </c>
      <c r="N723" s="8">
        <f t="shared" si="80"/>
        <v>-9.9949473372712067E-2</v>
      </c>
      <c r="O723" s="8"/>
      <c r="P723" t="s">
        <v>1010</v>
      </c>
      <c r="Q723">
        <v>34</v>
      </c>
      <c r="R723" s="8">
        <v>2.8194699999999999</v>
      </c>
      <c r="S723">
        <v>5</v>
      </c>
      <c r="T723" s="8">
        <f t="shared" si="81"/>
        <v>0.14705882352941177</v>
      </c>
      <c r="U723" s="8">
        <v>2.8516900000000001</v>
      </c>
      <c r="V723">
        <v>22</v>
      </c>
      <c r="W723" s="8">
        <f t="shared" si="82"/>
        <v>0.6470588235294118</v>
      </c>
      <c r="X723" s="8">
        <v>2.8030200000000001</v>
      </c>
      <c r="Y723">
        <v>7</v>
      </c>
      <c r="Z723" s="8">
        <f t="shared" si="83"/>
        <v>0.20588235294117646</v>
      </c>
      <c r="AA723" s="8">
        <v>2.8481299999999998</v>
      </c>
    </row>
    <row r="724" spans="2:27" ht="15" customHeight="1" x14ac:dyDescent="0.25">
      <c r="B724" s="32">
        <v>481</v>
      </c>
      <c r="C724" s="1">
        <v>-12363.590700000001</v>
      </c>
      <c r="D724" s="2">
        <v>-12365.166087</v>
      </c>
      <c r="F724" s="3">
        <v>0.99739299999999997</v>
      </c>
      <c r="G724" s="2">
        <v>0.19925999999999999</v>
      </c>
      <c r="H724">
        <v>7</v>
      </c>
      <c r="I724">
        <v>6</v>
      </c>
      <c r="K724" s="8">
        <f t="shared" si="77"/>
        <v>-1.1480307692327187</v>
      </c>
      <c r="L724" s="8">
        <f t="shared" si="78"/>
        <v>-8.8310059171747599E-2</v>
      </c>
      <c r="M724" s="8">
        <f t="shared" si="79"/>
        <v>-1.2972951538449706</v>
      </c>
      <c r="N724" s="8">
        <f t="shared" si="80"/>
        <v>-9.9791934911151584E-2</v>
      </c>
      <c r="O724" s="8"/>
      <c r="P724" t="s">
        <v>1011</v>
      </c>
      <c r="Q724">
        <v>35</v>
      </c>
      <c r="R724" s="8">
        <v>2.82498</v>
      </c>
      <c r="S724">
        <v>6</v>
      </c>
      <c r="T724" s="8">
        <f t="shared" si="81"/>
        <v>0.17142857142857143</v>
      </c>
      <c r="U724" s="8">
        <v>2.8545099999999999</v>
      </c>
      <c r="V724">
        <v>21</v>
      </c>
      <c r="W724" s="8">
        <f t="shared" si="82"/>
        <v>0.6</v>
      </c>
      <c r="X724" s="8">
        <v>2.8138800000000002</v>
      </c>
      <c r="Y724">
        <v>8</v>
      </c>
      <c r="Z724" s="8">
        <f t="shared" si="83"/>
        <v>0.22857142857142856</v>
      </c>
      <c r="AA724" s="8">
        <v>2.8319800000000002</v>
      </c>
    </row>
    <row r="725" spans="2:27" ht="15" customHeight="1" x14ac:dyDescent="0.25">
      <c r="B725">
        <v>710</v>
      </c>
      <c r="C725" s="1">
        <v>-12363.643249000001</v>
      </c>
      <c r="D725" s="2">
        <v>-12365.165244</v>
      </c>
      <c r="F725" s="3">
        <v>0.99765499999999996</v>
      </c>
      <c r="G725" s="2">
        <v>0.20007</v>
      </c>
      <c r="H725">
        <v>7</v>
      </c>
      <c r="I725">
        <v>6</v>
      </c>
      <c r="K725" s="8">
        <f t="shared" si="77"/>
        <v>-1.2005797692327178</v>
      </c>
      <c r="L725" s="8">
        <f t="shared" si="78"/>
        <v>-9.2352289940978299E-2</v>
      </c>
      <c r="M725" s="8">
        <f t="shared" si="79"/>
        <v>-1.2964521538451663</v>
      </c>
      <c r="N725" s="8">
        <f t="shared" si="80"/>
        <v>-9.9727088757320489E-2</v>
      </c>
      <c r="O725" s="8"/>
      <c r="P725" t="s">
        <v>1012</v>
      </c>
      <c r="Q725">
        <v>34</v>
      </c>
      <c r="R725" s="8">
        <v>2.82545</v>
      </c>
      <c r="S725">
        <v>6</v>
      </c>
      <c r="T725" s="8">
        <f t="shared" si="81"/>
        <v>0.17647058823529413</v>
      </c>
      <c r="U725" s="8">
        <v>2.8358300000000001</v>
      </c>
      <c r="V725">
        <v>18</v>
      </c>
      <c r="W725" s="8">
        <f t="shared" si="82"/>
        <v>0.52941176470588236</v>
      </c>
      <c r="X725" s="8">
        <v>2.8155999999999999</v>
      </c>
      <c r="Y725">
        <v>10</v>
      </c>
      <c r="Z725" s="8">
        <f t="shared" si="83"/>
        <v>0.29411764705882354</v>
      </c>
      <c r="AA725" s="8">
        <v>2.8369499999999999</v>
      </c>
    </row>
    <row r="726" spans="2:27" ht="15" customHeight="1" x14ac:dyDescent="0.25">
      <c r="B726">
        <v>531</v>
      </c>
      <c r="C726" s="1">
        <v>-12363.696672</v>
      </c>
      <c r="D726" s="2">
        <v>-12365.162269</v>
      </c>
      <c r="F726" s="3">
        <v>0.99524500000000005</v>
      </c>
      <c r="G726" s="2">
        <v>0.17813999999999999</v>
      </c>
      <c r="H726">
        <v>7</v>
      </c>
      <c r="I726">
        <v>6</v>
      </c>
      <c r="K726" s="8">
        <f t="shared" si="77"/>
        <v>-1.2540027692321019</v>
      </c>
      <c r="L726" s="8">
        <f t="shared" si="78"/>
        <v>-9.6461751479392455E-2</v>
      </c>
      <c r="M726" s="8">
        <f t="shared" si="79"/>
        <v>-1.2934771538457426</v>
      </c>
      <c r="N726" s="8">
        <f t="shared" si="80"/>
        <v>-9.9498242603518666E-2</v>
      </c>
      <c r="O726" s="8"/>
      <c r="P726" t="s">
        <v>1013</v>
      </c>
      <c r="Q726">
        <v>34</v>
      </c>
      <c r="R726" s="8">
        <v>2.8161399999999999</v>
      </c>
      <c r="S726">
        <v>5</v>
      </c>
      <c r="T726" s="8">
        <f t="shared" si="81"/>
        <v>0.14705882352941177</v>
      </c>
      <c r="U726" s="8">
        <v>2.7916099999999999</v>
      </c>
      <c r="V726">
        <v>21</v>
      </c>
      <c r="W726" s="8">
        <f t="shared" si="82"/>
        <v>0.61764705882352944</v>
      </c>
      <c r="X726" s="8">
        <v>2.8069700000000002</v>
      </c>
      <c r="Y726">
        <v>8</v>
      </c>
      <c r="Z726" s="8">
        <f t="shared" si="83"/>
        <v>0.23529411764705882</v>
      </c>
      <c r="AA726" s="8">
        <v>2.8555199999999998</v>
      </c>
    </row>
    <row r="727" spans="2:27" ht="15" customHeight="1" x14ac:dyDescent="0.25">
      <c r="B727">
        <v>698</v>
      </c>
      <c r="C727" s="1">
        <v>-12363.69771</v>
      </c>
      <c r="D727" s="2">
        <v>-12365.162069</v>
      </c>
      <c r="F727" s="3">
        <v>0.99792499999999995</v>
      </c>
      <c r="G727" s="2">
        <v>0.19839999999999899</v>
      </c>
      <c r="H727">
        <v>7</v>
      </c>
      <c r="I727">
        <v>6</v>
      </c>
      <c r="K727" s="8">
        <f t="shared" si="77"/>
        <v>-1.255040769232437</v>
      </c>
      <c r="L727" s="8">
        <f t="shared" si="78"/>
        <v>-9.6541597633264392E-2</v>
      </c>
      <c r="M727" s="8">
        <f t="shared" si="79"/>
        <v>-1.293277153845338</v>
      </c>
      <c r="N727" s="8">
        <f t="shared" si="80"/>
        <v>-9.9482857988102927E-2</v>
      </c>
      <c r="O727" s="8"/>
      <c r="P727" t="s">
        <v>1014</v>
      </c>
      <c r="Q727">
        <v>34</v>
      </c>
      <c r="R727" s="8">
        <v>2.8178899999999998</v>
      </c>
      <c r="S727">
        <v>6</v>
      </c>
      <c r="T727" s="8">
        <f t="shared" si="81"/>
        <v>0.17647058823529413</v>
      </c>
      <c r="U727" s="8">
        <v>2.7846700000000002</v>
      </c>
      <c r="V727">
        <v>19</v>
      </c>
      <c r="W727" s="8">
        <f t="shared" si="82"/>
        <v>0.55882352941176472</v>
      </c>
      <c r="X727" s="8">
        <v>2.8335599999999999</v>
      </c>
      <c r="Y727">
        <v>9</v>
      </c>
      <c r="Z727" s="8">
        <f t="shared" si="83"/>
        <v>0.26470588235294118</v>
      </c>
      <c r="AA727" s="8">
        <v>2.80694</v>
      </c>
    </row>
    <row r="728" spans="2:27" ht="15" customHeight="1" x14ac:dyDescent="0.25">
      <c r="B728" s="32">
        <v>328</v>
      </c>
      <c r="C728" s="1">
        <v>-12363.053900000001</v>
      </c>
      <c r="D728" s="2">
        <v>-12365.162053</v>
      </c>
      <c r="F728" s="3">
        <v>0.99274399999999996</v>
      </c>
      <c r="G728" s="2">
        <v>0.16777</v>
      </c>
      <c r="H728">
        <v>7</v>
      </c>
      <c r="I728">
        <v>6</v>
      </c>
      <c r="K728" s="8">
        <f t="shared" si="77"/>
        <v>-0.61123076923286135</v>
      </c>
      <c r="L728" s="8">
        <f t="shared" si="78"/>
        <v>-4.7017751479450871E-2</v>
      </c>
      <c r="M728" s="8">
        <f t="shared" si="79"/>
        <v>-1.2932611538453784</v>
      </c>
      <c r="N728" s="8">
        <f t="shared" si="80"/>
        <v>-9.9481627218875268E-2</v>
      </c>
      <c r="O728" s="8"/>
      <c r="P728" t="s">
        <v>1015</v>
      </c>
      <c r="Q728">
        <v>36</v>
      </c>
      <c r="R728" s="8">
        <v>2.8354699999999999</v>
      </c>
      <c r="S728">
        <v>8</v>
      </c>
      <c r="T728" s="8">
        <f t="shared" si="81"/>
        <v>0.22222222222222221</v>
      </c>
      <c r="U728" s="8">
        <v>2.8709899999999999</v>
      </c>
      <c r="V728">
        <v>20</v>
      </c>
      <c r="W728" s="8">
        <f t="shared" si="82"/>
        <v>0.55555555555555558</v>
      </c>
      <c r="X728" s="8">
        <v>2.82667</v>
      </c>
      <c r="Y728">
        <v>8</v>
      </c>
      <c r="Z728" s="8">
        <f t="shared" si="83"/>
        <v>0.22222222222222221</v>
      </c>
      <c r="AA728" s="8">
        <v>2.8219400000000001</v>
      </c>
    </row>
    <row r="729" spans="2:27" ht="15" customHeight="1" x14ac:dyDescent="0.25">
      <c r="B729">
        <v>738</v>
      </c>
      <c r="C729" s="1">
        <v>-12363.812228000001</v>
      </c>
      <c r="D729" s="2">
        <v>-12365.155341</v>
      </c>
      <c r="F729" s="3">
        <v>0.995753</v>
      </c>
      <c r="G729" s="2">
        <v>0.19213</v>
      </c>
      <c r="H729">
        <v>7</v>
      </c>
      <c r="I729">
        <v>6</v>
      </c>
      <c r="K729" s="8">
        <f t="shared" si="77"/>
        <v>-1.3695587692327535</v>
      </c>
      <c r="L729" s="8">
        <f t="shared" si="78"/>
        <v>-0.10535067455636565</v>
      </c>
      <c r="M729" s="8">
        <f t="shared" si="79"/>
        <v>-1.2865491538450442</v>
      </c>
      <c r="N729" s="8">
        <f t="shared" si="80"/>
        <v>-9.8965319526541862E-2</v>
      </c>
      <c r="O729" s="8"/>
      <c r="P729" t="s">
        <v>1016</v>
      </c>
      <c r="Q729">
        <v>32</v>
      </c>
      <c r="R729" s="8">
        <v>2.8007300000000002</v>
      </c>
      <c r="S729">
        <v>5</v>
      </c>
      <c r="T729" s="8">
        <f t="shared" si="81"/>
        <v>0.15625</v>
      </c>
      <c r="U729" s="8">
        <v>2.79576</v>
      </c>
      <c r="V729">
        <v>18</v>
      </c>
      <c r="W729" s="8">
        <f t="shared" si="82"/>
        <v>0.5625</v>
      </c>
      <c r="X729" s="8">
        <v>2.79474</v>
      </c>
      <c r="Y729">
        <v>9</v>
      </c>
      <c r="Z729" s="8">
        <f t="shared" si="83"/>
        <v>0.28125</v>
      </c>
      <c r="AA729" s="8">
        <v>2.8154699999999999</v>
      </c>
    </row>
    <row r="730" spans="2:27" ht="15" customHeight="1" x14ac:dyDescent="0.25">
      <c r="B730">
        <v>667</v>
      </c>
      <c r="C730" s="1">
        <v>-12363.613283999999</v>
      </c>
      <c r="D730" s="2">
        <v>-12365.151524000001</v>
      </c>
      <c r="F730" s="3">
        <v>0.99724299999999999</v>
      </c>
      <c r="G730" s="2">
        <v>0.19753999999999899</v>
      </c>
      <c r="H730">
        <v>7</v>
      </c>
      <c r="I730">
        <v>6</v>
      </c>
      <c r="K730" s="8">
        <f t="shared" si="77"/>
        <v>-1.1706147692311788</v>
      </c>
      <c r="L730" s="8">
        <f t="shared" si="78"/>
        <v>-9.0047289940859906E-2</v>
      </c>
      <c r="M730" s="8">
        <f t="shared" si="79"/>
        <v>-1.2827321538461547</v>
      </c>
      <c r="N730" s="8">
        <f t="shared" si="80"/>
        <v>-9.8671704142011901E-2</v>
      </c>
      <c r="O730" s="8"/>
      <c r="P730" t="s">
        <v>1017</v>
      </c>
      <c r="Q730">
        <v>34</v>
      </c>
      <c r="R730" s="8">
        <v>2.8211300000000001</v>
      </c>
      <c r="S730">
        <v>5</v>
      </c>
      <c r="T730" s="8">
        <f t="shared" si="81"/>
        <v>0.14705882352941177</v>
      </c>
      <c r="U730" s="8">
        <v>2.8525800000000001</v>
      </c>
      <c r="V730">
        <v>22</v>
      </c>
      <c r="W730" s="8">
        <f t="shared" si="82"/>
        <v>0.6470588235294118</v>
      </c>
      <c r="X730" s="8">
        <v>2.7873899999999998</v>
      </c>
      <c r="Y730">
        <v>7</v>
      </c>
      <c r="Z730" s="8">
        <f t="shared" si="83"/>
        <v>0.20588235294117646</v>
      </c>
      <c r="AA730" s="8">
        <v>2.9047100000000001</v>
      </c>
    </row>
    <row r="731" spans="2:27" ht="15" customHeight="1" x14ac:dyDescent="0.25">
      <c r="B731">
        <v>561</v>
      </c>
      <c r="C731" s="1">
        <v>-12363.643275</v>
      </c>
      <c r="D731" s="2">
        <v>-12365.150772000001</v>
      </c>
      <c r="F731" s="3">
        <v>0.996143</v>
      </c>
      <c r="G731" s="2">
        <v>0.188779999999999</v>
      </c>
      <c r="H731">
        <v>7</v>
      </c>
      <c r="I731">
        <v>6</v>
      </c>
      <c r="K731" s="8">
        <f t="shared" si="77"/>
        <v>-1.2006057692324248</v>
      </c>
      <c r="L731" s="8">
        <f t="shared" si="78"/>
        <v>-9.235428994095575E-2</v>
      </c>
      <c r="M731" s="8">
        <f t="shared" si="79"/>
        <v>-1.2819801538462343</v>
      </c>
      <c r="N731" s="8">
        <f t="shared" si="80"/>
        <v>-9.8613857988171877E-2</v>
      </c>
      <c r="O731" s="8"/>
      <c r="P731" t="s">
        <v>1018</v>
      </c>
      <c r="Q731">
        <v>34</v>
      </c>
      <c r="R731" s="8">
        <v>2.8199299999999998</v>
      </c>
      <c r="S731">
        <v>6</v>
      </c>
      <c r="T731" s="8">
        <f t="shared" si="81"/>
        <v>0.17647058823529413</v>
      </c>
      <c r="U731" s="8">
        <v>2.9100100000000002</v>
      </c>
      <c r="V731">
        <v>21</v>
      </c>
      <c r="W731" s="8">
        <f t="shared" si="82"/>
        <v>0.61764705882352944</v>
      </c>
      <c r="X731" s="8">
        <v>2.78817</v>
      </c>
      <c r="Y731">
        <v>7</v>
      </c>
      <c r="Z731" s="8">
        <f t="shared" si="83"/>
        <v>0.20588235294117646</v>
      </c>
      <c r="AA731" s="8">
        <v>2.83799</v>
      </c>
    </row>
    <row r="732" spans="2:27" ht="15" customHeight="1" x14ac:dyDescent="0.25">
      <c r="B732">
        <v>552</v>
      </c>
      <c r="C732" s="1">
        <v>-12363.507334</v>
      </c>
      <c r="D732" s="2">
        <v>-12365.146151999999</v>
      </c>
      <c r="F732" s="3">
        <v>0.99689499999999998</v>
      </c>
      <c r="G732" s="2">
        <v>0.19392999999999899</v>
      </c>
      <c r="H732">
        <v>7</v>
      </c>
      <c r="I732">
        <v>6</v>
      </c>
      <c r="K732" s="8">
        <f t="shared" si="77"/>
        <v>-1.0646647692319675</v>
      </c>
      <c r="L732" s="8">
        <f t="shared" si="78"/>
        <v>-8.1897289940920576E-2</v>
      </c>
      <c r="M732" s="8">
        <f t="shared" si="79"/>
        <v>-1.277360153844711</v>
      </c>
      <c r="N732" s="8">
        <f t="shared" si="80"/>
        <v>-9.8258473372670074E-2</v>
      </c>
      <c r="O732" s="8"/>
      <c r="P732" t="s">
        <v>1019</v>
      </c>
      <c r="Q732">
        <v>34</v>
      </c>
      <c r="R732" s="8">
        <v>2.8236599999999998</v>
      </c>
      <c r="S732">
        <v>5</v>
      </c>
      <c r="T732" s="8">
        <f t="shared" si="81"/>
        <v>0.14705882352941177</v>
      </c>
      <c r="U732" s="8">
        <v>2.7992499999999998</v>
      </c>
      <c r="V732">
        <v>19</v>
      </c>
      <c r="W732" s="8">
        <f t="shared" si="82"/>
        <v>0.55882352941176472</v>
      </c>
      <c r="X732" s="8">
        <v>2.8056899999999998</v>
      </c>
      <c r="Y732">
        <v>10</v>
      </c>
      <c r="Z732" s="8">
        <f t="shared" si="83"/>
        <v>0.29411764705882354</v>
      </c>
      <c r="AA732" s="8">
        <v>2.87</v>
      </c>
    </row>
    <row r="733" spans="2:27" ht="15" customHeight="1" x14ac:dyDescent="0.25">
      <c r="B733" s="32">
        <v>429</v>
      </c>
      <c r="C733" s="1">
        <v>-12363.455099999999</v>
      </c>
      <c r="D733" s="2">
        <v>-12365.145098000001</v>
      </c>
      <c r="F733" s="3">
        <v>0.99763599999999997</v>
      </c>
      <c r="G733" s="2">
        <v>0.20230999999999999</v>
      </c>
      <c r="H733">
        <v>7</v>
      </c>
      <c r="I733">
        <v>6</v>
      </c>
      <c r="K733" s="8">
        <f t="shared" si="77"/>
        <v>-1.0124307692312868</v>
      </c>
      <c r="L733" s="8">
        <f t="shared" si="78"/>
        <v>-7.7879289940868221E-2</v>
      </c>
      <c r="M733" s="8">
        <f t="shared" si="79"/>
        <v>-1.2763061538462352</v>
      </c>
      <c r="N733" s="8">
        <f t="shared" si="80"/>
        <v>-9.8177396449710408E-2</v>
      </c>
      <c r="O733" s="8"/>
      <c r="P733" t="s">
        <v>1020</v>
      </c>
      <c r="Q733">
        <v>35</v>
      </c>
      <c r="R733" s="8">
        <v>2.82701</v>
      </c>
      <c r="S733">
        <v>6</v>
      </c>
      <c r="T733" s="8">
        <f t="shared" si="81"/>
        <v>0.17142857142857143</v>
      </c>
      <c r="U733" s="8">
        <v>2.8732199999999999</v>
      </c>
      <c r="V733">
        <v>21</v>
      </c>
      <c r="W733" s="8">
        <f t="shared" si="82"/>
        <v>0.6</v>
      </c>
      <c r="X733" s="8">
        <v>2.8106200000000001</v>
      </c>
      <c r="Y733">
        <v>8</v>
      </c>
      <c r="Z733" s="8">
        <f t="shared" si="83"/>
        <v>0.22857142857142856</v>
      </c>
      <c r="AA733" s="8">
        <v>2.8353799999999998</v>
      </c>
    </row>
    <row r="734" spans="2:27" ht="15" customHeight="1" x14ac:dyDescent="0.25">
      <c r="B734">
        <v>707</v>
      </c>
      <c r="C734" s="1">
        <v>-12363.672825</v>
      </c>
      <c r="D734" s="2">
        <v>-12365.144774</v>
      </c>
      <c r="F734" s="3">
        <v>0.99529500000000004</v>
      </c>
      <c r="G734" s="2">
        <v>0.179759999999999</v>
      </c>
      <c r="H734">
        <v>7</v>
      </c>
      <c r="I734">
        <v>6</v>
      </c>
      <c r="K734" s="8">
        <f t="shared" si="77"/>
        <v>-1.2301557692317147</v>
      </c>
      <c r="L734" s="8">
        <f t="shared" si="78"/>
        <v>-9.4627366863978046E-2</v>
      </c>
      <c r="M734" s="8">
        <f t="shared" si="79"/>
        <v>-1.275982153845689</v>
      </c>
      <c r="N734" s="8">
        <f t="shared" si="80"/>
        <v>-9.8152473372745311E-2</v>
      </c>
      <c r="O734" s="8"/>
      <c r="P734" t="s">
        <v>1021</v>
      </c>
      <c r="Q734">
        <v>34</v>
      </c>
      <c r="R734" s="8">
        <v>2.8138999999999998</v>
      </c>
      <c r="S734">
        <v>5</v>
      </c>
      <c r="T734" s="8">
        <f t="shared" si="81"/>
        <v>0.14705882352941177</v>
      </c>
      <c r="U734" s="8">
        <v>2.8126500000000001</v>
      </c>
      <c r="V734">
        <v>21</v>
      </c>
      <c r="W734" s="8">
        <f t="shared" si="82"/>
        <v>0.61764705882352944</v>
      </c>
      <c r="X734" s="8">
        <v>2.7910599999999999</v>
      </c>
      <c r="Y734">
        <v>8</v>
      </c>
      <c r="Z734" s="8">
        <f t="shared" si="83"/>
        <v>0.23529411764705882</v>
      </c>
      <c r="AA734" s="8">
        <v>2.8746200000000002</v>
      </c>
    </row>
    <row r="735" spans="2:27" ht="15" customHeight="1" x14ac:dyDescent="0.25">
      <c r="B735" s="32">
        <v>384</v>
      </c>
      <c r="C735" s="1">
        <v>-12363.3482</v>
      </c>
      <c r="D735" s="2">
        <v>-12365.144351999999</v>
      </c>
      <c r="F735" s="3">
        <v>0.99772099999999997</v>
      </c>
      <c r="G735" s="2">
        <v>0.20332</v>
      </c>
      <c r="H735">
        <v>7</v>
      </c>
      <c r="I735">
        <v>6</v>
      </c>
      <c r="K735" s="8">
        <f t="shared" si="77"/>
        <v>-0.9055307692324277</v>
      </c>
      <c r="L735" s="8">
        <f t="shared" si="78"/>
        <v>-6.9656213017879054E-2</v>
      </c>
      <c r="M735" s="8">
        <f t="shared" si="79"/>
        <v>-1.2755601538447081</v>
      </c>
      <c r="N735" s="8">
        <f t="shared" si="80"/>
        <v>-9.8120011834208321E-2</v>
      </c>
      <c r="O735" s="8"/>
      <c r="P735" t="s">
        <v>1022</v>
      </c>
      <c r="Q735">
        <v>36</v>
      </c>
      <c r="R735" s="8">
        <v>2.8330000000000002</v>
      </c>
      <c r="S735">
        <v>6</v>
      </c>
      <c r="T735" s="8">
        <f t="shared" si="81"/>
        <v>0.16666666666666666</v>
      </c>
      <c r="U735" s="8">
        <v>2.8534999999999999</v>
      </c>
      <c r="V735">
        <v>21</v>
      </c>
      <c r="W735" s="8">
        <f t="shared" si="82"/>
        <v>0.58333333333333337</v>
      </c>
      <c r="X735" s="8">
        <v>2.8336700000000001</v>
      </c>
      <c r="Y735">
        <v>9</v>
      </c>
      <c r="Z735" s="8">
        <f t="shared" si="83"/>
        <v>0.25</v>
      </c>
      <c r="AA735" s="8">
        <v>2.8177699999999999</v>
      </c>
    </row>
    <row r="736" spans="2:27" ht="15" customHeight="1" x14ac:dyDescent="0.25">
      <c r="B736">
        <v>549</v>
      </c>
      <c r="C736" s="1">
        <v>-12363.520842</v>
      </c>
      <c r="D736" s="2">
        <v>-12365.14358</v>
      </c>
      <c r="F736" s="3">
        <v>0.99564600000000003</v>
      </c>
      <c r="G736" s="2">
        <v>0.18459</v>
      </c>
      <c r="H736">
        <v>7</v>
      </c>
      <c r="I736">
        <v>6</v>
      </c>
      <c r="K736" s="8">
        <f t="shared" si="77"/>
        <v>-1.0781727692319691</v>
      </c>
      <c r="L736" s="8">
        <f t="shared" si="78"/>
        <v>-8.2936366863997621E-2</v>
      </c>
      <c r="M736" s="8">
        <f t="shared" si="79"/>
        <v>-1.274788153845293</v>
      </c>
      <c r="N736" s="8">
        <f t="shared" si="80"/>
        <v>-9.8060627218868684E-2</v>
      </c>
      <c r="O736" s="8"/>
      <c r="P736" t="s">
        <v>1023</v>
      </c>
      <c r="Q736">
        <v>34</v>
      </c>
      <c r="R736" s="8">
        <v>2.81901</v>
      </c>
      <c r="S736">
        <v>5</v>
      </c>
      <c r="T736" s="8">
        <f t="shared" si="81"/>
        <v>0.14705882352941177</v>
      </c>
      <c r="U736" s="8">
        <v>2.81542</v>
      </c>
      <c r="V736">
        <v>20</v>
      </c>
      <c r="W736" s="8">
        <f t="shared" si="82"/>
        <v>0.58823529411764708</v>
      </c>
      <c r="X736" s="8">
        <v>2.78816</v>
      </c>
      <c r="Y736">
        <v>9</v>
      </c>
      <c r="Z736" s="8">
        <f t="shared" si="83"/>
        <v>0.26470588235294118</v>
      </c>
      <c r="AA736" s="8">
        <v>2.8895599999999999</v>
      </c>
    </row>
    <row r="737" spans="2:27" ht="15" customHeight="1" x14ac:dyDescent="0.25">
      <c r="B737">
        <v>735</v>
      </c>
      <c r="C737" s="1">
        <v>-12363.629166000001</v>
      </c>
      <c r="D737" s="2">
        <v>-12365.141669000001</v>
      </c>
      <c r="F737" s="3">
        <v>0.99841999999999997</v>
      </c>
      <c r="G737" s="2">
        <v>0.212699999999999</v>
      </c>
      <c r="H737">
        <v>7</v>
      </c>
      <c r="I737">
        <v>6</v>
      </c>
      <c r="K737" s="8">
        <f t="shared" si="77"/>
        <v>-1.18649676923269</v>
      </c>
      <c r="L737" s="8">
        <f t="shared" si="78"/>
        <v>-9.1268982248668459E-2</v>
      </c>
      <c r="M737" s="8">
        <f t="shared" si="79"/>
        <v>-1.2728771538459114</v>
      </c>
      <c r="N737" s="8">
        <f t="shared" si="80"/>
        <v>-9.7913627218916263E-2</v>
      </c>
      <c r="O737" s="8"/>
      <c r="P737" t="s">
        <v>1024</v>
      </c>
      <c r="Q737">
        <v>35</v>
      </c>
      <c r="R737" s="8">
        <v>2.8255699999999999</v>
      </c>
      <c r="S737">
        <v>7</v>
      </c>
      <c r="T737" s="8">
        <f t="shared" si="81"/>
        <v>0.2</v>
      </c>
      <c r="U737" s="8">
        <v>2.8488500000000001</v>
      </c>
      <c r="V737">
        <v>21</v>
      </c>
      <c r="W737" s="8">
        <f t="shared" si="82"/>
        <v>0.6</v>
      </c>
      <c r="X737" s="8">
        <v>2.81311</v>
      </c>
      <c r="Y737">
        <v>7</v>
      </c>
      <c r="Z737" s="8">
        <f t="shared" si="83"/>
        <v>0.2</v>
      </c>
      <c r="AA737" s="8">
        <v>2.8396300000000001</v>
      </c>
    </row>
    <row r="738" spans="2:27" ht="15" customHeight="1" x14ac:dyDescent="0.25">
      <c r="B738">
        <v>673</v>
      </c>
      <c r="C738" s="8">
        <v>-12363.736803</v>
      </c>
      <c r="D738" s="2">
        <v>-12365.139924999999</v>
      </c>
      <c r="F738" s="3">
        <v>0.99590400000000001</v>
      </c>
      <c r="G738" s="2">
        <v>0.18523000000000001</v>
      </c>
      <c r="H738">
        <v>7</v>
      </c>
      <c r="I738">
        <v>6</v>
      </c>
      <c r="K738" s="8">
        <f t="shared" si="77"/>
        <v>-1.2941337692318484</v>
      </c>
      <c r="L738" s="8">
        <f t="shared" si="78"/>
        <v>-9.9548751479372949E-2</v>
      </c>
      <c r="M738" s="8">
        <f t="shared" si="79"/>
        <v>-1.2711331538448576</v>
      </c>
      <c r="N738" s="8">
        <f t="shared" si="80"/>
        <v>-9.777947337268135E-2</v>
      </c>
      <c r="O738" s="8"/>
      <c r="P738" t="s">
        <v>1025</v>
      </c>
      <c r="Q738">
        <v>34</v>
      </c>
      <c r="R738" s="8">
        <v>2.8199000000000001</v>
      </c>
      <c r="S738">
        <v>5</v>
      </c>
      <c r="T738" s="8">
        <f t="shared" si="81"/>
        <v>0.14705882352941177</v>
      </c>
      <c r="U738" s="8">
        <v>2.8334700000000002</v>
      </c>
      <c r="V738">
        <v>22</v>
      </c>
      <c r="W738" s="8">
        <f t="shared" si="82"/>
        <v>0.6470588235294118</v>
      </c>
      <c r="X738" s="8">
        <v>2.80857</v>
      </c>
      <c r="Y738">
        <v>7</v>
      </c>
      <c r="Z738" s="8">
        <f t="shared" si="83"/>
        <v>0.20588235294117646</v>
      </c>
      <c r="AA738" s="8">
        <v>2.84579</v>
      </c>
    </row>
    <row r="739" spans="2:27" ht="15" customHeight="1" x14ac:dyDescent="0.25">
      <c r="B739">
        <v>532</v>
      </c>
      <c r="C739" s="1">
        <v>-12363.819493999999</v>
      </c>
      <c r="D739" s="2">
        <v>-12365.137433</v>
      </c>
      <c r="F739" s="3">
        <v>0.99556</v>
      </c>
      <c r="G739" s="2">
        <v>0.18331999999999901</v>
      </c>
      <c r="H739">
        <v>7</v>
      </c>
      <c r="I739">
        <v>6</v>
      </c>
      <c r="K739" s="8">
        <f t="shared" si="77"/>
        <v>-1.3768247692314617</v>
      </c>
      <c r="L739" s="8">
        <f t="shared" si="78"/>
        <v>-0.10590959763318936</v>
      </c>
      <c r="M739" s="8">
        <f t="shared" si="79"/>
        <v>-1.2686411538452376</v>
      </c>
      <c r="N739" s="8">
        <f t="shared" si="80"/>
        <v>-9.7587781065018281E-2</v>
      </c>
      <c r="O739" s="8"/>
      <c r="P739" t="s">
        <v>1026</v>
      </c>
      <c r="Q739">
        <v>35</v>
      </c>
      <c r="R739" s="8">
        <v>2.8314499999999998</v>
      </c>
      <c r="S739">
        <v>5</v>
      </c>
      <c r="T739" s="8">
        <f t="shared" si="81"/>
        <v>0.14285714285714285</v>
      </c>
      <c r="U739" s="8">
        <v>2.8654899999999999</v>
      </c>
      <c r="V739">
        <v>23</v>
      </c>
      <c r="W739" s="8">
        <f t="shared" si="82"/>
        <v>0.65714285714285714</v>
      </c>
      <c r="X739" s="8">
        <v>2.8068900000000001</v>
      </c>
      <c r="Y739">
        <v>7</v>
      </c>
      <c r="Z739" s="8">
        <f t="shared" si="83"/>
        <v>0.2</v>
      </c>
      <c r="AA739" s="8">
        <v>2.8878200000000001</v>
      </c>
    </row>
    <row r="740" spans="2:27" ht="15" customHeight="1" x14ac:dyDescent="0.25">
      <c r="B740" s="32">
        <v>382</v>
      </c>
      <c r="C740" s="1">
        <v>-12363.3457</v>
      </c>
      <c r="D740" s="2">
        <v>-12365.136412</v>
      </c>
      <c r="F740" s="3">
        <v>0.99383900000000003</v>
      </c>
      <c r="G740" s="2">
        <v>0.17324999999999899</v>
      </c>
      <c r="H740">
        <v>7</v>
      </c>
      <c r="I740">
        <v>6</v>
      </c>
      <c r="K740" s="8">
        <f t="shared" si="77"/>
        <v>-0.90303076923191838</v>
      </c>
      <c r="L740" s="8">
        <f t="shared" si="78"/>
        <v>-6.9463905325532177E-2</v>
      </c>
      <c r="M740" s="8">
        <f t="shared" si="79"/>
        <v>-1.2676201538452005</v>
      </c>
      <c r="N740" s="8">
        <f t="shared" si="80"/>
        <v>-9.7509242603476959E-2</v>
      </c>
      <c r="O740" s="8"/>
      <c r="P740" t="s">
        <v>1027</v>
      </c>
      <c r="Q740">
        <v>36</v>
      </c>
      <c r="R740" s="8">
        <v>2.8336600000000001</v>
      </c>
      <c r="S740">
        <v>7</v>
      </c>
      <c r="T740" s="8">
        <f t="shared" si="81"/>
        <v>0.19444444444444445</v>
      </c>
      <c r="U740" s="8">
        <v>2.8781300000000001</v>
      </c>
      <c r="V740">
        <v>21</v>
      </c>
      <c r="W740" s="8">
        <f t="shared" si="82"/>
        <v>0.58333333333333337</v>
      </c>
      <c r="X740" s="8">
        <v>2.8193899999999998</v>
      </c>
      <c r="Y740">
        <v>8</v>
      </c>
      <c r="Z740" s="8">
        <f t="shared" si="83"/>
        <v>0.22222222222222221</v>
      </c>
      <c r="AA740" s="8">
        <v>2.83222</v>
      </c>
    </row>
    <row r="741" spans="2:27" ht="15" customHeight="1" x14ac:dyDescent="0.25">
      <c r="B741" s="32">
        <v>540</v>
      </c>
      <c r="C741" s="1">
        <v>-12363.679700000001</v>
      </c>
      <c r="D741" s="2">
        <v>-12365.135746</v>
      </c>
      <c r="F741" s="3">
        <v>0.996784</v>
      </c>
      <c r="G741" s="2">
        <v>0.19287000000000001</v>
      </c>
      <c r="H741">
        <v>7</v>
      </c>
      <c r="I741">
        <v>6</v>
      </c>
      <c r="K741" s="8">
        <f t="shared" si="77"/>
        <v>-1.2370307692326605</v>
      </c>
      <c r="L741" s="8">
        <f t="shared" si="78"/>
        <v>-9.5156213017896965E-2</v>
      </c>
      <c r="M741" s="8">
        <f t="shared" si="79"/>
        <v>-1.2669541538452904</v>
      </c>
      <c r="N741" s="8">
        <f t="shared" si="80"/>
        <v>-9.7458011834253108E-2</v>
      </c>
      <c r="O741" s="8"/>
      <c r="P741" t="s">
        <v>1028</v>
      </c>
      <c r="Q741">
        <v>34</v>
      </c>
      <c r="R741" s="8">
        <v>2.8194499999999998</v>
      </c>
      <c r="S741">
        <v>4</v>
      </c>
      <c r="T741" s="8">
        <f t="shared" si="81"/>
        <v>0.11764705882352941</v>
      </c>
      <c r="U741" s="8">
        <v>2.8235899999999998</v>
      </c>
      <c r="V741">
        <v>21</v>
      </c>
      <c r="W741" s="8">
        <f t="shared" si="82"/>
        <v>0.61764705882352944</v>
      </c>
      <c r="X741" s="8">
        <v>2.78701</v>
      </c>
      <c r="Y741">
        <v>9</v>
      </c>
      <c r="Z741" s="8">
        <f t="shared" si="83"/>
        <v>0.26470588235294118</v>
      </c>
      <c r="AA741" s="8">
        <v>2.89331</v>
      </c>
    </row>
    <row r="742" spans="2:27" ht="15" customHeight="1" x14ac:dyDescent="0.25">
      <c r="B742" s="32">
        <v>511</v>
      </c>
      <c r="C742" s="1">
        <v>-12363.669599999999</v>
      </c>
      <c r="D742" s="2">
        <v>-12365.134037</v>
      </c>
      <c r="F742" s="3">
        <v>0.99681299999999995</v>
      </c>
      <c r="G742" s="2">
        <v>0.19320999999999999</v>
      </c>
      <c r="H742">
        <v>7</v>
      </c>
      <c r="I742">
        <v>6</v>
      </c>
      <c r="K742" s="8">
        <f t="shared" si="77"/>
        <v>-1.2269307692313305</v>
      </c>
      <c r="L742" s="8">
        <f t="shared" si="78"/>
        <v>-9.437928994087158E-2</v>
      </c>
      <c r="M742" s="8">
        <f t="shared" si="79"/>
        <v>-1.2652451538451714</v>
      </c>
      <c r="N742" s="8">
        <f t="shared" si="80"/>
        <v>-9.7326550295782424E-2</v>
      </c>
      <c r="O742" s="8"/>
      <c r="P742" t="s">
        <v>1029</v>
      </c>
      <c r="Q742">
        <v>35</v>
      </c>
      <c r="R742" s="8">
        <v>2.8289800000000001</v>
      </c>
      <c r="S742">
        <v>6</v>
      </c>
      <c r="T742" s="8">
        <f t="shared" si="81"/>
        <v>0.17142857142857143</v>
      </c>
      <c r="U742" s="8">
        <v>2.8380200000000002</v>
      </c>
      <c r="V742">
        <v>21</v>
      </c>
      <c r="W742" s="8">
        <f t="shared" si="82"/>
        <v>0.6</v>
      </c>
      <c r="X742" s="8">
        <v>2.8182900000000002</v>
      </c>
      <c r="Y742">
        <v>8</v>
      </c>
      <c r="Z742" s="8">
        <f t="shared" si="83"/>
        <v>0.22857142857142856</v>
      </c>
      <c r="AA742" s="8">
        <v>2.85026</v>
      </c>
    </row>
    <row r="743" spans="2:27" ht="15" customHeight="1" x14ac:dyDescent="0.25">
      <c r="B743">
        <v>533</v>
      </c>
      <c r="C743" s="1">
        <v>-12363.832445</v>
      </c>
      <c r="D743" s="2">
        <v>-12365.133738</v>
      </c>
      <c r="F743" s="3">
        <v>0.99735399999999996</v>
      </c>
      <c r="G743" s="2">
        <v>0.20433999999999899</v>
      </c>
      <c r="H743">
        <v>7</v>
      </c>
      <c r="I743">
        <v>6</v>
      </c>
      <c r="K743" s="8">
        <f t="shared" si="77"/>
        <v>-1.3897757692320738</v>
      </c>
      <c r="L743" s="8">
        <f t="shared" si="78"/>
        <v>-0.10690582840246722</v>
      </c>
      <c r="M743" s="8">
        <f t="shared" si="79"/>
        <v>-1.2649461538458127</v>
      </c>
      <c r="N743" s="8">
        <f t="shared" si="80"/>
        <v>-9.7303550295831737E-2</v>
      </c>
      <c r="O743" s="8"/>
      <c r="P743" t="s">
        <v>1030</v>
      </c>
      <c r="Q743">
        <v>32</v>
      </c>
      <c r="R743" s="8">
        <v>2.7978100000000001</v>
      </c>
      <c r="S743">
        <v>4</v>
      </c>
      <c r="T743" s="8">
        <f t="shared" si="81"/>
        <v>0.125</v>
      </c>
      <c r="U743" s="8">
        <v>2.8092899999999998</v>
      </c>
      <c r="V743">
        <v>20</v>
      </c>
      <c r="W743" s="8">
        <f t="shared" si="82"/>
        <v>0.625</v>
      </c>
      <c r="X743" s="8">
        <v>2.79291</v>
      </c>
      <c r="Y743">
        <v>8</v>
      </c>
      <c r="Z743" s="8">
        <f t="shared" si="83"/>
        <v>0.25</v>
      </c>
      <c r="AA743" s="8">
        <v>2.8043100000000001</v>
      </c>
    </row>
    <row r="744" spans="2:27" ht="15" customHeight="1" x14ac:dyDescent="0.25">
      <c r="B744">
        <v>527</v>
      </c>
      <c r="C744" s="1">
        <v>-12363.635756</v>
      </c>
      <c r="D744" s="2">
        <v>-12365.131273999999</v>
      </c>
      <c r="F744" s="3">
        <v>0.99607299999999999</v>
      </c>
      <c r="G744" s="2">
        <v>0.18915000000000001</v>
      </c>
      <c r="H744">
        <v>7</v>
      </c>
      <c r="I744">
        <v>6</v>
      </c>
      <c r="K744" s="8">
        <f t="shared" si="77"/>
        <v>-1.1930867692317406</v>
      </c>
      <c r="L744" s="8">
        <f t="shared" si="78"/>
        <v>-9.1775905325518506E-2</v>
      </c>
      <c r="M744" s="8">
        <f t="shared" si="79"/>
        <v>-1.2624821538447577</v>
      </c>
      <c r="N744" s="8">
        <f t="shared" si="80"/>
        <v>-9.711401183421213E-2</v>
      </c>
      <c r="O744" s="8"/>
      <c r="P744" t="s">
        <v>1031</v>
      </c>
      <c r="Q744">
        <v>35</v>
      </c>
      <c r="R744" s="8">
        <v>2.8318300000000001</v>
      </c>
      <c r="S744">
        <v>7</v>
      </c>
      <c r="T744" s="8">
        <f t="shared" si="81"/>
        <v>0.2</v>
      </c>
      <c r="U744" s="8">
        <v>2.91804</v>
      </c>
      <c r="V744">
        <v>22</v>
      </c>
      <c r="W744" s="8">
        <f t="shared" si="82"/>
        <v>0.62857142857142856</v>
      </c>
      <c r="X744" s="8">
        <v>2.7893599999999998</v>
      </c>
      <c r="Y744">
        <v>6</v>
      </c>
      <c r="Z744" s="8">
        <f t="shared" si="83"/>
        <v>0.17142857142857143</v>
      </c>
      <c r="AA744" s="8">
        <v>2.8869799999999999</v>
      </c>
    </row>
    <row r="745" spans="2:27" ht="15" customHeight="1" x14ac:dyDescent="0.25">
      <c r="B745">
        <v>699</v>
      </c>
      <c r="C745" s="1">
        <v>-12363.791112999999</v>
      </c>
      <c r="D745" s="2">
        <v>-12365.123441</v>
      </c>
      <c r="F745" s="3">
        <v>0.99553000000000003</v>
      </c>
      <c r="G745" s="2">
        <v>0.18296999999999999</v>
      </c>
      <c r="H745">
        <v>7</v>
      </c>
      <c r="I745">
        <v>6</v>
      </c>
      <c r="K745" s="8">
        <f t="shared" si="77"/>
        <v>-1.3484437692313804</v>
      </c>
      <c r="L745" s="8">
        <f t="shared" si="78"/>
        <v>-0.10372644378702926</v>
      </c>
      <c r="M745" s="8">
        <f t="shared" si="79"/>
        <v>-1.2546491538450937</v>
      </c>
      <c r="N745" s="8">
        <f t="shared" si="80"/>
        <v>-9.6511473372699511E-2</v>
      </c>
      <c r="O745" s="8"/>
      <c r="P745" t="s">
        <v>1032</v>
      </c>
      <c r="Q745">
        <v>35</v>
      </c>
      <c r="R745" s="8">
        <v>2.8314900000000001</v>
      </c>
      <c r="S745">
        <v>6</v>
      </c>
      <c r="T745" s="8">
        <f t="shared" si="81"/>
        <v>0.17142857142857143</v>
      </c>
      <c r="U745" s="8">
        <v>2.8730500000000001</v>
      </c>
      <c r="V745">
        <v>21</v>
      </c>
      <c r="W745" s="8">
        <f t="shared" si="82"/>
        <v>0.6</v>
      </c>
      <c r="X745" s="8">
        <v>2.8270499999999998</v>
      </c>
      <c r="Y745">
        <v>8</v>
      </c>
      <c r="Z745" s="8">
        <f t="shared" si="83"/>
        <v>0.22857142857142856</v>
      </c>
      <c r="AA745" s="8">
        <v>2.8119700000000001</v>
      </c>
    </row>
    <row r="746" spans="2:27" ht="15" customHeight="1" x14ac:dyDescent="0.25">
      <c r="B746">
        <v>586</v>
      </c>
      <c r="C746" s="1">
        <v>-12363.703523</v>
      </c>
      <c r="D746" s="2">
        <v>-12365.117627</v>
      </c>
      <c r="F746" s="3">
        <v>0.99725299999999995</v>
      </c>
      <c r="G746" s="2">
        <v>0.20432</v>
      </c>
      <c r="H746">
        <v>7</v>
      </c>
      <c r="I746">
        <v>6</v>
      </c>
      <c r="K746" s="8">
        <f t="shared" si="77"/>
        <v>-1.2608537692321988</v>
      </c>
      <c r="L746" s="8">
        <f t="shared" si="78"/>
        <v>-9.6988751479399907E-2</v>
      </c>
      <c r="M746" s="8">
        <f t="shared" si="79"/>
        <v>-1.2488351538449933</v>
      </c>
      <c r="N746" s="8">
        <f t="shared" si="80"/>
        <v>-9.6064242603461025E-2</v>
      </c>
      <c r="O746" s="8"/>
      <c r="P746" t="s">
        <v>1033</v>
      </c>
      <c r="Q746">
        <v>34</v>
      </c>
      <c r="R746" s="8">
        <v>2.8186800000000001</v>
      </c>
      <c r="S746">
        <v>6</v>
      </c>
      <c r="T746" s="8">
        <f t="shared" si="81"/>
        <v>0.17647058823529413</v>
      </c>
      <c r="U746" s="8">
        <v>2.7809200000000001</v>
      </c>
      <c r="V746">
        <v>16</v>
      </c>
      <c r="W746" s="8">
        <f t="shared" si="82"/>
        <v>0.47058823529411764</v>
      </c>
      <c r="X746" s="8">
        <v>2.8037899999999998</v>
      </c>
      <c r="Y746">
        <v>12</v>
      </c>
      <c r="Z746" s="8">
        <f t="shared" si="83"/>
        <v>0.35294117647058826</v>
      </c>
      <c r="AA746" s="8">
        <v>2.8574199999999998</v>
      </c>
    </row>
    <row r="747" spans="2:27" ht="15" customHeight="1" x14ac:dyDescent="0.25">
      <c r="B747" s="32">
        <v>319</v>
      </c>
      <c r="C747" s="1">
        <v>-12363.141100000001</v>
      </c>
      <c r="D747" s="2">
        <v>-12365.116977</v>
      </c>
      <c r="F747" s="3">
        <v>0.99887499999999996</v>
      </c>
      <c r="G747" s="2">
        <v>0.22464000000000001</v>
      </c>
      <c r="H747">
        <v>7</v>
      </c>
      <c r="I747">
        <v>6</v>
      </c>
      <c r="K747" s="8">
        <f t="shared" si="77"/>
        <v>-0.69843076923280023</v>
      </c>
      <c r="L747" s="8">
        <f t="shared" si="78"/>
        <v>-5.3725443787138477E-2</v>
      </c>
      <c r="M747" s="8">
        <f t="shared" si="79"/>
        <v>-1.2481851538450428</v>
      </c>
      <c r="N747" s="8">
        <f t="shared" si="80"/>
        <v>-9.6014242603464833E-2</v>
      </c>
      <c r="O747" s="8"/>
      <c r="P747" t="s">
        <v>1034</v>
      </c>
      <c r="Q747">
        <v>36</v>
      </c>
      <c r="R747" s="8">
        <v>2.8371499999999998</v>
      </c>
      <c r="S747">
        <v>7</v>
      </c>
      <c r="T747" s="8">
        <f t="shared" si="81"/>
        <v>0.19444444444444445</v>
      </c>
      <c r="U747" s="8">
        <v>2.87134</v>
      </c>
      <c r="V747">
        <v>21</v>
      </c>
      <c r="W747" s="8">
        <f t="shared" si="82"/>
        <v>0.58333333333333337</v>
      </c>
      <c r="X747" s="8">
        <v>2.8336899999999998</v>
      </c>
      <c r="Y747">
        <v>8</v>
      </c>
      <c r="Z747" s="8">
        <f t="shared" si="83"/>
        <v>0.22222222222222221</v>
      </c>
      <c r="AA747" s="8">
        <v>2.8163</v>
      </c>
    </row>
    <row r="748" spans="2:27" ht="15" customHeight="1" x14ac:dyDescent="0.25">
      <c r="B748">
        <v>574</v>
      </c>
      <c r="C748" s="1">
        <v>-12363.594606000001</v>
      </c>
      <c r="D748" s="2">
        <v>-12365.116101</v>
      </c>
      <c r="F748" s="3">
        <v>0.99604000000000004</v>
      </c>
      <c r="G748" s="2">
        <v>0.194849999999999</v>
      </c>
      <c r="H748">
        <v>7</v>
      </c>
      <c r="I748">
        <v>6</v>
      </c>
      <c r="K748" s="8">
        <f t="shared" si="77"/>
        <v>-1.1519367692326341</v>
      </c>
      <c r="L748" s="8">
        <f t="shared" si="78"/>
        <v>-8.8610520710202617E-2</v>
      </c>
      <c r="M748" s="8">
        <f t="shared" si="79"/>
        <v>-1.2473091538449808</v>
      </c>
      <c r="N748" s="8">
        <f t="shared" si="80"/>
        <v>-9.5946857988075437E-2</v>
      </c>
      <c r="O748" s="8"/>
      <c r="P748" t="s">
        <v>1035</v>
      </c>
      <c r="Q748">
        <v>33</v>
      </c>
      <c r="R748" s="8">
        <v>2.8121900000000002</v>
      </c>
      <c r="S748">
        <v>6</v>
      </c>
      <c r="T748" s="8">
        <f t="shared" si="81"/>
        <v>0.18181818181818182</v>
      </c>
      <c r="U748" s="8">
        <v>2.8174100000000002</v>
      </c>
      <c r="V748">
        <v>21</v>
      </c>
      <c r="W748" s="8">
        <f t="shared" si="82"/>
        <v>0.63636363636363635</v>
      </c>
      <c r="X748" s="8">
        <v>2.8197800000000002</v>
      </c>
      <c r="Y748">
        <v>6</v>
      </c>
      <c r="Z748" s="8">
        <f t="shared" si="83"/>
        <v>0.18181818181818182</v>
      </c>
      <c r="AA748" s="8">
        <v>2.7804000000000002</v>
      </c>
    </row>
    <row r="749" spans="2:27" ht="15" customHeight="1" x14ac:dyDescent="0.25">
      <c r="B749" s="32">
        <v>457</v>
      </c>
      <c r="C749" s="1">
        <v>-12363.446400000001</v>
      </c>
      <c r="D749" s="2">
        <v>-12365.113386000001</v>
      </c>
      <c r="F749" s="3">
        <v>0.99427900000000002</v>
      </c>
      <c r="G749" s="2">
        <v>0.175619999999999</v>
      </c>
      <c r="H749">
        <v>7</v>
      </c>
      <c r="I749">
        <v>6</v>
      </c>
      <c r="K749" s="8">
        <f t="shared" si="77"/>
        <v>-1.0037307692327886</v>
      </c>
      <c r="L749" s="8">
        <f t="shared" si="78"/>
        <v>-7.7210059171752971E-2</v>
      </c>
      <c r="M749" s="8">
        <f t="shared" si="79"/>
        <v>-1.2445941538462648</v>
      </c>
      <c r="N749" s="8">
        <f t="shared" si="80"/>
        <v>-9.5738011834328063E-2</v>
      </c>
      <c r="O749" s="8"/>
      <c r="P749" t="s">
        <v>1036</v>
      </c>
      <c r="Q749">
        <v>35</v>
      </c>
      <c r="R749" s="8">
        <v>2.8267000000000002</v>
      </c>
      <c r="S749">
        <v>7</v>
      </c>
      <c r="T749" s="8">
        <f t="shared" si="81"/>
        <v>0.2</v>
      </c>
      <c r="U749" s="8">
        <v>2.8476900000000001</v>
      </c>
      <c r="V749">
        <v>20</v>
      </c>
      <c r="W749" s="8">
        <f t="shared" si="82"/>
        <v>0.5714285714285714</v>
      </c>
      <c r="X749" s="8">
        <v>2.8240500000000002</v>
      </c>
      <c r="Y749">
        <v>8</v>
      </c>
      <c r="Z749" s="8">
        <f t="shared" si="83"/>
        <v>0.22857142857142856</v>
      </c>
      <c r="AA749" s="8">
        <v>2.8149700000000002</v>
      </c>
    </row>
    <row r="750" spans="2:27" ht="15" customHeight="1" x14ac:dyDescent="0.25">
      <c r="B750" s="32">
        <v>539</v>
      </c>
      <c r="C750" s="1">
        <v>-12363.5556</v>
      </c>
      <c r="D750" s="2">
        <v>-12365.112010999999</v>
      </c>
      <c r="F750" s="3">
        <v>0.99545399999999995</v>
      </c>
      <c r="G750" s="2">
        <v>0.18246999999999899</v>
      </c>
      <c r="H750">
        <v>7</v>
      </c>
      <c r="I750">
        <v>6</v>
      </c>
      <c r="K750" s="8">
        <f t="shared" si="77"/>
        <v>-1.1129307692317525</v>
      </c>
      <c r="L750" s="8">
        <f t="shared" si="78"/>
        <v>-8.5610059171673275E-2</v>
      </c>
      <c r="M750" s="8">
        <f t="shared" si="79"/>
        <v>-1.2432191538446205</v>
      </c>
      <c r="N750" s="8">
        <f t="shared" si="80"/>
        <v>-9.5632242603432338E-2</v>
      </c>
      <c r="O750" s="8"/>
      <c r="P750" t="s">
        <v>1037</v>
      </c>
      <c r="Q750">
        <v>33</v>
      </c>
      <c r="R750" s="8">
        <v>2.8088299999999999</v>
      </c>
      <c r="S750">
        <v>4</v>
      </c>
      <c r="T750" s="8">
        <f t="shared" si="81"/>
        <v>0.12121212121212122</v>
      </c>
      <c r="U750" s="8">
        <v>2.8273199999999998</v>
      </c>
      <c r="V750">
        <v>22</v>
      </c>
      <c r="W750" s="8">
        <f t="shared" si="82"/>
        <v>0.66666666666666663</v>
      </c>
      <c r="X750" s="8">
        <v>2.7931900000000001</v>
      </c>
      <c r="Y750">
        <v>7</v>
      </c>
      <c r="Z750" s="8">
        <f t="shared" si="83"/>
        <v>0.21212121212121213</v>
      </c>
      <c r="AA750" s="8">
        <v>2.8474300000000001</v>
      </c>
    </row>
    <row r="751" spans="2:27" ht="15" customHeight="1" x14ac:dyDescent="0.25">
      <c r="B751">
        <v>560</v>
      </c>
      <c r="C751" s="1">
        <v>-12363.648956999999</v>
      </c>
      <c r="D751" s="2">
        <v>-12365.111312000001</v>
      </c>
      <c r="F751" s="3">
        <v>0.99501899999999999</v>
      </c>
      <c r="G751" s="2">
        <v>0.18471000000000001</v>
      </c>
      <c r="H751">
        <v>7</v>
      </c>
      <c r="I751">
        <v>6</v>
      </c>
      <c r="K751" s="8">
        <f t="shared" si="77"/>
        <v>-1.2062877692314942</v>
      </c>
      <c r="L751" s="8">
        <f t="shared" si="78"/>
        <v>-9.2791366863961083E-2</v>
      </c>
      <c r="M751" s="8">
        <f t="shared" si="79"/>
        <v>-1.2425201538462716</v>
      </c>
      <c r="N751" s="8">
        <f t="shared" si="80"/>
        <v>-9.5578473372790115E-2</v>
      </c>
      <c r="O751" s="8"/>
      <c r="P751" t="s">
        <v>1038</v>
      </c>
      <c r="Q751">
        <v>34</v>
      </c>
      <c r="R751" s="8">
        <v>2.8187500000000001</v>
      </c>
      <c r="S751">
        <v>5</v>
      </c>
      <c r="T751" s="8">
        <f t="shared" si="81"/>
        <v>0.14705882352941177</v>
      </c>
      <c r="U751" s="8">
        <v>2.8247599999999999</v>
      </c>
      <c r="V751">
        <v>21</v>
      </c>
      <c r="W751" s="8">
        <f t="shared" si="82"/>
        <v>0.61764705882352944</v>
      </c>
      <c r="X751" s="8">
        <v>2.7977599999999998</v>
      </c>
      <c r="Y751">
        <v>8</v>
      </c>
      <c r="Z751" s="8">
        <f t="shared" si="83"/>
        <v>0.23529411764705882</v>
      </c>
      <c r="AA751" s="8">
        <v>2.8700999999999999</v>
      </c>
    </row>
    <row r="752" spans="2:27" ht="15" customHeight="1" x14ac:dyDescent="0.25">
      <c r="B752">
        <v>556</v>
      </c>
      <c r="C752" s="1">
        <v>-12363.589362999999</v>
      </c>
      <c r="D752" s="2">
        <v>-12365.110938</v>
      </c>
      <c r="F752" s="3">
        <v>0.98910299999999995</v>
      </c>
      <c r="G752" s="2">
        <v>0.156439999999999</v>
      </c>
      <c r="H752">
        <v>7</v>
      </c>
      <c r="I752">
        <v>6</v>
      </c>
      <c r="K752" s="8">
        <f t="shared" si="77"/>
        <v>-1.1466937692312058</v>
      </c>
      <c r="L752" s="8">
        <f t="shared" si="78"/>
        <v>-8.8207213017785058E-2</v>
      </c>
      <c r="M752" s="8">
        <f t="shared" si="79"/>
        <v>-1.2421461538451695</v>
      </c>
      <c r="N752" s="8">
        <f t="shared" si="80"/>
        <v>-9.5549704141936115E-2</v>
      </c>
      <c r="O752" s="8"/>
      <c r="P752" t="s">
        <v>1039</v>
      </c>
      <c r="Q752">
        <v>33</v>
      </c>
      <c r="R752" s="8">
        <v>2.8073299999999999</v>
      </c>
      <c r="S752">
        <v>5</v>
      </c>
      <c r="T752" s="8">
        <f t="shared" si="81"/>
        <v>0.15151515151515152</v>
      </c>
      <c r="U752" s="8">
        <v>2.8174800000000002</v>
      </c>
      <c r="V752">
        <v>20</v>
      </c>
      <c r="W752" s="8">
        <f t="shared" si="82"/>
        <v>0.60606060606060608</v>
      </c>
      <c r="X752" s="8">
        <v>2.78634</v>
      </c>
      <c r="Y752">
        <v>8</v>
      </c>
      <c r="Z752" s="8">
        <f t="shared" si="83"/>
        <v>0.24242424242424243</v>
      </c>
      <c r="AA752" s="8">
        <v>2.85345</v>
      </c>
    </row>
    <row r="753" spans="2:27" ht="15" customHeight="1" x14ac:dyDescent="0.25">
      <c r="B753">
        <v>515</v>
      </c>
      <c r="C753" s="1">
        <v>-12363.800311999999</v>
      </c>
      <c r="D753" s="2">
        <v>-12365.102202</v>
      </c>
      <c r="F753" s="3">
        <v>0.99401700000000004</v>
      </c>
      <c r="G753" s="2">
        <v>0.17857999999999899</v>
      </c>
      <c r="H753">
        <v>7</v>
      </c>
      <c r="I753">
        <v>6</v>
      </c>
      <c r="K753" s="8">
        <f t="shared" si="77"/>
        <v>-1.357642769231461</v>
      </c>
      <c r="L753" s="8">
        <f t="shared" si="78"/>
        <v>-0.10443405917165084</v>
      </c>
      <c r="M753" s="8">
        <f t="shared" si="79"/>
        <v>-1.2334101538453979</v>
      </c>
      <c r="N753" s="8">
        <f t="shared" si="80"/>
        <v>-9.4877704141953678E-2</v>
      </c>
      <c r="O753" s="8"/>
      <c r="P753" t="s">
        <v>1040</v>
      </c>
      <c r="Q753">
        <v>34</v>
      </c>
      <c r="R753" s="8">
        <v>2.8154599999999999</v>
      </c>
      <c r="S753">
        <v>5</v>
      </c>
      <c r="T753" s="8">
        <f t="shared" si="81"/>
        <v>0.14705882352941177</v>
      </c>
      <c r="U753" s="8">
        <v>2.7784900000000001</v>
      </c>
      <c r="V753">
        <v>19</v>
      </c>
      <c r="W753" s="8">
        <f t="shared" si="82"/>
        <v>0.55882352941176472</v>
      </c>
      <c r="X753" s="8">
        <v>2.8003999999999998</v>
      </c>
      <c r="Y753">
        <v>10</v>
      </c>
      <c r="Z753" s="8">
        <f t="shared" si="83"/>
        <v>0.29411764705882354</v>
      </c>
      <c r="AA753" s="8">
        <v>2.8625799999999999</v>
      </c>
    </row>
    <row r="754" spans="2:27" ht="15" customHeight="1" x14ac:dyDescent="0.25">
      <c r="B754">
        <v>614</v>
      </c>
      <c r="C754" s="1">
        <v>-12363.58597</v>
      </c>
      <c r="D754" s="2">
        <v>-12365.100936000001</v>
      </c>
      <c r="F754" s="3">
        <v>0.99726300000000001</v>
      </c>
      <c r="G754" s="2">
        <v>0.18912000000000001</v>
      </c>
      <c r="H754">
        <v>7</v>
      </c>
      <c r="I754">
        <v>6</v>
      </c>
      <c r="K754" s="8">
        <f t="shared" si="77"/>
        <v>-1.1433007692321553</v>
      </c>
      <c r="L754" s="8">
        <f t="shared" si="78"/>
        <v>-8.7946213017858099E-2</v>
      </c>
      <c r="M754" s="8">
        <f t="shared" si="79"/>
        <v>-1.2321441538460931</v>
      </c>
      <c r="N754" s="8">
        <f t="shared" si="80"/>
        <v>-9.4780319526622553E-2</v>
      </c>
      <c r="O754" s="8"/>
      <c r="P754" t="s">
        <v>1041</v>
      </c>
      <c r="Q754">
        <v>34</v>
      </c>
      <c r="R754" s="8">
        <v>2.8203399999999998</v>
      </c>
      <c r="S754">
        <v>6</v>
      </c>
      <c r="T754" s="8">
        <f t="shared" si="81"/>
        <v>0.17647058823529413</v>
      </c>
      <c r="U754" s="8">
        <v>2.8036300000000001</v>
      </c>
      <c r="V754">
        <v>20</v>
      </c>
      <c r="W754" s="8">
        <f t="shared" si="82"/>
        <v>0.58823529411764708</v>
      </c>
      <c r="X754" s="8">
        <v>2.81182</v>
      </c>
      <c r="Y754">
        <v>8</v>
      </c>
      <c r="Z754" s="8">
        <f t="shared" si="83"/>
        <v>0.23529411764705882</v>
      </c>
      <c r="AA754" s="8">
        <v>2.8541599999999998</v>
      </c>
    </row>
    <row r="755" spans="2:27" ht="15" customHeight="1" x14ac:dyDescent="0.25">
      <c r="B755">
        <v>711</v>
      </c>
      <c r="C755" s="1">
        <v>-12363.620207</v>
      </c>
      <c r="D755" s="2">
        <v>-12365.096828</v>
      </c>
      <c r="F755" s="3">
        <v>0.99852700000000005</v>
      </c>
      <c r="G755" s="2">
        <v>0.21281999999999901</v>
      </c>
      <c r="H755">
        <v>7</v>
      </c>
      <c r="I755">
        <v>6</v>
      </c>
      <c r="K755" s="8">
        <f t="shared" si="77"/>
        <v>-1.1775377692320035</v>
      </c>
      <c r="L755" s="8">
        <f t="shared" si="78"/>
        <v>-9.0579828402461801E-2</v>
      </c>
      <c r="M755" s="8">
        <f t="shared" si="79"/>
        <v>-1.2280361538450961</v>
      </c>
      <c r="N755" s="8">
        <f t="shared" si="80"/>
        <v>-9.4464319526545854E-2</v>
      </c>
      <c r="O755" s="8"/>
      <c r="P755" t="s">
        <v>1042</v>
      </c>
      <c r="Q755">
        <v>34</v>
      </c>
      <c r="R755" s="8">
        <v>2.81711</v>
      </c>
      <c r="S755">
        <v>6</v>
      </c>
      <c r="T755" s="8">
        <f t="shared" si="81"/>
        <v>0.17647058823529413</v>
      </c>
      <c r="U755" s="8">
        <v>2.8581799999999999</v>
      </c>
      <c r="V755">
        <v>22</v>
      </c>
      <c r="W755" s="8">
        <f t="shared" si="82"/>
        <v>0.6470588235294118</v>
      </c>
      <c r="X755" s="8">
        <v>2.7947199999999999</v>
      </c>
      <c r="Y755">
        <v>6</v>
      </c>
      <c r="Z755" s="8">
        <f t="shared" si="83"/>
        <v>0.17647058823529413</v>
      </c>
      <c r="AA755" s="8">
        <v>2.8581400000000001</v>
      </c>
    </row>
    <row r="756" spans="2:27" ht="15" customHeight="1" x14ac:dyDescent="0.25">
      <c r="B756">
        <v>700</v>
      </c>
      <c r="C756" s="1">
        <v>-12363.800644999999</v>
      </c>
      <c r="D756" s="2">
        <v>-12365.089951</v>
      </c>
      <c r="F756" s="3">
        <v>0.998166</v>
      </c>
      <c r="G756" s="2">
        <v>0.20155999999999999</v>
      </c>
      <c r="H756">
        <v>7</v>
      </c>
      <c r="I756">
        <v>6</v>
      </c>
      <c r="K756" s="8">
        <f t="shared" si="77"/>
        <v>-1.3579757692314161</v>
      </c>
      <c r="L756" s="8">
        <f t="shared" si="78"/>
        <v>-0.10445967455626277</v>
      </c>
      <c r="M756" s="8">
        <f t="shared" si="79"/>
        <v>-1.2211591538452922</v>
      </c>
      <c r="N756" s="8">
        <f t="shared" si="80"/>
        <v>-9.3935319526560937E-2</v>
      </c>
      <c r="O756" s="8"/>
      <c r="P756" t="s">
        <v>1043</v>
      </c>
      <c r="Q756">
        <v>32</v>
      </c>
      <c r="R756" s="8">
        <v>2.7974700000000001</v>
      </c>
      <c r="S756">
        <v>6</v>
      </c>
      <c r="T756" s="8">
        <f t="shared" si="81"/>
        <v>0.1875</v>
      </c>
      <c r="U756" s="8">
        <v>2.8073000000000001</v>
      </c>
      <c r="V756">
        <v>16</v>
      </c>
      <c r="W756" s="8">
        <f t="shared" si="82"/>
        <v>0.5</v>
      </c>
      <c r="X756" s="8">
        <v>2.7975400000000001</v>
      </c>
      <c r="Y756">
        <v>10</v>
      </c>
      <c r="Z756" s="8">
        <f t="shared" si="83"/>
        <v>0.3125</v>
      </c>
      <c r="AA756" s="8">
        <v>2.7914599999999998</v>
      </c>
    </row>
    <row r="757" spans="2:27" ht="15" customHeight="1" x14ac:dyDescent="0.25">
      <c r="B757">
        <v>616</v>
      </c>
      <c r="C757" s="1">
        <v>-12363.629622</v>
      </c>
      <c r="D757" s="2">
        <v>-12365.089694</v>
      </c>
      <c r="F757" s="3">
        <v>0.99780899999999995</v>
      </c>
      <c r="G757" s="2">
        <v>0.203569999999999</v>
      </c>
      <c r="H757">
        <v>7</v>
      </c>
      <c r="I757">
        <v>6</v>
      </c>
      <c r="K757" s="8">
        <f t="shared" si="77"/>
        <v>-1.1869527692324482</v>
      </c>
      <c r="L757" s="8">
        <f t="shared" si="78"/>
        <v>-9.1304059171726779E-2</v>
      </c>
      <c r="M757" s="8">
        <f t="shared" si="79"/>
        <v>-1.2209021538456</v>
      </c>
      <c r="N757" s="8">
        <f t="shared" si="80"/>
        <v>-9.3915550295815386E-2</v>
      </c>
      <c r="O757" s="8"/>
      <c r="P757" t="s">
        <v>1044</v>
      </c>
      <c r="Q757">
        <v>35</v>
      </c>
      <c r="R757" s="8">
        <v>2.8300299999999998</v>
      </c>
      <c r="S757">
        <v>6</v>
      </c>
      <c r="T757" s="8">
        <f t="shared" si="81"/>
        <v>0.17142857142857143</v>
      </c>
      <c r="U757" s="8">
        <v>2.7988300000000002</v>
      </c>
      <c r="V757">
        <v>19</v>
      </c>
      <c r="W757" s="8">
        <f t="shared" si="82"/>
        <v>0.54285714285714282</v>
      </c>
      <c r="X757" s="8">
        <v>2.8149799999999998</v>
      </c>
      <c r="Y757">
        <v>10</v>
      </c>
      <c r="Z757" s="8">
        <f t="shared" si="83"/>
        <v>0.2857142857142857</v>
      </c>
      <c r="AA757" s="8">
        <v>2.8773300000000002</v>
      </c>
    </row>
    <row r="758" spans="2:27" ht="15" customHeight="1" x14ac:dyDescent="0.25">
      <c r="B758">
        <v>713</v>
      </c>
      <c r="C758" s="1">
        <v>-12363.705099999999</v>
      </c>
      <c r="D758" s="2">
        <v>-12365.089121000001</v>
      </c>
      <c r="F758" s="3">
        <v>0.99738499999999997</v>
      </c>
      <c r="G758" s="2">
        <v>0.19656999999999999</v>
      </c>
      <c r="H758">
        <v>7</v>
      </c>
      <c r="I758">
        <v>6</v>
      </c>
      <c r="K758" s="8">
        <f t="shared" si="77"/>
        <v>-1.2624307692312868</v>
      </c>
      <c r="L758" s="8">
        <f t="shared" si="78"/>
        <v>-9.7110059171637453E-2</v>
      </c>
      <c r="M758" s="8">
        <f t="shared" si="79"/>
        <v>-1.2203291538462508</v>
      </c>
      <c r="N758" s="8">
        <f t="shared" si="80"/>
        <v>-9.3871473372788533E-2</v>
      </c>
      <c r="O758" s="8"/>
      <c r="P758" t="s">
        <v>1045</v>
      </c>
      <c r="Q758">
        <v>34</v>
      </c>
      <c r="R758" s="8">
        <v>2.8222100000000001</v>
      </c>
      <c r="S758">
        <v>6</v>
      </c>
      <c r="T758" s="8">
        <f t="shared" si="81"/>
        <v>0.17647058823529413</v>
      </c>
      <c r="U758" s="8">
        <v>2.8423600000000002</v>
      </c>
      <c r="V758">
        <v>20</v>
      </c>
      <c r="W758" s="8">
        <f t="shared" si="82"/>
        <v>0.58823529411764708</v>
      </c>
      <c r="X758" s="8">
        <v>2.8100299999999998</v>
      </c>
      <c r="Y758">
        <v>8</v>
      </c>
      <c r="Z758" s="8">
        <f t="shared" si="83"/>
        <v>0.23529411764705882</v>
      </c>
      <c r="AA758" s="8">
        <v>2.8375599999999999</v>
      </c>
    </row>
    <row r="759" spans="2:27" ht="15" customHeight="1" x14ac:dyDescent="0.25">
      <c r="B759">
        <v>530</v>
      </c>
      <c r="C759" s="1">
        <v>-12363.749829</v>
      </c>
      <c r="D759" s="2">
        <v>-12365.089037</v>
      </c>
      <c r="F759" s="3">
        <v>0.99584899999999998</v>
      </c>
      <c r="G759" s="2">
        <v>0.18404000000000001</v>
      </c>
      <c r="H759">
        <v>7</v>
      </c>
      <c r="I759">
        <v>6</v>
      </c>
      <c r="K759" s="8">
        <f t="shared" si="77"/>
        <v>-1.3071597692323849</v>
      </c>
      <c r="L759" s="8">
        <f t="shared" si="78"/>
        <v>-0.10055075147941422</v>
      </c>
      <c r="M759" s="8">
        <f t="shared" si="79"/>
        <v>-1.2202451538450987</v>
      </c>
      <c r="N759" s="8">
        <f t="shared" si="80"/>
        <v>-9.3865011834238357E-2</v>
      </c>
      <c r="O759" s="8"/>
      <c r="P759" t="s">
        <v>1046</v>
      </c>
      <c r="Q759">
        <v>32</v>
      </c>
      <c r="R759" s="8">
        <v>2.798</v>
      </c>
      <c r="S759">
        <v>5</v>
      </c>
      <c r="T759" s="8">
        <f t="shared" si="81"/>
        <v>0.15625</v>
      </c>
      <c r="U759" s="8">
        <v>2.8147199999999999</v>
      </c>
      <c r="V759">
        <v>20</v>
      </c>
      <c r="W759" s="8">
        <f t="shared" si="82"/>
        <v>0.625</v>
      </c>
      <c r="X759" s="8">
        <v>2.7917000000000001</v>
      </c>
      <c r="Y759">
        <v>7</v>
      </c>
      <c r="Z759" s="8">
        <f t="shared" si="83"/>
        <v>0.21875</v>
      </c>
      <c r="AA759" s="8">
        <v>2.80409</v>
      </c>
    </row>
    <row r="760" spans="2:27" ht="15" customHeight="1" x14ac:dyDescent="0.25">
      <c r="B760">
        <v>594</v>
      </c>
      <c r="C760" s="1">
        <v>-12363.74554</v>
      </c>
      <c r="D760" s="2">
        <v>-12365.088156</v>
      </c>
      <c r="F760" s="3">
        <v>0.99669600000000003</v>
      </c>
      <c r="G760" s="2">
        <v>0.20101999999999901</v>
      </c>
      <c r="H760">
        <v>7</v>
      </c>
      <c r="I760">
        <v>6</v>
      </c>
      <c r="K760" s="8">
        <f t="shared" si="77"/>
        <v>-1.3028707692319585</v>
      </c>
      <c r="L760" s="8">
        <f t="shared" si="78"/>
        <v>-0.10022082840245836</v>
      </c>
      <c r="M760" s="8">
        <f t="shared" si="79"/>
        <v>-1.2193641538451629</v>
      </c>
      <c r="N760" s="8">
        <f t="shared" si="80"/>
        <v>-9.3797242603474079E-2</v>
      </c>
      <c r="O760" s="8"/>
      <c r="P760" t="s">
        <v>1047</v>
      </c>
      <c r="Q760">
        <v>34</v>
      </c>
      <c r="R760" s="8">
        <v>2.82002</v>
      </c>
      <c r="S760">
        <v>5</v>
      </c>
      <c r="T760" s="8">
        <f t="shared" si="81"/>
        <v>0.14705882352941177</v>
      </c>
      <c r="U760" s="8">
        <v>2.81704</v>
      </c>
      <c r="V760">
        <v>21</v>
      </c>
      <c r="W760" s="8">
        <f t="shared" si="82"/>
        <v>0.61764705882352944</v>
      </c>
      <c r="X760" s="8">
        <v>2.79697</v>
      </c>
      <c r="Y760">
        <v>8</v>
      </c>
      <c r="Z760" s="8">
        <f t="shared" si="83"/>
        <v>0.23529411764705882</v>
      </c>
      <c r="AA760" s="8">
        <v>2.88239</v>
      </c>
    </row>
    <row r="761" spans="2:27" ht="15" customHeight="1" x14ac:dyDescent="0.25">
      <c r="B761">
        <v>537</v>
      </c>
      <c r="C761" s="1">
        <v>-12363.571624</v>
      </c>
      <c r="D761" s="2">
        <v>-12365.085949</v>
      </c>
      <c r="F761" s="3">
        <v>0.995533</v>
      </c>
      <c r="G761" s="2">
        <v>0.18339</v>
      </c>
      <c r="H761">
        <v>7</v>
      </c>
      <c r="I761">
        <v>6</v>
      </c>
      <c r="K761" s="8">
        <f t="shared" si="77"/>
        <v>-1.128954769232223</v>
      </c>
      <c r="L761" s="8">
        <f t="shared" si="78"/>
        <v>-8.6842674556324856E-2</v>
      </c>
      <c r="M761" s="8">
        <f t="shared" si="79"/>
        <v>-1.2171571538456192</v>
      </c>
      <c r="N761" s="8">
        <f t="shared" si="80"/>
        <v>-9.3627473372739939E-2</v>
      </c>
      <c r="O761" s="8"/>
      <c r="P761" t="s">
        <v>1048</v>
      </c>
      <c r="Q761">
        <v>34</v>
      </c>
      <c r="R761" s="8">
        <v>2.8170700000000002</v>
      </c>
      <c r="S761">
        <v>6</v>
      </c>
      <c r="T761" s="8">
        <f t="shared" si="81"/>
        <v>0.17647058823529413</v>
      </c>
      <c r="U761" s="8">
        <v>2.8219699999999999</v>
      </c>
      <c r="V761">
        <v>20</v>
      </c>
      <c r="W761" s="8">
        <f t="shared" si="82"/>
        <v>0.58823529411764708</v>
      </c>
      <c r="X761" s="8">
        <v>2.8182800000000001</v>
      </c>
      <c r="Y761">
        <v>8</v>
      </c>
      <c r="Z761" s="8">
        <f t="shared" si="83"/>
        <v>0.23529411764705882</v>
      </c>
      <c r="AA761" s="8">
        <v>2.8103600000000002</v>
      </c>
    </row>
    <row r="762" spans="2:27" ht="15" customHeight="1" x14ac:dyDescent="0.25">
      <c r="B762">
        <v>737</v>
      </c>
      <c r="C762" s="1">
        <v>-12363.6705</v>
      </c>
      <c r="D762" s="2">
        <v>-12365.08554</v>
      </c>
      <c r="F762" s="3">
        <v>0.99725699999999995</v>
      </c>
      <c r="G762" s="2">
        <v>0.19767000000000001</v>
      </c>
      <c r="H762">
        <v>7</v>
      </c>
      <c r="I762">
        <v>6</v>
      </c>
      <c r="K762" s="8">
        <f t="shared" si="77"/>
        <v>-1.2278307692322414</v>
      </c>
      <c r="L762" s="8">
        <f t="shared" si="78"/>
        <v>-9.4448520710172415E-2</v>
      </c>
      <c r="M762" s="8">
        <f t="shared" si="79"/>
        <v>-1.2167481538454012</v>
      </c>
      <c r="N762" s="8">
        <f t="shared" si="80"/>
        <v>-9.3596011834261639E-2</v>
      </c>
      <c r="O762" s="8"/>
      <c r="P762" t="s">
        <v>1049</v>
      </c>
      <c r="Q762">
        <v>34</v>
      </c>
      <c r="R762" s="8">
        <v>2.8198500000000002</v>
      </c>
      <c r="S762">
        <v>6</v>
      </c>
      <c r="T762" s="8">
        <f t="shared" si="81"/>
        <v>0.17647058823529413</v>
      </c>
      <c r="U762" s="8">
        <v>2.8129900000000001</v>
      </c>
      <c r="V762">
        <v>19</v>
      </c>
      <c r="W762" s="8">
        <f t="shared" si="82"/>
        <v>0.55882352941176472</v>
      </c>
      <c r="X762" s="8">
        <v>2.8125</v>
      </c>
      <c r="Y762">
        <v>9</v>
      </c>
      <c r="Z762" s="8">
        <f t="shared" si="83"/>
        <v>0.26470588235294118</v>
      </c>
      <c r="AA762" s="8">
        <v>2.8399299999999998</v>
      </c>
    </row>
    <row r="763" spans="2:27" ht="15" customHeight="1" x14ac:dyDescent="0.25">
      <c r="B763">
        <v>534</v>
      </c>
      <c r="C763" s="1">
        <v>-12363.563646000001</v>
      </c>
      <c r="D763" s="2">
        <v>-12365.082731</v>
      </c>
      <c r="F763" s="3">
        <v>0.99648999999999999</v>
      </c>
      <c r="G763" s="2">
        <v>0.18512000000000001</v>
      </c>
      <c r="H763">
        <v>7</v>
      </c>
      <c r="I763">
        <v>6</v>
      </c>
      <c r="K763" s="8">
        <f t="shared" si="77"/>
        <v>-1.120976769232584</v>
      </c>
      <c r="L763" s="8">
        <f t="shared" si="78"/>
        <v>-8.622898224866031E-2</v>
      </c>
      <c r="M763" s="8">
        <f t="shared" si="79"/>
        <v>-1.2139391538457858</v>
      </c>
      <c r="N763" s="8">
        <f t="shared" si="80"/>
        <v>-9.3379934911214296E-2</v>
      </c>
      <c r="O763" s="8"/>
      <c r="P763" t="s">
        <v>1050</v>
      </c>
      <c r="Q763">
        <v>33</v>
      </c>
      <c r="R763" s="8">
        <v>2.8083200000000001</v>
      </c>
      <c r="S763">
        <v>6</v>
      </c>
      <c r="T763" s="8">
        <f t="shared" si="81"/>
        <v>0.18181818181818182</v>
      </c>
      <c r="U763" s="8">
        <v>2.7990599999999999</v>
      </c>
      <c r="V763">
        <v>20</v>
      </c>
      <c r="W763" s="8">
        <f t="shared" si="82"/>
        <v>0.60606060606060608</v>
      </c>
      <c r="X763" s="8">
        <v>2.81664</v>
      </c>
      <c r="Y763">
        <v>7</v>
      </c>
      <c r="Z763" s="8">
        <f t="shared" si="83"/>
        <v>0.21212121212121213</v>
      </c>
      <c r="AA763" s="8">
        <v>2.7924799999999999</v>
      </c>
    </row>
    <row r="764" spans="2:27" ht="15" customHeight="1" x14ac:dyDescent="0.25">
      <c r="B764" s="32">
        <v>506</v>
      </c>
      <c r="C764" s="1">
        <v>-12363.486000000001</v>
      </c>
      <c r="D764" s="2">
        <v>-12365.080246</v>
      </c>
      <c r="F764" s="3">
        <v>0.99596099999999999</v>
      </c>
      <c r="G764" s="2">
        <v>0.18609000000000001</v>
      </c>
      <c r="H764">
        <v>7</v>
      </c>
      <c r="I764">
        <v>6</v>
      </c>
      <c r="K764" s="8">
        <f t="shared" si="77"/>
        <v>-1.0433307692328526</v>
      </c>
      <c r="L764" s="8">
        <f t="shared" si="78"/>
        <v>-8.0256213017911734E-2</v>
      </c>
      <c r="M764" s="8">
        <f t="shared" si="79"/>
        <v>-1.2114541538448975</v>
      </c>
      <c r="N764" s="8">
        <f t="shared" si="80"/>
        <v>-9.3188781064992121E-2</v>
      </c>
      <c r="O764" s="8"/>
      <c r="P764" t="s">
        <v>1051</v>
      </c>
      <c r="Q764">
        <v>36</v>
      </c>
      <c r="R764" s="8">
        <v>2.8316699999999999</v>
      </c>
      <c r="S764">
        <v>7</v>
      </c>
      <c r="T764" s="8">
        <f t="shared" si="81"/>
        <v>0.19444444444444445</v>
      </c>
      <c r="U764" s="8">
        <v>2.8661099999999999</v>
      </c>
      <c r="V764">
        <v>21</v>
      </c>
      <c r="W764" s="8">
        <f t="shared" si="82"/>
        <v>0.58333333333333337</v>
      </c>
      <c r="X764" s="8">
        <v>2.8134100000000002</v>
      </c>
      <c r="Y764">
        <v>8</v>
      </c>
      <c r="Z764" s="8">
        <f t="shared" si="83"/>
        <v>0.22222222222222221</v>
      </c>
      <c r="AA764" s="8">
        <v>2.84945</v>
      </c>
    </row>
    <row r="765" spans="2:27" ht="15" customHeight="1" x14ac:dyDescent="0.25">
      <c r="B765">
        <v>583</v>
      </c>
      <c r="C765" s="1">
        <v>-12363.767347999999</v>
      </c>
      <c r="D765" s="2">
        <v>-12365.079890000001</v>
      </c>
      <c r="F765" s="3">
        <v>0.99388200000000004</v>
      </c>
      <c r="G765" s="2">
        <v>0.17480999999999899</v>
      </c>
      <c r="H765">
        <v>7</v>
      </c>
      <c r="I765">
        <v>6</v>
      </c>
      <c r="K765" s="8">
        <f t="shared" si="77"/>
        <v>-1.3246787692314683</v>
      </c>
      <c r="L765" s="8">
        <f t="shared" si="78"/>
        <v>-0.1018983668639591</v>
      </c>
      <c r="M765" s="8">
        <f t="shared" si="79"/>
        <v>-1.2110981538462511</v>
      </c>
      <c r="N765" s="8">
        <f t="shared" si="80"/>
        <v>-9.3161396449711623E-2</v>
      </c>
      <c r="O765" s="8"/>
      <c r="P765" t="s">
        <v>1052</v>
      </c>
      <c r="Q765">
        <v>35</v>
      </c>
      <c r="R765" s="8">
        <v>2.82633</v>
      </c>
      <c r="S765">
        <v>6</v>
      </c>
      <c r="T765" s="8">
        <f t="shared" si="81"/>
        <v>0.17142857142857143</v>
      </c>
      <c r="U765" s="8">
        <v>2.8201499999999999</v>
      </c>
      <c r="V765">
        <v>21</v>
      </c>
      <c r="W765" s="8">
        <f t="shared" si="82"/>
        <v>0.6</v>
      </c>
      <c r="X765" s="8">
        <v>2.8211200000000001</v>
      </c>
      <c r="Y765">
        <v>8</v>
      </c>
      <c r="Z765" s="8">
        <f t="shared" si="83"/>
        <v>0.22857142857142856</v>
      </c>
      <c r="AA765" s="8">
        <v>2.8446500000000001</v>
      </c>
    </row>
    <row r="766" spans="2:27" ht="15" customHeight="1" x14ac:dyDescent="0.25">
      <c r="B766">
        <v>580</v>
      </c>
      <c r="C766" s="1">
        <v>-12363.570008000001</v>
      </c>
      <c r="D766" s="2">
        <v>-12365.079409</v>
      </c>
      <c r="F766" s="3">
        <v>0.995749</v>
      </c>
      <c r="G766" s="2">
        <v>0.18668000000000001</v>
      </c>
      <c r="H766">
        <v>7</v>
      </c>
      <c r="I766">
        <v>6</v>
      </c>
      <c r="K766" s="8">
        <f t="shared" si="77"/>
        <v>-1.1273387692326651</v>
      </c>
      <c r="L766" s="8">
        <f t="shared" si="78"/>
        <v>-8.6718366864051155E-2</v>
      </c>
      <c r="M766" s="8">
        <f t="shared" si="79"/>
        <v>-1.2106171538453054</v>
      </c>
      <c r="N766" s="8">
        <f t="shared" si="80"/>
        <v>-9.312439644963888E-2</v>
      </c>
      <c r="O766" s="8"/>
      <c r="P766" t="s">
        <v>1053</v>
      </c>
      <c r="Q766">
        <v>35</v>
      </c>
      <c r="R766" s="8">
        <v>2.8318500000000002</v>
      </c>
      <c r="S766">
        <v>7</v>
      </c>
      <c r="T766" s="8">
        <f t="shared" si="81"/>
        <v>0.2</v>
      </c>
      <c r="U766" s="8">
        <v>2.8070599999999999</v>
      </c>
      <c r="V766">
        <v>17</v>
      </c>
      <c r="W766" s="8">
        <f t="shared" si="82"/>
        <v>0.48571428571428571</v>
      </c>
      <c r="X766" s="8">
        <v>2.8186200000000001</v>
      </c>
      <c r="Y766">
        <v>11</v>
      </c>
      <c r="Z766" s="8">
        <f t="shared" si="83"/>
        <v>0.31428571428571428</v>
      </c>
      <c r="AA766" s="8">
        <v>2.8680699999999999</v>
      </c>
    </row>
    <row r="767" spans="2:27" ht="15" customHeight="1" x14ac:dyDescent="0.25">
      <c r="B767" s="32">
        <v>360</v>
      </c>
      <c r="C767" s="1">
        <v>-12363.3056</v>
      </c>
      <c r="D767" s="2">
        <v>-12365.079293000001</v>
      </c>
      <c r="F767" s="3">
        <v>0.99439299999999997</v>
      </c>
      <c r="G767" s="2">
        <v>0.17621999999999899</v>
      </c>
      <c r="H767">
        <v>7</v>
      </c>
      <c r="I767">
        <v>6</v>
      </c>
      <c r="K767" s="8">
        <f t="shared" si="77"/>
        <v>-0.86293076923175249</v>
      </c>
      <c r="L767" s="8">
        <f t="shared" si="78"/>
        <v>-6.6379289940904043E-2</v>
      </c>
      <c r="M767" s="8">
        <f t="shared" si="79"/>
        <v>-1.2105011538460531</v>
      </c>
      <c r="N767" s="8">
        <f t="shared" si="80"/>
        <v>-9.3115473372773316E-2</v>
      </c>
      <c r="O767" s="8"/>
      <c r="P767" t="s">
        <v>1054</v>
      </c>
      <c r="Q767">
        <v>36</v>
      </c>
      <c r="R767" s="8">
        <v>2.8365800000000001</v>
      </c>
      <c r="S767">
        <v>7</v>
      </c>
      <c r="T767" s="8">
        <f t="shared" si="81"/>
        <v>0.19444444444444445</v>
      </c>
      <c r="U767" s="8">
        <v>2.8460899999999998</v>
      </c>
      <c r="V767">
        <v>19</v>
      </c>
      <c r="W767" s="8">
        <f t="shared" si="82"/>
        <v>0.52777777777777779</v>
      </c>
      <c r="X767" s="8">
        <v>2.8401999999999998</v>
      </c>
      <c r="Y767">
        <v>10</v>
      </c>
      <c r="Z767" s="8">
        <f t="shared" si="83"/>
        <v>0.27777777777777779</v>
      </c>
      <c r="AA767" s="8">
        <v>2.8230499999999998</v>
      </c>
    </row>
    <row r="768" spans="2:27" ht="15" customHeight="1" x14ac:dyDescent="0.25">
      <c r="B768">
        <v>570</v>
      </c>
      <c r="C768" s="1">
        <v>-12363.770042</v>
      </c>
      <c r="D768" s="2">
        <v>-12365.075723</v>
      </c>
      <c r="F768" s="3">
        <v>0.99652799999999997</v>
      </c>
      <c r="G768" s="2">
        <v>0.18873999999999899</v>
      </c>
      <c r="H768">
        <v>7</v>
      </c>
      <c r="I768">
        <v>6</v>
      </c>
      <c r="K768" s="8">
        <f t="shared" si="77"/>
        <v>-1.32737276923217</v>
      </c>
      <c r="L768" s="8">
        <f t="shared" si="78"/>
        <v>-0.10210559763324384</v>
      </c>
      <c r="M768" s="8">
        <f t="shared" si="79"/>
        <v>-1.2069311538452894</v>
      </c>
      <c r="N768" s="8">
        <f t="shared" si="80"/>
        <v>-9.2840857988099185E-2</v>
      </c>
      <c r="O768" s="8"/>
      <c r="P768" t="s">
        <v>1055</v>
      </c>
      <c r="Q768">
        <v>36</v>
      </c>
      <c r="R768" s="8">
        <v>2.8441000000000001</v>
      </c>
      <c r="S768">
        <v>8</v>
      </c>
      <c r="T768" s="8">
        <f t="shared" si="81"/>
        <v>0.22222222222222221</v>
      </c>
      <c r="U768" s="8">
        <v>2.92679</v>
      </c>
      <c r="V768">
        <v>22</v>
      </c>
      <c r="W768" s="8">
        <f t="shared" si="82"/>
        <v>0.61111111111111116</v>
      </c>
      <c r="X768" s="8">
        <v>2.8401399999999999</v>
      </c>
      <c r="Y768">
        <v>6</v>
      </c>
      <c r="Z768" s="8">
        <f t="shared" si="83"/>
        <v>0.16666666666666666</v>
      </c>
      <c r="AA768" s="8">
        <v>2.74838</v>
      </c>
    </row>
    <row r="769" spans="2:27" ht="15" customHeight="1" x14ac:dyDescent="0.25">
      <c r="B769">
        <v>626</v>
      </c>
      <c r="C769" s="1">
        <v>-12363.556752</v>
      </c>
      <c r="D769" s="2">
        <v>-12365.069646</v>
      </c>
      <c r="F769" s="3">
        <v>0.99127900000000002</v>
      </c>
      <c r="G769" s="2">
        <v>0.16070999999999899</v>
      </c>
      <c r="H769">
        <v>7</v>
      </c>
      <c r="I769">
        <v>6</v>
      </c>
      <c r="K769" s="8">
        <f t="shared" si="77"/>
        <v>-1.114082769232482</v>
      </c>
      <c r="L769" s="8">
        <f t="shared" si="78"/>
        <v>-8.5698674556344764E-2</v>
      </c>
      <c r="M769" s="8">
        <f t="shared" si="79"/>
        <v>-1.2008541538452846</v>
      </c>
      <c r="N769" s="8">
        <f t="shared" si="80"/>
        <v>-9.2373396449637282E-2</v>
      </c>
      <c r="O769" s="8"/>
      <c r="P769" t="s">
        <v>1056</v>
      </c>
      <c r="Q769">
        <v>36</v>
      </c>
      <c r="R769" s="8">
        <v>2.8430800000000001</v>
      </c>
      <c r="S769">
        <v>7</v>
      </c>
      <c r="T769" s="8">
        <f t="shared" si="81"/>
        <v>0.19444444444444445</v>
      </c>
      <c r="U769" s="8">
        <v>2.8491499999999998</v>
      </c>
      <c r="V769">
        <v>20</v>
      </c>
      <c r="W769" s="8">
        <f t="shared" si="82"/>
        <v>0.55555555555555558</v>
      </c>
      <c r="X769" s="8">
        <v>2.81657</v>
      </c>
      <c r="Y769">
        <v>9</v>
      </c>
      <c r="Z769" s="8">
        <f t="shared" si="83"/>
        <v>0.25</v>
      </c>
      <c r="AA769" s="8">
        <v>2.8972799999999999</v>
      </c>
    </row>
    <row r="770" spans="2:27" ht="15" customHeight="1" x14ac:dyDescent="0.25">
      <c r="B770" s="32">
        <v>467</v>
      </c>
      <c r="C770" s="1">
        <v>-12363.3951</v>
      </c>
      <c r="D770" s="2">
        <v>-12365.066962000001</v>
      </c>
      <c r="F770" s="3">
        <v>0.99458500000000005</v>
      </c>
      <c r="G770" s="2">
        <v>0.17721999999999899</v>
      </c>
      <c r="H770">
        <v>7</v>
      </c>
      <c r="I770">
        <v>6</v>
      </c>
      <c r="K770" s="8">
        <f t="shared" si="77"/>
        <v>-0.95243076923179615</v>
      </c>
      <c r="L770" s="8">
        <f t="shared" si="78"/>
        <v>-7.326390532552278E-2</v>
      </c>
      <c r="M770" s="8">
        <f t="shared" si="79"/>
        <v>-1.1981701538461493</v>
      </c>
      <c r="N770" s="8">
        <f t="shared" si="80"/>
        <v>-9.2166934911242254E-2</v>
      </c>
      <c r="O770" s="8"/>
      <c r="P770" t="s">
        <v>1057</v>
      </c>
      <c r="Q770">
        <v>35</v>
      </c>
      <c r="R770" s="8">
        <v>2.8336800000000002</v>
      </c>
      <c r="S770">
        <v>8</v>
      </c>
      <c r="T770" s="8">
        <f t="shared" si="81"/>
        <v>0.22857142857142856</v>
      </c>
      <c r="U770" s="8">
        <v>2.9352499999999999</v>
      </c>
      <c r="V770">
        <v>20</v>
      </c>
      <c r="W770" s="8">
        <f t="shared" si="82"/>
        <v>0.5714285714285714</v>
      </c>
      <c r="X770" s="8">
        <v>2.7860499999999999</v>
      </c>
      <c r="Y770">
        <v>7</v>
      </c>
      <c r="Z770" s="8">
        <f t="shared" si="83"/>
        <v>0.2</v>
      </c>
      <c r="AA770" s="8">
        <v>2.8536700000000002</v>
      </c>
    </row>
    <row r="771" spans="2:27" ht="15" customHeight="1" x14ac:dyDescent="0.25">
      <c r="B771">
        <v>615</v>
      </c>
      <c r="C771" s="1">
        <v>-12363.576290000001</v>
      </c>
      <c r="D771" s="2">
        <v>-12365.066606</v>
      </c>
      <c r="F771" s="3">
        <v>0.99670199999999998</v>
      </c>
      <c r="G771" s="2">
        <v>0.19789000000000001</v>
      </c>
      <c r="H771">
        <v>7</v>
      </c>
      <c r="I771">
        <v>6</v>
      </c>
      <c r="K771" s="8">
        <f t="shared" ref="K771:K834" si="84">IF(ISNUMBER(C771),C771-(($C$3-$C$2236)/($H$3-$H$2236)*H771+$C$2236),"")</f>
        <v>-1.1336207692329481</v>
      </c>
      <c r="L771" s="8">
        <f t="shared" ref="L771:L834" si="85">IF(ISNUMBER(C771),K771/(H771+I771),"")</f>
        <v>-8.7201597633303693E-2</v>
      </c>
      <c r="M771" s="8">
        <f t="shared" ref="M771:M834" si="86">IF(ISNUMBER(D771),D771-(($D$3-$D$2236)/($H$3-$H$2236)*H771+$D$2236),"")</f>
        <v>-1.1978141538456839</v>
      </c>
      <c r="N771" s="8">
        <f t="shared" ref="N771:N834" si="87">IF(ISNUMBER(D771),M771/(H771+I771),"")</f>
        <v>-9.213955029582184E-2</v>
      </c>
      <c r="O771" s="8"/>
      <c r="P771" t="s">
        <v>1058</v>
      </c>
      <c r="Q771">
        <v>34</v>
      </c>
      <c r="R771" s="8">
        <v>2.81711</v>
      </c>
      <c r="S771">
        <v>6</v>
      </c>
      <c r="T771" s="8">
        <f t="shared" ref="T771:T834" si="88">IF(ISNUMBER(S771),S771/(Q771),"")</f>
        <v>0.17647058823529413</v>
      </c>
      <c r="U771" s="8">
        <v>2.7906</v>
      </c>
      <c r="V771">
        <v>18</v>
      </c>
      <c r="W771" s="8">
        <f t="shared" ref="W771:W834" si="89">IF(ISNUMBER(V771),V771/($Q771),"")</f>
        <v>0.52941176470588236</v>
      </c>
      <c r="X771" s="8">
        <v>2.7993199999999998</v>
      </c>
      <c r="Y771">
        <v>10</v>
      </c>
      <c r="Z771" s="8">
        <f t="shared" ref="Z771:Z834" si="90">IF(ISNUMBER(Y771),Y771/($Q771),"")</f>
        <v>0.29411764705882354</v>
      </c>
      <c r="AA771" s="8">
        <v>2.86504</v>
      </c>
    </row>
    <row r="772" spans="2:27" ht="15" customHeight="1" x14ac:dyDescent="0.25">
      <c r="B772">
        <v>726</v>
      </c>
      <c r="C772" s="1">
        <v>-12363.547420999999</v>
      </c>
      <c r="D772" s="2">
        <v>-12365.06612</v>
      </c>
      <c r="F772" s="3">
        <v>0.99741599999999997</v>
      </c>
      <c r="G772" s="2">
        <v>0.19664999999999999</v>
      </c>
      <c r="H772">
        <v>7</v>
      </c>
      <c r="I772">
        <v>6</v>
      </c>
      <c r="K772" s="8">
        <f t="shared" si="84"/>
        <v>-1.1047517692313704</v>
      </c>
      <c r="L772" s="8">
        <f t="shared" si="85"/>
        <v>-8.4980905325490033E-2</v>
      </c>
      <c r="M772" s="8">
        <f t="shared" si="86"/>
        <v>-1.1973281538448646</v>
      </c>
      <c r="N772" s="8">
        <f t="shared" si="87"/>
        <v>-9.2102165680374201E-2</v>
      </c>
      <c r="O772" s="8"/>
      <c r="P772" t="s">
        <v>1059</v>
      </c>
      <c r="Q772">
        <v>34</v>
      </c>
      <c r="R772" s="8">
        <v>2.8165300000000002</v>
      </c>
      <c r="S772">
        <v>7</v>
      </c>
      <c r="T772" s="8">
        <f t="shared" si="88"/>
        <v>0.20588235294117646</v>
      </c>
      <c r="U772" s="8">
        <v>2.7756400000000001</v>
      </c>
      <c r="V772">
        <v>16</v>
      </c>
      <c r="W772" s="8">
        <f t="shared" si="89"/>
        <v>0.47058823529411764</v>
      </c>
      <c r="X772" s="8">
        <v>2.81569</v>
      </c>
      <c r="Y772">
        <v>11</v>
      </c>
      <c r="Z772" s="8">
        <f t="shared" si="90"/>
        <v>0.3235294117647059</v>
      </c>
      <c r="AA772" s="8">
        <v>2.8437899999999998</v>
      </c>
    </row>
    <row r="773" spans="2:27" ht="15" customHeight="1" x14ac:dyDescent="0.25">
      <c r="B773">
        <v>669</v>
      </c>
      <c r="C773" s="1">
        <v>-12363.508777999999</v>
      </c>
      <c r="D773" s="2">
        <v>-12365.065482</v>
      </c>
      <c r="F773" s="3">
        <v>0.99485800000000002</v>
      </c>
      <c r="G773" s="2">
        <v>0.17842999999999901</v>
      </c>
      <c r="H773">
        <v>7</v>
      </c>
      <c r="I773">
        <v>6</v>
      </c>
      <c r="K773" s="8">
        <f t="shared" si="84"/>
        <v>-1.066108769231505</v>
      </c>
      <c r="L773" s="8">
        <f t="shared" si="85"/>
        <v>-8.2008366863961929E-2</v>
      </c>
      <c r="M773" s="8">
        <f t="shared" si="86"/>
        <v>-1.1966901538453385</v>
      </c>
      <c r="N773" s="8">
        <f t="shared" si="87"/>
        <v>-9.2053088757333729E-2</v>
      </c>
      <c r="O773" s="8"/>
      <c r="P773" t="s">
        <v>1060</v>
      </c>
      <c r="Q773">
        <v>34</v>
      </c>
      <c r="R773" s="8">
        <v>2.8244799999999999</v>
      </c>
      <c r="S773">
        <v>5</v>
      </c>
      <c r="T773" s="8">
        <f t="shared" si="88"/>
        <v>0.14705882352941177</v>
      </c>
      <c r="U773" s="8">
        <v>2.8399100000000002</v>
      </c>
      <c r="V773">
        <v>21</v>
      </c>
      <c r="W773" s="8">
        <f t="shared" si="89"/>
        <v>0.61764705882352944</v>
      </c>
      <c r="X773" s="8">
        <v>2.78396</v>
      </c>
      <c r="Y773">
        <v>8</v>
      </c>
      <c r="Z773" s="8">
        <f t="shared" si="90"/>
        <v>0.23529411764705882</v>
      </c>
      <c r="AA773" s="8">
        <v>2.92117</v>
      </c>
    </row>
    <row r="774" spans="2:27" ht="15" customHeight="1" x14ac:dyDescent="0.25">
      <c r="B774">
        <v>705</v>
      </c>
      <c r="C774" s="1">
        <v>-12363.535673</v>
      </c>
      <c r="D774" s="2">
        <v>-12365.064338</v>
      </c>
      <c r="F774" s="3">
        <v>0.99757499999999999</v>
      </c>
      <c r="G774" s="2">
        <v>0.19958999999999999</v>
      </c>
      <c r="H774">
        <v>7</v>
      </c>
      <c r="I774">
        <v>6</v>
      </c>
      <c r="K774" s="8">
        <f t="shared" si="84"/>
        <v>-1.0930037692323822</v>
      </c>
      <c r="L774" s="8">
        <f t="shared" si="85"/>
        <v>-8.4077213017875546E-2</v>
      </c>
      <c r="M774" s="8">
        <f t="shared" si="86"/>
        <v>-1.1955461538454983</v>
      </c>
      <c r="N774" s="8">
        <f t="shared" si="87"/>
        <v>-9.196508875734602E-2</v>
      </c>
      <c r="O774" s="8"/>
      <c r="P774" t="s">
        <v>1061</v>
      </c>
      <c r="Q774">
        <v>34</v>
      </c>
      <c r="R774" s="8">
        <v>2.8196599999999998</v>
      </c>
      <c r="S774">
        <v>6</v>
      </c>
      <c r="T774" s="8">
        <f t="shared" si="88"/>
        <v>0.17647058823529413</v>
      </c>
      <c r="U774" s="8">
        <v>2.8317899999999998</v>
      </c>
      <c r="V774">
        <v>22</v>
      </c>
      <c r="W774" s="8">
        <f t="shared" si="89"/>
        <v>0.6470588235294118</v>
      </c>
      <c r="X774" s="8">
        <v>2.80803</v>
      </c>
      <c r="Y774">
        <v>6</v>
      </c>
      <c r="Z774" s="8">
        <f t="shared" si="90"/>
        <v>0.17647058823529413</v>
      </c>
      <c r="AA774" s="8">
        <v>2.8501699999999999</v>
      </c>
    </row>
    <row r="775" spans="2:27" ht="15" customHeight="1" x14ac:dyDescent="0.25">
      <c r="B775">
        <v>581</v>
      </c>
      <c r="C775" s="1">
        <v>-12363.732282999999</v>
      </c>
      <c r="D775" s="2">
        <v>-12365.063931999999</v>
      </c>
      <c r="F775" s="3">
        <v>0.99558100000000005</v>
      </c>
      <c r="G775" s="2">
        <v>0.18115000000000001</v>
      </c>
      <c r="H775">
        <v>7</v>
      </c>
      <c r="I775">
        <v>6</v>
      </c>
      <c r="K775" s="8">
        <f t="shared" si="84"/>
        <v>-1.2896137692314369</v>
      </c>
      <c r="L775" s="8">
        <f t="shared" si="85"/>
        <v>-9.9201059171648995E-2</v>
      </c>
      <c r="M775" s="8">
        <f t="shared" si="86"/>
        <v>-1.195140153844477</v>
      </c>
      <c r="N775" s="8">
        <f t="shared" si="87"/>
        <v>-9.1933857988036688E-2</v>
      </c>
      <c r="O775" s="8"/>
      <c r="P775" t="s">
        <v>1062</v>
      </c>
      <c r="Q775">
        <v>35</v>
      </c>
      <c r="R775" s="8">
        <v>2.8245399999999998</v>
      </c>
      <c r="S775">
        <v>7</v>
      </c>
      <c r="T775" s="8">
        <f t="shared" si="88"/>
        <v>0.2</v>
      </c>
      <c r="U775" s="8">
        <v>2.8520500000000002</v>
      </c>
      <c r="V775">
        <v>22</v>
      </c>
      <c r="W775" s="8">
        <f t="shared" si="89"/>
        <v>0.62857142857142856</v>
      </c>
      <c r="X775" s="8">
        <v>2.8237899999999998</v>
      </c>
      <c r="Y775">
        <v>6</v>
      </c>
      <c r="Z775" s="8">
        <f t="shared" si="90"/>
        <v>0.17142857142857143</v>
      </c>
      <c r="AA775" s="8">
        <v>2.79521</v>
      </c>
    </row>
    <row r="776" spans="2:27" ht="15" customHeight="1" x14ac:dyDescent="0.25">
      <c r="B776">
        <v>585</v>
      </c>
      <c r="C776" s="1">
        <v>-12363.759177</v>
      </c>
      <c r="D776" s="2">
        <v>-12365.063313000001</v>
      </c>
      <c r="F776" s="3">
        <v>0.99465899999999996</v>
      </c>
      <c r="G776" s="2">
        <v>0.17893999999999999</v>
      </c>
      <c r="H776">
        <v>7</v>
      </c>
      <c r="I776">
        <v>6</v>
      </c>
      <c r="K776" s="8">
        <f t="shared" si="84"/>
        <v>-1.3165077692319755</v>
      </c>
      <c r="L776" s="8">
        <f t="shared" si="85"/>
        <v>-0.10126982840245966</v>
      </c>
      <c r="M776" s="8">
        <f t="shared" si="86"/>
        <v>-1.1945211538459262</v>
      </c>
      <c r="N776" s="8">
        <f t="shared" si="87"/>
        <v>-9.1886242603532786E-2</v>
      </c>
      <c r="O776" s="8"/>
      <c r="P776" t="s">
        <v>1063</v>
      </c>
      <c r="Q776">
        <v>35</v>
      </c>
      <c r="R776" s="8">
        <v>2.8288600000000002</v>
      </c>
      <c r="S776">
        <v>6</v>
      </c>
      <c r="T776" s="8">
        <f t="shared" si="88"/>
        <v>0.17142857142857143</v>
      </c>
      <c r="U776" s="8">
        <v>2.8248600000000001</v>
      </c>
      <c r="V776">
        <v>21</v>
      </c>
      <c r="W776" s="8">
        <f t="shared" si="89"/>
        <v>0.6</v>
      </c>
      <c r="X776" s="8">
        <v>2.8195999999999999</v>
      </c>
      <c r="Y776">
        <v>8</v>
      </c>
      <c r="Z776" s="8">
        <f t="shared" si="90"/>
        <v>0.22857142857142856</v>
      </c>
      <c r="AA776" s="8">
        <v>2.85616</v>
      </c>
    </row>
    <row r="777" spans="2:27" ht="15" customHeight="1" x14ac:dyDescent="0.25">
      <c r="B777">
        <v>702</v>
      </c>
      <c r="C777" s="1">
        <v>-12363.535451</v>
      </c>
      <c r="D777" s="2">
        <v>-12365.061207999999</v>
      </c>
      <c r="F777" s="3">
        <v>0.99612199999999995</v>
      </c>
      <c r="G777" s="2">
        <v>0.186809999999999</v>
      </c>
      <c r="H777">
        <v>7</v>
      </c>
      <c r="I777">
        <v>6</v>
      </c>
      <c r="K777" s="8">
        <f t="shared" si="84"/>
        <v>-1.0927817692318058</v>
      </c>
      <c r="L777" s="8">
        <f t="shared" si="85"/>
        <v>-8.4060136094754295E-2</v>
      </c>
      <c r="M777" s="8">
        <f t="shared" si="86"/>
        <v>-1.1924161538445333</v>
      </c>
      <c r="N777" s="8">
        <f t="shared" si="87"/>
        <v>-9.1724319526502562E-2</v>
      </c>
      <c r="O777" s="8"/>
      <c r="P777" t="s">
        <v>1064</v>
      </c>
      <c r="Q777">
        <v>34</v>
      </c>
      <c r="R777" s="8">
        <v>2.8213300000000001</v>
      </c>
      <c r="S777">
        <v>6</v>
      </c>
      <c r="T777" s="8">
        <f t="shared" si="88"/>
        <v>0.17647058823529413</v>
      </c>
      <c r="U777" s="8">
        <v>2.8666700000000001</v>
      </c>
      <c r="V777">
        <v>21</v>
      </c>
      <c r="W777" s="8">
        <f t="shared" si="89"/>
        <v>0.61764705882352944</v>
      </c>
      <c r="X777" s="8">
        <v>2.7849900000000001</v>
      </c>
      <c r="Y777">
        <v>7</v>
      </c>
      <c r="Z777" s="8">
        <f t="shared" si="90"/>
        <v>0.20588235294117646</v>
      </c>
      <c r="AA777" s="8">
        <v>2.8915099999999998</v>
      </c>
    </row>
    <row r="778" spans="2:27" ht="15" customHeight="1" x14ac:dyDescent="0.25">
      <c r="B778" s="32">
        <v>479</v>
      </c>
      <c r="C778" s="1">
        <v>-12363.441500000001</v>
      </c>
      <c r="D778" s="2">
        <v>-12365.060047000001</v>
      </c>
      <c r="F778" s="3">
        <v>0.99584399999999995</v>
      </c>
      <c r="G778" s="2">
        <v>0.18526000000000001</v>
      </c>
      <c r="H778">
        <v>7</v>
      </c>
      <c r="I778">
        <v>6</v>
      </c>
      <c r="K778" s="8">
        <f t="shared" si="84"/>
        <v>-0.99883076923288172</v>
      </c>
      <c r="L778" s="8">
        <f t="shared" si="85"/>
        <v>-7.6833136094837051E-2</v>
      </c>
      <c r="M778" s="8">
        <f t="shared" si="86"/>
        <v>-1.1912551538462139</v>
      </c>
      <c r="N778" s="8">
        <f t="shared" si="87"/>
        <v>-9.1635011834324154E-2</v>
      </c>
      <c r="O778" s="8"/>
      <c r="P778" t="s">
        <v>1065</v>
      </c>
      <c r="Q778">
        <v>35</v>
      </c>
      <c r="R778" s="8">
        <v>2.8263600000000002</v>
      </c>
      <c r="S778">
        <v>7</v>
      </c>
      <c r="T778" s="8">
        <f t="shared" si="88"/>
        <v>0.2</v>
      </c>
      <c r="U778" s="8">
        <v>2.86199</v>
      </c>
      <c r="V778">
        <v>19</v>
      </c>
      <c r="W778" s="8">
        <f t="shared" si="89"/>
        <v>0.54285714285714282</v>
      </c>
      <c r="X778" s="8">
        <v>2.8068300000000002</v>
      </c>
      <c r="Y778">
        <v>9</v>
      </c>
      <c r="Z778" s="8">
        <f t="shared" si="90"/>
        <v>0.25714285714285712</v>
      </c>
      <c r="AA778" s="8">
        <v>2.8398699999999999</v>
      </c>
    </row>
    <row r="779" spans="2:27" ht="15" customHeight="1" x14ac:dyDescent="0.25">
      <c r="B779" s="32">
        <v>391</v>
      </c>
      <c r="C779" s="1">
        <v>-12363.1693</v>
      </c>
      <c r="D779" s="2">
        <v>-12365.058337</v>
      </c>
      <c r="F779" s="3">
        <v>0.99444999999999995</v>
      </c>
      <c r="G779" s="2">
        <v>0.176539999999999</v>
      </c>
      <c r="H779">
        <v>7</v>
      </c>
      <c r="I779">
        <v>6</v>
      </c>
      <c r="K779" s="8">
        <f t="shared" si="84"/>
        <v>-0.72663076923163317</v>
      </c>
      <c r="L779" s="8">
        <f t="shared" si="85"/>
        <v>-5.5894674556279472E-2</v>
      </c>
      <c r="M779" s="8">
        <f t="shared" si="86"/>
        <v>-1.1895451538457564</v>
      </c>
      <c r="N779" s="8">
        <f t="shared" si="87"/>
        <v>-9.1503473372750499E-2</v>
      </c>
      <c r="O779" s="8"/>
      <c r="P779" t="s">
        <v>1066</v>
      </c>
      <c r="Q779">
        <v>36</v>
      </c>
      <c r="R779" s="8">
        <v>2.83528</v>
      </c>
      <c r="S779">
        <v>8</v>
      </c>
      <c r="T779" s="8">
        <f t="shared" si="88"/>
        <v>0.22222222222222221</v>
      </c>
      <c r="U779" s="8">
        <v>2.87791</v>
      </c>
      <c r="V779">
        <v>20</v>
      </c>
      <c r="W779" s="8">
        <f t="shared" si="89"/>
        <v>0.55555555555555558</v>
      </c>
      <c r="X779" s="8">
        <v>2.8271600000000001</v>
      </c>
      <c r="Y779">
        <v>8</v>
      </c>
      <c r="Z779" s="8">
        <f t="shared" si="90"/>
        <v>0.22222222222222221</v>
      </c>
      <c r="AA779" s="8">
        <v>2.8129499999999998</v>
      </c>
    </row>
    <row r="780" spans="2:27" ht="15" customHeight="1" x14ac:dyDescent="0.25">
      <c r="B780">
        <v>624</v>
      </c>
      <c r="C780" s="1">
        <v>-12363.516815999999</v>
      </c>
      <c r="D780" s="2">
        <v>-12365.057954</v>
      </c>
      <c r="F780" s="3">
        <v>0.99822200000000005</v>
      </c>
      <c r="G780" s="2">
        <v>0.20413999999999899</v>
      </c>
      <c r="H780">
        <v>7</v>
      </c>
      <c r="I780">
        <v>6</v>
      </c>
      <c r="K780" s="8">
        <f t="shared" si="84"/>
        <v>-1.0741467692314473</v>
      </c>
      <c r="L780" s="8">
        <f t="shared" si="85"/>
        <v>-8.262667455626517E-2</v>
      </c>
      <c r="M780" s="8">
        <f t="shared" si="86"/>
        <v>-1.1891621538452455</v>
      </c>
      <c r="N780" s="8">
        <f t="shared" si="87"/>
        <v>-9.1474011834249649E-2</v>
      </c>
      <c r="O780" s="8"/>
      <c r="P780" t="s">
        <v>1067</v>
      </c>
      <c r="Q780">
        <v>34</v>
      </c>
      <c r="R780" s="8">
        <v>2.81549</v>
      </c>
      <c r="S780">
        <v>6</v>
      </c>
      <c r="T780" s="8">
        <f t="shared" si="88"/>
        <v>0.17647058823529413</v>
      </c>
      <c r="U780" s="8">
        <v>2.8031799999999998</v>
      </c>
      <c r="V780">
        <v>20</v>
      </c>
      <c r="W780" s="8">
        <f t="shared" si="89"/>
        <v>0.58823529411764708</v>
      </c>
      <c r="X780" s="8">
        <v>2.80681</v>
      </c>
      <c r="Y780">
        <v>8</v>
      </c>
      <c r="Z780" s="8">
        <f t="shared" si="90"/>
        <v>0.23529411764705882</v>
      </c>
      <c r="AA780" s="8">
        <v>2.8464399999999999</v>
      </c>
    </row>
    <row r="781" spans="2:27" ht="15" customHeight="1" x14ac:dyDescent="0.25">
      <c r="B781">
        <v>734</v>
      </c>
      <c r="C781" s="1">
        <v>-12363.549032000001</v>
      </c>
      <c r="D781" s="2">
        <v>-12365.056834999999</v>
      </c>
      <c r="F781" s="3">
        <v>0.997942</v>
      </c>
      <c r="G781" s="2">
        <v>0.20313999999999899</v>
      </c>
      <c r="H781">
        <v>7</v>
      </c>
      <c r="I781">
        <v>6</v>
      </c>
      <c r="K781" s="8">
        <f t="shared" si="84"/>
        <v>-1.1063627692328737</v>
      </c>
      <c r="L781" s="8">
        <f t="shared" si="85"/>
        <v>-8.510482840252874E-2</v>
      </c>
      <c r="M781" s="8">
        <f t="shared" si="86"/>
        <v>-1.1880431538447738</v>
      </c>
      <c r="N781" s="8">
        <f t="shared" si="87"/>
        <v>-9.1387934911136448E-2</v>
      </c>
      <c r="O781" s="8"/>
      <c r="P781" t="s">
        <v>1068</v>
      </c>
      <c r="Q781">
        <v>34</v>
      </c>
      <c r="R781" s="8">
        <v>2.81759</v>
      </c>
      <c r="S781">
        <v>6</v>
      </c>
      <c r="T781" s="8">
        <f t="shared" si="88"/>
        <v>0.17647058823529413</v>
      </c>
      <c r="U781" s="8">
        <v>2.7858900000000002</v>
      </c>
      <c r="V781">
        <v>19</v>
      </c>
      <c r="W781" s="8">
        <f t="shared" si="89"/>
        <v>0.55882352941176472</v>
      </c>
      <c r="X781" s="8">
        <v>2.8102900000000002</v>
      </c>
      <c r="Y781">
        <v>9</v>
      </c>
      <c r="Z781" s="8">
        <f t="shared" si="90"/>
        <v>0.26470588235294118</v>
      </c>
      <c r="AA781" s="8">
        <v>2.8541300000000001</v>
      </c>
    </row>
    <row r="782" spans="2:27" ht="15" customHeight="1" x14ac:dyDescent="0.25">
      <c r="B782">
        <v>589</v>
      </c>
      <c r="C782" s="1">
        <v>-12363.667234</v>
      </c>
      <c r="D782" s="2">
        <v>-12365.051883</v>
      </c>
      <c r="F782" s="3">
        <v>0.99717100000000003</v>
      </c>
      <c r="G782" s="2">
        <v>0.20268</v>
      </c>
      <c r="H782">
        <v>7</v>
      </c>
      <c r="I782">
        <v>6</v>
      </c>
      <c r="K782" s="8">
        <f t="shared" si="84"/>
        <v>-1.2245647692325292</v>
      </c>
      <c r="L782" s="8">
        <f t="shared" si="85"/>
        <v>-9.4197289940963783E-2</v>
      </c>
      <c r="M782" s="8">
        <f t="shared" si="86"/>
        <v>-1.1830911538454529</v>
      </c>
      <c r="N782" s="8">
        <f t="shared" si="87"/>
        <v>-9.1007011834265614E-2</v>
      </c>
      <c r="O782" s="8"/>
      <c r="P782" t="s">
        <v>1069</v>
      </c>
      <c r="Q782">
        <v>35</v>
      </c>
      <c r="R782" s="8">
        <v>2.8346499999999999</v>
      </c>
      <c r="S782">
        <v>7</v>
      </c>
      <c r="T782" s="8">
        <f t="shared" si="88"/>
        <v>0.2</v>
      </c>
      <c r="U782" s="8">
        <v>2.9126400000000001</v>
      </c>
      <c r="V782">
        <v>22</v>
      </c>
      <c r="W782" s="8">
        <f t="shared" si="89"/>
        <v>0.62857142857142856</v>
      </c>
      <c r="X782" s="8">
        <v>2.7934000000000001</v>
      </c>
      <c r="Y782">
        <v>6</v>
      </c>
      <c r="Z782" s="8">
        <f t="shared" si="90"/>
        <v>0.17142857142857143</v>
      </c>
      <c r="AA782" s="8">
        <v>2.8949199999999999</v>
      </c>
    </row>
    <row r="783" spans="2:27" ht="15" customHeight="1" x14ac:dyDescent="0.25">
      <c r="B783">
        <v>621</v>
      </c>
      <c r="C783" s="1">
        <v>-12363.717379</v>
      </c>
      <c r="D783" s="2">
        <v>-12365.050590000001</v>
      </c>
      <c r="F783" s="3">
        <v>0.99744299999999997</v>
      </c>
      <c r="G783" s="2">
        <v>0.19145999999999999</v>
      </c>
      <c r="H783">
        <v>7</v>
      </c>
      <c r="I783">
        <v>6</v>
      </c>
      <c r="K783" s="8">
        <f t="shared" si="84"/>
        <v>-1.2747097692317766</v>
      </c>
      <c r="L783" s="8">
        <f t="shared" si="85"/>
        <v>-9.8054597633213586E-2</v>
      </c>
      <c r="M783" s="8">
        <f t="shared" si="86"/>
        <v>-1.1817981538461027</v>
      </c>
      <c r="N783" s="8">
        <f t="shared" si="87"/>
        <v>-9.0907550295854053E-2</v>
      </c>
      <c r="O783" s="8"/>
      <c r="P783" t="s">
        <v>1070</v>
      </c>
      <c r="Q783">
        <v>34</v>
      </c>
      <c r="R783" s="8">
        <v>2.8176999999999999</v>
      </c>
      <c r="S783">
        <v>5</v>
      </c>
      <c r="T783" s="8">
        <f t="shared" si="88"/>
        <v>0.14705882352941177</v>
      </c>
      <c r="U783" s="8">
        <v>2.8081800000000001</v>
      </c>
      <c r="V783">
        <v>20</v>
      </c>
      <c r="W783" s="8">
        <f t="shared" si="89"/>
        <v>0.58823529411764708</v>
      </c>
      <c r="X783" s="8">
        <v>2.7974199999999998</v>
      </c>
      <c r="Y783">
        <v>9</v>
      </c>
      <c r="Z783" s="8">
        <f t="shared" si="90"/>
        <v>0.26470588235294118</v>
      </c>
      <c r="AA783" s="8">
        <v>2.8680400000000001</v>
      </c>
    </row>
    <row r="784" spans="2:27" ht="15" customHeight="1" x14ac:dyDescent="0.25">
      <c r="B784" s="32">
        <v>508</v>
      </c>
      <c r="C784" s="1">
        <v>-12363.1409</v>
      </c>
      <c r="D784" s="2">
        <v>-12365.050461999999</v>
      </c>
      <c r="F784" s="3">
        <v>0.99593500000000001</v>
      </c>
      <c r="G784" s="2">
        <v>0.18589999999999901</v>
      </c>
      <c r="H784">
        <v>7</v>
      </c>
      <c r="I784">
        <v>6</v>
      </c>
      <c r="K784" s="8">
        <f t="shared" si="84"/>
        <v>-0.69823076923239569</v>
      </c>
      <c r="L784" s="8">
        <f t="shared" si="85"/>
        <v>-5.3710059171722745E-2</v>
      </c>
      <c r="M784" s="8">
        <f t="shared" si="86"/>
        <v>-1.1816701538446068</v>
      </c>
      <c r="N784" s="8">
        <f t="shared" si="87"/>
        <v>-9.0897704141892827E-2</v>
      </c>
      <c r="O784" s="8"/>
      <c r="P784" t="s">
        <v>1071</v>
      </c>
      <c r="Q784">
        <v>36</v>
      </c>
      <c r="R784" s="8">
        <v>2.83318</v>
      </c>
      <c r="S784">
        <v>8</v>
      </c>
      <c r="T784" s="8">
        <f t="shared" si="88"/>
        <v>0.22222222222222221</v>
      </c>
      <c r="U784" s="8">
        <v>2.88191</v>
      </c>
      <c r="V784">
        <v>20</v>
      </c>
      <c r="W784" s="8">
        <f t="shared" si="89"/>
        <v>0.55555555555555558</v>
      </c>
      <c r="X784" s="8">
        <v>2.8130000000000002</v>
      </c>
      <c r="Y784">
        <v>8</v>
      </c>
      <c r="Z784" s="8">
        <f t="shared" si="90"/>
        <v>0.22222222222222221</v>
      </c>
      <c r="AA784" s="8">
        <v>2.83487</v>
      </c>
    </row>
    <row r="785" spans="2:27" ht="15" customHeight="1" x14ac:dyDescent="0.25">
      <c r="B785">
        <v>729</v>
      </c>
      <c r="C785" s="1">
        <v>-12363.685001</v>
      </c>
      <c r="D785" s="2">
        <v>-12365.050024</v>
      </c>
      <c r="F785" s="3">
        <v>0.99608699999999994</v>
      </c>
      <c r="G785" s="2">
        <v>0.19031999999999899</v>
      </c>
      <c r="H785">
        <v>7</v>
      </c>
      <c r="I785">
        <v>6</v>
      </c>
      <c r="K785" s="8">
        <f t="shared" si="84"/>
        <v>-1.242331769231896</v>
      </c>
      <c r="L785" s="8">
        <f t="shared" si="85"/>
        <v>-9.556398224860739E-2</v>
      </c>
      <c r="M785" s="8">
        <f t="shared" si="86"/>
        <v>-1.1812321538454853</v>
      </c>
      <c r="N785" s="8">
        <f t="shared" si="87"/>
        <v>-9.0864011834268094E-2</v>
      </c>
      <c r="O785" s="8"/>
      <c r="P785" t="s">
        <v>1072</v>
      </c>
      <c r="Q785">
        <v>34</v>
      </c>
      <c r="R785" s="8">
        <v>2.8240699999999999</v>
      </c>
      <c r="S785">
        <v>6</v>
      </c>
      <c r="T785" s="8">
        <f t="shared" si="88"/>
        <v>0.17647058823529413</v>
      </c>
      <c r="U785" s="8">
        <v>2.7943099999999998</v>
      </c>
      <c r="V785">
        <v>18</v>
      </c>
      <c r="W785" s="8">
        <f t="shared" si="89"/>
        <v>0.52941176470588236</v>
      </c>
      <c r="X785" s="8">
        <v>2.8366600000000002</v>
      </c>
      <c r="Y785">
        <v>10</v>
      </c>
      <c r="Z785" s="8">
        <f t="shared" si="90"/>
        <v>0.29411764705882354</v>
      </c>
      <c r="AA785" s="8">
        <v>2.8192699999999999</v>
      </c>
    </row>
    <row r="786" spans="2:27" ht="15" customHeight="1" x14ac:dyDescent="0.25">
      <c r="B786">
        <v>620</v>
      </c>
      <c r="C786" s="1">
        <v>-12363.531391</v>
      </c>
      <c r="D786" s="2">
        <v>-12365.049692000001</v>
      </c>
      <c r="F786" s="3">
        <v>0.99775599999999998</v>
      </c>
      <c r="G786" s="2">
        <v>0.20474999999999999</v>
      </c>
      <c r="H786">
        <v>7</v>
      </c>
      <c r="I786">
        <v>6</v>
      </c>
      <c r="K786" s="8">
        <f t="shared" si="84"/>
        <v>-1.0887217692325066</v>
      </c>
      <c r="L786" s="8">
        <f t="shared" si="85"/>
        <v>-8.3747828402500515E-2</v>
      </c>
      <c r="M786" s="8">
        <f t="shared" si="86"/>
        <v>-1.1809001538458688</v>
      </c>
      <c r="N786" s="8">
        <f t="shared" si="87"/>
        <v>-9.0838473372759132E-2</v>
      </c>
      <c r="O786" s="8"/>
      <c r="P786" t="s">
        <v>1073</v>
      </c>
      <c r="Q786">
        <v>35</v>
      </c>
      <c r="R786" s="8">
        <v>2.8297500000000002</v>
      </c>
      <c r="S786">
        <v>7</v>
      </c>
      <c r="T786" s="8">
        <f t="shared" si="88"/>
        <v>0.2</v>
      </c>
      <c r="U786" s="8">
        <v>2.82985</v>
      </c>
      <c r="V786">
        <v>18</v>
      </c>
      <c r="W786" s="8">
        <f t="shared" si="89"/>
        <v>0.51428571428571423</v>
      </c>
      <c r="X786" s="8">
        <v>2.8217300000000001</v>
      </c>
      <c r="Y786">
        <v>10</v>
      </c>
      <c r="Z786" s="8">
        <f t="shared" si="90"/>
        <v>0.2857142857142857</v>
      </c>
      <c r="AA786" s="8">
        <v>2.8441200000000002</v>
      </c>
    </row>
    <row r="787" spans="2:27" ht="15" customHeight="1" x14ac:dyDescent="0.25">
      <c r="B787" s="32">
        <v>488</v>
      </c>
      <c r="C787" s="1">
        <v>-12363.260700000001</v>
      </c>
      <c r="D787" s="2">
        <v>-12365.049413999999</v>
      </c>
      <c r="F787" s="3">
        <v>0.99512800000000001</v>
      </c>
      <c r="G787" s="2">
        <v>0.18042999999999901</v>
      </c>
      <c r="H787">
        <v>7</v>
      </c>
      <c r="I787">
        <v>6</v>
      </c>
      <c r="K787" s="8">
        <f t="shared" si="84"/>
        <v>-0.8180307692327915</v>
      </c>
      <c r="L787" s="8">
        <f t="shared" si="85"/>
        <v>-6.2925443787137811E-2</v>
      </c>
      <c r="M787" s="8">
        <f t="shared" si="86"/>
        <v>-1.1806221538445243</v>
      </c>
      <c r="N787" s="8">
        <f t="shared" si="87"/>
        <v>-9.0817088757271097E-2</v>
      </c>
      <c r="O787" s="8"/>
      <c r="P787" t="s">
        <v>1074</v>
      </c>
      <c r="Q787">
        <v>36</v>
      </c>
      <c r="R787" s="8">
        <v>2.8346900000000002</v>
      </c>
      <c r="S787">
        <v>8</v>
      </c>
      <c r="T787" s="8">
        <f t="shared" si="88"/>
        <v>0.22222222222222221</v>
      </c>
      <c r="U787" s="8">
        <v>2.8968500000000001</v>
      </c>
      <c r="V787">
        <v>20</v>
      </c>
      <c r="W787" s="8">
        <f t="shared" si="89"/>
        <v>0.55555555555555558</v>
      </c>
      <c r="X787" s="8">
        <v>2.8054399999999999</v>
      </c>
      <c r="Y787">
        <v>8</v>
      </c>
      <c r="Z787" s="8">
        <f t="shared" si="90"/>
        <v>0.22222222222222221</v>
      </c>
      <c r="AA787" s="8">
        <v>2.8456800000000002</v>
      </c>
    </row>
    <row r="788" spans="2:27" ht="15" customHeight="1" x14ac:dyDescent="0.25">
      <c r="B788">
        <v>629</v>
      </c>
      <c r="C788" s="1">
        <v>-12363.49706</v>
      </c>
      <c r="D788" s="2">
        <v>-12365.049164</v>
      </c>
      <c r="F788" s="3">
        <v>0.99613499999999999</v>
      </c>
      <c r="G788" s="2">
        <v>0.19220999999999999</v>
      </c>
      <c r="H788">
        <v>7</v>
      </c>
      <c r="I788">
        <v>6</v>
      </c>
      <c r="K788" s="8">
        <f t="shared" si="84"/>
        <v>-1.0543907692317589</v>
      </c>
      <c r="L788" s="8">
        <f t="shared" si="85"/>
        <v>-8.1106982248596832E-2</v>
      </c>
      <c r="M788" s="8">
        <f t="shared" si="86"/>
        <v>-1.1803721538453829</v>
      </c>
      <c r="N788" s="8">
        <f t="shared" si="87"/>
        <v>-9.079785798810637E-2</v>
      </c>
      <c r="O788" s="8"/>
      <c r="P788" t="s">
        <v>1075</v>
      </c>
      <c r="Q788">
        <v>35</v>
      </c>
      <c r="R788" s="8">
        <v>2.8320799999999999</v>
      </c>
      <c r="S788">
        <v>7</v>
      </c>
      <c r="T788" s="8">
        <f t="shared" si="88"/>
        <v>0.2</v>
      </c>
      <c r="U788" s="8">
        <v>2.8146499999999999</v>
      </c>
      <c r="V788">
        <v>16</v>
      </c>
      <c r="W788" s="8">
        <f t="shared" si="89"/>
        <v>0.45714285714285713</v>
      </c>
      <c r="X788" s="8">
        <v>2.8144300000000002</v>
      </c>
      <c r="Y788">
        <v>12</v>
      </c>
      <c r="Z788" s="8">
        <f t="shared" si="90"/>
        <v>0.34285714285714286</v>
      </c>
      <c r="AA788" s="8">
        <v>2.86578</v>
      </c>
    </row>
    <row r="789" spans="2:27" ht="15" customHeight="1" x14ac:dyDescent="0.25">
      <c r="B789">
        <v>571</v>
      </c>
      <c r="C789" s="8">
        <v>-12363.7567</v>
      </c>
      <c r="D789" s="2">
        <v>-12365.048307999999</v>
      </c>
      <c r="F789" s="3">
        <v>0.99699199999999999</v>
      </c>
      <c r="G789" s="2">
        <v>0.19414999999999999</v>
      </c>
      <c r="H789">
        <v>7</v>
      </c>
      <c r="I789">
        <v>6</v>
      </c>
      <c r="K789" s="8">
        <f t="shared" si="84"/>
        <v>-1.3140307692319766</v>
      </c>
      <c r="L789" s="8">
        <f t="shared" si="85"/>
        <v>-0.10107928994092127</v>
      </c>
      <c r="M789" s="8">
        <f t="shared" si="86"/>
        <v>-1.1795161538448156</v>
      </c>
      <c r="N789" s="8">
        <f t="shared" si="87"/>
        <v>-9.0732011834216586E-2</v>
      </c>
      <c r="O789" s="8"/>
      <c r="P789" t="s">
        <v>1076</v>
      </c>
      <c r="Q789">
        <v>34</v>
      </c>
      <c r="R789" s="8">
        <v>2.8184499999999999</v>
      </c>
      <c r="S789">
        <v>6</v>
      </c>
      <c r="T789" s="8">
        <f t="shared" si="88"/>
        <v>0.17647058823529413</v>
      </c>
      <c r="U789" s="8">
        <v>2.8127300000000002</v>
      </c>
      <c r="V789">
        <v>17</v>
      </c>
      <c r="W789" s="8">
        <f t="shared" si="89"/>
        <v>0.5</v>
      </c>
      <c r="X789" s="8">
        <v>2.79989</v>
      </c>
      <c r="Y789">
        <v>11</v>
      </c>
      <c r="Z789" s="8">
        <f t="shared" si="90"/>
        <v>0.3235294117647059</v>
      </c>
      <c r="AA789" s="8">
        <v>2.85025</v>
      </c>
    </row>
    <row r="790" spans="2:27" ht="15" customHeight="1" x14ac:dyDescent="0.25">
      <c r="B790">
        <v>590</v>
      </c>
      <c r="C790" s="1">
        <v>-12363.536072000001</v>
      </c>
      <c r="D790" s="2">
        <v>-12365.048251</v>
      </c>
      <c r="F790" s="3">
        <v>0.99696200000000001</v>
      </c>
      <c r="G790" s="2">
        <v>0.196049999999999</v>
      </c>
      <c r="H790">
        <v>7</v>
      </c>
      <c r="I790">
        <v>6</v>
      </c>
      <c r="K790" s="8">
        <f t="shared" si="84"/>
        <v>-1.0934027692328527</v>
      </c>
      <c r="L790" s="8">
        <f t="shared" si="85"/>
        <v>-8.4107905325604054E-2</v>
      </c>
      <c r="M790" s="8">
        <f t="shared" si="86"/>
        <v>-1.1794591538455279</v>
      </c>
      <c r="N790" s="8">
        <f t="shared" si="87"/>
        <v>-9.0727627218886761E-2</v>
      </c>
      <c r="O790" s="8"/>
      <c r="P790" t="s">
        <v>1077</v>
      </c>
      <c r="Q790">
        <v>34</v>
      </c>
      <c r="R790" s="8">
        <v>2.8167599999999999</v>
      </c>
      <c r="S790">
        <v>7</v>
      </c>
      <c r="T790" s="8">
        <f t="shared" si="88"/>
        <v>0.20588235294117646</v>
      </c>
      <c r="U790" s="8">
        <v>2.8148499999999999</v>
      </c>
      <c r="V790">
        <v>17</v>
      </c>
      <c r="W790" s="8">
        <f t="shared" si="89"/>
        <v>0.5</v>
      </c>
      <c r="X790" s="8">
        <v>2.8027799999999998</v>
      </c>
      <c r="Y790">
        <v>10</v>
      </c>
      <c r="Z790" s="8">
        <f t="shared" si="90"/>
        <v>0.29411764705882354</v>
      </c>
      <c r="AA790" s="8">
        <v>2.8418700000000001</v>
      </c>
    </row>
    <row r="791" spans="2:27" ht="15" customHeight="1" x14ac:dyDescent="0.25">
      <c r="B791">
        <v>551</v>
      </c>
      <c r="C791" s="1">
        <v>-12363.533708000001</v>
      </c>
      <c r="D791" s="2">
        <v>-12365.047753000001</v>
      </c>
      <c r="F791" s="3">
        <v>0.99559299999999995</v>
      </c>
      <c r="G791" s="2">
        <v>0.18484999999999999</v>
      </c>
      <c r="H791">
        <v>7</v>
      </c>
      <c r="I791">
        <v>6</v>
      </c>
      <c r="K791" s="8">
        <f t="shared" si="84"/>
        <v>-1.0910387692329095</v>
      </c>
      <c r="L791" s="8">
        <f t="shared" si="85"/>
        <v>-8.3926059171762268E-2</v>
      </c>
      <c r="M791" s="8">
        <f t="shared" si="86"/>
        <v>-1.1789611538461031</v>
      </c>
      <c r="N791" s="8">
        <f t="shared" si="87"/>
        <v>-9.0689319526623319E-2</v>
      </c>
      <c r="O791" s="8"/>
      <c r="P791" t="s">
        <v>1078</v>
      </c>
      <c r="Q791">
        <v>34</v>
      </c>
      <c r="R791" s="8">
        <v>2.8211900000000001</v>
      </c>
      <c r="S791">
        <v>6</v>
      </c>
      <c r="T791" s="8">
        <f t="shared" si="88"/>
        <v>0.17647058823529413</v>
      </c>
      <c r="U791" s="8">
        <v>2.85704</v>
      </c>
      <c r="V791">
        <v>20</v>
      </c>
      <c r="W791" s="8">
        <f t="shared" si="89"/>
        <v>0.58823529411764708</v>
      </c>
      <c r="X791" s="8">
        <v>2.7914699999999999</v>
      </c>
      <c r="Y791">
        <v>8</v>
      </c>
      <c r="Z791" s="8">
        <f t="shared" si="90"/>
        <v>0.23529411764705882</v>
      </c>
      <c r="AA791" s="8">
        <v>2.8685999999999998</v>
      </c>
    </row>
    <row r="792" spans="2:27" ht="15" customHeight="1" x14ac:dyDescent="0.25">
      <c r="B792" s="32">
        <v>504</v>
      </c>
      <c r="C792" s="1">
        <v>-12363.3541</v>
      </c>
      <c r="D792" s="2">
        <v>-12365.047286000001</v>
      </c>
      <c r="F792" s="3">
        <v>0.99424100000000004</v>
      </c>
      <c r="G792" s="2">
        <v>0.17548999999999901</v>
      </c>
      <c r="H792">
        <v>7</v>
      </c>
      <c r="I792">
        <v>6</v>
      </c>
      <c r="K792" s="8">
        <f t="shared" si="84"/>
        <v>-0.9114307692325383</v>
      </c>
      <c r="L792" s="8">
        <f t="shared" si="85"/>
        <v>-7.0110059171733713E-2</v>
      </c>
      <c r="M792" s="8">
        <f t="shared" si="86"/>
        <v>-1.178494153846259</v>
      </c>
      <c r="N792" s="8">
        <f t="shared" si="87"/>
        <v>-9.0653396449712237E-2</v>
      </c>
      <c r="O792" s="8"/>
      <c r="P792" t="s">
        <v>1079</v>
      </c>
      <c r="Q792">
        <v>35</v>
      </c>
      <c r="R792" s="8">
        <v>2.8270599999999999</v>
      </c>
      <c r="S792">
        <v>7</v>
      </c>
      <c r="T792" s="8">
        <f t="shared" si="88"/>
        <v>0.2</v>
      </c>
      <c r="U792" s="8">
        <v>2.91276</v>
      </c>
      <c r="V792">
        <v>21</v>
      </c>
      <c r="W792" s="8">
        <f t="shared" si="89"/>
        <v>0.6</v>
      </c>
      <c r="X792" s="8">
        <v>2.79915</v>
      </c>
      <c r="Y792">
        <v>7</v>
      </c>
      <c r="Z792" s="8">
        <f t="shared" si="90"/>
        <v>0.2</v>
      </c>
      <c r="AA792" s="8">
        <v>2.82511</v>
      </c>
    </row>
    <row r="793" spans="2:27" ht="15" customHeight="1" x14ac:dyDescent="0.25">
      <c r="B793">
        <v>526</v>
      </c>
      <c r="C793" s="1">
        <v>-12363.546552</v>
      </c>
      <c r="D793" s="2">
        <v>-12365.046746</v>
      </c>
      <c r="F793" s="3">
        <v>0.99490000000000001</v>
      </c>
      <c r="G793" s="2">
        <v>0.17909</v>
      </c>
      <c r="H793">
        <v>7</v>
      </c>
      <c r="I793">
        <v>6</v>
      </c>
      <c r="K793" s="8">
        <f t="shared" si="84"/>
        <v>-1.1038827692318591</v>
      </c>
      <c r="L793" s="8">
        <f t="shared" si="85"/>
        <v>-8.4914059171681475E-2</v>
      </c>
      <c r="M793" s="8">
        <f t="shared" si="86"/>
        <v>-1.1779541538453486</v>
      </c>
      <c r="N793" s="8">
        <f t="shared" si="87"/>
        <v>-9.0611857988103742E-2</v>
      </c>
      <c r="O793" s="8"/>
      <c r="P793" t="s">
        <v>1080</v>
      </c>
      <c r="Q793">
        <v>35</v>
      </c>
      <c r="R793" s="8">
        <v>2.82728</v>
      </c>
      <c r="S793">
        <v>7</v>
      </c>
      <c r="T793" s="8">
        <f t="shared" si="88"/>
        <v>0.2</v>
      </c>
      <c r="U793" s="8">
        <v>2.8411300000000002</v>
      </c>
      <c r="V793">
        <v>20</v>
      </c>
      <c r="W793" s="8">
        <f t="shared" si="89"/>
        <v>0.5714285714285714</v>
      </c>
      <c r="X793" s="8">
        <v>2.7963100000000001</v>
      </c>
      <c r="Y793">
        <v>8</v>
      </c>
      <c r="Z793" s="8">
        <f t="shared" si="90"/>
        <v>0.22857142857142856</v>
      </c>
      <c r="AA793" s="8">
        <v>2.89256</v>
      </c>
    </row>
    <row r="794" spans="2:27" ht="15" customHeight="1" x14ac:dyDescent="0.25">
      <c r="B794">
        <v>630</v>
      </c>
      <c r="C794" s="1">
        <v>-12363.728621</v>
      </c>
      <c r="D794" s="2">
        <v>-12365.046071000001</v>
      </c>
      <c r="F794" s="3">
        <v>0.99665400000000004</v>
      </c>
      <c r="G794" s="2">
        <v>0.18497</v>
      </c>
      <c r="H794">
        <v>7</v>
      </c>
      <c r="I794">
        <v>6</v>
      </c>
      <c r="K794" s="8">
        <f t="shared" si="84"/>
        <v>-1.2859517692322697</v>
      </c>
      <c r="L794" s="8">
        <f t="shared" si="85"/>
        <v>-9.8919366864020752E-2</v>
      </c>
      <c r="M794" s="8">
        <f t="shared" si="86"/>
        <v>-1.1772791538460297</v>
      </c>
      <c r="N794" s="8">
        <f t="shared" si="87"/>
        <v>-9.0559934911233056E-2</v>
      </c>
      <c r="O794" s="8"/>
      <c r="P794" t="s">
        <v>1081</v>
      </c>
      <c r="Q794">
        <v>34</v>
      </c>
      <c r="R794" s="8">
        <v>2.8168000000000002</v>
      </c>
      <c r="S794">
        <v>5</v>
      </c>
      <c r="T794" s="8">
        <f t="shared" si="88"/>
        <v>0.14705882352941177</v>
      </c>
      <c r="U794" s="8">
        <v>2.7781500000000001</v>
      </c>
      <c r="V794">
        <v>21</v>
      </c>
      <c r="W794" s="8">
        <f t="shared" si="89"/>
        <v>0.61764705882352944</v>
      </c>
      <c r="X794" s="8">
        <v>2.8129300000000002</v>
      </c>
      <c r="Y794">
        <v>8</v>
      </c>
      <c r="Z794" s="8">
        <f t="shared" si="90"/>
        <v>0.23529411764705882</v>
      </c>
      <c r="AA794" s="8">
        <v>2.8510900000000001</v>
      </c>
    </row>
    <row r="795" spans="2:27" ht="15" customHeight="1" x14ac:dyDescent="0.25">
      <c r="B795">
        <v>584</v>
      </c>
      <c r="C795" s="1">
        <v>-12363.72667</v>
      </c>
      <c r="D795" s="2">
        <v>-12365.045486000001</v>
      </c>
      <c r="F795" s="3">
        <v>0.99502500000000005</v>
      </c>
      <c r="G795" s="2">
        <v>0.186249999999999</v>
      </c>
      <c r="H795">
        <v>7</v>
      </c>
      <c r="I795">
        <v>6</v>
      </c>
      <c r="K795" s="8">
        <f t="shared" si="84"/>
        <v>-1.2840007692320796</v>
      </c>
      <c r="L795" s="8">
        <f t="shared" si="85"/>
        <v>-9.8769289940929206E-2</v>
      </c>
      <c r="M795" s="8">
        <f t="shared" si="86"/>
        <v>-1.1766941538462561</v>
      </c>
      <c r="N795" s="8">
        <f t="shared" si="87"/>
        <v>-9.0514934911250469E-2</v>
      </c>
      <c r="O795" s="8"/>
      <c r="P795" t="s">
        <v>1082</v>
      </c>
      <c r="Q795">
        <v>34</v>
      </c>
      <c r="R795" s="8">
        <v>2.8194900000000001</v>
      </c>
      <c r="S795">
        <v>6</v>
      </c>
      <c r="T795" s="8">
        <f t="shared" si="88"/>
        <v>0.17647058823529413</v>
      </c>
      <c r="U795" s="8">
        <v>2.84002</v>
      </c>
      <c r="V795">
        <v>21</v>
      </c>
      <c r="W795" s="8">
        <f t="shared" si="89"/>
        <v>0.61764705882352944</v>
      </c>
      <c r="X795" s="8">
        <v>2.8096700000000001</v>
      </c>
      <c r="Y795">
        <v>7</v>
      </c>
      <c r="Z795" s="8">
        <f t="shared" si="90"/>
        <v>0.20588235294117646</v>
      </c>
      <c r="AA795" s="8">
        <v>2.8313700000000002</v>
      </c>
    </row>
    <row r="796" spans="2:27" ht="15" customHeight="1" x14ac:dyDescent="0.25">
      <c r="B796" s="32">
        <v>402</v>
      </c>
      <c r="C796" s="1">
        <v>-12363.4087</v>
      </c>
      <c r="D796" s="2">
        <v>-12365.043471000001</v>
      </c>
      <c r="F796" s="3">
        <v>0.994475</v>
      </c>
      <c r="G796" s="2">
        <v>0.176559999999999</v>
      </c>
      <c r="H796">
        <v>7</v>
      </c>
      <c r="I796">
        <v>6</v>
      </c>
      <c r="K796" s="8">
        <f t="shared" si="84"/>
        <v>-0.96603076923202025</v>
      </c>
      <c r="L796" s="8">
        <f t="shared" si="85"/>
        <v>-7.4310059171693865E-2</v>
      </c>
      <c r="M796" s="8">
        <f t="shared" si="86"/>
        <v>-1.1746791538462276</v>
      </c>
      <c r="N796" s="8">
        <f t="shared" si="87"/>
        <v>-9.0359934911248274E-2</v>
      </c>
      <c r="O796" s="8"/>
      <c r="P796" t="s">
        <v>1083</v>
      </c>
      <c r="Q796">
        <v>36</v>
      </c>
      <c r="R796" s="8">
        <v>2.8380200000000002</v>
      </c>
      <c r="S796">
        <v>7</v>
      </c>
      <c r="T796" s="8">
        <f t="shared" si="88"/>
        <v>0.19444444444444445</v>
      </c>
      <c r="U796" s="8">
        <v>2.8978700000000002</v>
      </c>
      <c r="V796">
        <v>22</v>
      </c>
      <c r="W796" s="8">
        <f t="shared" si="89"/>
        <v>0.61111111111111116</v>
      </c>
      <c r="X796" s="8">
        <v>2.8260399999999999</v>
      </c>
      <c r="Y796">
        <v>7</v>
      </c>
      <c r="Z796" s="8">
        <f t="shared" si="90"/>
        <v>0.19444444444444445</v>
      </c>
      <c r="AA796" s="8">
        <v>2.8158099999999999</v>
      </c>
    </row>
    <row r="797" spans="2:27" ht="15" customHeight="1" x14ac:dyDescent="0.25">
      <c r="B797">
        <v>670</v>
      </c>
      <c r="C797" s="1">
        <v>-12363.54788</v>
      </c>
      <c r="D797" s="2">
        <v>-12365.042664000001</v>
      </c>
      <c r="F797" s="3">
        <v>0.99612999999999996</v>
      </c>
      <c r="G797" s="2">
        <v>0.18608</v>
      </c>
      <c r="H797">
        <v>7</v>
      </c>
      <c r="I797">
        <v>6</v>
      </c>
      <c r="K797" s="8">
        <f t="shared" si="84"/>
        <v>-1.1052107692321442</v>
      </c>
      <c r="L797" s="8">
        <f t="shared" si="85"/>
        <v>-8.5016213017857251E-2</v>
      </c>
      <c r="M797" s="8">
        <f t="shared" si="86"/>
        <v>-1.1738721538458776</v>
      </c>
      <c r="N797" s="8">
        <f t="shared" si="87"/>
        <v>-9.0297857988144437E-2</v>
      </c>
      <c r="O797" s="8"/>
      <c r="P797" t="s">
        <v>1084</v>
      </c>
      <c r="Q797">
        <v>34</v>
      </c>
      <c r="R797" s="8">
        <v>2.8183500000000001</v>
      </c>
      <c r="S797">
        <v>6</v>
      </c>
      <c r="T797" s="8">
        <f t="shared" si="88"/>
        <v>0.17647058823529413</v>
      </c>
      <c r="U797" s="8">
        <v>2.8084500000000001</v>
      </c>
      <c r="V797">
        <v>19</v>
      </c>
      <c r="W797" s="8">
        <f t="shared" si="89"/>
        <v>0.55882352941176472</v>
      </c>
      <c r="X797" s="8">
        <v>2.8149600000000001</v>
      </c>
      <c r="Y797">
        <v>9</v>
      </c>
      <c r="Z797" s="8">
        <f t="shared" si="90"/>
        <v>0.26470588235294118</v>
      </c>
      <c r="AA797" s="8">
        <v>2.8321200000000002</v>
      </c>
    </row>
    <row r="798" spans="2:27" ht="15" customHeight="1" x14ac:dyDescent="0.25">
      <c r="B798">
        <v>642</v>
      </c>
      <c r="C798" s="1">
        <v>-12363.477384</v>
      </c>
      <c r="D798" s="2">
        <v>-12365.041299</v>
      </c>
      <c r="F798" s="3">
        <v>0.99580999999999997</v>
      </c>
      <c r="G798" s="2">
        <v>0.19489999999999999</v>
      </c>
      <c r="H798">
        <v>7</v>
      </c>
      <c r="I798">
        <v>6</v>
      </c>
      <c r="K798" s="8">
        <f t="shared" si="84"/>
        <v>-1.0347147692318686</v>
      </c>
      <c r="L798" s="8">
        <f t="shared" si="85"/>
        <v>-7.9593443787066814E-2</v>
      </c>
      <c r="M798" s="8">
        <f t="shared" si="86"/>
        <v>-1.1725071538457996</v>
      </c>
      <c r="N798" s="8">
        <f t="shared" si="87"/>
        <v>-9.0192857988138433E-2</v>
      </c>
      <c r="O798" s="8"/>
      <c r="P798" t="s">
        <v>1085</v>
      </c>
      <c r="Q798">
        <v>34</v>
      </c>
      <c r="R798" s="8">
        <v>2.81785</v>
      </c>
      <c r="S798">
        <v>6</v>
      </c>
      <c r="T798" s="8">
        <f t="shared" si="88"/>
        <v>0.17647058823529413</v>
      </c>
      <c r="U798" s="8">
        <v>2.8473700000000002</v>
      </c>
      <c r="V798">
        <v>22</v>
      </c>
      <c r="W798" s="8">
        <f t="shared" si="89"/>
        <v>0.6470588235294118</v>
      </c>
      <c r="X798" s="8">
        <v>2.8143799999999999</v>
      </c>
      <c r="Y798">
        <v>6</v>
      </c>
      <c r="Z798" s="8">
        <f t="shared" si="90"/>
        <v>0.17647058823529413</v>
      </c>
      <c r="AA798" s="8">
        <v>2.8010700000000002</v>
      </c>
    </row>
    <row r="799" spans="2:27" ht="15" customHeight="1" x14ac:dyDescent="0.25">
      <c r="B799" s="32">
        <v>456</v>
      </c>
      <c r="C799" s="1">
        <v>-12363.495500000001</v>
      </c>
      <c r="D799" s="2">
        <v>-12365.037697</v>
      </c>
      <c r="F799" s="3">
        <v>0.99447600000000003</v>
      </c>
      <c r="G799" s="2">
        <v>0.17670999999999901</v>
      </c>
      <c r="H799">
        <v>7</v>
      </c>
      <c r="I799">
        <v>6</v>
      </c>
      <c r="K799" s="8">
        <f t="shared" si="84"/>
        <v>-1.052830769232969</v>
      </c>
      <c r="L799" s="8">
        <f t="shared" si="85"/>
        <v>-8.0986982248689929E-2</v>
      </c>
      <c r="M799" s="8">
        <f t="shared" si="86"/>
        <v>-1.1689051538451167</v>
      </c>
      <c r="N799" s="8">
        <f t="shared" si="87"/>
        <v>-8.9915781065008984E-2</v>
      </c>
      <c r="O799" s="8"/>
      <c r="P799" t="s">
        <v>1086</v>
      </c>
      <c r="Q799">
        <v>35</v>
      </c>
      <c r="R799" s="8">
        <v>2.8250700000000002</v>
      </c>
      <c r="S799">
        <v>7</v>
      </c>
      <c r="T799" s="8">
        <f t="shared" si="88"/>
        <v>0.2</v>
      </c>
      <c r="U799" s="8">
        <v>2.8517100000000002</v>
      </c>
      <c r="V799">
        <v>20</v>
      </c>
      <c r="W799" s="8">
        <f t="shared" si="89"/>
        <v>0.5714285714285714</v>
      </c>
      <c r="X799" s="8">
        <v>2.8158699999999999</v>
      </c>
      <c r="Y799">
        <v>8</v>
      </c>
      <c r="Z799" s="8">
        <f t="shared" si="90"/>
        <v>0.22857142857142856</v>
      </c>
      <c r="AA799" s="8">
        <v>2.8247599999999999</v>
      </c>
    </row>
    <row r="800" spans="2:27" ht="15" customHeight="1" x14ac:dyDescent="0.25">
      <c r="B800" s="32">
        <v>322</v>
      </c>
      <c r="C800" s="1">
        <v>-12363.0633</v>
      </c>
      <c r="D800" s="2">
        <v>-12365.037616</v>
      </c>
      <c r="F800" s="3">
        <v>0.99885599999999997</v>
      </c>
      <c r="G800" s="2">
        <v>0.22420999999999999</v>
      </c>
      <c r="H800">
        <v>7</v>
      </c>
      <c r="I800">
        <v>6</v>
      </c>
      <c r="K800" s="8">
        <f t="shared" si="84"/>
        <v>-0.620630769231866</v>
      </c>
      <c r="L800" s="8">
        <f t="shared" si="85"/>
        <v>-4.7740828402451231E-2</v>
      </c>
      <c r="M800" s="8">
        <f t="shared" si="86"/>
        <v>-1.1688241538449802</v>
      </c>
      <c r="N800" s="8">
        <f t="shared" si="87"/>
        <v>-8.9909550295767707E-2</v>
      </c>
      <c r="O800" s="8"/>
      <c r="P800" t="s">
        <v>1087</v>
      </c>
      <c r="Q800">
        <v>35</v>
      </c>
      <c r="R800" s="8">
        <v>2.8266200000000001</v>
      </c>
      <c r="S800">
        <v>8</v>
      </c>
      <c r="T800" s="8">
        <f t="shared" si="88"/>
        <v>0.22857142857142856</v>
      </c>
      <c r="U800" s="8">
        <v>2.86077</v>
      </c>
      <c r="V800">
        <v>18</v>
      </c>
      <c r="W800" s="8">
        <f t="shared" si="89"/>
        <v>0.51428571428571423</v>
      </c>
      <c r="X800" s="8">
        <v>2.81697</v>
      </c>
      <c r="Y800">
        <v>9</v>
      </c>
      <c r="Z800" s="8">
        <f t="shared" si="90"/>
        <v>0.25714285714285712</v>
      </c>
      <c r="AA800" s="8">
        <v>2.8155800000000002</v>
      </c>
    </row>
    <row r="801" spans="2:27" ht="15" customHeight="1" x14ac:dyDescent="0.25">
      <c r="B801">
        <v>638</v>
      </c>
      <c r="C801" s="1">
        <v>-12363.620185</v>
      </c>
      <c r="D801" s="2">
        <v>-12365.036583999999</v>
      </c>
      <c r="F801" s="3">
        <v>0.99471200000000004</v>
      </c>
      <c r="G801" s="2">
        <v>0.17516999999999999</v>
      </c>
      <c r="H801">
        <v>7</v>
      </c>
      <c r="I801">
        <v>6</v>
      </c>
      <c r="K801" s="8">
        <f t="shared" si="84"/>
        <v>-1.1775157692318317</v>
      </c>
      <c r="L801" s="8">
        <f t="shared" si="85"/>
        <v>-9.0578136094756276E-2</v>
      </c>
      <c r="M801" s="8">
        <f t="shared" si="86"/>
        <v>-1.1677921538448572</v>
      </c>
      <c r="N801" s="8">
        <f t="shared" si="87"/>
        <v>-8.9830165680373636E-2</v>
      </c>
      <c r="O801" s="8"/>
      <c r="P801" t="s">
        <v>1088</v>
      </c>
      <c r="Q801">
        <v>34</v>
      </c>
      <c r="R801" s="8">
        <v>2.82</v>
      </c>
      <c r="S801">
        <v>6</v>
      </c>
      <c r="T801" s="8">
        <f t="shared" si="88"/>
        <v>0.17647058823529413</v>
      </c>
      <c r="U801" s="8">
        <v>2.87513</v>
      </c>
      <c r="V801">
        <v>20</v>
      </c>
      <c r="W801" s="8">
        <f t="shared" si="89"/>
        <v>0.58823529411764708</v>
      </c>
      <c r="X801" s="8">
        <v>2.78227</v>
      </c>
      <c r="Y801">
        <v>8</v>
      </c>
      <c r="Z801" s="8">
        <f t="shared" si="90"/>
        <v>0.23529411764705882</v>
      </c>
      <c r="AA801" s="8">
        <v>2.87296</v>
      </c>
    </row>
    <row r="802" spans="2:27" ht="15" customHeight="1" x14ac:dyDescent="0.25">
      <c r="B802" s="32">
        <v>409</v>
      </c>
      <c r="C802" s="1">
        <v>-12363.4907</v>
      </c>
      <c r="D802" s="2">
        <v>-12365.03513</v>
      </c>
      <c r="F802" s="3">
        <v>0.99464399999999997</v>
      </c>
      <c r="G802" s="2">
        <v>0.17751</v>
      </c>
      <c r="H802">
        <v>7</v>
      </c>
      <c r="I802">
        <v>6</v>
      </c>
      <c r="K802" s="8">
        <f t="shared" si="84"/>
        <v>-1.0480307692323549</v>
      </c>
      <c r="L802" s="8">
        <f t="shared" si="85"/>
        <v>-8.0617751479411914E-2</v>
      </c>
      <c r="M802" s="8">
        <f t="shared" si="86"/>
        <v>-1.1663381538455724</v>
      </c>
      <c r="N802" s="8">
        <f t="shared" si="87"/>
        <v>-8.9718319526582491E-2</v>
      </c>
      <c r="O802" s="8"/>
      <c r="P802" t="s">
        <v>1089</v>
      </c>
      <c r="Q802">
        <v>35</v>
      </c>
      <c r="R802" s="8">
        <v>2.8254700000000001</v>
      </c>
      <c r="S802">
        <v>6</v>
      </c>
      <c r="T802" s="8">
        <f t="shared" si="88"/>
        <v>0.17142857142857143</v>
      </c>
      <c r="U802" s="8">
        <v>2.8510399999999998</v>
      </c>
      <c r="V802">
        <v>22</v>
      </c>
      <c r="W802" s="8">
        <f t="shared" si="89"/>
        <v>0.62857142857142856</v>
      </c>
      <c r="X802" s="8">
        <v>2.8176999999999999</v>
      </c>
      <c r="Y802">
        <v>7</v>
      </c>
      <c r="Z802" s="8">
        <f t="shared" si="90"/>
        <v>0.2</v>
      </c>
      <c r="AA802" s="8">
        <v>2.8279899999999998</v>
      </c>
    </row>
    <row r="803" spans="2:27" ht="15" customHeight="1" x14ac:dyDescent="0.25">
      <c r="B803" s="32">
        <v>394</v>
      </c>
      <c r="C803" s="1">
        <v>-12363.115400000001</v>
      </c>
      <c r="D803" s="2">
        <v>-12365.034815000001</v>
      </c>
      <c r="F803" s="3">
        <v>0.99133199999999999</v>
      </c>
      <c r="G803" s="2">
        <v>0.16309999999999999</v>
      </c>
      <c r="H803">
        <v>7</v>
      </c>
      <c r="I803">
        <v>6</v>
      </c>
      <c r="K803" s="8">
        <f t="shared" si="84"/>
        <v>-0.67273076923265762</v>
      </c>
      <c r="L803" s="8">
        <f t="shared" si="85"/>
        <v>-5.1748520710204429E-2</v>
      </c>
      <c r="M803" s="8">
        <f t="shared" si="86"/>
        <v>-1.166023153846254</v>
      </c>
      <c r="N803" s="8">
        <f t="shared" si="87"/>
        <v>-8.9694088757404158E-2</v>
      </c>
      <c r="O803" s="8"/>
      <c r="P803" t="s">
        <v>1090</v>
      </c>
      <c r="Q803">
        <v>35</v>
      </c>
      <c r="R803" s="8">
        <v>2.8236699999999999</v>
      </c>
      <c r="S803">
        <v>8</v>
      </c>
      <c r="T803" s="8">
        <f t="shared" si="88"/>
        <v>0.22857142857142856</v>
      </c>
      <c r="U803" s="8">
        <v>2.8415300000000001</v>
      </c>
      <c r="V803">
        <v>17</v>
      </c>
      <c r="W803" s="8">
        <f t="shared" si="89"/>
        <v>0.48571428571428571</v>
      </c>
      <c r="X803" s="8">
        <v>2.8196300000000001</v>
      </c>
      <c r="Y803">
        <v>10</v>
      </c>
      <c r="Z803" s="8">
        <f t="shared" si="90"/>
        <v>0.2857142857142857</v>
      </c>
      <c r="AA803" s="8">
        <v>2.8162400000000001</v>
      </c>
    </row>
    <row r="804" spans="2:27" ht="15" customHeight="1" x14ac:dyDescent="0.25">
      <c r="B804">
        <v>619</v>
      </c>
      <c r="C804" s="1">
        <v>-12363.714393</v>
      </c>
      <c r="D804" s="2">
        <v>-12365.034207000001</v>
      </c>
      <c r="F804" s="3">
        <v>0.99653999999999998</v>
      </c>
      <c r="G804" s="2">
        <v>0.18901999999999899</v>
      </c>
      <c r="H804">
        <v>7</v>
      </c>
      <c r="I804">
        <v>6</v>
      </c>
      <c r="K804" s="8">
        <f t="shared" si="84"/>
        <v>-1.2717237692322669</v>
      </c>
      <c r="L804" s="8">
        <f t="shared" si="85"/>
        <v>-9.7824905325559E-2</v>
      </c>
      <c r="M804" s="8">
        <f t="shared" si="86"/>
        <v>-1.1654151538459701</v>
      </c>
      <c r="N804" s="8">
        <f t="shared" si="87"/>
        <v>-8.9647319526613076E-2</v>
      </c>
      <c r="O804" s="8"/>
      <c r="P804" t="s">
        <v>1091</v>
      </c>
      <c r="Q804">
        <v>34</v>
      </c>
      <c r="R804" s="8">
        <v>2.8205399999999998</v>
      </c>
      <c r="S804">
        <v>5</v>
      </c>
      <c r="T804" s="8">
        <f t="shared" si="88"/>
        <v>0.14705882352941177</v>
      </c>
      <c r="U804" s="8">
        <v>2.7945500000000001</v>
      </c>
      <c r="V804">
        <v>21</v>
      </c>
      <c r="W804" s="8">
        <f t="shared" si="89"/>
        <v>0.61764705882352944</v>
      </c>
      <c r="X804" s="8">
        <v>2.8004099999999998</v>
      </c>
      <c r="Y804">
        <v>8</v>
      </c>
      <c r="Z804" s="8">
        <f t="shared" si="90"/>
        <v>0.23529411764705882</v>
      </c>
      <c r="AA804" s="8">
        <v>2.8896099999999998</v>
      </c>
    </row>
    <row r="805" spans="2:27" ht="15" customHeight="1" x14ac:dyDescent="0.25">
      <c r="B805">
        <v>659</v>
      </c>
      <c r="C805" s="1">
        <v>-12363.470041</v>
      </c>
      <c r="D805" s="2">
        <v>-12365.032417</v>
      </c>
      <c r="F805" s="3">
        <v>0.99688200000000005</v>
      </c>
      <c r="G805" s="2">
        <v>0.19614999999999999</v>
      </c>
      <c r="H805">
        <v>7</v>
      </c>
      <c r="I805">
        <v>6</v>
      </c>
      <c r="K805" s="8">
        <f t="shared" si="84"/>
        <v>-1.027371769232559</v>
      </c>
      <c r="L805" s="8">
        <f t="shared" si="85"/>
        <v>-7.9028597633273773E-2</v>
      </c>
      <c r="M805" s="8">
        <f t="shared" si="86"/>
        <v>-1.1636251538457145</v>
      </c>
      <c r="N805" s="8">
        <f t="shared" si="87"/>
        <v>-8.9509627218901114E-2</v>
      </c>
      <c r="O805" s="8"/>
      <c r="P805" t="s">
        <v>1092</v>
      </c>
      <c r="Q805">
        <v>34</v>
      </c>
      <c r="R805" s="8">
        <v>2.8208799999999998</v>
      </c>
      <c r="S805">
        <v>7</v>
      </c>
      <c r="T805" s="8">
        <f t="shared" si="88"/>
        <v>0.20588235294117646</v>
      </c>
      <c r="U805" s="8">
        <v>2.8472200000000001</v>
      </c>
      <c r="V805">
        <v>18</v>
      </c>
      <c r="W805" s="8">
        <f t="shared" si="89"/>
        <v>0.52941176470588236</v>
      </c>
      <c r="X805" s="8">
        <v>2.7923800000000001</v>
      </c>
      <c r="Y805">
        <v>9</v>
      </c>
      <c r="Z805" s="8">
        <f t="shared" si="90"/>
        <v>0.26470588235294118</v>
      </c>
      <c r="AA805" s="8">
        <v>2.85738</v>
      </c>
    </row>
    <row r="806" spans="2:27" ht="15" customHeight="1" x14ac:dyDescent="0.25">
      <c r="B806" s="32">
        <v>480</v>
      </c>
      <c r="C806" s="8">
        <v>-12363.501816</v>
      </c>
      <c r="D806" s="2">
        <v>-12365.031924000001</v>
      </c>
      <c r="F806" s="3">
        <v>0.99637100000000001</v>
      </c>
      <c r="G806" s="2">
        <v>0.18926000000000001</v>
      </c>
      <c r="H806">
        <v>7</v>
      </c>
      <c r="I806">
        <v>6</v>
      </c>
      <c r="K806" s="8">
        <f t="shared" si="84"/>
        <v>-1.0591467692320293</v>
      </c>
      <c r="L806" s="8">
        <f t="shared" si="85"/>
        <v>-8.1472828402463796E-2</v>
      </c>
      <c r="M806" s="8">
        <f t="shared" si="86"/>
        <v>-1.1631321538461634</v>
      </c>
      <c r="N806" s="8">
        <f t="shared" si="87"/>
        <v>-8.9471704142012567E-2</v>
      </c>
      <c r="O806" s="8"/>
      <c r="P806" t="s">
        <v>1093</v>
      </c>
      <c r="Q806">
        <v>35</v>
      </c>
      <c r="R806" s="8">
        <v>2.82429</v>
      </c>
      <c r="S806">
        <v>6</v>
      </c>
      <c r="T806" s="8">
        <f t="shared" si="88"/>
        <v>0.17142857142857143</v>
      </c>
      <c r="U806" s="8">
        <v>2.86761</v>
      </c>
      <c r="V806">
        <v>22</v>
      </c>
      <c r="W806" s="8">
        <f t="shared" si="89"/>
        <v>0.62857142857142856</v>
      </c>
      <c r="X806" s="8">
        <v>2.8100999999999998</v>
      </c>
      <c r="Y806">
        <v>7</v>
      </c>
      <c r="Z806" s="8">
        <f t="shared" si="90"/>
        <v>0.2</v>
      </c>
      <c r="AA806" s="8">
        <v>2.8317199999999998</v>
      </c>
    </row>
    <row r="807" spans="2:27" ht="15" customHeight="1" x14ac:dyDescent="0.25">
      <c r="B807">
        <v>535</v>
      </c>
      <c r="C807" s="1">
        <v>-12363.503941000001</v>
      </c>
      <c r="D807" s="2">
        <v>-12365.030772</v>
      </c>
      <c r="F807" s="3">
        <v>0.995259</v>
      </c>
      <c r="G807" s="2">
        <v>0.17752999999999999</v>
      </c>
      <c r="H807">
        <v>7</v>
      </c>
      <c r="I807">
        <v>6</v>
      </c>
      <c r="K807" s="8">
        <f t="shared" si="84"/>
        <v>-1.061271769232917</v>
      </c>
      <c r="L807" s="8">
        <f t="shared" si="85"/>
        <v>-8.1636289940993617E-2</v>
      </c>
      <c r="M807" s="8">
        <f t="shared" si="86"/>
        <v>-1.161980153845434</v>
      </c>
      <c r="N807" s="8">
        <f t="shared" si="87"/>
        <v>-8.9383088757341078E-2</v>
      </c>
      <c r="O807" s="8"/>
      <c r="P807" t="s">
        <v>1094</v>
      </c>
      <c r="Q807">
        <v>34</v>
      </c>
      <c r="R807" s="8">
        <v>2.8142</v>
      </c>
      <c r="S807">
        <v>7</v>
      </c>
      <c r="T807" s="8">
        <f t="shared" si="88"/>
        <v>0.20588235294117646</v>
      </c>
      <c r="U807" s="8">
        <v>2.8286799999999999</v>
      </c>
      <c r="V807">
        <v>19</v>
      </c>
      <c r="W807" s="8">
        <f t="shared" si="89"/>
        <v>0.55882352941176472</v>
      </c>
      <c r="X807" s="8">
        <v>2.7928500000000001</v>
      </c>
      <c r="Y807">
        <v>8</v>
      </c>
      <c r="Z807" s="8">
        <f t="shared" si="90"/>
        <v>0.23529411764705882</v>
      </c>
      <c r="AA807" s="8">
        <v>2.8522099999999999</v>
      </c>
    </row>
    <row r="808" spans="2:27" ht="15" customHeight="1" x14ac:dyDescent="0.25">
      <c r="B808" s="32">
        <v>476</v>
      </c>
      <c r="C808" s="1">
        <v>-12363.4208</v>
      </c>
      <c r="D808" s="2">
        <v>-12365.030438</v>
      </c>
      <c r="F808" s="3">
        <v>0.99076699999999995</v>
      </c>
      <c r="G808" s="2">
        <v>0.16120999999999999</v>
      </c>
      <c r="H808">
        <v>7</v>
      </c>
      <c r="I808">
        <v>6</v>
      </c>
      <c r="K808" s="8">
        <f t="shared" si="84"/>
        <v>-0.97813076923193876</v>
      </c>
      <c r="L808" s="8">
        <f t="shared" si="85"/>
        <v>-7.5240828402456827E-2</v>
      </c>
      <c r="M808" s="8">
        <f t="shared" si="86"/>
        <v>-1.1616461538451404</v>
      </c>
      <c r="N808" s="8">
        <f t="shared" si="87"/>
        <v>-8.9357396449626175E-2</v>
      </c>
      <c r="O808" s="8"/>
      <c r="P808" t="s">
        <v>1095</v>
      </c>
      <c r="Q808">
        <v>35</v>
      </c>
      <c r="R808" s="8">
        <v>2.8284899999999999</v>
      </c>
      <c r="S808">
        <v>6</v>
      </c>
      <c r="T808" s="8">
        <f t="shared" si="88"/>
        <v>0.17142857142857143</v>
      </c>
      <c r="U808" s="8">
        <v>2.8815200000000001</v>
      </c>
      <c r="V808">
        <v>22</v>
      </c>
      <c r="W808" s="8">
        <f t="shared" si="89"/>
        <v>0.62857142857142856</v>
      </c>
      <c r="X808" s="8">
        <v>2.7900700000000001</v>
      </c>
      <c r="Y808">
        <v>7</v>
      </c>
      <c r="Z808" s="8">
        <f t="shared" si="90"/>
        <v>0.2</v>
      </c>
      <c r="AA808" s="8">
        <v>2.9037600000000001</v>
      </c>
    </row>
    <row r="809" spans="2:27" ht="15" customHeight="1" x14ac:dyDescent="0.25">
      <c r="B809">
        <v>715</v>
      </c>
      <c r="C809" s="1">
        <v>-12363.652506</v>
      </c>
      <c r="D809" s="2">
        <v>-12365.021703</v>
      </c>
      <c r="F809" s="3">
        <v>0.99721099999999996</v>
      </c>
      <c r="G809" s="2">
        <v>0.19525999999999999</v>
      </c>
      <c r="H809">
        <v>7</v>
      </c>
      <c r="I809">
        <v>6</v>
      </c>
      <c r="K809" s="8">
        <f t="shared" si="84"/>
        <v>-1.2098367692324246</v>
      </c>
      <c r="L809" s="8">
        <f t="shared" si="85"/>
        <v>-9.306436686403266E-2</v>
      </c>
      <c r="M809" s="8">
        <f t="shared" si="86"/>
        <v>-1.1529111538457073</v>
      </c>
      <c r="N809" s="8">
        <f t="shared" si="87"/>
        <v>-8.8685473372746709E-2</v>
      </c>
      <c r="O809" s="8"/>
      <c r="P809" t="s">
        <v>1096</v>
      </c>
      <c r="Q809">
        <v>34</v>
      </c>
      <c r="R809" s="8">
        <v>2.81915</v>
      </c>
      <c r="S809">
        <v>6</v>
      </c>
      <c r="T809" s="8">
        <f t="shared" si="88"/>
        <v>0.17647058823529413</v>
      </c>
      <c r="U809" s="8">
        <v>2.8038400000000001</v>
      </c>
      <c r="V809">
        <v>18</v>
      </c>
      <c r="W809" s="8">
        <f t="shared" si="89"/>
        <v>0.52941176470588236</v>
      </c>
      <c r="X809" s="8">
        <v>2.80802</v>
      </c>
      <c r="Y809">
        <v>10</v>
      </c>
      <c r="Z809" s="8">
        <f t="shared" si="90"/>
        <v>0.29411764705882354</v>
      </c>
      <c r="AA809" s="8">
        <v>2.84836</v>
      </c>
    </row>
    <row r="810" spans="2:27" ht="15" customHeight="1" x14ac:dyDescent="0.25">
      <c r="B810">
        <v>588</v>
      </c>
      <c r="C810" s="1">
        <v>-12363.522185</v>
      </c>
      <c r="D810" s="2">
        <v>-12365.021091000001</v>
      </c>
      <c r="F810" s="3">
        <v>0.99464300000000005</v>
      </c>
      <c r="G810" s="2">
        <v>0.17659999999999901</v>
      </c>
      <c r="H810">
        <v>7</v>
      </c>
      <c r="I810">
        <v>6</v>
      </c>
      <c r="K810" s="8">
        <f t="shared" si="84"/>
        <v>-1.0795157692318753</v>
      </c>
      <c r="L810" s="8">
        <f t="shared" si="85"/>
        <v>-8.3039674556298099E-2</v>
      </c>
      <c r="M810" s="8">
        <f t="shared" si="86"/>
        <v>-1.1522991538458882</v>
      </c>
      <c r="N810" s="8">
        <f t="shared" si="87"/>
        <v>-8.8638396449683715E-2</v>
      </c>
      <c r="O810" s="8"/>
      <c r="P810" t="s">
        <v>1097</v>
      </c>
      <c r="Q810">
        <v>35</v>
      </c>
      <c r="R810" s="8">
        <v>2.8334000000000001</v>
      </c>
      <c r="S810">
        <v>7</v>
      </c>
      <c r="T810" s="8">
        <f t="shared" si="88"/>
        <v>0.2</v>
      </c>
      <c r="U810" s="8">
        <v>2.8791799999999999</v>
      </c>
      <c r="V810">
        <v>21</v>
      </c>
      <c r="W810" s="8">
        <f t="shared" si="89"/>
        <v>0.6</v>
      </c>
      <c r="X810" s="8">
        <v>2.8222200000000002</v>
      </c>
      <c r="Y810">
        <v>7</v>
      </c>
      <c r="Z810" s="8">
        <f t="shared" si="90"/>
        <v>0.2</v>
      </c>
      <c r="AA810" s="8">
        <v>2.8211499999999998</v>
      </c>
    </row>
    <row r="811" spans="2:27" ht="15" customHeight="1" x14ac:dyDescent="0.25">
      <c r="B811" s="32">
        <v>497</v>
      </c>
      <c r="C811" s="1">
        <v>-12363.2042</v>
      </c>
      <c r="D811" s="2">
        <v>-12365.020105</v>
      </c>
      <c r="F811" s="3">
        <v>0.99839199999999995</v>
      </c>
      <c r="G811" s="2">
        <v>0.13866000000000001</v>
      </c>
      <c r="H811">
        <v>7</v>
      </c>
      <c r="I811">
        <v>6</v>
      </c>
      <c r="K811" s="8">
        <f t="shared" si="84"/>
        <v>-0.76153076923219487</v>
      </c>
      <c r="L811" s="8">
        <f t="shared" si="85"/>
        <v>-5.857928994093807E-2</v>
      </c>
      <c r="M811" s="8">
        <f t="shared" si="86"/>
        <v>-1.151313153844967</v>
      </c>
      <c r="N811" s="8">
        <f t="shared" si="87"/>
        <v>-8.8562550295766693E-2</v>
      </c>
      <c r="O811" s="8"/>
      <c r="P811" t="s">
        <v>1098</v>
      </c>
      <c r="Q811">
        <v>36</v>
      </c>
      <c r="R811" s="8">
        <v>2.8340800000000002</v>
      </c>
      <c r="S811">
        <v>8</v>
      </c>
      <c r="T811" s="8">
        <f t="shared" si="88"/>
        <v>0.22222222222222221</v>
      </c>
      <c r="U811" s="8">
        <v>2.8724400000000001</v>
      </c>
      <c r="V811">
        <v>19</v>
      </c>
      <c r="W811" s="8">
        <f t="shared" si="89"/>
        <v>0.52777777777777779</v>
      </c>
      <c r="X811" s="8">
        <v>2.8144900000000002</v>
      </c>
      <c r="Y811">
        <v>9</v>
      </c>
      <c r="Z811" s="8">
        <f t="shared" si="90"/>
        <v>0.25</v>
      </c>
      <c r="AA811" s="8">
        <v>2.8413499999999998</v>
      </c>
    </row>
    <row r="812" spans="2:27" ht="15" customHeight="1" x14ac:dyDescent="0.25">
      <c r="B812">
        <v>666</v>
      </c>
      <c r="C812" s="1">
        <v>-12363.684227</v>
      </c>
      <c r="D812" s="2">
        <v>-12365.017128</v>
      </c>
      <c r="F812" s="3">
        <v>0.996888</v>
      </c>
      <c r="G812" s="2">
        <v>0.19425999999999899</v>
      </c>
      <c r="H812">
        <v>7</v>
      </c>
      <c r="I812">
        <v>6</v>
      </c>
      <c r="K812" s="8">
        <f t="shared" si="84"/>
        <v>-1.2415577692318038</v>
      </c>
      <c r="L812" s="8">
        <f t="shared" si="85"/>
        <v>-9.5504443787061827E-2</v>
      </c>
      <c r="M812" s="8">
        <f t="shared" si="86"/>
        <v>-1.1483361538448662</v>
      </c>
      <c r="N812" s="8">
        <f t="shared" si="87"/>
        <v>-8.8333550295758942E-2</v>
      </c>
      <c r="O812" s="8"/>
      <c r="P812" t="s">
        <v>1099</v>
      </c>
      <c r="Q812">
        <v>34</v>
      </c>
      <c r="R812" s="8">
        <v>2.82117</v>
      </c>
      <c r="S812">
        <v>5</v>
      </c>
      <c r="T812" s="8">
        <f t="shared" si="88"/>
        <v>0.14705882352941177</v>
      </c>
      <c r="U812" s="8">
        <v>2.7835100000000002</v>
      </c>
      <c r="V812">
        <v>21</v>
      </c>
      <c r="W812" s="8">
        <f t="shared" si="89"/>
        <v>0.61764705882352944</v>
      </c>
      <c r="X812" s="8">
        <v>2.8289200000000001</v>
      </c>
      <c r="Y812">
        <v>8</v>
      </c>
      <c r="Z812" s="8">
        <f t="shared" si="90"/>
        <v>0.23529411764705882</v>
      </c>
      <c r="AA812" s="8">
        <v>2.82437</v>
      </c>
    </row>
    <row r="813" spans="2:27" ht="15" customHeight="1" x14ac:dyDescent="0.25">
      <c r="B813" s="32">
        <v>458</v>
      </c>
      <c r="C813" s="1">
        <v>-12363.485699999999</v>
      </c>
      <c r="D813" s="2">
        <v>-12365.016533</v>
      </c>
      <c r="F813" s="3">
        <v>0.99457700000000004</v>
      </c>
      <c r="G813" s="2">
        <v>0.17720999999999901</v>
      </c>
      <c r="H813">
        <v>7</v>
      </c>
      <c r="I813">
        <v>6</v>
      </c>
      <c r="K813" s="8">
        <f t="shared" si="84"/>
        <v>-1.0430307692313363</v>
      </c>
      <c r="L813" s="8">
        <f t="shared" si="85"/>
        <v>-8.0233136094718174E-2</v>
      </c>
      <c r="M813" s="8">
        <f t="shared" si="86"/>
        <v>-1.1477411538453453</v>
      </c>
      <c r="N813" s="8">
        <f t="shared" si="87"/>
        <v>-8.8287781065026563E-2</v>
      </c>
      <c r="O813" s="8"/>
      <c r="P813" t="s">
        <v>1100</v>
      </c>
      <c r="Q813">
        <v>35</v>
      </c>
      <c r="R813" s="8">
        <v>2.8264499999999999</v>
      </c>
      <c r="S813">
        <v>7</v>
      </c>
      <c r="T813" s="8">
        <f t="shared" si="88"/>
        <v>0.2</v>
      </c>
      <c r="U813" s="8">
        <v>2.8713899999999999</v>
      </c>
      <c r="V813">
        <v>20</v>
      </c>
      <c r="W813" s="8">
        <f t="shared" si="89"/>
        <v>0.5714285714285714</v>
      </c>
      <c r="X813" s="8">
        <v>2.8149099999999998</v>
      </c>
      <c r="Y813">
        <v>8</v>
      </c>
      <c r="Z813" s="8">
        <f t="shared" si="90"/>
        <v>0.22857142857142856</v>
      </c>
      <c r="AA813" s="8">
        <v>2.8159800000000001</v>
      </c>
    </row>
    <row r="814" spans="2:27" ht="15" customHeight="1" x14ac:dyDescent="0.25">
      <c r="B814">
        <v>612</v>
      </c>
      <c r="C814" s="1">
        <v>-12363.4897</v>
      </c>
      <c r="D814" s="2">
        <v>-12365.016310000001</v>
      </c>
      <c r="F814" s="3">
        <v>0.99660000000000004</v>
      </c>
      <c r="G814" s="2">
        <v>0.19136</v>
      </c>
      <c r="H814">
        <v>7</v>
      </c>
      <c r="I814">
        <v>6</v>
      </c>
      <c r="K814" s="8">
        <f t="shared" si="84"/>
        <v>-1.0470307692321512</v>
      </c>
      <c r="L814" s="8">
        <f t="shared" si="85"/>
        <v>-8.0540828402473175E-2</v>
      </c>
      <c r="M814" s="8">
        <f t="shared" si="86"/>
        <v>-1.1475181538462493</v>
      </c>
      <c r="N814" s="8">
        <f t="shared" si="87"/>
        <v>-8.8270627218942257E-2</v>
      </c>
      <c r="O814" s="8"/>
      <c r="P814" t="s">
        <v>1101</v>
      </c>
      <c r="Q814">
        <v>34</v>
      </c>
      <c r="R814" s="8">
        <v>2.8102499999999999</v>
      </c>
      <c r="S814">
        <v>7</v>
      </c>
      <c r="T814" s="8">
        <f t="shared" si="88"/>
        <v>0.20588235294117646</v>
      </c>
      <c r="U814" s="8">
        <v>2.8037999999999998</v>
      </c>
      <c r="V814">
        <v>20</v>
      </c>
      <c r="W814" s="8">
        <f t="shared" si="89"/>
        <v>0.58823529411764708</v>
      </c>
      <c r="X814" s="8">
        <v>2.8114400000000002</v>
      </c>
      <c r="Y814">
        <v>7</v>
      </c>
      <c r="Z814" s="8">
        <f t="shared" si="90"/>
        <v>0.20588235294117646</v>
      </c>
      <c r="AA814" s="8">
        <v>2.8132799999999998</v>
      </c>
    </row>
    <row r="815" spans="2:27" ht="15" customHeight="1" x14ac:dyDescent="0.25">
      <c r="B815">
        <v>610</v>
      </c>
      <c r="C815" s="1">
        <v>-12363.6296</v>
      </c>
      <c r="D815" s="2">
        <v>-12365.015819</v>
      </c>
      <c r="F815" s="3">
        <v>0.99651000000000001</v>
      </c>
      <c r="G815" s="2">
        <v>0.19064999999999899</v>
      </c>
      <c r="H815">
        <v>7</v>
      </c>
      <c r="I815">
        <v>6</v>
      </c>
      <c r="K815" s="8">
        <f t="shared" si="84"/>
        <v>-1.1869307692322764</v>
      </c>
      <c r="L815" s="8">
        <f t="shared" si="85"/>
        <v>-9.1302366864021253E-2</v>
      </c>
      <c r="M815" s="8">
        <f t="shared" si="86"/>
        <v>-1.1470271538455563</v>
      </c>
      <c r="N815" s="8">
        <f t="shared" si="87"/>
        <v>-8.8232857988119723E-2</v>
      </c>
      <c r="O815" s="8"/>
      <c r="P815" t="s">
        <v>1102</v>
      </c>
      <c r="Q815">
        <v>34</v>
      </c>
      <c r="R815" s="8">
        <v>2.8218399999999999</v>
      </c>
      <c r="S815">
        <v>6</v>
      </c>
      <c r="T815" s="8">
        <f t="shared" si="88"/>
        <v>0.17647058823529413</v>
      </c>
      <c r="U815" s="8">
        <v>2.8475299999999999</v>
      </c>
      <c r="V815">
        <v>20</v>
      </c>
      <c r="W815" s="8">
        <f t="shared" si="89"/>
        <v>0.58823529411764708</v>
      </c>
      <c r="X815" s="8">
        <v>2.7984499999999999</v>
      </c>
      <c r="Y815">
        <v>8</v>
      </c>
      <c r="Z815" s="8">
        <f t="shared" si="90"/>
        <v>0.23529411764705882</v>
      </c>
      <c r="AA815" s="8">
        <v>2.86104</v>
      </c>
    </row>
    <row r="816" spans="2:27" ht="15" customHeight="1" x14ac:dyDescent="0.25">
      <c r="B816" s="32">
        <v>462</v>
      </c>
      <c r="C816" s="1">
        <v>-12363.1333</v>
      </c>
      <c r="D816" s="2">
        <v>-12365.014999000001</v>
      </c>
      <c r="F816" s="3">
        <v>0.99161900000000003</v>
      </c>
      <c r="G816" s="2">
        <v>0.16416999999999901</v>
      </c>
      <c r="H816">
        <v>7</v>
      </c>
      <c r="I816">
        <v>6</v>
      </c>
      <c r="K816" s="8">
        <f t="shared" si="84"/>
        <v>-0.69063076923157496</v>
      </c>
      <c r="L816" s="8">
        <f t="shared" si="85"/>
        <v>-5.312544378704423E-2</v>
      </c>
      <c r="M816" s="8">
        <f t="shared" si="86"/>
        <v>-1.1462071538462624</v>
      </c>
      <c r="N816" s="8">
        <f t="shared" si="87"/>
        <v>-8.8169781065097111E-2</v>
      </c>
      <c r="O816" s="8"/>
      <c r="P816" t="s">
        <v>1103</v>
      </c>
      <c r="Q816">
        <v>34</v>
      </c>
      <c r="R816" s="8">
        <v>2.8139699999999999</v>
      </c>
      <c r="S816">
        <v>9</v>
      </c>
      <c r="T816" s="8">
        <f t="shared" si="88"/>
        <v>0.26470588235294118</v>
      </c>
      <c r="U816" s="8">
        <v>2.8311600000000001</v>
      </c>
      <c r="V816">
        <v>15</v>
      </c>
      <c r="W816" s="8">
        <f t="shared" si="89"/>
        <v>0.44117647058823528</v>
      </c>
      <c r="X816" s="8">
        <v>2.7881499999999999</v>
      </c>
      <c r="Y816">
        <v>10</v>
      </c>
      <c r="Z816" s="8">
        <f t="shared" si="90"/>
        <v>0.29411764705882354</v>
      </c>
      <c r="AA816" s="8">
        <v>2.83724</v>
      </c>
    </row>
    <row r="817" spans="2:27" ht="15" customHeight="1" x14ac:dyDescent="0.25">
      <c r="B817" s="32">
        <v>474</v>
      </c>
      <c r="C817" s="1">
        <v>-12363.3199</v>
      </c>
      <c r="D817" s="2">
        <v>-12365.014063000001</v>
      </c>
      <c r="F817" s="3">
        <v>0.99716199999999999</v>
      </c>
      <c r="G817" s="2">
        <v>0.19669</v>
      </c>
      <c r="H817">
        <v>7</v>
      </c>
      <c r="I817">
        <v>6</v>
      </c>
      <c r="K817" s="8">
        <f t="shared" si="84"/>
        <v>-0.877230769232483</v>
      </c>
      <c r="L817" s="8">
        <f t="shared" si="85"/>
        <v>-6.7479289940960224E-2</v>
      </c>
      <c r="M817" s="8">
        <f t="shared" si="86"/>
        <v>-1.1452711538458971</v>
      </c>
      <c r="N817" s="8">
        <f t="shared" si="87"/>
        <v>-8.8097781065069006E-2</v>
      </c>
      <c r="O817" s="8"/>
      <c r="P817" t="s">
        <v>1104</v>
      </c>
      <c r="Q817">
        <v>34</v>
      </c>
      <c r="R817" s="8">
        <v>2.8148599999999999</v>
      </c>
      <c r="S817">
        <v>6</v>
      </c>
      <c r="T817" s="8">
        <f t="shared" si="88"/>
        <v>0.17647058823529413</v>
      </c>
      <c r="U817" s="8">
        <v>2.8745400000000001</v>
      </c>
      <c r="V817">
        <v>22</v>
      </c>
      <c r="W817" s="8">
        <f t="shared" si="89"/>
        <v>0.6470588235294118</v>
      </c>
      <c r="X817" s="8">
        <v>2.7895599999999998</v>
      </c>
      <c r="Y817">
        <v>6</v>
      </c>
      <c r="Z817" s="8">
        <f t="shared" si="90"/>
        <v>0.17647058823529413</v>
      </c>
      <c r="AA817" s="8">
        <v>2.8479700000000001</v>
      </c>
    </row>
    <row r="818" spans="2:27" ht="15" customHeight="1" x14ac:dyDescent="0.25">
      <c r="B818" s="32">
        <v>447</v>
      </c>
      <c r="C818" s="1">
        <v>-12363.339900000001</v>
      </c>
      <c r="D818" s="2">
        <v>-12365.012552</v>
      </c>
      <c r="F818" s="3">
        <v>0.99570899999999996</v>
      </c>
      <c r="G818" s="2">
        <v>0.18429999999999899</v>
      </c>
      <c r="H818">
        <v>7</v>
      </c>
      <c r="I818">
        <v>6</v>
      </c>
      <c r="K818" s="8">
        <f t="shared" si="84"/>
        <v>-0.89723076923291956</v>
      </c>
      <c r="L818" s="8">
        <f t="shared" si="85"/>
        <v>-6.9017751479455353E-2</v>
      </c>
      <c r="M818" s="8">
        <f t="shared" si="86"/>
        <v>-1.1437601538455056</v>
      </c>
      <c r="N818" s="8">
        <f t="shared" si="87"/>
        <v>-8.798155029580812E-2</v>
      </c>
      <c r="O818" s="8"/>
      <c r="P818" t="s">
        <v>1105</v>
      </c>
      <c r="Q818">
        <v>35</v>
      </c>
      <c r="R818" s="8">
        <v>2.8287200000000001</v>
      </c>
      <c r="S818">
        <v>6</v>
      </c>
      <c r="T818" s="8">
        <f t="shared" si="88"/>
        <v>0.17142857142857143</v>
      </c>
      <c r="U818" s="8">
        <v>2.8542399999999999</v>
      </c>
      <c r="V818">
        <v>23</v>
      </c>
      <c r="W818" s="8">
        <f t="shared" si="89"/>
        <v>0.65714285714285714</v>
      </c>
      <c r="X818" s="8">
        <v>2.8231600000000001</v>
      </c>
      <c r="Y818">
        <v>6</v>
      </c>
      <c r="Z818" s="8">
        <f t="shared" si="90"/>
        <v>0.17142857142857143</v>
      </c>
      <c r="AA818" s="8">
        <v>2.8245200000000001</v>
      </c>
    </row>
    <row r="819" spans="2:27" ht="15" customHeight="1" x14ac:dyDescent="0.25">
      <c r="B819">
        <v>723</v>
      </c>
      <c r="C819" s="1">
        <v>-12363.465821</v>
      </c>
      <c r="D819" s="2">
        <v>-12365.011775000001</v>
      </c>
      <c r="F819" s="3">
        <v>0.99758000000000002</v>
      </c>
      <c r="G819" s="2">
        <v>0.20354999999999901</v>
      </c>
      <c r="H819">
        <v>7</v>
      </c>
      <c r="I819">
        <v>6</v>
      </c>
      <c r="K819" s="8">
        <f t="shared" si="84"/>
        <v>-1.0231517692318448</v>
      </c>
      <c r="L819" s="8">
        <f t="shared" si="85"/>
        <v>-7.8703982248603449E-2</v>
      </c>
      <c r="M819" s="8">
        <f t="shared" si="86"/>
        <v>-1.1429831538462167</v>
      </c>
      <c r="N819" s="8">
        <f t="shared" si="87"/>
        <v>-8.7921781065093602E-2</v>
      </c>
      <c r="O819" s="8"/>
      <c r="P819" t="s">
        <v>1106</v>
      </c>
      <c r="Q819">
        <v>34</v>
      </c>
      <c r="R819" s="8">
        <v>2.81366</v>
      </c>
      <c r="S819">
        <v>6</v>
      </c>
      <c r="T819" s="8">
        <f t="shared" si="88"/>
        <v>0.17647058823529413</v>
      </c>
      <c r="U819" s="8">
        <v>2.7930999999999999</v>
      </c>
      <c r="V819">
        <v>19</v>
      </c>
      <c r="W819" s="8">
        <f t="shared" si="89"/>
        <v>0.55882352941176472</v>
      </c>
      <c r="X819" s="8">
        <v>2.8045900000000001</v>
      </c>
      <c r="Y819">
        <v>9</v>
      </c>
      <c r="Z819" s="8">
        <f t="shared" si="90"/>
        <v>0.26470588235294118</v>
      </c>
      <c r="AA819" s="8">
        <v>2.8465099999999999</v>
      </c>
    </row>
    <row r="820" spans="2:27" ht="15" customHeight="1" x14ac:dyDescent="0.25">
      <c r="B820">
        <v>611</v>
      </c>
      <c r="C820" s="1">
        <v>-12363.441000000001</v>
      </c>
      <c r="D820" s="2">
        <v>-12365.011329999999</v>
      </c>
      <c r="F820" s="3">
        <v>0.99800699999999998</v>
      </c>
      <c r="G820" s="2">
        <v>0.20726</v>
      </c>
      <c r="H820">
        <v>7</v>
      </c>
      <c r="I820">
        <v>6</v>
      </c>
      <c r="K820" s="8">
        <f t="shared" si="84"/>
        <v>-0.99833076923277986</v>
      </c>
      <c r="L820" s="8">
        <f t="shared" si="85"/>
        <v>-7.6794674556367681E-2</v>
      </c>
      <c r="M820" s="8">
        <f t="shared" si="86"/>
        <v>-1.1425381538447255</v>
      </c>
      <c r="N820" s="8">
        <f t="shared" si="87"/>
        <v>-8.7887550295748115E-2</v>
      </c>
      <c r="O820" s="8"/>
      <c r="P820" t="s">
        <v>1107</v>
      </c>
      <c r="Q820">
        <v>34</v>
      </c>
      <c r="R820" s="8">
        <v>2.81664</v>
      </c>
      <c r="S820">
        <v>7</v>
      </c>
      <c r="T820" s="8">
        <f t="shared" si="88"/>
        <v>0.20588235294117646</v>
      </c>
      <c r="U820" s="8">
        <v>2.8167499999999999</v>
      </c>
      <c r="V820">
        <v>16</v>
      </c>
      <c r="W820" s="8">
        <f t="shared" si="89"/>
        <v>0.47058823529411764</v>
      </c>
      <c r="X820" s="8">
        <v>2.80185</v>
      </c>
      <c r="Y820">
        <v>11</v>
      </c>
      <c r="Z820" s="8">
        <f t="shared" si="90"/>
        <v>0.3235294117647059</v>
      </c>
      <c r="AA820" s="8">
        <v>2.83806</v>
      </c>
    </row>
    <row r="821" spans="2:27" ht="15" customHeight="1" x14ac:dyDescent="0.25">
      <c r="B821">
        <v>649</v>
      </c>
      <c r="C821" s="1">
        <v>-12363.653936000001</v>
      </c>
      <c r="D821" s="2">
        <v>-12365.011028999999</v>
      </c>
      <c r="F821" s="3">
        <v>0.99648300000000001</v>
      </c>
      <c r="G821" s="2">
        <v>0.19164999999999999</v>
      </c>
      <c r="H821">
        <v>7</v>
      </c>
      <c r="I821">
        <v>6</v>
      </c>
      <c r="K821" s="8">
        <f t="shared" si="84"/>
        <v>-1.2112667692326795</v>
      </c>
      <c r="L821" s="8">
        <f t="shared" si="85"/>
        <v>-9.3174366864052269E-2</v>
      </c>
      <c r="M821" s="8">
        <f t="shared" si="86"/>
        <v>-1.1422371538446896</v>
      </c>
      <c r="N821" s="8">
        <f t="shared" si="87"/>
        <v>-8.7864396449591514E-2</v>
      </c>
      <c r="O821" s="8"/>
      <c r="P821" t="s">
        <v>1108</v>
      </c>
      <c r="Q821">
        <v>35</v>
      </c>
      <c r="R821" s="8">
        <v>2.8319200000000002</v>
      </c>
      <c r="S821">
        <v>5</v>
      </c>
      <c r="T821" s="8">
        <f t="shared" si="88"/>
        <v>0.14285714285714285</v>
      </c>
      <c r="U821" s="8">
        <v>2.8134000000000001</v>
      </c>
      <c r="V821">
        <v>22</v>
      </c>
      <c r="W821" s="8">
        <f t="shared" si="89"/>
        <v>0.62857142857142856</v>
      </c>
      <c r="X821" s="8">
        <v>2.8283700000000001</v>
      </c>
      <c r="Y821">
        <v>8</v>
      </c>
      <c r="Z821" s="8">
        <f t="shared" si="90"/>
        <v>0.22857142857142856</v>
      </c>
      <c r="AA821" s="8">
        <v>2.8532700000000002</v>
      </c>
    </row>
    <row r="822" spans="2:27" ht="15" customHeight="1" x14ac:dyDescent="0.25">
      <c r="B822">
        <v>695</v>
      </c>
      <c r="C822" s="1">
        <v>-12363.698041</v>
      </c>
      <c r="D822" s="2">
        <v>-12365.010134</v>
      </c>
      <c r="F822" s="3">
        <v>0.99497500000000005</v>
      </c>
      <c r="G822" s="2">
        <v>0.18626999999999899</v>
      </c>
      <c r="H822">
        <v>7</v>
      </c>
      <c r="I822">
        <v>6</v>
      </c>
      <c r="K822" s="8">
        <f t="shared" si="84"/>
        <v>-1.255371769231715</v>
      </c>
      <c r="L822" s="8">
        <f t="shared" si="85"/>
        <v>-9.6567059171670383E-2</v>
      </c>
      <c r="M822" s="8">
        <f t="shared" si="86"/>
        <v>-1.1413421538454713</v>
      </c>
      <c r="N822" s="8">
        <f t="shared" si="87"/>
        <v>-8.7795550295805491E-2</v>
      </c>
      <c r="O822" s="8"/>
      <c r="P822" t="s">
        <v>1109</v>
      </c>
      <c r="Q822">
        <v>32</v>
      </c>
      <c r="R822" s="8">
        <v>2.7984399999999998</v>
      </c>
      <c r="S822">
        <v>5</v>
      </c>
      <c r="T822" s="8">
        <f t="shared" si="88"/>
        <v>0.15625</v>
      </c>
      <c r="U822" s="8">
        <v>2.7667199999999998</v>
      </c>
      <c r="V822">
        <v>20</v>
      </c>
      <c r="W822" s="8">
        <f t="shared" si="89"/>
        <v>0.625</v>
      </c>
      <c r="X822" s="8">
        <v>2.8206199999999999</v>
      </c>
      <c r="Y822">
        <v>7</v>
      </c>
      <c r="Z822" s="8">
        <f t="shared" si="90"/>
        <v>0.21875</v>
      </c>
      <c r="AA822" s="8">
        <v>2.75773</v>
      </c>
    </row>
    <row r="823" spans="2:27" ht="15" customHeight="1" x14ac:dyDescent="0.25">
      <c r="B823" s="32">
        <v>478</v>
      </c>
      <c r="C823" s="1">
        <v>-12363.3627</v>
      </c>
      <c r="D823" s="2">
        <v>-12365.009926000001</v>
      </c>
      <c r="F823" s="3">
        <v>0.99357499999999999</v>
      </c>
      <c r="G823" s="2">
        <v>0.17212999999999901</v>
      </c>
      <c r="H823">
        <v>7</v>
      </c>
      <c r="I823">
        <v>6</v>
      </c>
      <c r="K823" s="8">
        <f t="shared" si="84"/>
        <v>-0.92003076923174376</v>
      </c>
      <c r="L823" s="8">
        <f t="shared" si="85"/>
        <v>-7.0771597633211059E-2</v>
      </c>
      <c r="M823" s="8">
        <f t="shared" si="86"/>
        <v>-1.1411341538459965</v>
      </c>
      <c r="N823" s="8">
        <f t="shared" si="87"/>
        <v>-8.7779550295845887E-2</v>
      </c>
      <c r="O823" s="8"/>
      <c r="P823" t="s">
        <v>1110</v>
      </c>
      <c r="Q823">
        <v>36</v>
      </c>
      <c r="R823" s="8">
        <v>2.8359200000000002</v>
      </c>
      <c r="S823">
        <v>7</v>
      </c>
      <c r="T823" s="8">
        <f t="shared" si="88"/>
        <v>0.19444444444444445</v>
      </c>
      <c r="U823" s="8">
        <v>2.88192</v>
      </c>
      <c r="V823">
        <v>22</v>
      </c>
      <c r="W823" s="8">
        <f t="shared" si="89"/>
        <v>0.61111111111111116</v>
      </c>
      <c r="X823" s="8">
        <v>2.82253</v>
      </c>
      <c r="Y823">
        <v>7</v>
      </c>
      <c r="Z823" s="8">
        <f t="shared" si="90"/>
        <v>0.19444444444444445</v>
      </c>
      <c r="AA823" s="8">
        <v>2.8319700000000001</v>
      </c>
    </row>
    <row r="824" spans="2:27" ht="15" customHeight="1" x14ac:dyDescent="0.25">
      <c r="B824">
        <v>587</v>
      </c>
      <c r="C824" s="1">
        <v>-12363.644915999999</v>
      </c>
      <c r="D824" s="2">
        <v>-12365.009221</v>
      </c>
      <c r="F824" s="3">
        <v>0.995278</v>
      </c>
      <c r="G824" s="2">
        <v>0.18425999999999901</v>
      </c>
      <c r="H824">
        <v>7</v>
      </c>
      <c r="I824">
        <v>6</v>
      </c>
      <c r="K824" s="8">
        <f t="shared" si="84"/>
        <v>-1.2022467692313512</v>
      </c>
      <c r="L824" s="8">
        <f t="shared" si="85"/>
        <v>-9.2480520710103944E-2</v>
      </c>
      <c r="M824" s="8">
        <f t="shared" si="86"/>
        <v>-1.1404291538456164</v>
      </c>
      <c r="N824" s="8">
        <f t="shared" si="87"/>
        <v>-8.7725319526585882E-2</v>
      </c>
      <c r="O824" s="8"/>
      <c r="P824" t="s">
        <v>1111</v>
      </c>
      <c r="Q824">
        <v>34</v>
      </c>
      <c r="R824" s="8">
        <v>2.8208500000000001</v>
      </c>
      <c r="S824">
        <v>7</v>
      </c>
      <c r="T824" s="8">
        <f t="shared" si="88"/>
        <v>0.20588235294117646</v>
      </c>
      <c r="U824" s="8">
        <v>2.8178000000000001</v>
      </c>
      <c r="V824">
        <v>20</v>
      </c>
      <c r="W824" s="8">
        <f t="shared" si="89"/>
        <v>0.58823529411764708</v>
      </c>
      <c r="X824" s="8">
        <v>2.8271000000000002</v>
      </c>
      <c r="Y824">
        <v>7</v>
      </c>
      <c r="Z824" s="8">
        <f t="shared" si="90"/>
        <v>0.20588235294117646</v>
      </c>
      <c r="AA824" s="8">
        <v>2.8060499999999999</v>
      </c>
    </row>
    <row r="825" spans="2:27" ht="15" customHeight="1" x14ac:dyDescent="0.25">
      <c r="B825" s="32">
        <v>412</v>
      </c>
      <c r="C825" s="1">
        <v>-12363.4066</v>
      </c>
      <c r="D825" s="2">
        <v>-12365.008949999999</v>
      </c>
      <c r="F825" s="3">
        <v>0.99246100000000004</v>
      </c>
      <c r="G825" s="2">
        <v>0.1673</v>
      </c>
      <c r="H825">
        <v>7</v>
      </c>
      <c r="I825">
        <v>6</v>
      </c>
      <c r="K825" s="8">
        <f t="shared" si="84"/>
        <v>-0.96393076923232002</v>
      </c>
      <c r="L825" s="8">
        <f t="shared" si="85"/>
        <v>-7.4148520710178467E-2</v>
      </c>
      <c r="M825" s="8">
        <f t="shared" si="86"/>
        <v>-1.1401581538448227</v>
      </c>
      <c r="N825" s="8">
        <f t="shared" si="87"/>
        <v>-8.7704473372678671E-2</v>
      </c>
      <c r="O825" s="8"/>
      <c r="P825" t="s">
        <v>1112</v>
      </c>
      <c r="Q825">
        <v>35</v>
      </c>
      <c r="R825" s="8">
        <v>2.8262900000000002</v>
      </c>
      <c r="S825">
        <v>6</v>
      </c>
      <c r="T825" s="8">
        <f t="shared" si="88"/>
        <v>0.17142857142857143</v>
      </c>
      <c r="U825" s="8">
        <v>2.8662999999999998</v>
      </c>
      <c r="V825">
        <v>22</v>
      </c>
      <c r="W825" s="8">
        <f t="shared" si="89"/>
        <v>0.62857142857142856</v>
      </c>
      <c r="X825" s="8">
        <v>2.8064200000000001</v>
      </c>
      <c r="Y825">
        <v>7</v>
      </c>
      <c r="Z825" s="8">
        <f t="shared" si="90"/>
        <v>0.2</v>
      </c>
      <c r="AA825" s="8">
        <v>2.8544200000000002</v>
      </c>
    </row>
    <row r="826" spans="2:27" ht="15" customHeight="1" x14ac:dyDescent="0.25">
      <c r="B826">
        <v>520</v>
      </c>
      <c r="C826" s="1">
        <v>-12363.664045</v>
      </c>
      <c r="D826" s="2">
        <v>-12365.008249</v>
      </c>
      <c r="F826" s="3">
        <v>0.99632299999999996</v>
      </c>
      <c r="G826" s="2">
        <v>0.18640999999999999</v>
      </c>
      <c r="H826">
        <v>7</v>
      </c>
      <c r="I826">
        <v>6</v>
      </c>
      <c r="K826" s="8">
        <f t="shared" si="84"/>
        <v>-1.2213757692315994</v>
      </c>
      <c r="L826" s="8">
        <f t="shared" si="85"/>
        <v>-9.3951982248584573E-2</v>
      </c>
      <c r="M826" s="8">
        <f t="shared" si="86"/>
        <v>-1.1394571538457967</v>
      </c>
      <c r="N826" s="8">
        <f t="shared" si="87"/>
        <v>-8.765055029583052E-2</v>
      </c>
      <c r="O826" s="8"/>
      <c r="P826" t="s">
        <v>1113</v>
      </c>
      <c r="Q826">
        <v>34</v>
      </c>
      <c r="R826" s="8">
        <v>2.81454</v>
      </c>
      <c r="S826">
        <v>5</v>
      </c>
      <c r="T826" s="8">
        <f t="shared" si="88"/>
        <v>0.14705882352941177</v>
      </c>
      <c r="U826" s="8">
        <v>2.8102999999999998</v>
      </c>
      <c r="V826">
        <v>21</v>
      </c>
      <c r="W826" s="8">
        <f t="shared" si="89"/>
        <v>0.61764705882352944</v>
      </c>
      <c r="X826" s="8">
        <v>2.80206</v>
      </c>
      <c r="Y826">
        <v>8</v>
      </c>
      <c r="Z826" s="8">
        <f t="shared" si="90"/>
        <v>0.23529411764705882</v>
      </c>
      <c r="AA826" s="8">
        <v>2.8499599999999998</v>
      </c>
    </row>
    <row r="827" spans="2:27" ht="15" customHeight="1" x14ac:dyDescent="0.25">
      <c r="B827" s="32">
        <v>512</v>
      </c>
      <c r="C827" s="1">
        <v>-12363.685299999999</v>
      </c>
      <c r="D827" s="2">
        <v>-12365.005809</v>
      </c>
      <c r="F827" s="3">
        <v>0.99571200000000004</v>
      </c>
      <c r="G827" s="2">
        <v>0.18426999999999899</v>
      </c>
      <c r="H827">
        <v>7</v>
      </c>
      <c r="I827">
        <v>6</v>
      </c>
      <c r="K827" s="8">
        <f t="shared" si="84"/>
        <v>-1.2426307692312548</v>
      </c>
      <c r="L827" s="8">
        <f t="shared" si="85"/>
        <v>-9.5586982248558064E-2</v>
      </c>
      <c r="M827" s="8">
        <f t="shared" si="86"/>
        <v>-1.1370171538455907</v>
      </c>
      <c r="N827" s="8">
        <f t="shared" si="87"/>
        <v>-8.7462857988122353E-2</v>
      </c>
      <c r="O827" s="8"/>
      <c r="P827" t="s">
        <v>1114</v>
      </c>
      <c r="Q827">
        <v>35</v>
      </c>
      <c r="R827" s="8">
        <v>2.8315899999999998</v>
      </c>
      <c r="S827">
        <v>7</v>
      </c>
      <c r="T827" s="8">
        <f t="shared" si="88"/>
        <v>0.2</v>
      </c>
      <c r="U827" s="8">
        <v>2.84206</v>
      </c>
      <c r="V827">
        <v>21</v>
      </c>
      <c r="W827" s="8">
        <f t="shared" si="89"/>
        <v>0.6</v>
      </c>
      <c r="X827" s="8">
        <v>2.83941</v>
      </c>
      <c r="Y827">
        <v>7</v>
      </c>
      <c r="Z827" s="8">
        <f t="shared" si="90"/>
        <v>0.2</v>
      </c>
      <c r="AA827" s="8">
        <v>2.7976399999999999</v>
      </c>
    </row>
    <row r="828" spans="2:27" ht="15" customHeight="1" x14ac:dyDescent="0.25">
      <c r="B828">
        <v>717</v>
      </c>
      <c r="C828" s="1">
        <v>-12363.653382</v>
      </c>
      <c r="D828" s="2">
        <v>-12365.005298</v>
      </c>
      <c r="F828" s="3">
        <v>0.99699499999999996</v>
      </c>
      <c r="G828" s="2">
        <v>0.19356999999999899</v>
      </c>
      <c r="H828">
        <v>7</v>
      </c>
      <c r="I828">
        <v>6</v>
      </c>
      <c r="K828" s="8">
        <f t="shared" si="84"/>
        <v>-1.2107127692324866</v>
      </c>
      <c r="L828" s="8">
        <f t="shared" si="85"/>
        <v>-9.3131751479422042E-2</v>
      </c>
      <c r="M828" s="8">
        <f t="shared" si="86"/>
        <v>-1.1365061538454029</v>
      </c>
      <c r="N828" s="8">
        <f t="shared" si="87"/>
        <v>-8.742355029580022E-2</v>
      </c>
      <c r="O828" s="8"/>
      <c r="P828" t="s">
        <v>1115</v>
      </c>
      <c r="Q828">
        <v>34</v>
      </c>
      <c r="R828" s="8">
        <v>2.8181600000000002</v>
      </c>
      <c r="S828">
        <v>6</v>
      </c>
      <c r="T828" s="8">
        <f t="shared" si="88"/>
        <v>0.17647058823529413</v>
      </c>
      <c r="U828" s="8">
        <v>2.7924000000000002</v>
      </c>
      <c r="V828">
        <v>19</v>
      </c>
      <c r="W828" s="8">
        <f t="shared" si="89"/>
        <v>0.55882352941176472</v>
      </c>
      <c r="X828" s="8">
        <v>2.8144499999999999</v>
      </c>
      <c r="Y828">
        <v>9</v>
      </c>
      <c r="Z828" s="8">
        <f t="shared" si="90"/>
        <v>0.26470588235294118</v>
      </c>
      <c r="AA828" s="8">
        <v>2.8431500000000001</v>
      </c>
    </row>
    <row r="829" spans="2:27" ht="15" customHeight="1" x14ac:dyDescent="0.25">
      <c r="B829" s="32">
        <v>509</v>
      </c>
      <c r="C829" s="1">
        <v>-12363.775600000001</v>
      </c>
      <c r="D829" s="2">
        <v>-12365.005201</v>
      </c>
      <c r="F829" s="3">
        <v>0.99707000000000001</v>
      </c>
      <c r="G829" s="2">
        <v>0.19570000000000001</v>
      </c>
      <c r="H829">
        <v>7</v>
      </c>
      <c r="I829">
        <v>6</v>
      </c>
      <c r="K829" s="8">
        <f t="shared" si="84"/>
        <v>-1.3329307692329166</v>
      </c>
      <c r="L829" s="8">
        <f t="shared" si="85"/>
        <v>-0.10253313609483974</v>
      </c>
      <c r="M829" s="8">
        <f t="shared" si="86"/>
        <v>-1.1364091538453067</v>
      </c>
      <c r="N829" s="8">
        <f t="shared" si="87"/>
        <v>-8.7416088757331284E-2</v>
      </c>
      <c r="O829" s="8"/>
      <c r="P829" t="s">
        <v>1116</v>
      </c>
      <c r="Q829">
        <v>32</v>
      </c>
      <c r="R829" s="8">
        <v>2.7966500000000001</v>
      </c>
      <c r="S829">
        <v>6</v>
      </c>
      <c r="T829" s="8">
        <f t="shared" si="88"/>
        <v>0.1875</v>
      </c>
      <c r="U829" s="8">
        <v>2.8269899999999999</v>
      </c>
      <c r="V829">
        <v>18</v>
      </c>
      <c r="W829" s="8">
        <f t="shared" si="89"/>
        <v>0.5625</v>
      </c>
      <c r="X829" s="8">
        <v>2.7953100000000002</v>
      </c>
      <c r="Y829">
        <v>8</v>
      </c>
      <c r="Z829" s="8">
        <f t="shared" si="90"/>
        <v>0.25</v>
      </c>
      <c r="AA829" s="8">
        <v>2.7768999999999999</v>
      </c>
    </row>
    <row r="830" spans="2:27" ht="15" customHeight="1" x14ac:dyDescent="0.25">
      <c r="B830">
        <v>569</v>
      </c>
      <c r="C830" s="1">
        <v>-12363.673263000001</v>
      </c>
      <c r="D830" s="2">
        <v>-12365.005044</v>
      </c>
      <c r="F830" s="3">
        <v>0.99695900000000004</v>
      </c>
      <c r="G830" s="2">
        <v>0.19242999999999899</v>
      </c>
      <c r="H830">
        <v>7</v>
      </c>
      <c r="I830">
        <v>6</v>
      </c>
      <c r="K830" s="8">
        <f t="shared" si="84"/>
        <v>-1.2305937692326552</v>
      </c>
      <c r="L830" s="8">
        <f t="shared" si="85"/>
        <v>-9.4661059171742709E-2</v>
      </c>
      <c r="M830" s="8">
        <f t="shared" si="86"/>
        <v>-1.1362521538449073</v>
      </c>
      <c r="N830" s="8">
        <f t="shared" si="87"/>
        <v>-8.7404011834223638E-2</v>
      </c>
      <c r="O830" s="8"/>
      <c r="P830" t="s">
        <v>1117</v>
      </c>
      <c r="Q830">
        <v>34</v>
      </c>
      <c r="R830" s="8">
        <v>2.8237999999999999</v>
      </c>
      <c r="S830">
        <v>6</v>
      </c>
      <c r="T830" s="8">
        <f t="shared" si="88"/>
        <v>0.17647058823529413</v>
      </c>
      <c r="U830" s="8">
        <v>2.7900299999999998</v>
      </c>
      <c r="V830">
        <v>20</v>
      </c>
      <c r="W830" s="8">
        <f t="shared" si="89"/>
        <v>0.58823529411764708</v>
      </c>
      <c r="X830" s="8">
        <v>2.8348200000000001</v>
      </c>
      <c r="Y830">
        <v>8</v>
      </c>
      <c r="Z830" s="8">
        <f t="shared" si="90"/>
        <v>0.23529411764705882</v>
      </c>
      <c r="AA830" s="8">
        <v>2.82158</v>
      </c>
    </row>
    <row r="831" spans="2:27" ht="15" customHeight="1" x14ac:dyDescent="0.25">
      <c r="B831" s="32">
        <v>313</v>
      </c>
      <c r="C831" s="1">
        <v>-12362.9172</v>
      </c>
      <c r="D831" s="2">
        <v>-12365.002922</v>
      </c>
      <c r="F831" s="3">
        <v>0.99304499999999996</v>
      </c>
      <c r="G831" s="2">
        <v>0.16977</v>
      </c>
      <c r="H831">
        <v>7</v>
      </c>
      <c r="I831">
        <v>6</v>
      </c>
      <c r="K831" s="8">
        <f t="shared" si="84"/>
        <v>-0.47453076923193294</v>
      </c>
      <c r="L831" s="8">
        <f t="shared" si="85"/>
        <v>-3.6502366863994842E-2</v>
      </c>
      <c r="M831" s="8">
        <f t="shared" si="86"/>
        <v>-1.1341301538450352</v>
      </c>
      <c r="N831" s="8">
        <f t="shared" si="87"/>
        <v>-8.7240781065002715E-2</v>
      </c>
      <c r="O831" s="8"/>
      <c r="P831" t="s">
        <v>1118</v>
      </c>
      <c r="Q831">
        <v>35</v>
      </c>
      <c r="R831" s="8">
        <v>2.8287300000000002</v>
      </c>
      <c r="S831">
        <v>9</v>
      </c>
      <c r="T831" s="8">
        <f t="shared" si="88"/>
        <v>0.25714285714285712</v>
      </c>
      <c r="U831" s="8">
        <v>2.8433199999999998</v>
      </c>
      <c r="V831">
        <v>17</v>
      </c>
      <c r="W831" s="8">
        <f t="shared" si="89"/>
        <v>0.48571428571428571</v>
      </c>
      <c r="X831" s="8">
        <v>2.8115700000000001</v>
      </c>
      <c r="Y831">
        <v>9</v>
      </c>
      <c r="Z831" s="8">
        <f t="shared" si="90"/>
        <v>0.25714285714285712</v>
      </c>
      <c r="AA831" s="8">
        <v>2.8465500000000001</v>
      </c>
    </row>
    <row r="832" spans="2:27" ht="15" customHeight="1" x14ac:dyDescent="0.25">
      <c r="B832">
        <v>637</v>
      </c>
      <c r="C832" s="1">
        <v>-12363.388497</v>
      </c>
      <c r="D832" s="2">
        <v>-12365.002164</v>
      </c>
      <c r="F832" s="3">
        <v>0.99639800000000001</v>
      </c>
      <c r="G832" s="2">
        <v>0.18434</v>
      </c>
      <c r="H832">
        <v>7</v>
      </c>
      <c r="I832">
        <v>6</v>
      </c>
      <c r="K832" s="8">
        <f t="shared" si="84"/>
        <v>-0.94582776923198253</v>
      </c>
      <c r="L832" s="8">
        <f t="shared" si="85"/>
        <v>-7.2755982248614043E-2</v>
      </c>
      <c r="M832" s="8">
        <f t="shared" si="86"/>
        <v>-1.1333721538449026</v>
      </c>
      <c r="N832" s="8">
        <f t="shared" si="87"/>
        <v>-8.7182473372684824E-2</v>
      </c>
      <c r="O832" s="8"/>
      <c r="P832" t="s">
        <v>1119</v>
      </c>
      <c r="Q832">
        <v>34</v>
      </c>
      <c r="R832" s="8">
        <v>2.8202699999999998</v>
      </c>
      <c r="S832">
        <v>7</v>
      </c>
      <c r="T832" s="8">
        <f t="shared" si="88"/>
        <v>0.20588235294117646</v>
      </c>
      <c r="U832" s="8">
        <v>2.7975599999999998</v>
      </c>
      <c r="V832">
        <v>16</v>
      </c>
      <c r="W832" s="8">
        <f t="shared" si="89"/>
        <v>0.47058823529411764</v>
      </c>
      <c r="X832" s="8">
        <v>2.81534</v>
      </c>
      <c r="Y832">
        <v>11</v>
      </c>
      <c r="Z832" s="8">
        <f t="shared" si="90"/>
        <v>0.3235294117647059</v>
      </c>
      <c r="AA832" s="8">
        <v>2.8418800000000002</v>
      </c>
    </row>
    <row r="833" spans="2:27" ht="15" customHeight="1" x14ac:dyDescent="0.25">
      <c r="B833" s="32">
        <v>432</v>
      </c>
      <c r="C833" s="1">
        <v>-12363.3166</v>
      </c>
      <c r="D833" s="2">
        <v>-12365.000818</v>
      </c>
      <c r="F833" s="3">
        <v>0.99576500000000001</v>
      </c>
      <c r="G833" s="2">
        <v>0.18467999999999901</v>
      </c>
      <c r="H833">
        <v>7</v>
      </c>
      <c r="I833">
        <v>6</v>
      </c>
      <c r="K833" s="8">
        <f t="shared" si="84"/>
        <v>-0.8739307692321745</v>
      </c>
      <c r="L833" s="8">
        <f t="shared" si="85"/>
        <v>-6.7225443787090347E-2</v>
      </c>
      <c r="M833" s="8">
        <f t="shared" si="86"/>
        <v>-1.1320261538457999</v>
      </c>
      <c r="N833" s="8">
        <f t="shared" si="87"/>
        <v>-8.7078934911215378E-2</v>
      </c>
      <c r="O833" s="8"/>
      <c r="P833" t="s">
        <v>1120</v>
      </c>
      <c r="Q833">
        <v>35</v>
      </c>
      <c r="R833" s="8">
        <v>2.82294</v>
      </c>
      <c r="S833">
        <v>6</v>
      </c>
      <c r="T833" s="8">
        <f t="shared" si="88"/>
        <v>0.17142857142857143</v>
      </c>
      <c r="U833" s="8">
        <v>2.8502700000000001</v>
      </c>
      <c r="V833">
        <v>21</v>
      </c>
      <c r="W833" s="8">
        <f t="shared" si="89"/>
        <v>0.6</v>
      </c>
      <c r="X833" s="8">
        <v>2.8180900000000002</v>
      </c>
      <c r="Y833">
        <v>8</v>
      </c>
      <c r="Z833" s="8">
        <f t="shared" si="90"/>
        <v>0.22857142857142856</v>
      </c>
      <c r="AA833" s="8">
        <v>2.8151700000000002</v>
      </c>
    </row>
    <row r="834" spans="2:27" ht="15" customHeight="1" x14ac:dyDescent="0.25">
      <c r="B834" s="32">
        <v>392</v>
      </c>
      <c r="C834" s="1">
        <v>-12363.048699999999</v>
      </c>
      <c r="D834" s="2">
        <v>-12365.000507000001</v>
      </c>
      <c r="F834" s="3">
        <v>0.99917900000000004</v>
      </c>
      <c r="G834" s="2">
        <v>0.2336</v>
      </c>
      <c r="H834">
        <v>7</v>
      </c>
      <c r="I834">
        <v>6</v>
      </c>
      <c r="K834" s="8">
        <f t="shared" si="84"/>
        <v>-0.60603076923143817</v>
      </c>
      <c r="L834" s="8">
        <f t="shared" si="85"/>
        <v>-4.6617751479341399E-2</v>
      </c>
      <c r="M834" s="8">
        <f t="shared" si="86"/>
        <v>-1.1317151538460166</v>
      </c>
      <c r="N834" s="8">
        <f t="shared" si="87"/>
        <v>-8.7055011834308971E-2</v>
      </c>
      <c r="O834" s="8"/>
      <c r="P834" t="s">
        <v>1121</v>
      </c>
      <c r="Q834">
        <v>36</v>
      </c>
      <c r="R834" s="8">
        <v>2.8359100000000002</v>
      </c>
      <c r="S834">
        <v>9</v>
      </c>
      <c r="T834" s="8">
        <f t="shared" si="88"/>
        <v>0.25</v>
      </c>
      <c r="U834" s="8">
        <v>2.8634200000000001</v>
      </c>
      <c r="V834">
        <v>18</v>
      </c>
      <c r="W834" s="8">
        <f t="shared" si="89"/>
        <v>0.5</v>
      </c>
      <c r="X834" s="8">
        <v>2.83005</v>
      </c>
      <c r="Y834">
        <v>9</v>
      </c>
      <c r="Z834" s="8">
        <f t="shared" si="90"/>
        <v>0.25</v>
      </c>
      <c r="AA834" s="8">
        <v>2.8201200000000002</v>
      </c>
    </row>
    <row r="835" spans="2:27" ht="15" customHeight="1" x14ac:dyDescent="0.25">
      <c r="B835">
        <v>596</v>
      </c>
      <c r="C835" s="1">
        <v>-12363.665510999999</v>
      </c>
      <c r="D835" s="2">
        <v>-12364.999707999999</v>
      </c>
      <c r="F835" s="3">
        <v>0.99679499999999999</v>
      </c>
      <c r="G835" s="2">
        <v>0.188419999999999</v>
      </c>
      <c r="H835">
        <v>7</v>
      </c>
      <c r="I835">
        <v>6</v>
      </c>
      <c r="K835" s="8">
        <f t="shared" ref="K835:K898" si="91">IF(ISNUMBER(C835),C835-(($C$3-$C$2236)/($H$3-$H$2236)*H835+$C$2236),"")</f>
        <v>-1.2228417692313087</v>
      </c>
      <c r="L835" s="8">
        <f t="shared" ref="L835:L898" si="92">IF(ISNUMBER(C835),K835/(H835+I835),"")</f>
        <v>-9.4064751479331438E-2</v>
      </c>
      <c r="M835" s="8">
        <f t="shared" ref="M835:M898" si="93">IF(ISNUMBER(D835),D835-(($D$3-$D$2236)/($H$3-$H$2236)*H835+$D$2236),"")</f>
        <v>-1.130916153844737</v>
      </c>
      <c r="N835" s="8">
        <f t="shared" ref="N835:N898" si="94">IF(ISNUMBER(D835),M835/(H835+I835),"")</f>
        <v>-8.6993550295748998E-2</v>
      </c>
      <c r="O835" s="8"/>
      <c r="P835" t="s">
        <v>1122</v>
      </c>
      <c r="Q835">
        <v>34</v>
      </c>
      <c r="R835" s="8">
        <v>2.8152699999999999</v>
      </c>
      <c r="S835">
        <v>5</v>
      </c>
      <c r="T835" s="8">
        <f t="shared" ref="T835:T898" si="95">IF(ISNUMBER(S835),S835/(Q835),"")</f>
        <v>0.14705882352941177</v>
      </c>
      <c r="U835" s="8">
        <v>2.8294000000000001</v>
      </c>
      <c r="V835">
        <v>22</v>
      </c>
      <c r="W835" s="8">
        <f t="shared" ref="W835:W898" si="96">IF(ISNUMBER(V835),V835/($Q835),"")</f>
        <v>0.6470588235294118</v>
      </c>
      <c r="X835" s="8">
        <v>2.8055300000000001</v>
      </c>
      <c r="Y835">
        <v>7</v>
      </c>
      <c r="Z835" s="8">
        <f t="shared" ref="Z835:Z898" si="97">IF(ISNUMBER(Y835),Y835/($Q835),"")</f>
        <v>0.20588235294117646</v>
      </c>
      <c r="AA835" s="8">
        <v>2.8357999999999999</v>
      </c>
    </row>
    <row r="836" spans="2:27" ht="15" customHeight="1" x14ac:dyDescent="0.25">
      <c r="B836">
        <v>582</v>
      </c>
      <c r="C836" s="1">
        <v>-12363.547353</v>
      </c>
      <c r="D836" s="2">
        <v>-12364.999183</v>
      </c>
      <c r="F836" s="3">
        <v>0.99705900000000003</v>
      </c>
      <c r="G836" s="2">
        <v>0.19173999999999899</v>
      </c>
      <c r="H836">
        <v>7</v>
      </c>
      <c r="I836">
        <v>6</v>
      </c>
      <c r="K836" s="8">
        <f t="shared" si="91"/>
        <v>-1.1046837692319968</v>
      </c>
      <c r="L836" s="8">
        <f t="shared" si="92"/>
        <v>-8.4975674556307446E-2</v>
      </c>
      <c r="M836" s="8">
        <f t="shared" si="93"/>
        <v>-1.1303911538452667</v>
      </c>
      <c r="N836" s="8">
        <f t="shared" si="94"/>
        <v>-8.6953165680405134E-2</v>
      </c>
      <c r="O836" s="8"/>
      <c r="P836" t="s">
        <v>1123</v>
      </c>
      <c r="Q836">
        <v>34</v>
      </c>
      <c r="R836" s="8">
        <v>2.8210500000000001</v>
      </c>
      <c r="S836">
        <v>8</v>
      </c>
      <c r="T836" s="8">
        <f t="shared" si="95"/>
        <v>0.23529411764705882</v>
      </c>
      <c r="U836" s="8">
        <v>2.8334299999999999</v>
      </c>
      <c r="V836">
        <v>18</v>
      </c>
      <c r="W836" s="8">
        <f t="shared" si="96"/>
        <v>0.52941176470588236</v>
      </c>
      <c r="X836" s="8">
        <v>2.83264</v>
      </c>
      <c r="Y836">
        <v>8</v>
      </c>
      <c r="Z836" s="8">
        <f t="shared" si="97"/>
        <v>0.23529411764705882</v>
      </c>
      <c r="AA836" s="8">
        <v>2.7825799999999998</v>
      </c>
    </row>
    <row r="837" spans="2:27" ht="15" customHeight="1" x14ac:dyDescent="0.25">
      <c r="B837">
        <v>741</v>
      </c>
      <c r="C837" s="1">
        <v>-12363.521604</v>
      </c>
      <c r="D837" s="2">
        <v>-12364.994941000001</v>
      </c>
      <c r="F837" s="3">
        <v>0.994448</v>
      </c>
      <c r="G837" s="2">
        <v>0.177039999999999</v>
      </c>
      <c r="H837">
        <v>7</v>
      </c>
      <c r="I837">
        <v>6</v>
      </c>
      <c r="K837" s="8">
        <f t="shared" si="91"/>
        <v>-1.0789347692316369</v>
      </c>
      <c r="L837" s="8">
        <f t="shared" si="92"/>
        <v>-8.2994982248587451E-2</v>
      </c>
      <c r="M837" s="8">
        <f t="shared" si="93"/>
        <v>-1.1261491538461996</v>
      </c>
      <c r="N837" s="8">
        <f t="shared" si="94"/>
        <v>-8.6626857988169201E-2</v>
      </c>
      <c r="O837" s="8"/>
      <c r="P837" t="s">
        <v>1124</v>
      </c>
      <c r="Q837">
        <v>35</v>
      </c>
      <c r="R837" s="8">
        <v>2.8352900000000001</v>
      </c>
      <c r="S837">
        <v>6</v>
      </c>
      <c r="T837" s="8">
        <f t="shared" si="95"/>
        <v>0.17142857142857143</v>
      </c>
      <c r="U837" s="8">
        <v>2.8033999999999999</v>
      </c>
      <c r="V837">
        <v>21</v>
      </c>
      <c r="W837" s="8">
        <f t="shared" si="96"/>
        <v>0.6</v>
      </c>
      <c r="X837" s="8">
        <v>2.86056</v>
      </c>
      <c r="Y837">
        <v>8</v>
      </c>
      <c r="Z837" s="8">
        <f t="shared" si="97"/>
        <v>0.22857142857142856</v>
      </c>
      <c r="AA837" s="8">
        <v>2.7928899999999999</v>
      </c>
    </row>
    <row r="838" spans="2:27" ht="15" customHeight="1" x14ac:dyDescent="0.25">
      <c r="B838">
        <v>518</v>
      </c>
      <c r="C838" s="1">
        <v>-12363.501704</v>
      </c>
      <c r="D838" s="2">
        <v>-12364.994296000001</v>
      </c>
      <c r="F838" s="3">
        <v>0.99596899999999999</v>
      </c>
      <c r="G838" s="2">
        <v>0.18529000000000001</v>
      </c>
      <c r="H838">
        <v>7</v>
      </c>
      <c r="I838">
        <v>6</v>
      </c>
      <c r="K838" s="8">
        <f t="shared" si="91"/>
        <v>-1.0590347692323121</v>
      </c>
      <c r="L838" s="8">
        <f t="shared" si="92"/>
        <v>-8.1464213017870157E-2</v>
      </c>
      <c r="M838" s="8">
        <f t="shared" si="93"/>
        <v>-1.1255041538461228</v>
      </c>
      <c r="N838" s="8">
        <f t="shared" si="94"/>
        <v>-8.6577242603547905E-2</v>
      </c>
      <c r="O838" s="8"/>
      <c r="P838" t="s">
        <v>1125</v>
      </c>
      <c r="Q838">
        <v>34</v>
      </c>
      <c r="R838" s="8">
        <v>2.8170000000000002</v>
      </c>
      <c r="S838">
        <v>7</v>
      </c>
      <c r="T838" s="8">
        <f t="shared" si="95"/>
        <v>0.20588235294117646</v>
      </c>
      <c r="U838" s="8">
        <v>2.8154300000000001</v>
      </c>
      <c r="V838">
        <v>19</v>
      </c>
      <c r="W838" s="8">
        <f t="shared" si="96"/>
        <v>0.55882352941176472</v>
      </c>
      <c r="X838" s="8">
        <v>2.81515</v>
      </c>
      <c r="Y838">
        <v>8</v>
      </c>
      <c r="Z838" s="8">
        <f t="shared" si="97"/>
        <v>0.23529411764705882</v>
      </c>
      <c r="AA838" s="8">
        <v>2.8227699999999998</v>
      </c>
    </row>
    <row r="839" spans="2:27" ht="15" customHeight="1" x14ac:dyDescent="0.25">
      <c r="B839">
        <v>648</v>
      </c>
      <c r="C839" s="1">
        <v>-12363.650729000001</v>
      </c>
      <c r="D839" s="2">
        <v>-12364.994134</v>
      </c>
      <c r="F839" s="3">
        <v>0.99504099999999995</v>
      </c>
      <c r="G839" s="2">
        <v>0.180009999999999</v>
      </c>
      <c r="H839">
        <v>7</v>
      </c>
      <c r="I839">
        <v>6</v>
      </c>
      <c r="K839" s="8">
        <f t="shared" si="91"/>
        <v>-1.208059769232932</v>
      </c>
      <c r="L839" s="8">
        <f t="shared" si="92"/>
        <v>-9.2927674556379389E-2</v>
      </c>
      <c r="M839" s="8">
        <f t="shared" si="93"/>
        <v>-1.1253421538458497</v>
      </c>
      <c r="N839" s="8">
        <f t="shared" si="94"/>
        <v>-8.6564781065065363E-2</v>
      </c>
      <c r="O839" s="8"/>
      <c r="P839" t="s">
        <v>1126</v>
      </c>
      <c r="Q839">
        <v>34</v>
      </c>
      <c r="R839" s="8">
        <v>2.8200500000000002</v>
      </c>
      <c r="S839">
        <v>5</v>
      </c>
      <c r="T839" s="8">
        <f t="shared" si="95"/>
        <v>0.14705882352941177</v>
      </c>
      <c r="U839" s="8">
        <v>2.7583199999999999</v>
      </c>
      <c r="V839">
        <v>21</v>
      </c>
      <c r="W839" s="8">
        <f t="shared" si="96"/>
        <v>0.61764705882352944</v>
      </c>
      <c r="X839" s="8">
        <v>2.8330199999999999</v>
      </c>
      <c r="Y839">
        <v>8</v>
      </c>
      <c r="Z839" s="8">
        <f t="shared" si="97"/>
        <v>0.23529411764705882</v>
      </c>
      <c r="AA839" s="8">
        <v>2.8246199999999999</v>
      </c>
    </row>
    <row r="840" spans="2:27" ht="15" customHeight="1" x14ac:dyDescent="0.25">
      <c r="B840">
        <v>660</v>
      </c>
      <c r="C840" s="1">
        <v>-12363.331872000001</v>
      </c>
      <c r="D840" s="2">
        <v>-12364.993585</v>
      </c>
      <c r="F840" s="3">
        <v>0.99355400000000005</v>
      </c>
      <c r="G840" s="2">
        <v>0.17026999999999901</v>
      </c>
      <c r="H840">
        <v>7</v>
      </c>
      <c r="I840">
        <v>6</v>
      </c>
      <c r="K840" s="8">
        <f t="shared" si="91"/>
        <v>-0.88920276923272468</v>
      </c>
      <c r="L840" s="8">
        <f t="shared" si="92"/>
        <v>-6.8400213017901904E-2</v>
      </c>
      <c r="M840" s="8">
        <f t="shared" si="93"/>
        <v>-1.1247931538455305</v>
      </c>
      <c r="N840" s="8">
        <f t="shared" si="94"/>
        <v>-8.6522550295810033E-2</v>
      </c>
      <c r="O840" s="8"/>
      <c r="P840" t="s">
        <v>1127</v>
      </c>
      <c r="Q840">
        <v>34</v>
      </c>
      <c r="R840" s="8">
        <v>2.81915</v>
      </c>
      <c r="S840">
        <v>7</v>
      </c>
      <c r="T840" s="8">
        <f t="shared" si="95"/>
        <v>0.20588235294117646</v>
      </c>
      <c r="U840" s="8">
        <v>2.8104399999999998</v>
      </c>
      <c r="V840">
        <v>15</v>
      </c>
      <c r="W840" s="8">
        <f t="shared" si="96"/>
        <v>0.44117647058823528</v>
      </c>
      <c r="X840" s="8">
        <v>2.79189</v>
      </c>
      <c r="Y840">
        <v>12</v>
      </c>
      <c r="Z840" s="8">
        <f t="shared" si="97"/>
        <v>0.35294117647058826</v>
      </c>
      <c r="AA840" s="8">
        <v>2.8583099999999999</v>
      </c>
    </row>
    <row r="841" spans="2:27" ht="15" customHeight="1" x14ac:dyDescent="0.25">
      <c r="B841" s="32">
        <v>349</v>
      </c>
      <c r="C841" s="1">
        <v>-12362.8552</v>
      </c>
      <c r="D841" s="2">
        <v>-12364.991472</v>
      </c>
      <c r="F841" s="3">
        <v>0.99625799999999998</v>
      </c>
      <c r="G841" s="2">
        <v>0.18837999999999999</v>
      </c>
      <c r="H841">
        <v>7</v>
      </c>
      <c r="I841">
        <v>6</v>
      </c>
      <c r="K841" s="8">
        <f t="shared" si="91"/>
        <v>-0.4125307692320348</v>
      </c>
      <c r="L841" s="8">
        <f t="shared" si="92"/>
        <v>-3.1733136094771908E-2</v>
      </c>
      <c r="M841" s="8">
        <f t="shared" si="93"/>
        <v>-1.1226801538450673</v>
      </c>
      <c r="N841" s="8">
        <f t="shared" si="94"/>
        <v>-8.6360011834235945E-2</v>
      </c>
      <c r="O841" s="8"/>
      <c r="P841" t="s">
        <v>1128</v>
      </c>
      <c r="Q841">
        <v>34</v>
      </c>
      <c r="R841" s="8">
        <v>2.8198699999999999</v>
      </c>
      <c r="S841">
        <v>11</v>
      </c>
      <c r="T841" s="8">
        <f t="shared" si="95"/>
        <v>0.3235294117647059</v>
      </c>
      <c r="U841" s="8">
        <v>2.8396599999999999</v>
      </c>
      <c r="V841">
        <v>11</v>
      </c>
      <c r="W841" s="8">
        <f t="shared" si="96"/>
        <v>0.3235294117647059</v>
      </c>
      <c r="X841" s="8">
        <v>2.7972700000000001</v>
      </c>
      <c r="Y841">
        <v>12</v>
      </c>
      <c r="Z841" s="8">
        <f t="shared" si="97"/>
        <v>0.35294117647058826</v>
      </c>
      <c r="AA841" s="8">
        <v>2.8224499999999999</v>
      </c>
    </row>
    <row r="842" spans="2:27" ht="15" customHeight="1" x14ac:dyDescent="0.25">
      <c r="B842" s="32">
        <v>477</v>
      </c>
      <c r="C842" s="1">
        <v>-12363.3802</v>
      </c>
      <c r="D842" s="2">
        <v>-12364.990981999999</v>
      </c>
      <c r="F842" s="3">
        <v>0.99614000000000003</v>
      </c>
      <c r="G842" s="2">
        <v>0.18743000000000001</v>
      </c>
      <c r="H842">
        <v>7</v>
      </c>
      <c r="I842">
        <v>6</v>
      </c>
      <c r="K842" s="8">
        <f t="shared" si="91"/>
        <v>-0.937530769231671</v>
      </c>
      <c r="L842" s="8">
        <f t="shared" si="92"/>
        <v>-7.211775147935931E-2</v>
      </c>
      <c r="M842" s="8">
        <f t="shared" si="93"/>
        <v>-1.1221901538447128</v>
      </c>
      <c r="N842" s="8">
        <f t="shared" si="94"/>
        <v>-8.6322319526516367E-2</v>
      </c>
      <c r="O842" s="8"/>
      <c r="P842" t="s">
        <v>1129</v>
      </c>
      <c r="Q842">
        <v>35</v>
      </c>
      <c r="R842" s="8">
        <v>2.8279000000000001</v>
      </c>
      <c r="S842">
        <v>8</v>
      </c>
      <c r="T842" s="8">
        <f t="shared" si="95"/>
        <v>0.22857142857142856</v>
      </c>
      <c r="U842" s="8">
        <v>2.8853</v>
      </c>
      <c r="V842">
        <v>20</v>
      </c>
      <c r="W842" s="8">
        <f t="shared" si="96"/>
        <v>0.5714285714285714</v>
      </c>
      <c r="X842" s="8">
        <v>2.8123399999999998</v>
      </c>
      <c r="Y842">
        <v>7</v>
      </c>
      <c r="Z842" s="8">
        <f t="shared" si="97"/>
        <v>0.2</v>
      </c>
      <c r="AA842" s="8">
        <v>2.8067700000000002</v>
      </c>
    </row>
    <row r="843" spans="2:27" ht="15" customHeight="1" x14ac:dyDescent="0.25">
      <c r="B843">
        <v>553</v>
      </c>
      <c r="C843" s="1">
        <v>-12363.442025</v>
      </c>
      <c r="D843" s="2">
        <v>-12364.989345</v>
      </c>
      <c r="F843" s="3">
        <v>0.99510500000000002</v>
      </c>
      <c r="G843" s="2">
        <v>0.18429999999999999</v>
      </c>
      <c r="H843">
        <v>7</v>
      </c>
      <c r="I843">
        <v>6</v>
      </c>
      <c r="K843" s="8">
        <f t="shared" si="91"/>
        <v>-0.99935576923235203</v>
      </c>
      <c r="L843" s="8">
        <f t="shared" si="92"/>
        <v>-7.6873520710180929E-2</v>
      </c>
      <c r="M843" s="8">
        <f t="shared" si="93"/>
        <v>-1.1205531538453215</v>
      </c>
      <c r="N843" s="8">
        <f t="shared" si="94"/>
        <v>-8.6196396449640111E-2</v>
      </c>
      <c r="O843" s="8"/>
      <c r="P843" t="s">
        <v>1130</v>
      </c>
      <c r="Q843">
        <v>34</v>
      </c>
      <c r="R843" s="8">
        <v>2.8178299999999998</v>
      </c>
      <c r="S843">
        <v>6</v>
      </c>
      <c r="T843" s="8">
        <f t="shared" si="95"/>
        <v>0.17647058823529413</v>
      </c>
      <c r="U843" s="8">
        <v>2.81772</v>
      </c>
      <c r="V843">
        <v>20</v>
      </c>
      <c r="W843" s="8">
        <f t="shared" si="96"/>
        <v>0.58823529411764708</v>
      </c>
      <c r="X843" s="8">
        <v>2.7993399999999999</v>
      </c>
      <c r="Y843">
        <v>8</v>
      </c>
      <c r="Z843" s="8">
        <f t="shared" si="97"/>
        <v>0.23529411764705882</v>
      </c>
      <c r="AA843" s="8">
        <v>2.8641299999999998</v>
      </c>
    </row>
    <row r="844" spans="2:27" ht="15" customHeight="1" x14ac:dyDescent="0.25">
      <c r="B844">
        <v>675</v>
      </c>
      <c r="C844" s="1">
        <v>-12363.604595000001</v>
      </c>
      <c r="D844" s="2">
        <v>-12364.985382999999</v>
      </c>
      <c r="F844" s="3">
        <v>0.99257700000000004</v>
      </c>
      <c r="G844" s="2">
        <v>0.168709999999999</v>
      </c>
      <c r="H844">
        <v>7</v>
      </c>
      <c r="I844">
        <v>6</v>
      </c>
      <c r="K844" s="8">
        <f t="shared" si="91"/>
        <v>-1.1619257692327665</v>
      </c>
      <c r="L844" s="8">
        <f t="shared" si="92"/>
        <v>-8.9378905325597419E-2</v>
      </c>
      <c r="M844" s="8">
        <f t="shared" si="93"/>
        <v>-1.116591153844638</v>
      </c>
      <c r="N844" s="8">
        <f t="shared" si="94"/>
        <v>-8.5891627218818309E-2</v>
      </c>
      <c r="O844" s="8"/>
      <c r="P844" t="s">
        <v>1131</v>
      </c>
      <c r="Q844">
        <v>34</v>
      </c>
      <c r="R844" s="8">
        <v>2.8198699999999999</v>
      </c>
      <c r="S844">
        <v>5</v>
      </c>
      <c r="T844" s="8">
        <f t="shared" si="95"/>
        <v>0.14705882352941177</v>
      </c>
      <c r="U844" s="8">
        <v>2.7990900000000001</v>
      </c>
      <c r="V844">
        <v>20</v>
      </c>
      <c r="W844" s="8">
        <f t="shared" si="96"/>
        <v>0.58823529411764708</v>
      </c>
      <c r="X844" s="8">
        <v>2.79854</v>
      </c>
      <c r="Y844">
        <v>9</v>
      </c>
      <c r="Z844" s="8">
        <f t="shared" si="97"/>
        <v>0.26470588235294118</v>
      </c>
      <c r="AA844" s="8">
        <v>2.8788200000000002</v>
      </c>
    </row>
    <row r="845" spans="2:27" ht="15" customHeight="1" x14ac:dyDescent="0.25">
      <c r="B845" s="32">
        <v>454</v>
      </c>
      <c r="C845" s="1">
        <v>-12363.393599999999</v>
      </c>
      <c r="D845" s="2">
        <v>-12364.984302999999</v>
      </c>
      <c r="F845" s="3">
        <v>0.99510200000000004</v>
      </c>
      <c r="G845" s="2">
        <v>0.180229999999999</v>
      </c>
      <c r="H845">
        <v>7</v>
      </c>
      <c r="I845">
        <v>6</v>
      </c>
      <c r="K845" s="8">
        <f t="shared" si="91"/>
        <v>-0.95093076923149056</v>
      </c>
      <c r="L845" s="8">
        <f t="shared" si="92"/>
        <v>-7.3148520710114656E-2</v>
      </c>
      <c r="M845" s="8">
        <f t="shared" si="93"/>
        <v>-1.1155111538446363</v>
      </c>
      <c r="N845" s="8">
        <f t="shared" si="94"/>
        <v>-8.5808550295741248E-2</v>
      </c>
      <c r="O845" s="8"/>
      <c r="P845" t="s">
        <v>1132</v>
      </c>
      <c r="Q845">
        <v>35</v>
      </c>
      <c r="R845" s="8">
        <v>2.8275899999999998</v>
      </c>
      <c r="S845">
        <v>7</v>
      </c>
      <c r="T845" s="8">
        <f t="shared" si="95"/>
        <v>0.2</v>
      </c>
      <c r="U845" s="8">
        <v>2.85866</v>
      </c>
      <c r="V845">
        <v>21</v>
      </c>
      <c r="W845" s="8">
        <f t="shared" si="96"/>
        <v>0.6</v>
      </c>
      <c r="X845" s="8">
        <v>2.8177099999999999</v>
      </c>
      <c r="Y845">
        <v>7</v>
      </c>
      <c r="Z845" s="8">
        <f t="shared" si="97"/>
        <v>0.2</v>
      </c>
      <c r="AA845" s="8">
        <v>2.8261799999999999</v>
      </c>
    </row>
    <row r="846" spans="2:27" ht="15" customHeight="1" x14ac:dyDescent="0.25">
      <c r="B846" s="32">
        <v>407</v>
      </c>
      <c r="C846" s="1">
        <v>-12363.318300000001</v>
      </c>
      <c r="D846" s="2">
        <v>-12364.982935</v>
      </c>
      <c r="F846" s="3">
        <v>0.99642299999999995</v>
      </c>
      <c r="G846" s="2">
        <v>0.18973999999999999</v>
      </c>
      <c r="H846">
        <v>7</v>
      </c>
      <c r="I846">
        <v>6</v>
      </c>
      <c r="K846" s="8">
        <f t="shared" si="91"/>
        <v>-0.87563076923288463</v>
      </c>
      <c r="L846" s="8">
        <f t="shared" si="92"/>
        <v>-6.7356213017914196E-2</v>
      </c>
      <c r="M846" s="8">
        <f t="shared" si="93"/>
        <v>-1.1141431538453617</v>
      </c>
      <c r="N846" s="8">
        <f t="shared" si="94"/>
        <v>-8.5703319526566277E-2</v>
      </c>
      <c r="O846" s="8"/>
      <c r="P846" t="s">
        <v>1133</v>
      </c>
      <c r="Q846">
        <v>36</v>
      </c>
      <c r="R846" s="8">
        <v>2.8406500000000001</v>
      </c>
      <c r="S846">
        <v>7</v>
      </c>
      <c r="T846" s="8">
        <f t="shared" si="95"/>
        <v>0.19444444444444445</v>
      </c>
      <c r="U846" s="8">
        <v>2.9299400000000002</v>
      </c>
      <c r="V846">
        <v>23</v>
      </c>
      <c r="W846" s="8">
        <f t="shared" si="96"/>
        <v>0.63888888888888884</v>
      </c>
      <c r="X846" s="8">
        <v>2.8135300000000001</v>
      </c>
      <c r="Y846">
        <v>6</v>
      </c>
      <c r="Z846" s="8">
        <f t="shared" si="97"/>
        <v>0.16666666666666666</v>
      </c>
      <c r="AA846" s="8">
        <v>2.84043</v>
      </c>
    </row>
    <row r="847" spans="2:27" ht="15" customHeight="1" x14ac:dyDescent="0.25">
      <c r="B847">
        <v>704</v>
      </c>
      <c r="C847" s="1">
        <v>-12363.623351</v>
      </c>
      <c r="D847" s="2">
        <v>-12364.981395999999</v>
      </c>
      <c r="F847" s="3">
        <v>0.99662899999999999</v>
      </c>
      <c r="G847" s="2">
        <v>0.19072</v>
      </c>
      <c r="H847">
        <v>7</v>
      </c>
      <c r="I847">
        <v>6</v>
      </c>
      <c r="K847" s="8">
        <f t="shared" si="91"/>
        <v>-1.1806817692322511</v>
      </c>
      <c r="L847" s="8">
        <f t="shared" si="92"/>
        <v>-9.0821674556327003E-2</v>
      </c>
      <c r="M847" s="8">
        <f t="shared" si="93"/>
        <v>-1.1126041538445861</v>
      </c>
      <c r="N847" s="8">
        <f t="shared" si="94"/>
        <v>-8.5584934911122013E-2</v>
      </c>
      <c r="O847" s="8"/>
      <c r="P847" t="s">
        <v>1134</v>
      </c>
      <c r="Q847">
        <v>36</v>
      </c>
      <c r="R847" s="8">
        <v>2.8335400000000002</v>
      </c>
      <c r="S847">
        <v>7</v>
      </c>
      <c r="T847" s="8">
        <f t="shared" si="95"/>
        <v>0.19444444444444445</v>
      </c>
      <c r="U847" s="8">
        <v>2.8472</v>
      </c>
      <c r="V847">
        <v>21</v>
      </c>
      <c r="W847" s="8">
        <f t="shared" si="96"/>
        <v>0.58333333333333337</v>
      </c>
      <c r="X847" s="8">
        <v>2.82592</v>
      </c>
      <c r="Y847">
        <v>8</v>
      </c>
      <c r="Z847" s="8">
        <f t="shared" si="97"/>
        <v>0.22222222222222221</v>
      </c>
      <c r="AA847" s="8">
        <v>2.8416000000000001</v>
      </c>
    </row>
    <row r="848" spans="2:27" ht="15" customHeight="1" x14ac:dyDescent="0.25">
      <c r="B848" s="32">
        <v>679</v>
      </c>
      <c r="C848" s="1">
        <v>-12363.434071</v>
      </c>
      <c r="D848" s="2">
        <v>-12364.981385999999</v>
      </c>
      <c r="F848" s="3">
        <v>0.99736000000000002</v>
      </c>
      <c r="G848" s="2">
        <v>0.198129999999999</v>
      </c>
      <c r="H848">
        <v>7</v>
      </c>
      <c r="I848">
        <v>6</v>
      </c>
      <c r="K848" s="8">
        <f t="shared" si="91"/>
        <v>-0.99140176923174295</v>
      </c>
      <c r="L848" s="8">
        <f t="shared" si="92"/>
        <v>-7.626167455628792E-2</v>
      </c>
      <c r="M848" s="8">
        <f t="shared" si="93"/>
        <v>-1.1125941538448387</v>
      </c>
      <c r="N848" s="8">
        <f t="shared" si="94"/>
        <v>-8.5584165680372207E-2</v>
      </c>
      <c r="O848" s="8"/>
      <c r="P848" t="s">
        <v>1135</v>
      </c>
      <c r="Q848">
        <v>34</v>
      </c>
      <c r="R848" s="8">
        <v>2.82145</v>
      </c>
      <c r="S848">
        <v>7</v>
      </c>
      <c r="T848" s="8">
        <f t="shared" si="95"/>
        <v>0.20588235294117646</v>
      </c>
      <c r="U848" s="8">
        <v>2.8676400000000002</v>
      </c>
      <c r="V848">
        <v>18</v>
      </c>
      <c r="W848" s="8">
        <f t="shared" si="96"/>
        <v>0.52941176470588236</v>
      </c>
      <c r="X848" s="8">
        <v>2.7844199999999999</v>
      </c>
      <c r="Y848">
        <v>9</v>
      </c>
      <c r="Z848" s="8">
        <f t="shared" si="97"/>
        <v>0.26470588235294118</v>
      </c>
      <c r="AA848" s="8">
        <v>2.85961</v>
      </c>
    </row>
    <row r="849" spans="2:27" ht="15" customHeight="1" x14ac:dyDescent="0.25">
      <c r="B849">
        <v>635</v>
      </c>
      <c r="C849" s="1">
        <v>-12363.468852</v>
      </c>
      <c r="D849" s="2">
        <v>-12364.981301</v>
      </c>
      <c r="F849" s="3">
        <v>0.99497500000000005</v>
      </c>
      <c r="G849" s="2">
        <v>0.17802999999999999</v>
      </c>
      <c r="H849">
        <v>7</v>
      </c>
      <c r="I849">
        <v>6</v>
      </c>
      <c r="K849" s="8">
        <f t="shared" si="91"/>
        <v>-1.0261827692320367</v>
      </c>
      <c r="L849" s="8">
        <f t="shared" si="92"/>
        <v>-7.8937136094772056E-2</v>
      </c>
      <c r="M849" s="8">
        <f t="shared" si="93"/>
        <v>-1.112509153845167</v>
      </c>
      <c r="N849" s="8">
        <f t="shared" si="94"/>
        <v>-8.5577627218859004E-2</v>
      </c>
      <c r="O849" s="8"/>
      <c r="P849" t="s">
        <v>1136</v>
      </c>
      <c r="Q849">
        <v>34</v>
      </c>
      <c r="R849" s="8">
        <v>2.8174299999999999</v>
      </c>
      <c r="S849">
        <v>7</v>
      </c>
      <c r="T849" s="8">
        <f t="shared" si="95"/>
        <v>0.20588235294117646</v>
      </c>
      <c r="U849" s="8">
        <v>2.8144200000000001</v>
      </c>
      <c r="V849">
        <v>17</v>
      </c>
      <c r="W849" s="8">
        <f t="shared" si="96"/>
        <v>0.5</v>
      </c>
      <c r="X849" s="8">
        <v>2.8079700000000001</v>
      </c>
      <c r="Y849">
        <v>10</v>
      </c>
      <c r="Z849" s="8">
        <f t="shared" si="97"/>
        <v>0.29411764705882354</v>
      </c>
      <c r="AA849" s="8">
        <v>2.8356300000000001</v>
      </c>
    </row>
    <row r="850" spans="2:27" ht="15" customHeight="1" x14ac:dyDescent="0.25">
      <c r="B850">
        <v>617</v>
      </c>
      <c r="C850" s="1">
        <v>-12363.622444000001</v>
      </c>
      <c r="D850" s="2">
        <v>-12364.978204999999</v>
      </c>
      <c r="F850" s="3">
        <v>0.99738199999999999</v>
      </c>
      <c r="G850" s="2">
        <v>0.20607</v>
      </c>
      <c r="H850">
        <v>7</v>
      </c>
      <c r="I850">
        <v>6</v>
      </c>
      <c r="K850" s="8">
        <f t="shared" si="91"/>
        <v>-1.1797747692326084</v>
      </c>
      <c r="L850" s="8">
        <f t="shared" si="92"/>
        <v>-9.0751905325585261E-2</v>
      </c>
      <c r="M850" s="8">
        <f t="shared" si="93"/>
        <v>-1.1094131538447982</v>
      </c>
      <c r="N850" s="8">
        <f t="shared" si="94"/>
        <v>-8.5339473372676791E-2</v>
      </c>
      <c r="O850" s="8"/>
      <c r="P850" t="s">
        <v>1137</v>
      </c>
      <c r="Q850">
        <v>34</v>
      </c>
      <c r="R850" s="8">
        <v>2.81881</v>
      </c>
      <c r="S850">
        <v>6</v>
      </c>
      <c r="T850" s="8">
        <f t="shared" si="95"/>
        <v>0.17647058823529413</v>
      </c>
      <c r="U850" s="8">
        <v>2.8080699999999998</v>
      </c>
      <c r="V850">
        <v>18</v>
      </c>
      <c r="W850" s="8">
        <f t="shared" si="96"/>
        <v>0.52941176470588236</v>
      </c>
      <c r="X850" s="8">
        <v>2.80396</v>
      </c>
      <c r="Y850">
        <v>10</v>
      </c>
      <c r="Z850" s="8">
        <f t="shared" si="97"/>
        <v>0.29411764705882354</v>
      </c>
      <c r="AA850" s="8">
        <v>2.8519999999999999</v>
      </c>
    </row>
    <row r="851" spans="2:27" ht="15" customHeight="1" x14ac:dyDescent="0.25">
      <c r="B851">
        <v>682</v>
      </c>
      <c r="C851" s="1">
        <v>-12363.587855</v>
      </c>
      <c r="D851" s="2">
        <v>-12364.977752000001</v>
      </c>
      <c r="F851" s="3">
        <v>0.99683100000000002</v>
      </c>
      <c r="G851" s="2">
        <v>0.192219999999999</v>
      </c>
      <c r="H851">
        <v>7</v>
      </c>
      <c r="I851">
        <v>6</v>
      </c>
      <c r="K851" s="8">
        <f t="shared" si="91"/>
        <v>-1.1451857692318299</v>
      </c>
      <c r="L851" s="8">
        <f t="shared" si="92"/>
        <v>-8.809121301783307E-2</v>
      </c>
      <c r="M851" s="8">
        <f t="shared" si="93"/>
        <v>-1.1089601538460556</v>
      </c>
      <c r="N851" s="8">
        <f t="shared" si="94"/>
        <v>-8.5304627218927356E-2</v>
      </c>
      <c r="O851" s="8"/>
      <c r="P851" t="s">
        <v>1138</v>
      </c>
      <c r="Q851">
        <v>34</v>
      </c>
      <c r="R851" s="8">
        <v>2.8162400000000001</v>
      </c>
      <c r="S851">
        <v>6</v>
      </c>
      <c r="T851" s="8">
        <f t="shared" si="95"/>
        <v>0.17647058823529413</v>
      </c>
      <c r="U851" s="8">
        <v>2.8110599999999999</v>
      </c>
      <c r="V851">
        <v>18</v>
      </c>
      <c r="W851" s="8">
        <f t="shared" si="96"/>
        <v>0.52941176470588236</v>
      </c>
      <c r="X851" s="8">
        <v>2.8063699999999998</v>
      </c>
      <c r="Y851">
        <v>10</v>
      </c>
      <c r="Z851" s="8">
        <f t="shared" si="97"/>
        <v>0.29411764705882354</v>
      </c>
      <c r="AA851" s="8">
        <v>2.8371200000000001</v>
      </c>
    </row>
    <row r="852" spans="2:27" ht="15" customHeight="1" x14ac:dyDescent="0.25">
      <c r="B852">
        <v>523</v>
      </c>
      <c r="C852" s="1">
        <v>-12363.707476</v>
      </c>
      <c r="D852" s="2">
        <v>-12364.977421</v>
      </c>
      <c r="F852" s="3">
        <v>0.99684499999999998</v>
      </c>
      <c r="G852" s="2">
        <v>0.193439999999999</v>
      </c>
      <c r="H852">
        <v>7</v>
      </c>
      <c r="I852">
        <v>6</v>
      </c>
      <c r="K852" s="8">
        <f t="shared" si="91"/>
        <v>-1.2648067692316545</v>
      </c>
      <c r="L852" s="8">
        <f t="shared" si="92"/>
        <v>-9.7292828402434958E-2</v>
      </c>
      <c r="M852" s="8">
        <f t="shared" si="93"/>
        <v>-1.1086291538449586</v>
      </c>
      <c r="N852" s="8">
        <f t="shared" si="94"/>
        <v>-8.5279165680381436E-2</v>
      </c>
      <c r="O852" s="8"/>
      <c r="P852" t="s">
        <v>1139</v>
      </c>
      <c r="Q852">
        <v>34</v>
      </c>
      <c r="R852" s="8">
        <v>2.81873</v>
      </c>
      <c r="S852">
        <v>5</v>
      </c>
      <c r="T852" s="8">
        <f t="shared" si="95"/>
        <v>0.14705882352941177</v>
      </c>
      <c r="U852" s="8">
        <v>2.7958500000000002</v>
      </c>
      <c r="V852">
        <v>21</v>
      </c>
      <c r="W852" s="8">
        <f t="shared" si="96"/>
        <v>0.61764705882352944</v>
      </c>
      <c r="X852" s="8">
        <v>2.8054399999999999</v>
      </c>
      <c r="Y852">
        <v>8</v>
      </c>
      <c r="Z852" s="8">
        <f t="shared" si="97"/>
        <v>0.23529411764705882</v>
      </c>
      <c r="AA852" s="8">
        <v>2.8679100000000002</v>
      </c>
    </row>
    <row r="853" spans="2:27" ht="15" customHeight="1" x14ac:dyDescent="0.25">
      <c r="B853">
        <v>685</v>
      </c>
      <c r="C853" s="1">
        <v>-12363.432004</v>
      </c>
      <c r="D853" s="2">
        <v>-12364.976484999999</v>
      </c>
      <c r="F853" s="3">
        <v>0.99233899999999997</v>
      </c>
      <c r="G853" s="2">
        <v>0.16852</v>
      </c>
      <c r="H853">
        <v>7</v>
      </c>
      <c r="I853">
        <v>6</v>
      </c>
      <c r="K853" s="8">
        <f t="shared" si="91"/>
        <v>-0.98933476923230046</v>
      </c>
      <c r="L853" s="8">
        <f t="shared" si="92"/>
        <v>-7.610267455633081E-2</v>
      </c>
      <c r="M853" s="8">
        <f t="shared" si="93"/>
        <v>-1.1076931538445933</v>
      </c>
      <c r="N853" s="8">
        <f t="shared" si="94"/>
        <v>-8.5207165680353331E-2</v>
      </c>
      <c r="O853" s="8"/>
      <c r="P853" t="s">
        <v>1140</v>
      </c>
      <c r="Q853">
        <v>34</v>
      </c>
      <c r="R853" s="8">
        <v>2.8164899999999999</v>
      </c>
      <c r="S853">
        <v>6</v>
      </c>
      <c r="T853" s="8">
        <f t="shared" si="95"/>
        <v>0.17647058823529413</v>
      </c>
      <c r="U853" s="8">
        <v>2.7965900000000001</v>
      </c>
      <c r="V853">
        <v>17</v>
      </c>
      <c r="W853" s="8">
        <f t="shared" si="96"/>
        <v>0.5</v>
      </c>
      <c r="X853" s="8">
        <v>2.7996300000000001</v>
      </c>
      <c r="Y853">
        <v>11</v>
      </c>
      <c r="Z853" s="8">
        <f t="shared" si="97"/>
        <v>0.3235294117647059</v>
      </c>
      <c r="AA853" s="8">
        <v>2.85338</v>
      </c>
    </row>
    <row r="854" spans="2:27" ht="15" customHeight="1" x14ac:dyDescent="0.25">
      <c r="B854">
        <v>708</v>
      </c>
      <c r="C854" s="1">
        <v>-12363.589216</v>
      </c>
      <c r="D854" s="2">
        <v>-12364.975651000001</v>
      </c>
      <c r="F854" s="3">
        <v>0.994838</v>
      </c>
      <c r="G854" s="2">
        <v>0.183749999999999</v>
      </c>
      <c r="H854">
        <v>7</v>
      </c>
      <c r="I854">
        <v>6</v>
      </c>
      <c r="K854" s="8">
        <f t="shared" si="91"/>
        <v>-1.1465467692323728</v>
      </c>
      <c r="L854" s="8">
        <f t="shared" si="92"/>
        <v>-8.8195905325567134E-2</v>
      </c>
      <c r="M854" s="8">
        <f t="shared" si="93"/>
        <v>-1.1068591538460169</v>
      </c>
      <c r="N854" s="8">
        <f t="shared" si="94"/>
        <v>-8.5143011834308988E-2</v>
      </c>
      <c r="O854" s="8"/>
      <c r="P854" t="s">
        <v>1141</v>
      </c>
      <c r="Q854">
        <v>34</v>
      </c>
      <c r="R854" s="8">
        <v>2.8226399999999998</v>
      </c>
      <c r="S854">
        <v>7</v>
      </c>
      <c r="T854" s="8">
        <f t="shared" si="95"/>
        <v>0.20588235294117646</v>
      </c>
      <c r="U854" s="8">
        <v>2.8820100000000002</v>
      </c>
      <c r="V854">
        <v>20</v>
      </c>
      <c r="W854" s="8">
        <f t="shared" si="96"/>
        <v>0.58823529411764708</v>
      </c>
      <c r="X854" s="8">
        <v>2.8092899999999998</v>
      </c>
      <c r="Y854">
        <v>7</v>
      </c>
      <c r="Z854" s="8">
        <f t="shared" si="97"/>
        <v>0.20588235294117646</v>
      </c>
      <c r="AA854" s="8">
        <v>2.80139</v>
      </c>
    </row>
    <row r="855" spans="2:27" ht="15" customHeight="1" x14ac:dyDescent="0.25">
      <c r="B855">
        <v>725</v>
      </c>
      <c r="C855" s="1">
        <v>-12363.572910000001</v>
      </c>
      <c r="D855" s="2">
        <v>-12364.975318999999</v>
      </c>
      <c r="F855" s="3">
        <v>0.99575800000000003</v>
      </c>
      <c r="G855" s="2">
        <v>0.188639999999999</v>
      </c>
      <c r="H855">
        <v>7</v>
      </c>
      <c r="I855">
        <v>6</v>
      </c>
      <c r="K855" s="8">
        <f t="shared" si="91"/>
        <v>-1.1302407692328416</v>
      </c>
      <c r="L855" s="8">
        <f t="shared" si="92"/>
        <v>-8.6941597633295509E-2</v>
      </c>
      <c r="M855" s="8">
        <f t="shared" si="93"/>
        <v>-1.1065271538445813</v>
      </c>
      <c r="N855" s="8">
        <f t="shared" si="94"/>
        <v>-8.5117473372660096E-2</v>
      </c>
      <c r="O855" s="8"/>
      <c r="P855" t="s">
        <v>1142</v>
      </c>
      <c r="Q855">
        <v>33</v>
      </c>
      <c r="R855" s="8">
        <v>2.8080400000000001</v>
      </c>
      <c r="S855">
        <v>6</v>
      </c>
      <c r="T855" s="8">
        <f t="shared" si="95"/>
        <v>0.18181818181818182</v>
      </c>
      <c r="U855" s="8">
        <v>2.7744200000000001</v>
      </c>
      <c r="V855">
        <v>18</v>
      </c>
      <c r="W855" s="8">
        <f t="shared" si="96"/>
        <v>0.54545454545454541</v>
      </c>
      <c r="X855" s="8">
        <v>2.8079100000000001</v>
      </c>
      <c r="Y855">
        <v>9</v>
      </c>
      <c r="Z855" s="8">
        <f t="shared" si="97"/>
        <v>0.27272727272727271</v>
      </c>
      <c r="AA855" s="8">
        <v>2.8307199999999999</v>
      </c>
    </row>
    <row r="856" spans="2:27" ht="15" customHeight="1" x14ac:dyDescent="0.25">
      <c r="B856">
        <v>732</v>
      </c>
      <c r="C856" s="1">
        <v>-12363.465722000001</v>
      </c>
      <c r="D856" s="2">
        <v>-12364.975256</v>
      </c>
      <c r="F856" s="3">
        <v>0.99387800000000004</v>
      </c>
      <c r="G856" s="2">
        <v>0.17374000000000001</v>
      </c>
      <c r="H856">
        <v>7</v>
      </c>
      <c r="I856">
        <v>6</v>
      </c>
      <c r="K856" s="8">
        <f t="shared" si="91"/>
        <v>-1.0230527692328906</v>
      </c>
      <c r="L856" s="8">
        <f t="shared" si="92"/>
        <v>-7.8696366864068501E-2</v>
      </c>
      <c r="M856" s="8">
        <f t="shared" si="93"/>
        <v>-1.1064641538450815</v>
      </c>
      <c r="N856" s="8">
        <f t="shared" si="94"/>
        <v>-8.5112627218852419E-2</v>
      </c>
      <c r="O856" s="8"/>
      <c r="P856" t="s">
        <v>1143</v>
      </c>
      <c r="Q856">
        <v>34</v>
      </c>
      <c r="R856" s="8">
        <v>2.82429</v>
      </c>
      <c r="S856">
        <v>6</v>
      </c>
      <c r="T856" s="8">
        <f t="shared" si="95"/>
        <v>0.17647058823529413</v>
      </c>
      <c r="U856" s="8">
        <v>2.81602</v>
      </c>
      <c r="V856">
        <v>18</v>
      </c>
      <c r="W856" s="8">
        <f t="shared" si="96"/>
        <v>0.52941176470588236</v>
      </c>
      <c r="X856" s="8">
        <v>2.77867</v>
      </c>
      <c r="Y856">
        <v>10</v>
      </c>
      <c r="Z856" s="8">
        <f t="shared" si="97"/>
        <v>0.29411764705882354</v>
      </c>
      <c r="AA856" s="8">
        <v>2.9113500000000001</v>
      </c>
    </row>
    <row r="857" spans="2:27" ht="15" customHeight="1" x14ac:dyDescent="0.25">
      <c r="B857">
        <v>687</v>
      </c>
      <c r="C857" s="1">
        <v>-12363.418962</v>
      </c>
      <c r="D857" s="2">
        <v>-12364.97422</v>
      </c>
      <c r="F857" s="3">
        <v>0.99280400000000002</v>
      </c>
      <c r="G857" s="2">
        <v>0.16893</v>
      </c>
      <c r="H857">
        <v>7</v>
      </c>
      <c r="I857">
        <v>6</v>
      </c>
      <c r="K857" s="8">
        <f t="shared" si="91"/>
        <v>-0.97629276923180441</v>
      </c>
      <c r="L857" s="8">
        <f t="shared" si="92"/>
        <v>-7.5099443787061876E-2</v>
      </c>
      <c r="M857" s="8">
        <f t="shared" si="93"/>
        <v>-1.1054281538454234</v>
      </c>
      <c r="N857" s="8">
        <f t="shared" si="94"/>
        <v>-8.5032934911186409E-2</v>
      </c>
      <c r="O857" s="8"/>
      <c r="P857" t="s">
        <v>1144</v>
      </c>
      <c r="Q857">
        <v>35</v>
      </c>
      <c r="R857" s="8">
        <v>2.82769</v>
      </c>
      <c r="S857">
        <v>6</v>
      </c>
      <c r="T857" s="8">
        <f t="shared" si="95"/>
        <v>0.17142857142857143</v>
      </c>
      <c r="U857" s="8">
        <v>2.7921800000000001</v>
      </c>
      <c r="V857">
        <v>19</v>
      </c>
      <c r="W857" s="8">
        <f t="shared" si="96"/>
        <v>0.54285714285714282</v>
      </c>
      <c r="X857" s="8">
        <v>2.82192</v>
      </c>
      <c r="Y857">
        <v>10</v>
      </c>
      <c r="Z857" s="8">
        <f t="shared" si="97"/>
        <v>0.2857142857142857</v>
      </c>
      <c r="AA857" s="8">
        <v>2.8599700000000001</v>
      </c>
    </row>
    <row r="858" spans="2:27" ht="15" customHeight="1" x14ac:dyDescent="0.25">
      <c r="B858">
        <v>662</v>
      </c>
      <c r="C858" s="1">
        <v>-12363.441427</v>
      </c>
      <c r="D858" s="2">
        <v>-12364.970304</v>
      </c>
      <c r="F858" s="3">
        <v>0.99834999999999996</v>
      </c>
      <c r="G858" s="2">
        <v>0.20069000000000001</v>
      </c>
      <c r="H858">
        <v>7</v>
      </c>
      <c r="I858">
        <v>6</v>
      </c>
      <c r="K858" s="8">
        <f t="shared" si="91"/>
        <v>-0.99875776923181547</v>
      </c>
      <c r="L858" s="8">
        <f t="shared" si="92"/>
        <v>-7.6827520710139652E-2</v>
      </c>
      <c r="M858" s="8">
        <f t="shared" si="93"/>
        <v>-1.1015121538457606</v>
      </c>
      <c r="N858" s="8">
        <f t="shared" si="94"/>
        <v>-8.4731704141981584E-2</v>
      </c>
      <c r="O858" s="8"/>
      <c r="P858" t="s">
        <v>1145</v>
      </c>
      <c r="Q858">
        <v>34</v>
      </c>
      <c r="R858" s="8">
        <v>2.8164199999999999</v>
      </c>
      <c r="S858">
        <v>7</v>
      </c>
      <c r="T858" s="8">
        <f t="shared" si="95"/>
        <v>0.20588235294117646</v>
      </c>
      <c r="U858" s="8">
        <v>2.8242799999999999</v>
      </c>
      <c r="V858">
        <v>18</v>
      </c>
      <c r="W858" s="8">
        <f t="shared" si="96"/>
        <v>0.52941176470588236</v>
      </c>
      <c r="X858" s="8">
        <v>2.8081100000000001</v>
      </c>
      <c r="Y858">
        <v>9</v>
      </c>
      <c r="Z858" s="8">
        <f t="shared" si="97"/>
        <v>0.26470588235294118</v>
      </c>
      <c r="AA858" s="8">
        <v>2.82694</v>
      </c>
    </row>
    <row r="859" spans="2:27" ht="15" customHeight="1" x14ac:dyDescent="0.25">
      <c r="B859" s="32">
        <v>487</v>
      </c>
      <c r="C859" s="1">
        <v>-12363.3699</v>
      </c>
      <c r="D859" s="2">
        <v>-12364.967183000001</v>
      </c>
      <c r="F859" s="3">
        <v>0.99349799999999999</v>
      </c>
      <c r="G859" s="2">
        <v>0.17174999999999899</v>
      </c>
      <c r="H859">
        <v>7</v>
      </c>
      <c r="I859">
        <v>6</v>
      </c>
      <c r="K859" s="8">
        <f t="shared" si="91"/>
        <v>-0.9272307692317554</v>
      </c>
      <c r="L859" s="8">
        <f t="shared" si="92"/>
        <v>-7.1325443787058102E-2</v>
      </c>
      <c r="M859" s="8">
        <f t="shared" si="93"/>
        <v>-1.0983911538460234</v>
      </c>
      <c r="N859" s="8">
        <f t="shared" si="94"/>
        <v>-8.4491627218924878E-2</v>
      </c>
      <c r="O859" s="8"/>
      <c r="P859" t="s">
        <v>1146</v>
      </c>
      <c r="Q859">
        <v>35</v>
      </c>
      <c r="R859" s="8">
        <v>2.8265699999999998</v>
      </c>
      <c r="S859">
        <v>6</v>
      </c>
      <c r="T859" s="8">
        <f t="shared" si="95"/>
        <v>0.17142857142857143</v>
      </c>
      <c r="U859" s="8">
        <v>2.8624900000000002</v>
      </c>
      <c r="V859">
        <v>22</v>
      </c>
      <c r="W859" s="8">
        <f t="shared" si="96"/>
        <v>0.62857142857142856</v>
      </c>
      <c r="X859" s="8">
        <v>2.80497</v>
      </c>
      <c r="Y859">
        <v>7</v>
      </c>
      <c r="Z859" s="8">
        <f t="shared" si="97"/>
        <v>0.2</v>
      </c>
      <c r="AA859" s="8">
        <v>2.86368</v>
      </c>
    </row>
    <row r="860" spans="2:27" ht="15" customHeight="1" x14ac:dyDescent="0.25">
      <c r="B860">
        <v>681</v>
      </c>
      <c r="C860" s="1">
        <v>-12363.462423000001</v>
      </c>
      <c r="D860" s="2">
        <v>-12364.96686</v>
      </c>
      <c r="F860" s="3">
        <v>0.99499499999999996</v>
      </c>
      <c r="G860" s="2">
        <v>0.18617</v>
      </c>
      <c r="H860">
        <v>7</v>
      </c>
      <c r="I860">
        <v>6</v>
      </c>
      <c r="K860" s="8">
        <f t="shared" si="91"/>
        <v>-1.0197537692329206</v>
      </c>
      <c r="L860" s="8">
        <f t="shared" si="92"/>
        <v>-7.8442597633301581E-2</v>
      </c>
      <c r="M860" s="8">
        <f t="shared" si="93"/>
        <v>-1.0980681538458157</v>
      </c>
      <c r="N860" s="8">
        <f t="shared" si="94"/>
        <v>-8.4466781065062752E-2</v>
      </c>
      <c r="O860" s="8"/>
      <c r="P860" t="s">
        <v>1147</v>
      </c>
      <c r="Q860">
        <v>35</v>
      </c>
      <c r="R860" s="8">
        <v>2.8326699999999998</v>
      </c>
      <c r="S860">
        <v>6</v>
      </c>
      <c r="T860" s="8">
        <f t="shared" si="95"/>
        <v>0.17142857142857143</v>
      </c>
      <c r="U860" s="8">
        <v>2.8167900000000001</v>
      </c>
      <c r="V860">
        <v>20</v>
      </c>
      <c r="W860" s="8">
        <f t="shared" si="96"/>
        <v>0.5714285714285714</v>
      </c>
      <c r="X860" s="8">
        <v>2.8391799999999998</v>
      </c>
      <c r="Y860">
        <v>9</v>
      </c>
      <c r="Z860" s="8">
        <f t="shared" si="97"/>
        <v>0.25714285714285712</v>
      </c>
      <c r="AA860" s="8">
        <v>2.8287800000000001</v>
      </c>
    </row>
    <row r="861" spans="2:27" ht="15" customHeight="1" x14ac:dyDescent="0.25">
      <c r="B861" s="32">
        <v>499</v>
      </c>
      <c r="C861" s="1">
        <v>-12363.284900000001</v>
      </c>
      <c r="D861" s="2">
        <v>-12364.966089</v>
      </c>
      <c r="F861" s="3">
        <v>0.99671600000000005</v>
      </c>
      <c r="G861" s="2">
        <v>0.19231000000000001</v>
      </c>
      <c r="H861">
        <v>7</v>
      </c>
      <c r="I861">
        <v>6</v>
      </c>
      <c r="K861" s="8">
        <f t="shared" si="91"/>
        <v>-0.84223076923262852</v>
      </c>
      <c r="L861" s="8">
        <f t="shared" si="92"/>
        <v>-6.4786982248663735E-2</v>
      </c>
      <c r="M861" s="8">
        <f t="shared" si="93"/>
        <v>-1.0972971538449201</v>
      </c>
      <c r="N861" s="8">
        <f t="shared" si="94"/>
        <v>-8.4407473372686156E-2</v>
      </c>
      <c r="O861" s="8"/>
      <c r="P861" t="s">
        <v>1148</v>
      </c>
      <c r="Q861">
        <v>36</v>
      </c>
      <c r="R861" s="8">
        <v>2.83569</v>
      </c>
      <c r="S861">
        <v>8</v>
      </c>
      <c r="T861" s="8">
        <f t="shared" si="95"/>
        <v>0.22222222222222221</v>
      </c>
      <c r="U861" s="8">
        <v>2.9224100000000002</v>
      </c>
      <c r="V861">
        <v>21</v>
      </c>
      <c r="W861" s="8">
        <f t="shared" si="96"/>
        <v>0.58333333333333337</v>
      </c>
      <c r="X861" s="8">
        <v>2.7911000000000001</v>
      </c>
      <c r="Y861">
        <v>7</v>
      </c>
      <c r="Z861" s="8">
        <f t="shared" si="97"/>
        <v>0.19444444444444445</v>
      </c>
      <c r="AA861" s="8">
        <v>2.87032</v>
      </c>
    </row>
    <row r="862" spans="2:27" ht="15" customHeight="1" x14ac:dyDescent="0.25">
      <c r="B862" s="32">
        <v>332</v>
      </c>
      <c r="C862" s="1">
        <v>-12362.8927</v>
      </c>
      <c r="D862" s="2">
        <v>-12364.963586</v>
      </c>
      <c r="F862" s="3">
        <v>0.99739100000000003</v>
      </c>
      <c r="G862" s="2">
        <v>0.19907999999999901</v>
      </c>
      <c r="H862">
        <v>7</v>
      </c>
      <c r="I862">
        <v>6</v>
      </c>
      <c r="K862" s="8">
        <f t="shared" si="91"/>
        <v>-0.4500307692323986</v>
      </c>
      <c r="L862" s="8">
        <f t="shared" si="92"/>
        <v>-3.4617751479415274E-2</v>
      </c>
      <c r="M862" s="8">
        <f t="shared" si="93"/>
        <v>-1.0947941538452142</v>
      </c>
      <c r="N862" s="8">
        <f t="shared" si="94"/>
        <v>-8.4214934911170325E-2</v>
      </c>
      <c r="O862" s="8"/>
      <c r="P862" t="s">
        <v>1149</v>
      </c>
      <c r="Q862">
        <v>35</v>
      </c>
      <c r="R862" s="8">
        <v>2.8290899999999999</v>
      </c>
      <c r="S862">
        <v>5</v>
      </c>
      <c r="T862" s="8">
        <f t="shared" si="95"/>
        <v>0.14285714285714285</v>
      </c>
      <c r="U862" s="8">
        <v>2.92015</v>
      </c>
      <c r="V862">
        <v>23</v>
      </c>
      <c r="W862" s="8">
        <f t="shared" si="96"/>
        <v>0.65714285714285714</v>
      </c>
      <c r="X862" s="8">
        <v>2.8116500000000002</v>
      </c>
      <c r="Y862">
        <v>7</v>
      </c>
      <c r="Z862" s="8">
        <f t="shared" si="97"/>
        <v>0.2</v>
      </c>
      <c r="AA862" s="8">
        <v>2.8213400000000002</v>
      </c>
    </row>
    <row r="863" spans="2:27" ht="15" customHeight="1" x14ac:dyDescent="0.25">
      <c r="B863">
        <v>680</v>
      </c>
      <c r="C863" s="1">
        <v>-12363.430939</v>
      </c>
      <c r="D863" s="2">
        <v>-12364.963100999999</v>
      </c>
      <c r="F863" s="3">
        <v>0.99672700000000003</v>
      </c>
      <c r="G863" s="2">
        <v>0.18559999999999999</v>
      </c>
      <c r="H863">
        <v>7</v>
      </c>
      <c r="I863">
        <v>6</v>
      </c>
      <c r="K863" s="8">
        <f t="shared" si="91"/>
        <v>-0.98826976923191978</v>
      </c>
      <c r="L863" s="8">
        <f t="shared" si="92"/>
        <v>-7.6020751479378451E-2</v>
      </c>
      <c r="M863" s="8">
        <f t="shared" si="93"/>
        <v>-1.0943091538447334</v>
      </c>
      <c r="N863" s="8">
        <f t="shared" si="94"/>
        <v>-8.4177627218825643E-2</v>
      </c>
      <c r="O863" s="8"/>
      <c r="P863" t="s">
        <v>1150</v>
      </c>
      <c r="Q863">
        <v>34</v>
      </c>
      <c r="R863" s="8">
        <v>2.8166199999999999</v>
      </c>
      <c r="S863">
        <v>7</v>
      </c>
      <c r="T863" s="8">
        <f t="shared" si="95"/>
        <v>0.20588235294117646</v>
      </c>
      <c r="U863" s="8">
        <v>2.8292000000000002</v>
      </c>
      <c r="V863">
        <v>18</v>
      </c>
      <c r="W863" s="8">
        <f t="shared" si="96"/>
        <v>0.52941176470588236</v>
      </c>
      <c r="X863" s="8">
        <v>2.8028900000000001</v>
      </c>
      <c r="Y863">
        <v>9</v>
      </c>
      <c r="Z863" s="8">
        <f t="shared" si="97"/>
        <v>0.26470588235294118</v>
      </c>
      <c r="AA863" s="8">
        <v>2.8342900000000002</v>
      </c>
    </row>
    <row r="864" spans="2:27" ht="15" customHeight="1" x14ac:dyDescent="0.25">
      <c r="B864" s="32">
        <v>485</v>
      </c>
      <c r="C864" s="1">
        <v>-12363.3297</v>
      </c>
      <c r="D864" s="2">
        <v>-12364.958853</v>
      </c>
      <c r="F864" s="3">
        <v>0.994367</v>
      </c>
      <c r="G864" s="2">
        <v>0.17609999999999901</v>
      </c>
      <c r="H864">
        <v>7</v>
      </c>
      <c r="I864">
        <v>6</v>
      </c>
      <c r="K864" s="8">
        <f t="shared" si="91"/>
        <v>-0.88703076923229673</v>
      </c>
      <c r="L864" s="8">
        <f t="shared" si="92"/>
        <v>-6.8233136094792063E-2</v>
      </c>
      <c r="M864" s="8">
        <f t="shared" si="93"/>
        <v>-1.0900611538454541</v>
      </c>
      <c r="N864" s="8">
        <f t="shared" si="94"/>
        <v>-8.3850857988111857E-2</v>
      </c>
      <c r="O864" s="8"/>
      <c r="P864" t="s">
        <v>1151</v>
      </c>
      <c r="Q864">
        <v>35</v>
      </c>
      <c r="R864" s="8">
        <v>2.8261099999999999</v>
      </c>
      <c r="S864">
        <v>7</v>
      </c>
      <c r="T864" s="8">
        <f t="shared" si="95"/>
        <v>0.2</v>
      </c>
      <c r="U864" s="8">
        <v>2.8557999999999999</v>
      </c>
      <c r="V864">
        <v>20</v>
      </c>
      <c r="W864" s="8">
        <f t="shared" si="96"/>
        <v>0.5714285714285714</v>
      </c>
      <c r="X864" s="8">
        <v>2.8077299999999998</v>
      </c>
      <c r="Y864">
        <v>8</v>
      </c>
      <c r="Z864" s="8">
        <f t="shared" si="97"/>
        <v>0.22857142857142856</v>
      </c>
      <c r="AA864" s="8">
        <v>2.8460899999999998</v>
      </c>
    </row>
    <row r="865" spans="2:27" ht="15" customHeight="1" x14ac:dyDescent="0.25">
      <c r="B865" s="32">
        <v>422</v>
      </c>
      <c r="C865" s="1">
        <v>-12363.3086</v>
      </c>
      <c r="D865" s="2">
        <v>-12364.956005</v>
      </c>
      <c r="F865" s="3">
        <v>0.99631000000000003</v>
      </c>
      <c r="G865" s="2">
        <v>0.18884999999999999</v>
      </c>
      <c r="H865">
        <v>7</v>
      </c>
      <c r="I865">
        <v>6</v>
      </c>
      <c r="K865" s="8">
        <f t="shared" si="91"/>
        <v>-0.86593076923236367</v>
      </c>
      <c r="L865" s="8">
        <f t="shared" si="92"/>
        <v>-6.6610059171720276E-2</v>
      </c>
      <c r="M865" s="8">
        <f t="shared" si="93"/>
        <v>-1.0872131538453687</v>
      </c>
      <c r="N865" s="8">
        <f t="shared" si="94"/>
        <v>-8.363178106502836E-2</v>
      </c>
      <c r="O865" s="8"/>
      <c r="P865" t="s">
        <v>1152</v>
      </c>
      <c r="Q865">
        <v>35</v>
      </c>
      <c r="R865" s="8">
        <v>2.82823</v>
      </c>
      <c r="S865">
        <v>7</v>
      </c>
      <c r="T865" s="8">
        <f t="shared" si="95"/>
        <v>0.2</v>
      </c>
      <c r="U865" s="8">
        <v>2.9400900000000001</v>
      </c>
      <c r="V865">
        <v>22</v>
      </c>
      <c r="W865" s="8">
        <f t="shared" si="96"/>
        <v>0.62857142857142856</v>
      </c>
      <c r="X865" s="8">
        <v>2.7921100000000001</v>
      </c>
      <c r="Y865">
        <v>6</v>
      </c>
      <c r="Z865" s="8">
        <f t="shared" si="97"/>
        <v>0.17142857142857143</v>
      </c>
      <c r="AA865" s="8">
        <v>2.8301799999999999</v>
      </c>
    </row>
    <row r="866" spans="2:27" ht="15" customHeight="1" x14ac:dyDescent="0.25">
      <c r="B866" s="32">
        <v>449</v>
      </c>
      <c r="C866" s="1">
        <v>-12363.418299999999</v>
      </c>
      <c r="D866" s="2">
        <v>-12364.954460000001</v>
      </c>
      <c r="F866" s="3">
        <v>0.99484899999999998</v>
      </c>
      <c r="G866" s="2">
        <v>0.17882000000000001</v>
      </c>
      <c r="H866">
        <v>7</v>
      </c>
      <c r="I866">
        <v>6</v>
      </c>
      <c r="K866" s="8">
        <f t="shared" si="91"/>
        <v>-0.97563076923142944</v>
      </c>
      <c r="L866" s="8">
        <f t="shared" si="92"/>
        <v>-7.5048520710109951E-2</v>
      </c>
      <c r="M866" s="8">
        <f t="shared" si="93"/>
        <v>-1.0856681538461999</v>
      </c>
      <c r="N866" s="8">
        <f t="shared" si="94"/>
        <v>-8.3512934911246145E-2</v>
      </c>
      <c r="O866" s="8"/>
      <c r="P866" t="s">
        <v>1153</v>
      </c>
      <c r="Q866">
        <v>34</v>
      </c>
      <c r="R866" s="8">
        <v>2.8173300000000001</v>
      </c>
      <c r="S866">
        <v>7</v>
      </c>
      <c r="T866" s="8">
        <f t="shared" si="95"/>
        <v>0.20588235294117646</v>
      </c>
      <c r="U866" s="8">
        <v>2.8685499999999999</v>
      </c>
      <c r="V866">
        <v>20</v>
      </c>
      <c r="W866" s="8">
        <f t="shared" si="96"/>
        <v>0.58823529411764708</v>
      </c>
      <c r="X866" s="8">
        <v>2.8009300000000001</v>
      </c>
      <c r="Y866">
        <v>7</v>
      </c>
      <c r="Z866" s="8">
        <f t="shared" si="97"/>
        <v>0.20588235294117646</v>
      </c>
      <c r="AA866" s="8">
        <v>2.8129900000000001</v>
      </c>
    </row>
    <row r="867" spans="2:27" ht="15" customHeight="1" x14ac:dyDescent="0.25">
      <c r="B867" s="32">
        <v>753</v>
      </c>
      <c r="C867" s="1">
        <v>-12363.528200000001</v>
      </c>
      <c r="D867" s="2">
        <v>-12364.954229999999</v>
      </c>
      <c r="F867" s="3">
        <v>0.99608300000000005</v>
      </c>
      <c r="G867" s="2">
        <v>0.18695999999999899</v>
      </c>
      <c r="H867">
        <v>7</v>
      </c>
      <c r="I867">
        <v>6</v>
      </c>
      <c r="K867" s="8">
        <f t="shared" si="91"/>
        <v>-1.0855307692327187</v>
      </c>
      <c r="L867" s="8">
        <f t="shared" si="92"/>
        <v>-8.3502366864055294E-2</v>
      </c>
      <c r="M867" s="8">
        <f t="shared" si="93"/>
        <v>-1.0854381538447342</v>
      </c>
      <c r="N867" s="8">
        <f t="shared" si="94"/>
        <v>-8.3495242603441086E-2</v>
      </c>
      <c r="O867" s="8"/>
      <c r="P867" t="s">
        <v>1154</v>
      </c>
      <c r="Q867">
        <v>35</v>
      </c>
      <c r="R867" s="8">
        <v>2.82735</v>
      </c>
      <c r="S867">
        <v>7</v>
      </c>
      <c r="T867" s="8">
        <f t="shared" si="95"/>
        <v>0.2</v>
      </c>
      <c r="U867" s="8">
        <v>2.8127499999999999</v>
      </c>
      <c r="V867">
        <v>18</v>
      </c>
      <c r="W867" s="8">
        <f t="shared" si="96"/>
        <v>0.51428571428571423</v>
      </c>
      <c r="X867" s="8">
        <v>2.8435100000000002</v>
      </c>
      <c r="Y867">
        <v>10</v>
      </c>
      <c r="Z867" s="8">
        <f t="shared" si="97"/>
        <v>0.2857142857142857</v>
      </c>
      <c r="AA867" s="8">
        <v>2.8084799999999999</v>
      </c>
    </row>
    <row r="868" spans="2:27" ht="15" customHeight="1" x14ac:dyDescent="0.25">
      <c r="B868">
        <v>632</v>
      </c>
      <c r="C868" s="1">
        <v>-12363.3794</v>
      </c>
      <c r="D868" s="2">
        <v>-12364.952116</v>
      </c>
      <c r="F868" s="3">
        <v>0.99301399999999995</v>
      </c>
      <c r="G868" s="2">
        <v>0.16964000000000001</v>
      </c>
      <c r="H868">
        <v>7</v>
      </c>
      <c r="I868">
        <v>6</v>
      </c>
      <c r="K868" s="8">
        <f t="shared" si="91"/>
        <v>-0.93673076923187182</v>
      </c>
      <c r="L868" s="8">
        <f t="shared" si="92"/>
        <v>-7.2056213017836296E-2</v>
      </c>
      <c r="M868" s="8">
        <f t="shared" si="93"/>
        <v>-1.0833241538457514</v>
      </c>
      <c r="N868" s="8">
        <f t="shared" si="94"/>
        <v>-8.3332627218903957E-2</v>
      </c>
      <c r="O868" s="8"/>
      <c r="P868" t="s">
        <v>1155</v>
      </c>
      <c r="Q868">
        <v>34</v>
      </c>
      <c r="R868" s="8">
        <v>2.81555</v>
      </c>
      <c r="S868">
        <v>7</v>
      </c>
      <c r="T868" s="8">
        <f t="shared" si="95"/>
        <v>0.20588235294117646</v>
      </c>
      <c r="U868" s="8">
        <v>2.84192</v>
      </c>
      <c r="V868">
        <v>20</v>
      </c>
      <c r="W868" s="8">
        <f t="shared" si="96"/>
        <v>0.58823529411764708</v>
      </c>
      <c r="X868" s="8">
        <v>2.8155700000000001</v>
      </c>
      <c r="Y868">
        <v>7</v>
      </c>
      <c r="Z868" s="8">
        <f t="shared" si="97"/>
        <v>0.20588235294117646</v>
      </c>
      <c r="AA868" s="8">
        <v>2.78911</v>
      </c>
    </row>
    <row r="869" spans="2:27" ht="15" customHeight="1" x14ac:dyDescent="0.25">
      <c r="B869">
        <v>686</v>
      </c>
      <c r="C869" s="1">
        <v>-12363.547253000001</v>
      </c>
      <c r="D869" s="2">
        <v>-12364.950634999999</v>
      </c>
      <c r="F869" s="3">
        <v>0.99589899999999998</v>
      </c>
      <c r="G869" s="2">
        <v>0.18884999999999999</v>
      </c>
      <c r="H869">
        <v>7</v>
      </c>
      <c r="I869">
        <v>6</v>
      </c>
      <c r="K869" s="8">
        <f t="shared" si="91"/>
        <v>-1.1045837692327041</v>
      </c>
      <c r="L869" s="8">
        <f t="shared" si="92"/>
        <v>-8.4967982248669541E-2</v>
      </c>
      <c r="M869" s="8">
        <f t="shared" si="93"/>
        <v>-1.0818431538446021</v>
      </c>
      <c r="N869" s="8">
        <f t="shared" si="94"/>
        <v>-8.3218704141892461E-2</v>
      </c>
      <c r="O869" s="8"/>
      <c r="P869" t="s">
        <v>1156</v>
      </c>
      <c r="Q869">
        <v>34</v>
      </c>
      <c r="R869" s="8">
        <v>2.82213</v>
      </c>
      <c r="S869">
        <v>5</v>
      </c>
      <c r="T869" s="8">
        <f t="shared" si="95"/>
        <v>0.14705882352941177</v>
      </c>
      <c r="U869" s="8">
        <v>2.85568</v>
      </c>
      <c r="V869">
        <v>21</v>
      </c>
      <c r="W869" s="8">
        <f t="shared" si="96"/>
        <v>0.61764705882352944</v>
      </c>
      <c r="X869" s="8">
        <v>2.7936700000000001</v>
      </c>
      <c r="Y869">
        <v>8</v>
      </c>
      <c r="Z869" s="8">
        <f t="shared" si="97"/>
        <v>0.23529411764705882</v>
      </c>
      <c r="AA869" s="8">
        <v>2.87588</v>
      </c>
    </row>
    <row r="870" spans="2:27" ht="15" customHeight="1" x14ac:dyDescent="0.25">
      <c r="B870">
        <v>576</v>
      </c>
      <c r="C870" s="1">
        <v>-12363.617356999999</v>
      </c>
      <c r="D870" s="2">
        <v>-12364.950513</v>
      </c>
      <c r="F870" s="3">
        <v>0.99522600000000006</v>
      </c>
      <c r="G870" s="2">
        <v>0.17679</v>
      </c>
      <c r="H870">
        <v>7</v>
      </c>
      <c r="I870">
        <v>6</v>
      </c>
      <c r="K870" s="8">
        <f t="shared" si="91"/>
        <v>-1.174687769231241</v>
      </c>
      <c r="L870" s="8">
        <f t="shared" si="92"/>
        <v>-9.0360597633172376E-2</v>
      </c>
      <c r="M870" s="8">
        <f t="shared" si="93"/>
        <v>-1.0817211538451375</v>
      </c>
      <c r="N870" s="8">
        <f t="shared" si="94"/>
        <v>-8.320931952654903E-2</v>
      </c>
      <c r="O870" s="8"/>
      <c r="P870" t="s">
        <v>1157</v>
      </c>
      <c r="Q870">
        <v>34</v>
      </c>
      <c r="R870" s="8">
        <v>2.81907</v>
      </c>
      <c r="S870">
        <v>6</v>
      </c>
      <c r="T870" s="8">
        <f t="shared" si="95"/>
        <v>0.17647058823529413</v>
      </c>
      <c r="U870" s="8">
        <v>2.85867</v>
      </c>
      <c r="V870">
        <v>19</v>
      </c>
      <c r="W870" s="8">
        <f t="shared" si="96"/>
        <v>0.55882352941176472</v>
      </c>
      <c r="X870" s="8">
        <v>2.79318</v>
      </c>
      <c r="Y870">
        <v>9</v>
      </c>
      <c r="Z870" s="8">
        <f t="shared" si="97"/>
        <v>0.26470588235294118</v>
      </c>
      <c r="AA870" s="8">
        <v>2.8473299999999999</v>
      </c>
    </row>
    <row r="871" spans="2:27" ht="15" customHeight="1" x14ac:dyDescent="0.25">
      <c r="B871">
        <v>557</v>
      </c>
      <c r="C871" s="1">
        <v>-12363.472315999999</v>
      </c>
      <c r="D871" s="2">
        <v>-12364.950454</v>
      </c>
      <c r="F871" s="3">
        <v>0.99685699999999999</v>
      </c>
      <c r="G871" s="2">
        <v>0.19034999999999999</v>
      </c>
      <c r="H871">
        <v>7</v>
      </c>
      <c r="I871">
        <v>6</v>
      </c>
      <c r="K871" s="8">
        <f t="shared" si="91"/>
        <v>-1.0296467692314764</v>
      </c>
      <c r="L871" s="8">
        <f t="shared" si="92"/>
        <v>-7.9203597633190487E-2</v>
      </c>
      <c r="M871" s="8">
        <f t="shared" si="93"/>
        <v>-1.0816621538451727</v>
      </c>
      <c r="N871" s="8">
        <f t="shared" si="94"/>
        <v>-8.3204781065013292E-2</v>
      </c>
      <c r="O871" s="8"/>
      <c r="P871" t="s">
        <v>1158</v>
      </c>
      <c r="Q871">
        <v>34</v>
      </c>
      <c r="R871" s="8">
        <v>2.82585</v>
      </c>
      <c r="S871">
        <v>6</v>
      </c>
      <c r="T871" s="8">
        <f t="shared" si="95"/>
        <v>0.17647058823529413</v>
      </c>
      <c r="U871" s="8">
        <v>2.8160500000000002</v>
      </c>
      <c r="V871">
        <v>18</v>
      </c>
      <c r="W871" s="8">
        <f t="shared" si="96"/>
        <v>0.52941176470588236</v>
      </c>
      <c r="X871" s="8">
        <v>2.8011400000000002</v>
      </c>
      <c r="Y871">
        <v>10</v>
      </c>
      <c r="Z871" s="8">
        <f t="shared" si="97"/>
        <v>0.29411764705882354</v>
      </c>
      <c r="AA871" s="8">
        <v>2.87622</v>
      </c>
    </row>
    <row r="872" spans="2:27" ht="15" customHeight="1" x14ac:dyDescent="0.25">
      <c r="B872" s="32">
        <v>502</v>
      </c>
      <c r="C872" s="1">
        <v>-12363.27</v>
      </c>
      <c r="D872" s="2">
        <v>-12364.949993</v>
      </c>
      <c r="F872" s="3">
        <v>0.99670300000000001</v>
      </c>
      <c r="G872" s="2">
        <v>0.19217999999999999</v>
      </c>
      <c r="H872">
        <v>7</v>
      </c>
      <c r="I872">
        <v>6</v>
      </c>
      <c r="K872" s="8">
        <f t="shared" si="91"/>
        <v>-0.82733076923250337</v>
      </c>
      <c r="L872" s="8">
        <f t="shared" si="92"/>
        <v>-6.3640828402500266E-2</v>
      </c>
      <c r="M872" s="8">
        <f t="shared" si="93"/>
        <v>-1.0812011538455408</v>
      </c>
      <c r="N872" s="8">
        <f t="shared" si="94"/>
        <v>-8.3169319526580063E-2</v>
      </c>
      <c r="O872" s="8"/>
      <c r="P872" t="s">
        <v>1159</v>
      </c>
      <c r="Q872">
        <v>35</v>
      </c>
      <c r="R872" s="8">
        <v>2.8271299999999999</v>
      </c>
      <c r="S872">
        <v>8</v>
      </c>
      <c r="T872" s="8">
        <f t="shared" si="95"/>
        <v>0.22857142857142856</v>
      </c>
      <c r="U872" s="8">
        <v>2.9106999999999998</v>
      </c>
      <c r="V872">
        <v>20</v>
      </c>
      <c r="W872" s="8">
        <f t="shared" si="96"/>
        <v>0.5714285714285714</v>
      </c>
      <c r="X872" s="8">
        <v>2.79386</v>
      </c>
      <c r="Y872">
        <v>7</v>
      </c>
      <c r="Z872" s="8">
        <f t="shared" si="97"/>
        <v>0.2</v>
      </c>
      <c r="AA872" s="8">
        <v>2.8266900000000001</v>
      </c>
    </row>
    <row r="873" spans="2:27" ht="15" customHeight="1" x14ac:dyDescent="0.25">
      <c r="B873">
        <v>578</v>
      </c>
      <c r="C873" s="1">
        <v>-12363.585786</v>
      </c>
      <c r="D873" s="2">
        <v>-12364.949339999999</v>
      </c>
      <c r="F873" s="3">
        <v>0.99668199999999996</v>
      </c>
      <c r="G873" s="2">
        <v>0.19133999999999901</v>
      </c>
      <c r="H873">
        <v>7</v>
      </c>
      <c r="I873">
        <v>6</v>
      </c>
      <c r="K873" s="8">
        <f t="shared" si="91"/>
        <v>-1.1431167692317104</v>
      </c>
      <c r="L873" s="8">
        <f t="shared" si="92"/>
        <v>-8.7932059171670032E-2</v>
      </c>
      <c r="M873" s="8">
        <f t="shared" si="93"/>
        <v>-1.0805481538445747</v>
      </c>
      <c r="N873" s="8">
        <f t="shared" si="94"/>
        <v>-8.3119088757274973E-2</v>
      </c>
      <c r="O873" s="8"/>
      <c r="P873" t="s">
        <v>1160</v>
      </c>
      <c r="Q873">
        <v>35</v>
      </c>
      <c r="R873" s="8">
        <v>2.82884</v>
      </c>
      <c r="S873">
        <v>7</v>
      </c>
      <c r="T873" s="8">
        <f t="shared" si="95"/>
        <v>0.2</v>
      </c>
      <c r="U873" s="8">
        <v>2.83738</v>
      </c>
      <c r="V873">
        <v>20</v>
      </c>
      <c r="W873" s="8">
        <f t="shared" si="96"/>
        <v>0.5714285714285714</v>
      </c>
      <c r="X873" s="8">
        <v>2.8082099999999999</v>
      </c>
      <c r="Y873">
        <v>8</v>
      </c>
      <c r="Z873" s="8">
        <f t="shared" si="97"/>
        <v>0.22857142857142856</v>
      </c>
      <c r="AA873" s="8">
        <v>2.8729100000000001</v>
      </c>
    </row>
    <row r="874" spans="2:27" ht="15" customHeight="1" x14ac:dyDescent="0.25">
      <c r="B874">
        <v>514</v>
      </c>
      <c r="C874" s="1">
        <v>-12363.660954999999</v>
      </c>
      <c r="D874" s="2">
        <v>-12364.949162000001</v>
      </c>
      <c r="F874" s="3">
        <v>0.99698100000000001</v>
      </c>
      <c r="G874" s="2">
        <v>0.19855999999999999</v>
      </c>
      <c r="H874">
        <v>7</v>
      </c>
      <c r="I874">
        <v>6</v>
      </c>
      <c r="K874" s="8">
        <f t="shared" si="91"/>
        <v>-1.2182857692314428</v>
      </c>
      <c r="L874" s="8">
        <f t="shared" si="92"/>
        <v>-9.3714289940880213E-2</v>
      </c>
      <c r="M874" s="8">
        <f t="shared" si="93"/>
        <v>-1.080370153846161</v>
      </c>
      <c r="N874" s="8">
        <f t="shared" si="94"/>
        <v>-8.3105396449704688E-2</v>
      </c>
      <c r="O874" s="8"/>
      <c r="P874" t="s">
        <v>1161</v>
      </c>
      <c r="Q874">
        <v>34</v>
      </c>
      <c r="R874" s="8">
        <v>2.81745</v>
      </c>
      <c r="S874">
        <v>6</v>
      </c>
      <c r="T874" s="8">
        <f t="shared" si="95"/>
        <v>0.17647058823529413</v>
      </c>
      <c r="U874" s="8">
        <v>2.7979099999999999</v>
      </c>
      <c r="V874">
        <v>17</v>
      </c>
      <c r="W874" s="8">
        <f t="shared" si="96"/>
        <v>0.5</v>
      </c>
      <c r="X874" s="8">
        <v>2.7945199999999999</v>
      </c>
      <c r="Y874">
        <v>11</v>
      </c>
      <c r="Z874" s="8">
        <f t="shared" si="97"/>
        <v>0.3235294117647059</v>
      </c>
      <c r="AA874" s="8">
        <v>2.8635700000000002</v>
      </c>
    </row>
    <row r="875" spans="2:27" ht="15" customHeight="1" x14ac:dyDescent="0.25">
      <c r="B875" s="32">
        <v>408</v>
      </c>
      <c r="C875" s="1">
        <v>-12363.3523</v>
      </c>
      <c r="D875" s="2">
        <v>-12364.948973</v>
      </c>
      <c r="F875" s="3">
        <v>0.99556100000000003</v>
      </c>
      <c r="G875" s="2">
        <v>0.18321999999999899</v>
      </c>
      <c r="H875">
        <v>7</v>
      </c>
      <c r="I875">
        <v>6</v>
      </c>
      <c r="K875" s="8">
        <f t="shared" si="91"/>
        <v>-0.90963076923253539</v>
      </c>
      <c r="L875" s="8">
        <f t="shared" si="92"/>
        <v>-6.9971597633271959E-2</v>
      </c>
      <c r="M875" s="8">
        <f t="shared" si="93"/>
        <v>-1.0801811538458423</v>
      </c>
      <c r="N875" s="8">
        <f t="shared" si="94"/>
        <v>-8.3090857988141725E-2</v>
      </c>
      <c r="O875" s="8"/>
      <c r="P875" t="s">
        <v>1162</v>
      </c>
      <c r="Q875">
        <v>35</v>
      </c>
      <c r="R875" s="8">
        <v>2.8275600000000001</v>
      </c>
      <c r="S875">
        <v>7</v>
      </c>
      <c r="T875" s="8">
        <f t="shared" si="95"/>
        <v>0.2</v>
      </c>
      <c r="U875" s="8">
        <v>2.8657400000000002</v>
      </c>
      <c r="V875">
        <v>20</v>
      </c>
      <c r="W875" s="8">
        <f t="shared" si="96"/>
        <v>0.5714285714285714</v>
      </c>
      <c r="X875" s="8">
        <v>2.8111899999999999</v>
      </c>
      <c r="Y875">
        <v>8</v>
      </c>
      <c r="Z875" s="8">
        <f t="shared" si="97"/>
        <v>0.22857142857142856</v>
      </c>
      <c r="AA875" s="8">
        <v>2.8350599999999999</v>
      </c>
    </row>
    <row r="876" spans="2:27" ht="15" customHeight="1" x14ac:dyDescent="0.25">
      <c r="B876">
        <v>696</v>
      </c>
      <c r="C876" s="1">
        <v>-12363.643180999999</v>
      </c>
      <c r="D876" s="2">
        <v>-12364.947592</v>
      </c>
      <c r="F876" s="3">
        <v>0.995977</v>
      </c>
      <c r="G876" s="2">
        <v>0.18690999999999999</v>
      </c>
      <c r="H876">
        <v>7</v>
      </c>
      <c r="I876">
        <v>6</v>
      </c>
      <c r="K876" s="8">
        <f t="shared" si="91"/>
        <v>-1.2005117692315252</v>
      </c>
      <c r="L876" s="8">
        <f t="shared" si="92"/>
        <v>-9.2347059171655782E-2</v>
      </c>
      <c r="M876" s="8">
        <f t="shared" si="93"/>
        <v>-1.0788001538458047</v>
      </c>
      <c r="N876" s="8">
        <f t="shared" si="94"/>
        <v>-8.2984627218908064E-2</v>
      </c>
      <c r="O876" s="8"/>
      <c r="P876" t="s">
        <v>1163</v>
      </c>
      <c r="Q876">
        <v>32</v>
      </c>
      <c r="R876" s="8">
        <v>2.79921</v>
      </c>
      <c r="S876">
        <v>5</v>
      </c>
      <c r="T876" s="8">
        <f t="shared" si="95"/>
        <v>0.15625</v>
      </c>
      <c r="U876" s="8">
        <v>2.85622</v>
      </c>
      <c r="V876">
        <v>20</v>
      </c>
      <c r="W876" s="8">
        <f t="shared" si="96"/>
        <v>0.625</v>
      </c>
      <c r="X876" s="8">
        <v>2.7848899999999999</v>
      </c>
      <c r="Y876">
        <v>7</v>
      </c>
      <c r="Z876" s="8">
        <f t="shared" si="97"/>
        <v>0.21875</v>
      </c>
      <c r="AA876" s="8">
        <v>2.7993999999999999</v>
      </c>
    </row>
    <row r="877" spans="2:27" ht="15" customHeight="1" x14ac:dyDescent="0.25">
      <c r="B877">
        <v>746</v>
      </c>
      <c r="C877" s="1">
        <v>-12363.523036000001</v>
      </c>
      <c r="D877" s="2">
        <v>-12364.945417999999</v>
      </c>
      <c r="F877" s="3">
        <v>0.99418399999999996</v>
      </c>
      <c r="G877" s="2">
        <v>0.1736</v>
      </c>
      <c r="H877">
        <v>7</v>
      </c>
      <c r="I877">
        <v>6</v>
      </c>
      <c r="K877" s="8">
        <f t="shared" si="91"/>
        <v>-1.0803667692325689</v>
      </c>
      <c r="L877" s="8">
        <f t="shared" si="92"/>
        <v>-8.3105136094812987E-2</v>
      </c>
      <c r="M877" s="8">
        <f t="shared" si="93"/>
        <v>-1.0766261538446997</v>
      </c>
      <c r="N877" s="8">
        <f t="shared" si="94"/>
        <v>-8.2817396449592282E-2</v>
      </c>
      <c r="O877" s="8"/>
      <c r="P877" t="s">
        <v>1164</v>
      </c>
      <c r="Q877">
        <v>33</v>
      </c>
      <c r="R877" s="8">
        <v>2.81643</v>
      </c>
      <c r="S877">
        <v>7</v>
      </c>
      <c r="T877" s="8">
        <f t="shared" si="95"/>
        <v>0.21212121212121213</v>
      </c>
      <c r="U877" s="8">
        <v>2.83189</v>
      </c>
      <c r="V877">
        <v>16</v>
      </c>
      <c r="W877" s="8">
        <f t="shared" si="96"/>
        <v>0.48484848484848486</v>
      </c>
      <c r="X877" s="8">
        <v>2.7828400000000002</v>
      </c>
      <c r="Y877">
        <v>10</v>
      </c>
      <c r="Z877" s="8">
        <f t="shared" si="97"/>
        <v>0.30303030303030304</v>
      </c>
      <c r="AA877" s="8">
        <v>2.8593700000000002</v>
      </c>
    </row>
    <row r="878" spans="2:27" ht="15" customHeight="1" x14ac:dyDescent="0.25">
      <c r="B878">
        <v>645</v>
      </c>
      <c r="C878" s="1">
        <v>-12363.597641</v>
      </c>
      <c r="D878" s="2">
        <v>-12364.944036000001</v>
      </c>
      <c r="F878" s="3">
        <v>0.99451299999999998</v>
      </c>
      <c r="G878" s="2">
        <v>0.1754</v>
      </c>
      <c r="H878">
        <v>7</v>
      </c>
      <c r="I878">
        <v>6</v>
      </c>
      <c r="K878" s="8">
        <f t="shared" si="91"/>
        <v>-1.1549717692323611</v>
      </c>
      <c r="L878" s="8">
        <f t="shared" si="92"/>
        <v>-8.8843982248643164E-2</v>
      </c>
      <c r="M878" s="8">
        <f t="shared" si="93"/>
        <v>-1.0752441538461426</v>
      </c>
      <c r="N878" s="8">
        <f t="shared" si="94"/>
        <v>-8.2711088757395579E-2</v>
      </c>
      <c r="O878" s="8"/>
      <c r="P878" t="s">
        <v>1165</v>
      </c>
      <c r="Q878">
        <v>34</v>
      </c>
      <c r="R878" s="8">
        <v>2.8163</v>
      </c>
      <c r="S878">
        <v>6</v>
      </c>
      <c r="T878" s="8">
        <f t="shared" si="95"/>
        <v>0.17647058823529413</v>
      </c>
      <c r="U878" s="8">
        <v>2.84307</v>
      </c>
      <c r="V878">
        <v>20</v>
      </c>
      <c r="W878" s="8">
        <f t="shared" si="96"/>
        <v>0.58823529411764708</v>
      </c>
      <c r="X878" s="8">
        <v>2.7948599999999999</v>
      </c>
      <c r="Y878">
        <v>8</v>
      </c>
      <c r="Z878" s="8">
        <f t="shared" si="97"/>
        <v>0.23529411764705882</v>
      </c>
      <c r="AA878" s="8">
        <v>2.8498000000000001</v>
      </c>
    </row>
    <row r="879" spans="2:27" ht="15" customHeight="1" x14ac:dyDescent="0.25">
      <c r="B879" s="32">
        <v>413</v>
      </c>
      <c r="C879" s="1">
        <v>-12363.5854</v>
      </c>
      <c r="D879" s="2">
        <v>-12364.943369000001</v>
      </c>
      <c r="F879" s="3">
        <v>0.99840600000000002</v>
      </c>
      <c r="G879" s="2">
        <v>0.200629999999999</v>
      </c>
      <c r="H879">
        <v>7</v>
      </c>
      <c r="I879">
        <v>6</v>
      </c>
      <c r="K879" s="8">
        <f t="shared" si="91"/>
        <v>-1.1427307692320028</v>
      </c>
      <c r="L879" s="8">
        <f t="shared" si="92"/>
        <v>-8.7902366864000214E-2</v>
      </c>
      <c r="M879" s="8">
        <f t="shared" si="93"/>
        <v>-1.0745771538458939</v>
      </c>
      <c r="N879" s="8">
        <f t="shared" si="94"/>
        <v>-8.2659781065068758E-2</v>
      </c>
      <c r="O879" s="8"/>
      <c r="P879" t="s">
        <v>1166</v>
      </c>
      <c r="Q879">
        <v>36</v>
      </c>
      <c r="R879" s="8">
        <v>2.83379</v>
      </c>
      <c r="S879">
        <v>5</v>
      </c>
      <c r="T879" s="8">
        <f t="shared" si="95"/>
        <v>0.1388888888888889</v>
      </c>
      <c r="U879" s="8">
        <v>2.80532</v>
      </c>
      <c r="V879">
        <v>23</v>
      </c>
      <c r="W879" s="8">
        <f t="shared" si="96"/>
        <v>0.63888888888888884</v>
      </c>
      <c r="X879" s="8">
        <v>2.84659</v>
      </c>
      <c r="Y879">
        <v>8</v>
      </c>
      <c r="Z879" s="8">
        <f t="shared" si="97"/>
        <v>0.22222222222222221</v>
      </c>
      <c r="AA879" s="8">
        <v>2.81481</v>
      </c>
    </row>
    <row r="880" spans="2:27" ht="15" customHeight="1" x14ac:dyDescent="0.25">
      <c r="B880" s="32">
        <v>368</v>
      </c>
      <c r="C880" s="1">
        <v>-12363.3974</v>
      </c>
      <c r="D880" s="2">
        <v>-12364.940818999999</v>
      </c>
      <c r="F880" s="3">
        <v>0.995726</v>
      </c>
      <c r="G880" s="2">
        <v>0.18304999999999999</v>
      </c>
      <c r="H880">
        <v>7</v>
      </c>
      <c r="I880">
        <v>6</v>
      </c>
      <c r="K880" s="8">
        <f t="shared" si="91"/>
        <v>-0.95473076923190092</v>
      </c>
      <c r="L880" s="8">
        <f t="shared" si="92"/>
        <v>-7.3440828402453917E-2</v>
      </c>
      <c r="M880" s="8">
        <f t="shared" si="93"/>
        <v>-1.0720271538448287</v>
      </c>
      <c r="N880" s="8">
        <f t="shared" si="94"/>
        <v>-8.2463627218832977E-2</v>
      </c>
      <c r="O880" s="8"/>
      <c r="P880" t="s">
        <v>1167</v>
      </c>
      <c r="Q880">
        <v>35</v>
      </c>
      <c r="R880" s="8">
        <v>2.8257300000000001</v>
      </c>
      <c r="S880">
        <v>7</v>
      </c>
      <c r="T880" s="8">
        <f t="shared" si="95"/>
        <v>0.2</v>
      </c>
      <c r="U880" s="8">
        <v>2.8308599999999999</v>
      </c>
      <c r="V880">
        <v>20</v>
      </c>
      <c r="W880" s="8">
        <f t="shared" si="96"/>
        <v>0.5714285714285714</v>
      </c>
      <c r="X880" s="8">
        <v>2.83344</v>
      </c>
      <c r="Y880">
        <v>8</v>
      </c>
      <c r="Z880" s="8">
        <f t="shared" si="97"/>
        <v>0.22857142857142856</v>
      </c>
      <c r="AA880" s="8">
        <v>2.8019799999999999</v>
      </c>
    </row>
    <row r="881" spans="2:27" ht="15" customHeight="1" x14ac:dyDescent="0.25">
      <c r="B881">
        <v>684</v>
      </c>
      <c r="C881" s="1">
        <v>-12363.427559</v>
      </c>
      <c r="D881" s="2">
        <v>-12364.937314999999</v>
      </c>
      <c r="F881" s="3">
        <v>0.99474700000000005</v>
      </c>
      <c r="G881" s="2">
        <v>0.18018000000000001</v>
      </c>
      <c r="H881">
        <v>7</v>
      </c>
      <c r="I881">
        <v>6</v>
      </c>
      <c r="K881" s="8">
        <f t="shared" si="91"/>
        <v>-0.98488976923181326</v>
      </c>
      <c r="L881" s="8">
        <f t="shared" si="92"/>
        <v>-7.5760751479370253E-2</v>
      </c>
      <c r="M881" s="8">
        <f t="shared" si="93"/>
        <v>-1.0685231538445805</v>
      </c>
      <c r="N881" s="8">
        <f t="shared" si="94"/>
        <v>-8.2194088757275421E-2</v>
      </c>
      <c r="O881" s="8"/>
      <c r="P881" t="s">
        <v>1168</v>
      </c>
      <c r="Q881">
        <v>34</v>
      </c>
      <c r="R881" s="8">
        <v>2.8183400000000001</v>
      </c>
      <c r="S881">
        <v>5</v>
      </c>
      <c r="T881" s="8">
        <f t="shared" si="95"/>
        <v>0.14705882352941177</v>
      </c>
      <c r="U881" s="8">
        <v>2.8206199999999999</v>
      </c>
      <c r="V881">
        <v>20</v>
      </c>
      <c r="W881" s="8">
        <f t="shared" si="96"/>
        <v>0.58823529411764708</v>
      </c>
      <c r="X881" s="8">
        <v>2.7904</v>
      </c>
      <c r="Y881">
        <v>9</v>
      </c>
      <c r="Z881" s="8">
        <f t="shared" si="97"/>
        <v>0.26470588235294118</v>
      </c>
      <c r="AA881" s="8">
        <v>2.8791699999999998</v>
      </c>
    </row>
    <row r="882" spans="2:27" ht="15" customHeight="1" x14ac:dyDescent="0.25">
      <c r="B882">
        <v>577</v>
      </c>
      <c r="C882" s="1">
        <v>-12363.565807000001</v>
      </c>
      <c r="D882" s="2">
        <v>-12364.934291</v>
      </c>
      <c r="F882" s="3">
        <v>0.99711700000000003</v>
      </c>
      <c r="G882" s="2">
        <v>0.20188999999999999</v>
      </c>
      <c r="H882">
        <v>7</v>
      </c>
      <c r="I882">
        <v>6</v>
      </c>
      <c r="K882" s="8">
        <f t="shared" si="91"/>
        <v>-1.1231377692329261</v>
      </c>
      <c r="L882" s="8">
        <f t="shared" si="92"/>
        <v>-8.6395213017917388E-2</v>
      </c>
      <c r="M882" s="8">
        <f t="shared" si="93"/>
        <v>-1.0654991538449394</v>
      </c>
      <c r="N882" s="8">
        <f t="shared" si="94"/>
        <v>-8.1961473372687652E-2</v>
      </c>
      <c r="O882" s="8"/>
      <c r="P882" t="s">
        <v>1169</v>
      </c>
      <c r="Q882">
        <v>34</v>
      </c>
      <c r="R882" s="8">
        <v>2.8177599999999998</v>
      </c>
      <c r="S882">
        <v>7</v>
      </c>
      <c r="T882" s="8">
        <f t="shared" si="95"/>
        <v>0.20588235294117646</v>
      </c>
      <c r="U882" s="8">
        <v>2.8251200000000001</v>
      </c>
      <c r="V882">
        <v>20</v>
      </c>
      <c r="W882" s="8">
        <f t="shared" si="96"/>
        <v>0.58823529411764708</v>
      </c>
      <c r="X882" s="8">
        <v>2.8126000000000002</v>
      </c>
      <c r="Y882">
        <v>7</v>
      </c>
      <c r="Z882" s="8">
        <f t="shared" si="97"/>
        <v>0.20588235294117646</v>
      </c>
      <c r="AA882" s="8">
        <v>2.8251200000000001</v>
      </c>
    </row>
    <row r="883" spans="2:27" ht="15" customHeight="1" x14ac:dyDescent="0.25">
      <c r="B883" s="32">
        <v>503</v>
      </c>
      <c r="C883" s="1">
        <v>-12363.3017</v>
      </c>
      <c r="D883" s="2">
        <v>-12364.932993</v>
      </c>
      <c r="F883" s="3">
        <v>0.99697800000000003</v>
      </c>
      <c r="G883" s="2">
        <v>0.19492999999999999</v>
      </c>
      <c r="H883">
        <v>7</v>
      </c>
      <c r="I883">
        <v>6</v>
      </c>
      <c r="K883" s="8">
        <f t="shared" si="91"/>
        <v>-0.85903076923204935</v>
      </c>
      <c r="L883" s="8">
        <f t="shared" si="92"/>
        <v>-6.6079289940926877E-2</v>
      </c>
      <c r="M883" s="8">
        <f t="shared" si="93"/>
        <v>-1.0642011538457155</v>
      </c>
      <c r="N883" s="8">
        <f t="shared" si="94"/>
        <v>-8.1861627218901195E-2</v>
      </c>
      <c r="O883" s="8"/>
      <c r="P883" t="s">
        <v>1170</v>
      </c>
      <c r="Q883">
        <v>35</v>
      </c>
      <c r="R883" s="8">
        <v>2.8218200000000002</v>
      </c>
      <c r="S883">
        <v>6</v>
      </c>
      <c r="T883" s="8">
        <f t="shared" si="95"/>
        <v>0.17142857142857143</v>
      </c>
      <c r="U883" s="8">
        <v>2.8491499999999998</v>
      </c>
      <c r="V883">
        <v>22</v>
      </c>
      <c r="W883" s="8">
        <f t="shared" si="96"/>
        <v>0.62857142857142856</v>
      </c>
      <c r="X883" s="8">
        <v>2.8104499999999999</v>
      </c>
      <c r="Y883">
        <v>7</v>
      </c>
      <c r="Z883" s="8">
        <f t="shared" si="97"/>
        <v>0.2</v>
      </c>
      <c r="AA883" s="8">
        <v>2.8341400000000001</v>
      </c>
    </row>
    <row r="884" spans="2:27" ht="15" customHeight="1" x14ac:dyDescent="0.25">
      <c r="B884">
        <v>712</v>
      </c>
      <c r="C884" s="1">
        <v>-12363.552309000001</v>
      </c>
      <c r="D884" s="2">
        <v>-12364.932282</v>
      </c>
      <c r="F884" s="3">
        <v>0.99758500000000006</v>
      </c>
      <c r="G884" s="2">
        <v>0.20397999999999999</v>
      </c>
      <c r="H884">
        <v>7</v>
      </c>
      <c r="I884">
        <v>6</v>
      </c>
      <c r="K884" s="8">
        <f t="shared" si="91"/>
        <v>-1.1096397692326718</v>
      </c>
      <c r="L884" s="8">
        <f t="shared" si="92"/>
        <v>-8.5356905325590135E-2</v>
      </c>
      <c r="M884" s="8">
        <f t="shared" si="93"/>
        <v>-1.0634901538451231</v>
      </c>
      <c r="N884" s="8">
        <f t="shared" si="94"/>
        <v>-8.1806934911163323E-2</v>
      </c>
      <c r="O884" s="8"/>
      <c r="P884" t="s">
        <v>1171</v>
      </c>
      <c r="Q884">
        <v>36</v>
      </c>
      <c r="R884" s="8">
        <v>2.83839</v>
      </c>
      <c r="S884">
        <v>8</v>
      </c>
      <c r="T884" s="8">
        <f t="shared" si="95"/>
        <v>0.22222222222222221</v>
      </c>
      <c r="U884" s="8">
        <v>2.8820999999999999</v>
      </c>
      <c r="V884">
        <v>19</v>
      </c>
      <c r="W884" s="8">
        <f t="shared" si="96"/>
        <v>0.52777777777777779</v>
      </c>
      <c r="X884" s="8">
        <v>2.8087499999999999</v>
      </c>
      <c r="Y884">
        <v>9</v>
      </c>
      <c r="Z884" s="8">
        <f t="shared" si="97"/>
        <v>0.25</v>
      </c>
      <c r="AA884" s="8">
        <v>2.8620999999999999</v>
      </c>
    </row>
    <row r="885" spans="2:27" ht="15" customHeight="1" x14ac:dyDescent="0.25">
      <c r="B885">
        <v>688</v>
      </c>
      <c r="C885" s="1">
        <v>-12363.401395000001</v>
      </c>
      <c r="D885" s="2">
        <v>-12364.932000000001</v>
      </c>
      <c r="F885" s="3">
        <v>0.99709599999999998</v>
      </c>
      <c r="G885" s="2">
        <v>0.18767999999999899</v>
      </c>
      <c r="H885">
        <v>7</v>
      </c>
      <c r="I885">
        <v>6</v>
      </c>
      <c r="K885" s="8">
        <f t="shared" si="91"/>
        <v>-0.95872576923284214</v>
      </c>
      <c r="L885" s="8">
        <f t="shared" si="92"/>
        <v>-7.3748136094834008E-2</v>
      </c>
      <c r="M885" s="8">
        <f t="shared" si="93"/>
        <v>-1.0632081538460625</v>
      </c>
      <c r="N885" s="8">
        <f t="shared" si="94"/>
        <v>-8.1785242603543265E-2</v>
      </c>
      <c r="O885" s="8"/>
      <c r="P885" t="s">
        <v>1172</v>
      </c>
      <c r="Q885">
        <v>35</v>
      </c>
      <c r="R885" s="8">
        <v>2.8312200000000001</v>
      </c>
      <c r="S885">
        <v>6</v>
      </c>
      <c r="T885" s="8">
        <f t="shared" si="95"/>
        <v>0.17142857142857143</v>
      </c>
      <c r="U885" s="8">
        <v>2.8007900000000001</v>
      </c>
      <c r="V885">
        <v>19</v>
      </c>
      <c r="W885" s="8">
        <f t="shared" si="96"/>
        <v>0.54285714285714282</v>
      </c>
      <c r="X885" s="8">
        <v>2.8168099999999998</v>
      </c>
      <c r="Y885">
        <v>10</v>
      </c>
      <c r="Z885" s="8">
        <f t="shared" si="97"/>
        <v>0.2857142857142857</v>
      </c>
      <c r="AA885" s="8">
        <v>2.8768500000000001</v>
      </c>
    </row>
    <row r="886" spans="2:27" ht="15" customHeight="1" x14ac:dyDescent="0.25">
      <c r="B886" s="32">
        <v>484</v>
      </c>
      <c r="C886" s="1">
        <v>-12363.328299999999</v>
      </c>
      <c r="D886" s="2">
        <v>-12364.927179</v>
      </c>
      <c r="F886" s="3">
        <v>0.996336</v>
      </c>
      <c r="G886" s="2">
        <v>0.189049999999999</v>
      </c>
      <c r="H886">
        <v>7</v>
      </c>
      <c r="I886">
        <v>6</v>
      </c>
      <c r="K886" s="8">
        <f t="shared" si="91"/>
        <v>-0.88563076923128392</v>
      </c>
      <c r="L886" s="8">
        <f t="shared" si="92"/>
        <v>-6.8125443787021844E-2</v>
      </c>
      <c r="M886" s="8">
        <f t="shared" si="93"/>
        <v>-1.0583871538456151</v>
      </c>
      <c r="N886" s="8">
        <f t="shared" si="94"/>
        <v>-8.1414396449662696E-2</v>
      </c>
      <c r="O886" s="8"/>
      <c r="P886" t="s">
        <v>1173</v>
      </c>
      <c r="Q886">
        <v>36</v>
      </c>
      <c r="R886" s="8">
        <v>2.8410600000000001</v>
      </c>
      <c r="S886">
        <v>8</v>
      </c>
      <c r="T886" s="8">
        <f t="shared" si="95"/>
        <v>0.22222222222222221</v>
      </c>
      <c r="U886" s="8">
        <v>2.8862700000000001</v>
      </c>
      <c r="V886">
        <v>20</v>
      </c>
      <c r="W886" s="8">
        <f t="shared" si="96"/>
        <v>0.55555555555555558</v>
      </c>
      <c r="X886" s="8">
        <v>2.8240500000000002</v>
      </c>
      <c r="Y886">
        <v>8</v>
      </c>
      <c r="Z886" s="8">
        <f t="shared" si="97"/>
        <v>0.22222222222222221</v>
      </c>
      <c r="AA886" s="8">
        <v>2.8384100000000001</v>
      </c>
    </row>
    <row r="887" spans="2:27" ht="15" customHeight="1" x14ac:dyDescent="0.25">
      <c r="B887">
        <v>554</v>
      </c>
      <c r="C887" s="1">
        <v>-12363.401748</v>
      </c>
      <c r="D887" s="2">
        <v>-12364.926643999999</v>
      </c>
      <c r="F887" s="3">
        <v>0.99548599999999998</v>
      </c>
      <c r="G887" s="2">
        <v>0.18568999999999999</v>
      </c>
      <c r="H887">
        <v>7</v>
      </c>
      <c r="I887">
        <v>6</v>
      </c>
      <c r="K887" s="8">
        <f t="shared" si="91"/>
        <v>-0.95907876923229196</v>
      </c>
      <c r="L887" s="8">
        <f t="shared" si="92"/>
        <v>-7.3775289940945538E-2</v>
      </c>
      <c r="M887" s="8">
        <f t="shared" si="93"/>
        <v>-1.0578521538445784</v>
      </c>
      <c r="N887" s="8">
        <f t="shared" si="94"/>
        <v>-8.1373242603429111E-2</v>
      </c>
      <c r="O887" s="8"/>
      <c r="P887" t="s">
        <v>1174</v>
      </c>
      <c r="Q887">
        <v>34</v>
      </c>
      <c r="R887" s="8">
        <v>2.8191999999999999</v>
      </c>
      <c r="S887">
        <v>6</v>
      </c>
      <c r="T887" s="8">
        <f t="shared" si="95"/>
        <v>0.17647058823529413</v>
      </c>
      <c r="U887" s="8">
        <v>2.8332999999999999</v>
      </c>
      <c r="V887">
        <v>20</v>
      </c>
      <c r="W887" s="8">
        <f t="shared" si="96"/>
        <v>0.58823529411764708</v>
      </c>
      <c r="X887" s="8">
        <v>2.80287</v>
      </c>
      <c r="Y887">
        <v>8</v>
      </c>
      <c r="Z887" s="8">
        <f t="shared" si="97"/>
        <v>0.23529411764705882</v>
      </c>
      <c r="AA887" s="8">
        <v>2.8494700000000002</v>
      </c>
    </row>
    <row r="888" spans="2:27" ht="15" customHeight="1" x14ac:dyDescent="0.25">
      <c r="B888" s="32">
        <v>510</v>
      </c>
      <c r="C888" s="1">
        <v>-12363.6024</v>
      </c>
      <c r="D888" s="2">
        <v>-12364.926018</v>
      </c>
      <c r="F888" s="3">
        <v>0.99447600000000003</v>
      </c>
      <c r="G888" s="2">
        <v>0.176679999999999</v>
      </c>
      <c r="H888">
        <v>7</v>
      </c>
      <c r="I888">
        <v>6</v>
      </c>
      <c r="K888" s="8">
        <f t="shared" si="91"/>
        <v>-1.1597307692318282</v>
      </c>
      <c r="L888" s="8">
        <f t="shared" si="92"/>
        <v>-8.9210059171679096E-2</v>
      </c>
      <c r="M888" s="8">
        <f t="shared" si="93"/>
        <v>-1.0572261538454768</v>
      </c>
      <c r="N888" s="8">
        <f t="shared" si="94"/>
        <v>-8.1325088757344371E-2</v>
      </c>
      <c r="O888" s="8"/>
      <c r="P888" t="s">
        <v>1175</v>
      </c>
      <c r="Q888">
        <v>35</v>
      </c>
      <c r="R888" s="8">
        <v>2.8373699999999999</v>
      </c>
      <c r="S888">
        <v>9</v>
      </c>
      <c r="T888" s="8">
        <f t="shared" si="95"/>
        <v>0.25714285714285712</v>
      </c>
      <c r="U888" s="8">
        <v>2.9352999999999998</v>
      </c>
      <c r="V888">
        <v>21</v>
      </c>
      <c r="W888" s="8">
        <f t="shared" si="96"/>
        <v>0.6</v>
      </c>
      <c r="X888" s="8">
        <v>2.8154599999999999</v>
      </c>
      <c r="Y888">
        <v>5</v>
      </c>
      <c r="Z888" s="8">
        <f t="shared" si="97"/>
        <v>0.14285714285714285</v>
      </c>
      <c r="AA888" s="8">
        <v>2.7531400000000001</v>
      </c>
    </row>
    <row r="889" spans="2:27" ht="15" customHeight="1" x14ac:dyDescent="0.25">
      <c r="B889" s="32">
        <v>393</v>
      </c>
      <c r="C889" s="1">
        <v>-12363.214400000001</v>
      </c>
      <c r="D889" s="2">
        <v>-12364.925128000001</v>
      </c>
      <c r="F889" s="3">
        <v>0.99435099999999998</v>
      </c>
      <c r="G889" s="2">
        <v>0.17598999999999901</v>
      </c>
      <c r="H889">
        <v>7</v>
      </c>
      <c r="I889">
        <v>6</v>
      </c>
      <c r="K889" s="8">
        <f t="shared" si="91"/>
        <v>-0.77173076923281769</v>
      </c>
      <c r="L889" s="8">
        <f t="shared" si="92"/>
        <v>-5.936390532560136E-2</v>
      </c>
      <c r="M889" s="8">
        <f t="shared" si="93"/>
        <v>-1.0563361538461322</v>
      </c>
      <c r="N889" s="8">
        <f t="shared" si="94"/>
        <v>-8.1256627218933244E-2</v>
      </c>
      <c r="O889" s="8"/>
      <c r="P889" t="s">
        <v>1176</v>
      </c>
      <c r="Q889">
        <v>36</v>
      </c>
      <c r="R889" s="8">
        <v>2.8347099999999998</v>
      </c>
      <c r="S889">
        <v>8</v>
      </c>
      <c r="T889" s="8">
        <f t="shared" si="95"/>
        <v>0.22222222222222221</v>
      </c>
      <c r="U889" s="8">
        <v>2.8780399999999999</v>
      </c>
      <c r="V889">
        <v>20</v>
      </c>
      <c r="W889" s="8">
        <f t="shared" si="96"/>
        <v>0.55555555555555558</v>
      </c>
      <c r="X889" s="8">
        <v>2.81759</v>
      </c>
      <c r="Y889">
        <v>8</v>
      </c>
      <c r="Z889" s="8">
        <f t="shared" si="97"/>
        <v>0.22222222222222221</v>
      </c>
      <c r="AA889" s="8">
        <v>2.8341599999999998</v>
      </c>
    </row>
    <row r="890" spans="2:27" ht="15" customHeight="1" x14ac:dyDescent="0.25">
      <c r="B890" s="32">
        <v>359</v>
      </c>
      <c r="C890" s="1">
        <v>-12363.427299999999</v>
      </c>
      <c r="D890" s="2">
        <v>-12364.922782</v>
      </c>
      <c r="F890" s="3">
        <v>0.99783100000000002</v>
      </c>
      <c r="G890" s="2">
        <v>0.20479</v>
      </c>
      <c r="H890">
        <v>7</v>
      </c>
      <c r="I890">
        <v>6</v>
      </c>
      <c r="K890" s="8">
        <f t="shared" si="91"/>
        <v>-0.98463076923144399</v>
      </c>
      <c r="L890" s="8">
        <f t="shared" si="92"/>
        <v>-7.5740828402418775E-2</v>
      </c>
      <c r="M890" s="8">
        <f t="shared" si="93"/>
        <v>-1.0539901538450067</v>
      </c>
      <c r="N890" s="8">
        <f t="shared" si="94"/>
        <v>-8.1076165680385129E-2</v>
      </c>
      <c r="O890" s="8"/>
      <c r="P890" t="s">
        <v>1177</v>
      </c>
      <c r="Q890">
        <v>35</v>
      </c>
      <c r="R890" s="8">
        <v>2.8283</v>
      </c>
      <c r="S890">
        <v>7</v>
      </c>
      <c r="T890" s="8">
        <f t="shared" si="95"/>
        <v>0.2</v>
      </c>
      <c r="U890" s="8">
        <v>2.8855</v>
      </c>
      <c r="V890">
        <v>20</v>
      </c>
      <c r="W890" s="8">
        <f t="shared" si="96"/>
        <v>0.5714285714285714</v>
      </c>
      <c r="X890" s="8">
        <v>2.8092100000000002</v>
      </c>
      <c r="Y890">
        <v>8</v>
      </c>
      <c r="Z890" s="8">
        <f t="shared" si="97"/>
        <v>0.22857142857142856</v>
      </c>
      <c r="AA890" s="8">
        <v>2.8259599999999998</v>
      </c>
    </row>
    <row r="891" spans="2:27" ht="15" customHeight="1" x14ac:dyDescent="0.25">
      <c r="B891">
        <v>733</v>
      </c>
      <c r="C891" s="1">
        <v>-12363.497869000001</v>
      </c>
      <c r="D891" s="2">
        <v>-12364.921700999999</v>
      </c>
      <c r="F891" s="3">
        <v>0.99729800000000002</v>
      </c>
      <c r="G891" s="2">
        <v>0.19469</v>
      </c>
      <c r="H891">
        <v>7</v>
      </c>
      <c r="I891">
        <v>6</v>
      </c>
      <c r="K891" s="8">
        <f t="shared" si="91"/>
        <v>-1.0551997692327859</v>
      </c>
      <c r="L891" s="8">
        <f t="shared" si="92"/>
        <v>-8.1169213017906611E-2</v>
      </c>
      <c r="M891" s="8">
        <f t="shared" si="93"/>
        <v>-1.0529091538446664</v>
      </c>
      <c r="N891" s="8">
        <f t="shared" si="94"/>
        <v>-8.0993011834205111E-2</v>
      </c>
      <c r="O891" s="8"/>
      <c r="P891" t="s">
        <v>1178</v>
      </c>
      <c r="Q891">
        <v>36</v>
      </c>
      <c r="R891" s="8">
        <v>2.8415699999999999</v>
      </c>
      <c r="S891">
        <v>7</v>
      </c>
      <c r="T891" s="8">
        <f t="shared" si="95"/>
        <v>0.19444444444444445</v>
      </c>
      <c r="U891" s="8">
        <v>2.7970000000000002</v>
      </c>
      <c r="V891">
        <v>16</v>
      </c>
      <c r="W891" s="8">
        <f t="shared" si="96"/>
        <v>0.44444444444444442</v>
      </c>
      <c r="X891" s="8">
        <v>2.84416</v>
      </c>
      <c r="Y891">
        <v>13</v>
      </c>
      <c r="Z891" s="8">
        <f t="shared" si="97"/>
        <v>0.3611111111111111</v>
      </c>
      <c r="AA891" s="8">
        <v>2.86239</v>
      </c>
    </row>
    <row r="892" spans="2:27" ht="15" customHeight="1" x14ac:dyDescent="0.25">
      <c r="B892" s="32">
        <v>490</v>
      </c>
      <c r="C892" s="1">
        <v>-12363.2945</v>
      </c>
      <c r="D892" s="2">
        <v>-12364.921214</v>
      </c>
      <c r="F892" s="3">
        <v>0.99520500000000001</v>
      </c>
      <c r="G892" s="2">
        <v>0.18090000000000001</v>
      </c>
      <c r="H892">
        <v>7</v>
      </c>
      <c r="I892">
        <v>6</v>
      </c>
      <c r="K892" s="8">
        <f t="shared" si="91"/>
        <v>-0.85183076923203771</v>
      </c>
      <c r="L892" s="8">
        <f t="shared" si="92"/>
        <v>-6.5525443787079821E-2</v>
      </c>
      <c r="M892" s="8">
        <f t="shared" si="93"/>
        <v>-1.0524221538453276</v>
      </c>
      <c r="N892" s="8">
        <f t="shared" si="94"/>
        <v>-8.0955550295794432E-2</v>
      </c>
      <c r="O892" s="8"/>
      <c r="P892" t="s">
        <v>1179</v>
      </c>
      <c r="Q892">
        <v>35</v>
      </c>
      <c r="R892" s="8">
        <v>2.8253400000000002</v>
      </c>
      <c r="S892">
        <v>7</v>
      </c>
      <c r="T892" s="8">
        <f t="shared" si="95"/>
        <v>0.2</v>
      </c>
      <c r="U892" s="8">
        <v>2.9172199999999999</v>
      </c>
      <c r="V892">
        <v>22</v>
      </c>
      <c r="W892" s="8">
        <f t="shared" si="96"/>
        <v>0.62857142857142856</v>
      </c>
      <c r="X892" s="8">
        <v>2.8036400000000001</v>
      </c>
      <c r="Y892">
        <v>6</v>
      </c>
      <c r="Z892" s="8">
        <f t="shared" si="97"/>
        <v>0.17142857142857143</v>
      </c>
      <c r="AA892" s="8">
        <v>2.7976899999999998</v>
      </c>
    </row>
    <row r="893" spans="2:27" ht="15" customHeight="1" x14ac:dyDescent="0.25">
      <c r="B893">
        <v>640</v>
      </c>
      <c r="C893" s="1">
        <v>-12363.532537999999</v>
      </c>
      <c r="D893" s="2">
        <v>-12364.920004</v>
      </c>
      <c r="F893" s="3">
        <v>0.996892</v>
      </c>
      <c r="G893" s="2">
        <v>0.18978999999999899</v>
      </c>
      <c r="H893">
        <v>7</v>
      </c>
      <c r="I893">
        <v>6</v>
      </c>
      <c r="K893" s="8">
        <f t="shared" si="91"/>
        <v>-1.0898687692315434</v>
      </c>
      <c r="L893" s="8">
        <f t="shared" si="92"/>
        <v>-8.3836059171657179E-2</v>
      </c>
      <c r="M893" s="8">
        <f t="shared" si="93"/>
        <v>-1.0512121538449719</v>
      </c>
      <c r="N893" s="8">
        <f t="shared" si="94"/>
        <v>-8.0862473372690147E-2</v>
      </c>
      <c r="O893" s="8"/>
      <c r="P893" t="s">
        <v>1180</v>
      </c>
      <c r="Q893">
        <v>34</v>
      </c>
      <c r="R893" s="8">
        <v>2.8247</v>
      </c>
      <c r="S893">
        <v>7</v>
      </c>
      <c r="T893" s="8">
        <f t="shared" si="95"/>
        <v>0.20588235294117646</v>
      </c>
      <c r="U893" s="8">
        <v>2.8448600000000002</v>
      </c>
      <c r="V893">
        <v>18</v>
      </c>
      <c r="W893" s="8">
        <f t="shared" si="96"/>
        <v>0.52941176470588236</v>
      </c>
      <c r="X893" s="8">
        <v>2.8092299999999999</v>
      </c>
      <c r="Y893">
        <v>9</v>
      </c>
      <c r="Z893" s="8">
        <f t="shared" si="97"/>
        <v>0.26470588235294118</v>
      </c>
      <c r="AA893" s="8">
        <v>2.83996</v>
      </c>
    </row>
    <row r="894" spans="2:27" ht="15" customHeight="1" x14ac:dyDescent="0.25">
      <c r="B894" s="32">
        <v>324</v>
      </c>
      <c r="C894" s="1">
        <v>-12363.2783</v>
      </c>
      <c r="D894" s="2">
        <v>-12364.916241999999</v>
      </c>
      <c r="F894" s="3">
        <v>0.99709400000000004</v>
      </c>
      <c r="G894" s="2">
        <v>0.19594999999999901</v>
      </c>
      <c r="H894">
        <v>7</v>
      </c>
      <c r="I894">
        <v>6</v>
      </c>
      <c r="K894" s="8">
        <f t="shared" si="91"/>
        <v>-0.83563076923201152</v>
      </c>
      <c r="L894" s="8">
        <f t="shared" si="92"/>
        <v>-6.4279289940923967E-2</v>
      </c>
      <c r="M894" s="8">
        <f t="shared" si="93"/>
        <v>-1.047450153844693</v>
      </c>
      <c r="N894" s="8">
        <f t="shared" si="94"/>
        <v>-8.057308875728407E-2</v>
      </c>
      <c r="O894" s="8"/>
      <c r="P894" t="s">
        <v>1181</v>
      </c>
      <c r="Q894">
        <v>35</v>
      </c>
      <c r="R894" s="8">
        <v>2.8265600000000002</v>
      </c>
      <c r="S894">
        <v>7</v>
      </c>
      <c r="T894" s="8">
        <f t="shared" si="95"/>
        <v>0.2</v>
      </c>
      <c r="U894" s="8">
        <v>2.8485299999999998</v>
      </c>
      <c r="V894">
        <v>20</v>
      </c>
      <c r="W894" s="8">
        <f t="shared" si="96"/>
        <v>0.5714285714285714</v>
      </c>
      <c r="X894" s="8">
        <v>2.8225199999999999</v>
      </c>
      <c r="Y894">
        <v>8</v>
      </c>
      <c r="Z894" s="8">
        <f t="shared" si="97"/>
        <v>0.22857142857142856</v>
      </c>
      <c r="AA894" s="8">
        <v>2.81745</v>
      </c>
    </row>
    <row r="895" spans="2:27" ht="15" customHeight="1" x14ac:dyDescent="0.25">
      <c r="B895" s="32">
        <v>353</v>
      </c>
      <c r="C895" s="1">
        <v>-12363.1512</v>
      </c>
      <c r="D895" s="2">
        <v>-12364.913984999999</v>
      </c>
      <c r="F895" s="3">
        <v>0.99428499999999997</v>
      </c>
      <c r="G895" s="2">
        <v>0.17565</v>
      </c>
      <c r="H895">
        <v>7</v>
      </c>
      <c r="I895">
        <v>6</v>
      </c>
      <c r="K895" s="8">
        <f t="shared" si="91"/>
        <v>-0.70853076923231129</v>
      </c>
      <c r="L895" s="8">
        <f t="shared" si="92"/>
        <v>-5.4502366864023946E-2</v>
      </c>
      <c r="M895" s="8">
        <f t="shared" si="93"/>
        <v>-1.0451931538445933</v>
      </c>
      <c r="N895" s="8">
        <f t="shared" si="94"/>
        <v>-8.0399473372661026E-2</v>
      </c>
      <c r="O895" s="8"/>
      <c r="P895" t="s">
        <v>1182</v>
      </c>
      <c r="Q895">
        <v>35</v>
      </c>
      <c r="R895" s="8">
        <v>2.8287499999999999</v>
      </c>
      <c r="S895">
        <v>8</v>
      </c>
      <c r="T895" s="8">
        <f t="shared" si="95"/>
        <v>0.22857142857142856</v>
      </c>
      <c r="U895" s="8">
        <v>2.8289300000000002</v>
      </c>
      <c r="V895">
        <v>16</v>
      </c>
      <c r="W895" s="8">
        <f t="shared" si="96"/>
        <v>0.45714285714285713</v>
      </c>
      <c r="X895" s="8">
        <v>2.8136299999999999</v>
      </c>
      <c r="Y895">
        <v>11</v>
      </c>
      <c r="Z895" s="8">
        <f t="shared" si="97"/>
        <v>0.31428571428571428</v>
      </c>
      <c r="AA895" s="8">
        <v>2.8506</v>
      </c>
    </row>
    <row r="896" spans="2:27" ht="15" customHeight="1" x14ac:dyDescent="0.25">
      <c r="B896" s="32">
        <v>443</v>
      </c>
      <c r="C896" s="1">
        <v>-12363.3644</v>
      </c>
      <c r="D896" s="2">
        <v>-12364.913624999999</v>
      </c>
      <c r="F896" s="3">
        <v>0.99656599999999995</v>
      </c>
      <c r="G896" s="2">
        <v>0.19106000000000001</v>
      </c>
      <c r="H896">
        <v>7</v>
      </c>
      <c r="I896">
        <v>6</v>
      </c>
      <c r="K896" s="8">
        <f t="shared" si="91"/>
        <v>-0.92173076923245389</v>
      </c>
      <c r="L896" s="8">
        <f t="shared" si="92"/>
        <v>-7.0902366864034921E-2</v>
      </c>
      <c r="M896" s="8">
        <f t="shared" si="93"/>
        <v>-1.0448331538445927</v>
      </c>
      <c r="N896" s="8">
        <f t="shared" si="94"/>
        <v>-8.0371781064968673E-2</v>
      </c>
      <c r="O896" s="8"/>
      <c r="P896" t="s">
        <v>1183</v>
      </c>
      <c r="Q896">
        <v>34</v>
      </c>
      <c r="R896" s="8">
        <v>2.8221799999999999</v>
      </c>
      <c r="S896">
        <v>7</v>
      </c>
      <c r="T896" s="8">
        <f t="shared" si="95"/>
        <v>0.20588235294117646</v>
      </c>
      <c r="U896" s="8">
        <v>2.8486799999999999</v>
      </c>
      <c r="V896">
        <v>19</v>
      </c>
      <c r="W896" s="8">
        <f t="shared" si="96"/>
        <v>0.55882352941176472</v>
      </c>
      <c r="X896" s="8">
        <v>2.8137099999999999</v>
      </c>
      <c r="Y896">
        <v>8</v>
      </c>
      <c r="Z896" s="8">
        <f t="shared" si="97"/>
        <v>0.23529411764705882</v>
      </c>
      <c r="AA896" s="8">
        <v>2.8191299999999999</v>
      </c>
    </row>
    <row r="897" spans="2:27" ht="15" customHeight="1" x14ac:dyDescent="0.25">
      <c r="B897" s="32">
        <v>450</v>
      </c>
      <c r="C897" s="1">
        <v>-12363.311600000001</v>
      </c>
      <c r="D897" s="2">
        <v>-12364.912296</v>
      </c>
      <c r="F897" s="3">
        <v>0.99673199999999995</v>
      </c>
      <c r="G897" s="2">
        <v>0.192439999999999</v>
      </c>
      <c r="H897">
        <v>7</v>
      </c>
      <c r="I897">
        <v>6</v>
      </c>
      <c r="K897" s="8">
        <f t="shared" si="91"/>
        <v>-0.86893076923297485</v>
      </c>
      <c r="L897" s="8">
        <f t="shared" si="92"/>
        <v>-6.6840828402536523E-2</v>
      </c>
      <c r="M897" s="8">
        <f t="shared" si="93"/>
        <v>-1.0435041538457881</v>
      </c>
      <c r="N897" s="8">
        <f t="shared" si="94"/>
        <v>-8.0269550295829856E-2</v>
      </c>
      <c r="O897" s="8"/>
      <c r="P897" t="s">
        <v>1184</v>
      </c>
      <c r="Q897">
        <v>34</v>
      </c>
      <c r="R897" s="8">
        <v>2.81996</v>
      </c>
      <c r="S897">
        <v>6</v>
      </c>
      <c r="T897" s="8">
        <f t="shared" si="95"/>
        <v>0.17647058823529413</v>
      </c>
      <c r="U897" s="8">
        <v>2.8376299999999999</v>
      </c>
      <c r="V897">
        <v>21</v>
      </c>
      <c r="W897" s="8">
        <f t="shared" si="96"/>
        <v>0.61764705882352944</v>
      </c>
      <c r="X897" s="8">
        <v>2.80911</v>
      </c>
      <c r="Y897">
        <v>7</v>
      </c>
      <c r="Z897" s="8">
        <f t="shared" si="97"/>
        <v>0.20588235294117646</v>
      </c>
      <c r="AA897" s="8">
        <v>2.8373900000000001</v>
      </c>
    </row>
    <row r="898" spans="2:27" ht="15" customHeight="1" x14ac:dyDescent="0.25">
      <c r="B898">
        <v>603</v>
      </c>
      <c r="C898" s="1">
        <v>-12363.392834</v>
      </c>
      <c r="D898" s="2">
        <v>-12364.911862000001</v>
      </c>
      <c r="F898" s="3">
        <v>0.99556199999999995</v>
      </c>
      <c r="G898" s="2">
        <v>0.187529999999999</v>
      </c>
      <c r="H898">
        <v>7</v>
      </c>
      <c r="I898">
        <v>6</v>
      </c>
      <c r="K898" s="8">
        <f t="shared" si="91"/>
        <v>-0.95016476923228765</v>
      </c>
      <c r="L898" s="8">
        <f t="shared" si="92"/>
        <v>-7.3089597633252901E-2</v>
      </c>
      <c r="M898" s="8">
        <f t="shared" si="93"/>
        <v>-1.0430701538462017</v>
      </c>
      <c r="N898" s="8">
        <f t="shared" si="94"/>
        <v>-8.0236165680477062E-2</v>
      </c>
      <c r="O898" s="8"/>
      <c r="P898" t="s">
        <v>1185</v>
      </c>
      <c r="Q898">
        <v>34</v>
      </c>
      <c r="R898" s="8">
        <v>2.8146200000000001</v>
      </c>
      <c r="S898">
        <v>8</v>
      </c>
      <c r="T898" s="8">
        <f t="shared" si="95"/>
        <v>0.23529411764705882</v>
      </c>
      <c r="U898" s="8">
        <v>2.8172000000000001</v>
      </c>
      <c r="V898">
        <v>18</v>
      </c>
      <c r="W898" s="8">
        <f t="shared" si="96"/>
        <v>0.52941176470588236</v>
      </c>
      <c r="X898" s="8">
        <v>2.8184800000000001</v>
      </c>
      <c r="Y898">
        <v>8</v>
      </c>
      <c r="Z898" s="8">
        <f t="shared" si="97"/>
        <v>0.23529411764705882</v>
      </c>
      <c r="AA898" s="8">
        <v>2.8033600000000001</v>
      </c>
    </row>
    <row r="899" spans="2:27" ht="15" customHeight="1" x14ac:dyDescent="0.25">
      <c r="B899" s="32">
        <v>379</v>
      </c>
      <c r="C899" s="1">
        <v>-12363.2745</v>
      </c>
      <c r="D899" s="2">
        <v>-12364.911496999999</v>
      </c>
      <c r="F899" s="3">
        <v>0.99453199999999997</v>
      </c>
      <c r="G899" s="2">
        <v>0.17696999999999899</v>
      </c>
      <c r="H899">
        <v>7</v>
      </c>
      <c r="I899">
        <v>6</v>
      </c>
      <c r="K899" s="8">
        <f t="shared" ref="K899:K962" si="98">IF(ISNUMBER(C899),C899-(($C$3-$C$2236)/($H$3-$H$2236)*H899+$C$2236),"")</f>
        <v>-0.83183076923160115</v>
      </c>
      <c r="L899" s="8">
        <f t="shared" ref="L899:L962" si="99">IF(ISNUMBER(C899),K899/(H899+I899),"")</f>
        <v>-6.3986982248584706E-2</v>
      </c>
      <c r="M899" s="8">
        <f t="shared" ref="M899:M962" si="100">IF(ISNUMBER(D899),D899-(($D$3-$D$2236)/($H$3-$H$2236)*H899+$D$2236),"")</f>
        <v>-1.0427051538445085</v>
      </c>
      <c r="N899" s="8">
        <f t="shared" ref="N899:N962" si="101">IF(ISNUMBER(D899),M899/(H899+I899),"")</f>
        <v>-8.0208088757269883E-2</v>
      </c>
      <c r="O899" s="8"/>
      <c r="P899" t="s">
        <v>1186</v>
      </c>
      <c r="Q899">
        <v>36</v>
      </c>
      <c r="R899" s="8">
        <v>2.8439199999999998</v>
      </c>
      <c r="S899">
        <v>8</v>
      </c>
      <c r="T899" s="8">
        <f t="shared" ref="T899:T962" si="102">IF(ISNUMBER(S899),S899/(Q899),"")</f>
        <v>0.22222222222222221</v>
      </c>
      <c r="U899" s="8">
        <v>2.88992</v>
      </c>
      <c r="V899">
        <v>21</v>
      </c>
      <c r="W899" s="8">
        <f t="shared" ref="W899:W962" si="103">IF(ISNUMBER(V899),V899/($Q899),"")</f>
        <v>0.58333333333333337</v>
      </c>
      <c r="X899" s="8">
        <v>2.8295599999999999</v>
      </c>
      <c r="Y899">
        <v>7</v>
      </c>
      <c r="Z899" s="8">
        <f t="shared" ref="Z899:Z962" si="104">IF(ISNUMBER(Y899),Y899/($Q899),"")</f>
        <v>0.19444444444444445</v>
      </c>
      <c r="AA899" s="8">
        <v>2.8344399999999998</v>
      </c>
    </row>
    <row r="900" spans="2:27" ht="15" customHeight="1" x14ac:dyDescent="0.25">
      <c r="B900" s="32">
        <v>482</v>
      </c>
      <c r="C900" s="1">
        <v>-12363.1867</v>
      </c>
      <c r="D900" s="2">
        <v>-12364.907138</v>
      </c>
      <c r="F900" s="3">
        <v>0.99591300000000005</v>
      </c>
      <c r="G900" s="2">
        <v>0.18573999999999999</v>
      </c>
      <c r="H900">
        <v>7</v>
      </c>
      <c r="I900">
        <v>6</v>
      </c>
      <c r="K900" s="8">
        <f t="shared" si="98"/>
        <v>-0.74403076923226763</v>
      </c>
      <c r="L900" s="8">
        <f t="shared" si="99"/>
        <v>-5.7233136094789819E-2</v>
      </c>
      <c r="M900" s="8">
        <f t="shared" si="100"/>
        <v>-1.0383461538458505</v>
      </c>
      <c r="N900" s="8">
        <f t="shared" si="101"/>
        <v>-7.9872781065065429E-2</v>
      </c>
      <c r="O900" s="8"/>
      <c r="P900" t="s">
        <v>1187</v>
      </c>
      <c r="Q900">
        <v>35</v>
      </c>
      <c r="R900" s="8">
        <v>2.8315899999999998</v>
      </c>
      <c r="S900">
        <v>8</v>
      </c>
      <c r="T900" s="8">
        <f t="shared" si="102"/>
        <v>0.22857142857142856</v>
      </c>
      <c r="U900" s="8">
        <v>2.91839</v>
      </c>
      <c r="V900">
        <v>21</v>
      </c>
      <c r="W900" s="8">
        <f t="shared" si="103"/>
        <v>0.6</v>
      </c>
      <c r="X900" s="8">
        <v>2.7866599999999999</v>
      </c>
      <c r="Y900">
        <v>6</v>
      </c>
      <c r="Z900" s="8">
        <f t="shared" si="104"/>
        <v>0.17142857142857143</v>
      </c>
      <c r="AA900" s="8">
        <v>2.8731100000000001</v>
      </c>
    </row>
    <row r="901" spans="2:27" ht="15" customHeight="1" x14ac:dyDescent="0.25">
      <c r="B901">
        <v>521</v>
      </c>
      <c r="C901" s="1">
        <v>-12363.590447</v>
      </c>
      <c r="D901" s="2">
        <v>-12364.906876999999</v>
      </c>
      <c r="F901" s="3">
        <v>0.99690800000000002</v>
      </c>
      <c r="G901" s="2">
        <v>0.19002999999999901</v>
      </c>
      <c r="H901">
        <v>7</v>
      </c>
      <c r="I901">
        <v>6</v>
      </c>
      <c r="K901" s="8">
        <f t="shared" si="98"/>
        <v>-1.1477777692325617</v>
      </c>
      <c r="L901" s="8">
        <f t="shared" si="99"/>
        <v>-8.8290597633273973E-2</v>
      </c>
      <c r="M901" s="8">
        <f t="shared" si="100"/>
        <v>-1.0380851538448042</v>
      </c>
      <c r="N901" s="8">
        <f t="shared" si="101"/>
        <v>-7.985270414190801E-2</v>
      </c>
      <c r="O901" s="8"/>
      <c r="P901" t="s">
        <v>1188</v>
      </c>
      <c r="Q901">
        <v>32</v>
      </c>
      <c r="R901" s="8">
        <v>2.7998500000000002</v>
      </c>
      <c r="S901">
        <v>6</v>
      </c>
      <c r="T901" s="8">
        <f t="shared" si="102"/>
        <v>0.1875</v>
      </c>
      <c r="U901" s="8">
        <v>2.81209</v>
      </c>
      <c r="V901">
        <v>18</v>
      </c>
      <c r="W901" s="8">
        <f t="shared" si="103"/>
        <v>0.5625</v>
      </c>
      <c r="X901" s="8">
        <v>2.7761800000000001</v>
      </c>
      <c r="Y901">
        <v>8</v>
      </c>
      <c r="Z901" s="8">
        <f t="shared" si="104"/>
        <v>0.25</v>
      </c>
      <c r="AA901" s="8">
        <v>2.8439299999999998</v>
      </c>
    </row>
    <row r="902" spans="2:27" ht="15" customHeight="1" x14ac:dyDescent="0.25">
      <c r="B902">
        <v>547</v>
      </c>
      <c r="C902" s="1">
        <v>-12363.349356999999</v>
      </c>
      <c r="D902" s="2">
        <v>-12364.906268000001</v>
      </c>
      <c r="F902" s="3">
        <v>0.99596300000000004</v>
      </c>
      <c r="G902" s="2">
        <v>0.19066999999999901</v>
      </c>
      <c r="H902">
        <v>7</v>
      </c>
      <c r="I902">
        <v>6</v>
      </c>
      <c r="K902" s="8">
        <f t="shared" si="98"/>
        <v>-0.90668776923121186</v>
      </c>
      <c r="L902" s="8">
        <f t="shared" si="99"/>
        <v>-6.9745213017785523E-2</v>
      </c>
      <c r="M902" s="8">
        <f t="shared" si="100"/>
        <v>-1.0374761538460007</v>
      </c>
      <c r="N902" s="8">
        <f t="shared" si="101"/>
        <v>-7.98058579881539E-2</v>
      </c>
      <c r="O902" s="8"/>
      <c r="P902" t="s">
        <v>1189</v>
      </c>
      <c r="Q902">
        <v>34</v>
      </c>
      <c r="R902" s="8">
        <v>2.81908</v>
      </c>
      <c r="S902">
        <v>9</v>
      </c>
      <c r="T902" s="8">
        <f t="shared" si="102"/>
        <v>0.26470588235294118</v>
      </c>
      <c r="U902" s="8">
        <v>2.8679999999999999</v>
      </c>
      <c r="V902">
        <v>17</v>
      </c>
      <c r="W902" s="8">
        <f t="shared" si="103"/>
        <v>0.5</v>
      </c>
      <c r="X902" s="8">
        <v>2.7927599999999999</v>
      </c>
      <c r="Y902">
        <v>8</v>
      </c>
      <c r="Z902" s="8">
        <f t="shared" si="104"/>
        <v>0.23529411764705882</v>
      </c>
      <c r="AA902" s="8">
        <v>2.8199800000000002</v>
      </c>
    </row>
    <row r="903" spans="2:27" ht="15" customHeight="1" x14ac:dyDescent="0.25">
      <c r="B903">
        <v>701</v>
      </c>
      <c r="C903" s="1">
        <v>-12363.424537000001</v>
      </c>
      <c r="D903" s="2">
        <v>-12364.903550999999</v>
      </c>
      <c r="F903" s="3">
        <v>0.99983599999999995</v>
      </c>
      <c r="G903" s="2">
        <v>0.22212999999999899</v>
      </c>
      <c r="H903">
        <v>7</v>
      </c>
      <c r="I903">
        <v>6</v>
      </c>
      <c r="K903" s="8">
        <f t="shared" si="98"/>
        <v>-0.98186776923284924</v>
      </c>
      <c r="L903" s="8">
        <f t="shared" si="99"/>
        <v>-7.5528289940988397E-2</v>
      </c>
      <c r="M903" s="8">
        <f t="shared" si="100"/>
        <v>-1.0347591538447887</v>
      </c>
      <c r="N903" s="8">
        <f t="shared" si="101"/>
        <v>-7.9596857988060668E-2</v>
      </c>
      <c r="O903" s="8"/>
      <c r="P903" t="s">
        <v>1190</v>
      </c>
      <c r="Q903">
        <v>34</v>
      </c>
      <c r="R903" s="8">
        <v>2.8161399999999999</v>
      </c>
      <c r="S903">
        <v>6</v>
      </c>
      <c r="T903" s="8">
        <f t="shared" si="102"/>
        <v>0.17647058823529413</v>
      </c>
      <c r="U903" s="8">
        <v>2.8784299999999998</v>
      </c>
      <c r="V903">
        <v>22</v>
      </c>
      <c r="W903" s="8">
        <f t="shared" si="103"/>
        <v>0.6470588235294118</v>
      </c>
      <c r="X903" s="8">
        <v>2.79582</v>
      </c>
      <c r="Y903">
        <v>6</v>
      </c>
      <c r="Z903" s="8">
        <f t="shared" si="104"/>
        <v>0.17647058823529413</v>
      </c>
      <c r="AA903" s="8">
        <v>2.8283200000000002</v>
      </c>
    </row>
    <row r="904" spans="2:27" ht="15" customHeight="1" x14ac:dyDescent="0.25">
      <c r="B904" s="32">
        <v>337</v>
      </c>
      <c r="C904" s="1">
        <v>-12363.3223</v>
      </c>
      <c r="D904" s="2">
        <v>-12364.901352000001</v>
      </c>
      <c r="F904" s="3">
        <v>0.99434699999999998</v>
      </c>
      <c r="G904" s="2">
        <v>0.17598</v>
      </c>
      <c r="H904">
        <v>7</v>
      </c>
      <c r="I904">
        <v>6</v>
      </c>
      <c r="K904" s="8">
        <f t="shared" si="98"/>
        <v>-0.87963076923188055</v>
      </c>
      <c r="L904" s="8">
        <f t="shared" si="99"/>
        <v>-6.7663905325529267E-2</v>
      </c>
      <c r="M904" s="8">
        <f t="shared" si="100"/>
        <v>-1.0325601538461342</v>
      </c>
      <c r="N904" s="8">
        <f t="shared" si="101"/>
        <v>-7.9427704142010322E-2</v>
      </c>
      <c r="O904" s="8"/>
      <c r="P904" t="s">
        <v>1191</v>
      </c>
      <c r="Q904">
        <v>35</v>
      </c>
      <c r="R904" s="8">
        <v>2.8299500000000002</v>
      </c>
      <c r="S904">
        <v>8</v>
      </c>
      <c r="T904" s="8">
        <f t="shared" si="102"/>
        <v>0.22857142857142856</v>
      </c>
      <c r="U904" s="8">
        <v>2.8633000000000002</v>
      </c>
      <c r="V904">
        <v>19</v>
      </c>
      <c r="W904" s="8">
        <f t="shared" si="103"/>
        <v>0.54285714285714282</v>
      </c>
      <c r="X904" s="8">
        <v>2.8294199999999998</v>
      </c>
      <c r="Y904">
        <v>8</v>
      </c>
      <c r="Z904" s="8">
        <f t="shared" si="104"/>
        <v>0.22857142857142856</v>
      </c>
      <c r="AA904" s="8">
        <v>2.7978700000000001</v>
      </c>
    </row>
    <row r="905" spans="2:27" ht="15" customHeight="1" x14ac:dyDescent="0.25">
      <c r="B905">
        <v>644</v>
      </c>
      <c r="C905" s="1">
        <v>-12363.521317000001</v>
      </c>
      <c r="D905" s="2">
        <v>-12364.900997999999</v>
      </c>
      <c r="F905" s="3">
        <v>0.99348899999999996</v>
      </c>
      <c r="G905" s="2">
        <v>0.16869000000000001</v>
      </c>
      <c r="H905">
        <v>7</v>
      </c>
      <c r="I905">
        <v>6</v>
      </c>
      <c r="K905" s="8">
        <f t="shared" si="98"/>
        <v>-1.0786477692327026</v>
      </c>
      <c r="L905" s="8">
        <f t="shared" si="99"/>
        <v>-8.2972905325592511E-2</v>
      </c>
      <c r="M905" s="8">
        <f t="shared" si="100"/>
        <v>-1.0322061538445269</v>
      </c>
      <c r="N905" s="8">
        <f t="shared" si="101"/>
        <v>-7.9400473372655905E-2</v>
      </c>
      <c r="O905" s="8"/>
      <c r="P905" t="s">
        <v>1192</v>
      </c>
      <c r="Q905">
        <v>34</v>
      </c>
      <c r="R905" s="8">
        <v>2.8224399999999998</v>
      </c>
      <c r="S905">
        <v>5</v>
      </c>
      <c r="T905" s="8">
        <f t="shared" si="102"/>
        <v>0.14705882352941177</v>
      </c>
      <c r="U905" s="8">
        <v>2.8462299999999998</v>
      </c>
      <c r="V905">
        <v>22</v>
      </c>
      <c r="W905" s="8">
        <f t="shared" si="103"/>
        <v>0.6470588235294118</v>
      </c>
      <c r="X905" s="8">
        <v>2.8072599999999999</v>
      </c>
      <c r="Y905">
        <v>7</v>
      </c>
      <c r="Z905" s="8">
        <f t="shared" si="104"/>
        <v>0.20588235294117646</v>
      </c>
      <c r="AA905" s="8">
        <v>2.8531599999999999</v>
      </c>
    </row>
    <row r="906" spans="2:27" ht="15" customHeight="1" x14ac:dyDescent="0.25">
      <c r="B906" s="32">
        <v>323</v>
      </c>
      <c r="C906" s="1">
        <v>-12363.3284</v>
      </c>
      <c r="D906" s="2">
        <v>-12364.900061</v>
      </c>
      <c r="F906" s="3">
        <v>0.99579300000000004</v>
      </c>
      <c r="G906" s="2">
        <v>0.18079000000000001</v>
      </c>
      <c r="H906">
        <v>7</v>
      </c>
      <c r="I906">
        <v>6</v>
      </c>
      <c r="K906" s="8">
        <f t="shared" si="98"/>
        <v>-0.88573076923239569</v>
      </c>
      <c r="L906" s="8">
        <f t="shared" si="99"/>
        <v>-6.8133136094799665E-2</v>
      </c>
      <c r="M906" s="8">
        <f t="shared" si="100"/>
        <v>-1.031269153845642</v>
      </c>
      <c r="N906" s="8">
        <f t="shared" si="101"/>
        <v>-7.9328396449664773E-2</v>
      </c>
      <c r="O906" s="8"/>
      <c r="P906" t="s">
        <v>1193</v>
      </c>
      <c r="Q906">
        <v>36</v>
      </c>
      <c r="R906" s="8">
        <v>2.8351999999999999</v>
      </c>
      <c r="S906">
        <v>6</v>
      </c>
      <c r="T906" s="8">
        <f t="shared" si="102"/>
        <v>0.16666666666666666</v>
      </c>
      <c r="U906" s="8">
        <v>2.8740999999999999</v>
      </c>
      <c r="V906">
        <v>23</v>
      </c>
      <c r="W906" s="8">
        <f t="shared" si="103"/>
        <v>0.63888888888888884</v>
      </c>
      <c r="X906" s="8">
        <v>2.8341599999999998</v>
      </c>
      <c r="Y906">
        <v>7</v>
      </c>
      <c r="Z906" s="8">
        <f t="shared" si="104"/>
        <v>0.19444444444444445</v>
      </c>
      <c r="AA906" s="8">
        <v>2.80531</v>
      </c>
    </row>
    <row r="907" spans="2:27" ht="15" customHeight="1" x14ac:dyDescent="0.25">
      <c r="B907" s="32">
        <v>426</v>
      </c>
      <c r="C907" s="1">
        <v>-12363.243200000001</v>
      </c>
      <c r="D907" s="2">
        <v>-12364.900029</v>
      </c>
      <c r="F907" s="3">
        <v>0.99506799999999995</v>
      </c>
      <c r="G907" s="2">
        <v>0.180089999999999</v>
      </c>
      <c r="H907">
        <v>7</v>
      </c>
      <c r="I907">
        <v>6</v>
      </c>
      <c r="K907" s="8">
        <f t="shared" si="98"/>
        <v>-0.80053076923286426</v>
      </c>
      <c r="L907" s="8">
        <f t="shared" si="99"/>
        <v>-6.1579289940989559E-2</v>
      </c>
      <c r="M907" s="8">
        <f t="shared" si="100"/>
        <v>-1.0312371538457228</v>
      </c>
      <c r="N907" s="8">
        <f t="shared" si="101"/>
        <v>-7.9325934911209442E-2</v>
      </c>
      <c r="O907" s="8"/>
      <c r="P907" t="s">
        <v>1194</v>
      </c>
      <c r="Q907">
        <v>36</v>
      </c>
      <c r="R907" s="8">
        <v>2.8388800000000001</v>
      </c>
      <c r="S907">
        <v>7</v>
      </c>
      <c r="T907" s="8">
        <f t="shared" si="102"/>
        <v>0.19444444444444445</v>
      </c>
      <c r="U907" s="8">
        <v>2.9111400000000001</v>
      </c>
      <c r="V907">
        <v>22</v>
      </c>
      <c r="W907" s="8">
        <f t="shared" si="103"/>
        <v>0.61111111111111116</v>
      </c>
      <c r="X907" s="8">
        <v>2.8040500000000002</v>
      </c>
      <c r="Y907">
        <v>7</v>
      </c>
      <c r="Z907" s="8">
        <f t="shared" si="104"/>
        <v>0.19444444444444445</v>
      </c>
      <c r="AA907" s="8">
        <v>2.8761000000000001</v>
      </c>
    </row>
    <row r="908" spans="2:27" ht="15" customHeight="1" x14ac:dyDescent="0.25">
      <c r="B908">
        <v>597</v>
      </c>
      <c r="C908" s="1">
        <v>-12363.565161</v>
      </c>
      <c r="D908" s="2">
        <v>-12364.898884</v>
      </c>
      <c r="F908" s="3">
        <v>0.99637799999999999</v>
      </c>
      <c r="G908" s="2">
        <v>0.18642</v>
      </c>
      <c r="H908">
        <v>7</v>
      </c>
      <c r="I908">
        <v>6</v>
      </c>
      <c r="K908" s="8">
        <f t="shared" si="98"/>
        <v>-1.1224917692325107</v>
      </c>
      <c r="L908" s="8">
        <f t="shared" si="99"/>
        <v>-8.6345520710193135E-2</v>
      </c>
      <c r="M908" s="8">
        <f t="shared" si="100"/>
        <v>-1.0300921538455441</v>
      </c>
      <c r="N908" s="8">
        <f t="shared" si="101"/>
        <v>-7.9237857988118776E-2</v>
      </c>
      <c r="O908" s="8"/>
      <c r="P908" t="s">
        <v>1195</v>
      </c>
      <c r="Q908">
        <v>33</v>
      </c>
      <c r="R908" s="8">
        <v>2.8127499999999999</v>
      </c>
      <c r="S908">
        <v>6</v>
      </c>
      <c r="T908" s="8">
        <f t="shared" si="102"/>
        <v>0.18181818181818182</v>
      </c>
      <c r="U908" s="8">
        <v>2.8236300000000001</v>
      </c>
      <c r="V908">
        <v>18</v>
      </c>
      <c r="W908" s="8">
        <f t="shared" si="103"/>
        <v>0.54545454545454541</v>
      </c>
      <c r="X908" s="8">
        <v>2.7921999999999998</v>
      </c>
      <c r="Y908">
        <v>9</v>
      </c>
      <c r="Z908" s="8">
        <f t="shared" si="104"/>
        <v>0.27272727272727271</v>
      </c>
      <c r="AA908" s="8">
        <v>2.84659</v>
      </c>
    </row>
    <row r="909" spans="2:27" ht="15" customHeight="1" x14ac:dyDescent="0.25">
      <c r="B909">
        <v>579</v>
      </c>
      <c r="C909" s="1">
        <v>-12363.544422000001</v>
      </c>
      <c r="D909" s="2">
        <v>-12364.896613000001</v>
      </c>
      <c r="F909" s="3">
        <v>0.99582400000000004</v>
      </c>
      <c r="G909" s="2">
        <v>0.182529999999999</v>
      </c>
      <c r="H909">
        <v>7</v>
      </c>
      <c r="I909">
        <v>6</v>
      </c>
      <c r="K909" s="8">
        <f t="shared" si="98"/>
        <v>-1.1017527692329168</v>
      </c>
      <c r="L909" s="8">
        <f t="shared" si="99"/>
        <v>-8.4750213017916673E-2</v>
      </c>
      <c r="M909" s="8">
        <f t="shared" si="100"/>
        <v>-1.0278211538461619</v>
      </c>
      <c r="N909" s="8">
        <f t="shared" si="101"/>
        <v>-7.9063165680473987E-2</v>
      </c>
      <c r="O909" s="8"/>
      <c r="P909" t="s">
        <v>1196</v>
      </c>
      <c r="Q909">
        <v>34</v>
      </c>
      <c r="R909" s="8">
        <v>2.8221500000000002</v>
      </c>
      <c r="S909">
        <v>7</v>
      </c>
      <c r="T909" s="8">
        <f t="shared" si="102"/>
        <v>0.20588235294117646</v>
      </c>
      <c r="U909" s="8">
        <v>2.80525</v>
      </c>
      <c r="V909">
        <v>16</v>
      </c>
      <c r="W909" s="8">
        <f t="shared" si="103"/>
        <v>0.47058823529411764</v>
      </c>
      <c r="X909" s="8">
        <v>2.8050099999999998</v>
      </c>
      <c r="Y909">
        <v>11</v>
      </c>
      <c r="Z909" s="8">
        <f t="shared" si="104"/>
        <v>0.3235294117647059</v>
      </c>
      <c r="AA909" s="8">
        <v>2.85785</v>
      </c>
    </row>
    <row r="910" spans="2:27" ht="15" customHeight="1" x14ac:dyDescent="0.25">
      <c r="B910">
        <v>628</v>
      </c>
      <c r="C910" s="1">
        <v>-12363.5164</v>
      </c>
      <c r="D910" s="2">
        <v>-12364.894322</v>
      </c>
      <c r="F910" s="3">
        <v>0.99666699999999997</v>
      </c>
      <c r="G910" s="2">
        <v>0.191829999999999</v>
      </c>
      <c r="H910">
        <v>7</v>
      </c>
      <c r="I910">
        <v>6</v>
      </c>
      <c r="K910" s="8">
        <f t="shared" si="98"/>
        <v>-1.0737307692324976</v>
      </c>
      <c r="L910" s="8">
        <f t="shared" si="99"/>
        <v>-8.2594674556345962E-2</v>
      </c>
      <c r="M910" s="8">
        <f t="shared" si="100"/>
        <v>-1.025530153845466</v>
      </c>
      <c r="N910" s="8">
        <f t="shared" si="101"/>
        <v>-7.8886934911189685E-2</v>
      </c>
      <c r="O910" s="8"/>
      <c r="P910" t="s">
        <v>1197</v>
      </c>
      <c r="Q910">
        <v>34</v>
      </c>
      <c r="R910" s="8">
        <v>2.8219599999999998</v>
      </c>
      <c r="S910">
        <v>7</v>
      </c>
      <c r="T910" s="8">
        <f t="shared" si="102"/>
        <v>0.20588235294117646</v>
      </c>
      <c r="U910" s="8">
        <v>2.8085800000000001</v>
      </c>
      <c r="V910">
        <v>18</v>
      </c>
      <c r="W910" s="8">
        <f t="shared" si="103"/>
        <v>0.52941176470588236</v>
      </c>
      <c r="X910" s="8">
        <v>2.8124400000000001</v>
      </c>
      <c r="Y910">
        <v>9</v>
      </c>
      <c r="Z910" s="8">
        <f t="shared" si="104"/>
        <v>0.26470588235294118</v>
      </c>
      <c r="AA910" s="8">
        <v>2.8513899999999999</v>
      </c>
    </row>
    <row r="911" spans="2:27" ht="15" customHeight="1" x14ac:dyDescent="0.25">
      <c r="B911" s="32">
        <v>420</v>
      </c>
      <c r="C911" s="1">
        <v>-12363.259099999999</v>
      </c>
      <c r="D911" s="2">
        <v>-12364.891451</v>
      </c>
      <c r="F911" s="3">
        <v>0.98947200000000002</v>
      </c>
      <c r="G911" s="2">
        <v>0.15728</v>
      </c>
      <c r="H911">
        <v>7</v>
      </c>
      <c r="I911">
        <v>6</v>
      </c>
      <c r="K911" s="8">
        <f t="shared" si="98"/>
        <v>-0.81643076923137414</v>
      </c>
      <c r="L911" s="8">
        <f t="shared" si="99"/>
        <v>-6.2802366863951853E-2</v>
      </c>
      <c r="M911" s="8">
        <f t="shared" si="100"/>
        <v>-1.0226591538448702</v>
      </c>
      <c r="N911" s="8">
        <f t="shared" si="101"/>
        <v>-7.8666088757297706E-2</v>
      </c>
      <c r="O911" s="8"/>
      <c r="P911" t="s">
        <v>1198</v>
      </c>
      <c r="Q911">
        <v>35</v>
      </c>
      <c r="R911" s="8">
        <v>2.8256399999999999</v>
      </c>
      <c r="S911">
        <v>6</v>
      </c>
      <c r="T911" s="8">
        <f t="shared" si="102"/>
        <v>0.17142857142857143</v>
      </c>
      <c r="U911" s="8">
        <v>2.8705799999999999</v>
      </c>
      <c r="V911">
        <v>22</v>
      </c>
      <c r="W911" s="8">
        <f t="shared" si="103"/>
        <v>0.62857142857142856</v>
      </c>
      <c r="X911" s="8">
        <v>2.79969</v>
      </c>
      <c r="Y911">
        <v>7</v>
      </c>
      <c r="Z911" s="8">
        <f t="shared" si="104"/>
        <v>0.2</v>
      </c>
      <c r="AA911" s="8">
        <v>2.8686799999999999</v>
      </c>
    </row>
    <row r="912" spans="2:27" ht="15" customHeight="1" x14ac:dyDescent="0.25">
      <c r="B912">
        <v>728</v>
      </c>
      <c r="C912" s="1">
        <v>-12363.508685000001</v>
      </c>
      <c r="D912" s="2">
        <v>-12364.891045</v>
      </c>
      <c r="F912" s="3">
        <v>0.99614000000000003</v>
      </c>
      <c r="G912" s="2">
        <v>0.18745999999999999</v>
      </c>
      <c r="H912">
        <v>7</v>
      </c>
      <c r="I912">
        <v>6</v>
      </c>
      <c r="K912" s="8">
        <f t="shared" si="98"/>
        <v>-1.066015769232763</v>
      </c>
      <c r="L912" s="8">
        <f t="shared" si="99"/>
        <v>-8.2001213017904848E-2</v>
      </c>
      <c r="M912" s="8">
        <f t="shared" si="100"/>
        <v>-1.0222531538456678</v>
      </c>
      <c r="N912" s="8">
        <f t="shared" si="101"/>
        <v>-7.863485798812829E-2</v>
      </c>
      <c r="O912" s="8"/>
      <c r="P912" t="s">
        <v>1199</v>
      </c>
      <c r="Q912">
        <v>34</v>
      </c>
      <c r="R912" s="8">
        <v>2.82159</v>
      </c>
      <c r="S912">
        <v>7</v>
      </c>
      <c r="T912" s="8">
        <f t="shared" si="102"/>
        <v>0.20588235294117646</v>
      </c>
      <c r="U912" s="8">
        <v>2.80586</v>
      </c>
      <c r="V912">
        <v>17</v>
      </c>
      <c r="W912" s="8">
        <f t="shared" si="103"/>
        <v>0.5</v>
      </c>
      <c r="X912" s="8">
        <v>2.8206500000000001</v>
      </c>
      <c r="Y912">
        <v>10</v>
      </c>
      <c r="Z912" s="8">
        <f t="shared" si="104"/>
        <v>0.29411764705882354</v>
      </c>
      <c r="AA912" s="8">
        <v>2.8342100000000001</v>
      </c>
    </row>
    <row r="913" spans="2:27" ht="15" customHeight="1" x14ac:dyDescent="0.25">
      <c r="B913">
        <v>536</v>
      </c>
      <c r="C913" s="1">
        <v>-12363.537625999999</v>
      </c>
      <c r="D913" s="2">
        <v>-12364.890922000001</v>
      </c>
      <c r="F913" s="3">
        <v>0.997583</v>
      </c>
      <c r="G913" s="2">
        <v>0.20757</v>
      </c>
      <c r="H913">
        <v>7</v>
      </c>
      <c r="I913">
        <v>6</v>
      </c>
      <c r="K913" s="8">
        <f t="shared" si="98"/>
        <v>-1.0949567692314304</v>
      </c>
      <c r="L913" s="8">
        <f t="shared" si="99"/>
        <v>-8.4227443787033104E-2</v>
      </c>
      <c r="M913" s="8">
        <f t="shared" si="100"/>
        <v>-1.0221301538458647</v>
      </c>
      <c r="N913" s="8">
        <f t="shared" si="101"/>
        <v>-7.8625396449681903E-2</v>
      </c>
      <c r="O913" s="8"/>
      <c r="P913" t="s">
        <v>1200</v>
      </c>
      <c r="Q913">
        <v>33</v>
      </c>
      <c r="R913" s="8">
        <v>2.8124099999999999</v>
      </c>
      <c r="S913">
        <v>7</v>
      </c>
      <c r="T913" s="8">
        <f t="shared" si="102"/>
        <v>0.21212121212121213</v>
      </c>
      <c r="U913" s="8">
        <v>2.8632300000000002</v>
      </c>
      <c r="V913">
        <v>18</v>
      </c>
      <c r="W913" s="8">
        <f t="shared" si="103"/>
        <v>0.54545454545454541</v>
      </c>
      <c r="X913" s="8">
        <v>2.7807200000000001</v>
      </c>
      <c r="Y913">
        <v>8</v>
      </c>
      <c r="Z913" s="8">
        <f t="shared" si="104"/>
        <v>0.24242424242424243</v>
      </c>
      <c r="AA913" s="8">
        <v>2.8392499999999998</v>
      </c>
    </row>
    <row r="914" spans="2:27" ht="15" customHeight="1" x14ac:dyDescent="0.25">
      <c r="B914">
        <v>606</v>
      </c>
      <c r="C914" s="1">
        <v>-12363.313324000001</v>
      </c>
      <c r="D914" s="2">
        <v>-12364.886128</v>
      </c>
      <c r="F914" s="3">
        <v>0.99674399999999996</v>
      </c>
      <c r="G914" s="2">
        <v>0.19635</v>
      </c>
      <c r="H914">
        <v>7</v>
      </c>
      <c r="I914">
        <v>6</v>
      </c>
      <c r="K914" s="8">
        <f t="shared" si="98"/>
        <v>-0.8706547692327149</v>
      </c>
      <c r="L914" s="8">
        <f t="shared" si="99"/>
        <v>-6.6973443787131909E-2</v>
      </c>
      <c r="M914" s="8">
        <f t="shared" si="100"/>
        <v>-1.0173361538454628</v>
      </c>
      <c r="N914" s="8">
        <f t="shared" si="101"/>
        <v>-7.8256627218881755E-2</v>
      </c>
      <c r="O914" s="8"/>
      <c r="P914" t="s">
        <v>1201</v>
      </c>
      <c r="Q914">
        <v>34</v>
      </c>
      <c r="R914" s="8">
        <v>2.8146200000000001</v>
      </c>
      <c r="S914">
        <v>7</v>
      </c>
      <c r="T914" s="8">
        <f t="shared" si="102"/>
        <v>0.20588235294117646</v>
      </c>
      <c r="U914" s="8">
        <v>2.80972</v>
      </c>
      <c r="V914">
        <v>19</v>
      </c>
      <c r="W914" s="8">
        <f t="shared" si="103"/>
        <v>0.55882352941176472</v>
      </c>
      <c r="X914" s="8">
        <v>2.8099500000000002</v>
      </c>
      <c r="Y914">
        <v>8</v>
      </c>
      <c r="Z914" s="8">
        <f t="shared" si="104"/>
        <v>0.23529411764705882</v>
      </c>
      <c r="AA914" s="8">
        <v>2.8300100000000001</v>
      </c>
    </row>
    <row r="915" spans="2:27" ht="15" customHeight="1" x14ac:dyDescent="0.25">
      <c r="B915" s="32">
        <v>401</v>
      </c>
      <c r="C915" s="1">
        <v>-12363.2749</v>
      </c>
      <c r="D915" s="2">
        <v>-12364.885988</v>
      </c>
      <c r="F915" s="3">
        <v>0.99522500000000003</v>
      </c>
      <c r="G915" s="2">
        <v>0.180889999999999</v>
      </c>
      <c r="H915">
        <v>7</v>
      </c>
      <c r="I915">
        <v>6</v>
      </c>
      <c r="K915" s="8">
        <f t="shared" si="98"/>
        <v>-0.83223076923241024</v>
      </c>
      <c r="L915" s="8">
        <f t="shared" si="99"/>
        <v>-6.4017751479416171E-2</v>
      </c>
      <c r="M915" s="8">
        <f t="shared" si="100"/>
        <v>-1.0171961538453616</v>
      </c>
      <c r="N915" s="8">
        <f t="shared" si="101"/>
        <v>-7.8245857988104739E-2</v>
      </c>
      <c r="O915" s="8"/>
      <c r="P915" t="s">
        <v>1202</v>
      </c>
      <c r="Q915">
        <v>36</v>
      </c>
      <c r="R915" s="8">
        <v>2.83921</v>
      </c>
      <c r="S915">
        <v>8</v>
      </c>
      <c r="T915" s="8">
        <f t="shared" si="102"/>
        <v>0.22222222222222221</v>
      </c>
      <c r="U915" s="8">
        <v>2.895</v>
      </c>
      <c r="V915">
        <v>20</v>
      </c>
      <c r="W915" s="8">
        <f t="shared" si="103"/>
        <v>0.55555555555555558</v>
      </c>
      <c r="X915" s="8">
        <v>2.8289399999999998</v>
      </c>
      <c r="Y915">
        <v>8</v>
      </c>
      <c r="Z915" s="8">
        <f t="shared" si="104"/>
        <v>0.22222222222222221</v>
      </c>
      <c r="AA915" s="8">
        <v>2.80911</v>
      </c>
    </row>
    <row r="916" spans="2:27" ht="15" customHeight="1" x14ac:dyDescent="0.25">
      <c r="B916">
        <v>555</v>
      </c>
      <c r="C916" s="1">
        <v>-12363.525014999999</v>
      </c>
      <c r="D916" s="2">
        <v>-12364.885093000001</v>
      </c>
      <c r="F916" s="3">
        <v>0.99477400000000005</v>
      </c>
      <c r="G916" s="2">
        <v>0.17677999999999899</v>
      </c>
      <c r="H916">
        <v>7</v>
      </c>
      <c r="I916">
        <v>6</v>
      </c>
      <c r="K916" s="8">
        <f t="shared" si="98"/>
        <v>-1.0823457692313241</v>
      </c>
      <c r="L916" s="8">
        <f t="shared" si="99"/>
        <v>-8.325736686394801E-2</v>
      </c>
      <c r="M916" s="8">
        <f t="shared" si="100"/>
        <v>-1.0163011538461433</v>
      </c>
      <c r="N916" s="8">
        <f t="shared" si="101"/>
        <v>-7.8177011834318716E-2</v>
      </c>
      <c r="O916" s="8"/>
      <c r="P916" t="s">
        <v>1203</v>
      </c>
      <c r="Q916">
        <v>34</v>
      </c>
      <c r="R916" s="8">
        <v>2.8246600000000002</v>
      </c>
      <c r="S916">
        <v>5</v>
      </c>
      <c r="T916" s="8">
        <f t="shared" si="102"/>
        <v>0.14705882352941177</v>
      </c>
      <c r="U916" s="8">
        <v>2.8777900000000001</v>
      </c>
      <c r="V916">
        <v>22</v>
      </c>
      <c r="W916" s="8">
        <f t="shared" si="103"/>
        <v>0.6470588235294118</v>
      </c>
      <c r="X916" s="8">
        <v>2.7948400000000002</v>
      </c>
      <c r="Y916">
        <v>7</v>
      </c>
      <c r="Z916" s="8">
        <f t="shared" si="104"/>
        <v>0.20588235294117646</v>
      </c>
      <c r="AA916" s="8">
        <v>2.88042</v>
      </c>
    </row>
    <row r="917" spans="2:27" ht="15" customHeight="1" x14ac:dyDescent="0.25">
      <c r="B917" s="32">
        <v>395</v>
      </c>
      <c r="C917" s="1">
        <v>-12363.1266</v>
      </c>
      <c r="D917" s="2">
        <v>-12364.883234000001</v>
      </c>
      <c r="F917" s="3">
        <v>0.99410900000000002</v>
      </c>
      <c r="G917" s="2">
        <v>0.17471999999999899</v>
      </c>
      <c r="H917">
        <v>7</v>
      </c>
      <c r="I917">
        <v>6</v>
      </c>
      <c r="K917" s="8">
        <f t="shared" si="98"/>
        <v>-0.68393076923166518</v>
      </c>
      <c r="L917" s="8">
        <f t="shared" si="99"/>
        <v>-5.261005917166655E-2</v>
      </c>
      <c r="M917" s="8">
        <f t="shared" si="100"/>
        <v>-1.0144421538461756</v>
      </c>
      <c r="N917" s="8">
        <f t="shared" si="101"/>
        <v>-7.803401183432121E-2</v>
      </c>
      <c r="O917" s="8"/>
      <c r="P917" t="s">
        <v>1204</v>
      </c>
      <c r="Q917">
        <v>36</v>
      </c>
      <c r="R917" s="8">
        <v>2.8374199999999998</v>
      </c>
      <c r="S917">
        <v>9</v>
      </c>
      <c r="T917" s="8">
        <f t="shared" si="102"/>
        <v>0.25</v>
      </c>
      <c r="U917" s="8">
        <v>2.9166500000000002</v>
      </c>
      <c r="V917">
        <v>20</v>
      </c>
      <c r="W917" s="8">
        <f t="shared" si="103"/>
        <v>0.55555555555555558</v>
      </c>
      <c r="X917" s="8">
        <v>2.80524</v>
      </c>
      <c r="Y917">
        <v>7</v>
      </c>
      <c r="Z917" s="8">
        <f t="shared" si="104"/>
        <v>0.19444444444444445</v>
      </c>
      <c r="AA917" s="8">
        <v>2.8275100000000002</v>
      </c>
    </row>
    <row r="918" spans="2:27" ht="15" customHeight="1" x14ac:dyDescent="0.25">
      <c r="B918" s="32">
        <v>417</v>
      </c>
      <c r="C918" s="1">
        <v>-12363.284100000001</v>
      </c>
      <c r="D918" s="2">
        <v>-12364.882798000001</v>
      </c>
      <c r="F918" s="3">
        <v>0.99707299999999999</v>
      </c>
      <c r="G918" s="2">
        <v>0.19561000000000001</v>
      </c>
      <c r="H918">
        <v>7</v>
      </c>
      <c r="I918">
        <v>6</v>
      </c>
      <c r="K918" s="8">
        <f t="shared" si="98"/>
        <v>-0.84143076923282933</v>
      </c>
      <c r="L918" s="8">
        <f t="shared" si="99"/>
        <v>-6.4725443787140721E-2</v>
      </c>
      <c r="M918" s="8">
        <f t="shared" si="100"/>
        <v>-1.0140061538459122</v>
      </c>
      <c r="N918" s="8">
        <f t="shared" si="101"/>
        <v>-7.8000473372762474E-2</v>
      </c>
      <c r="O918" s="8"/>
      <c r="P918" t="s">
        <v>1205</v>
      </c>
      <c r="Q918">
        <v>35</v>
      </c>
      <c r="R918" s="8">
        <v>2.8277100000000002</v>
      </c>
      <c r="S918">
        <v>7</v>
      </c>
      <c r="T918" s="8">
        <f t="shared" si="102"/>
        <v>0.2</v>
      </c>
      <c r="U918" s="8">
        <v>2.8624499999999999</v>
      </c>
      <c r="V918">
        <v>20</v>
      </c>
      <c r="W918" s="8">
        <f t="shared" si="103"/>
        <v>0.5714285714285714</v>
      </c>
      <c r="X918" s="8">
        <v>2.8076699999999999</v>
      </c>
      <c r="Y918">
        <v>8</v>
      </c>
      <c r="Z918" s="8">
        <f t="shared" si="104"/>
        <v>0.22857142857142856</v>
      </c>
      <c r="AA918" s="8">
        <v>2.84741</v>
      </c>
    </row>
    <row r="919" spans="2:27" ht="15" customHeight="1" x14ac:dyDescent="0.25">
      <c r="B919">
        <v>646</v>
      </c>
      <c r="C919" s="1">
        <v>-12363.390310999999</v>
      </c>
      <c r="D919" s="2">
        <v>-12364.882706</v>
      </c>
      <c r="F919" s="3">
        <v>0.99752700000000005</v>
      </c>
      <c r="G919" s="2">
        <v>0.19958999999999899</v>
      </c>
      <c r="H919">
        <v>7</v>
      </c>
      <c r="I919">
        <v>6</v>
      </c>
      <c r="K919" s="8">
        <f t="shared" si="98"/>
        <v>-0.94764176923126797</v>
      </c>
      <c r="L919" s="8">
        <f t="shared" si="99"/>
        <v>-7.2895520710097542E-2</v>
      </c>
      <c r="M919" s="8">
        <f t="shared" si="100"/>
        <v>-1.0139141538456897</v>
      </c>
      <c r="N919" s="8">
        <f t="shared" si="101"/>
        <v>-7.7993396449668434E-2</v>
      </c>
      <c r="O919" s="8"/>
      <c r="P919" t="s">
        <v>1206</v>
      </c>
      <c r="Q919">
        <v>34</v>
      </c>
      <c r="R919" s="8">
        <v>2.8170099999999998</v>
      </c>
      <c r="S919">
        <v>7</v>
      </c>
      <c r="T919" s="8">
        <f t="shared" si="102"/>
        <v>0.20588235294117646</v>
      </c>
      <c r="U919" s="8">
        <v>2.7901899999999999</v>
      </c>
      <c r="V919">
        <v>16</v>
      </c>
      <c r="W919" s="8">
        <f t="shared" si="103"/>
        <v>0.47058823529411764</v>
      </c>
      <c r="X919" s="8">
        <v>2.8147099999999998</v>
      </c>
      <c r="Y919">
        <v>11</v>
      </c>
      <c r="Z919" s="8">
        <f t="shared" si="104"/>
        <v>0.3235294117647059</v>
      </c>
      <c r="AA919" s="8">
        <v>2.8374299999999999</v>
      </c>
    </row>
    <row r="920" spans="2:27" ht="15" customHeight="1" x14ac:dyDescent="0.25">
      <c r="B920">
        <v>605</v>
      </c>
      <c r="C920" s="1">
        <v>-12363.517286</v>
      </c>
      <c r="D920" s="2">
        <v>-12364.880766</v>
      </c>
      <c r="F920" s="3">
        <v>0.99602299999999999</v>
      </c>
      <c r="G920" s="2">
        <v>0.18473000000000001</v>
      </c>
      <c r="H920">
        <v>7</v>
      </c>
      <c r="I920">
        <v>6</v>
      </c>
      <c r="K920" s="8">
        <f t="shared" si="98"/>
        <v>-1.074616769232307</v>
      </c>
      <c r="L920" s="8">
        <f t="shared" si="99"/>
        <v>-8.266282840248515E-2</v>
      </c>
      <c r="M920" s="8">
        <f t="shared" si="100"/>
        <v>-1.0119741538455855</v>
      </c>
      <c r="N920" s="8">
        <f t="shared" si="101"/>
        <v>-7.784416568042965E-2</v>
      </c>
      <c r="O920" s="8"/>
      <c r="P920" t="s">
        <v>1207</v>
      </c>
      <c r="Q920">
        <v>33</v>
      </c>
      <c r="R920" s="8">
        <v>2.8090299999999999</v>
      </c>
      <c r="S920">
        <v>7</v>
      </c>
      <c r="T920" s="8">
        <f t="shared" si="102"/>
        <v>0.21212121212121213</v>
      </c>
      <c r="U920" s="8">
        <v>2.8011400000000002</v>
      </c>
      <c r="V920">
        <v>16</v>
      </c>
      <c r="W920" s="8">
        <f t="shared" si="103"/>
        <v>0.48484848484848486</v>
      </c>
      <c r="X920" s="8">
        <v>2.7986</v>
      </c>
      <c r="Y920">
        <v>10</v>
      </c>
      <c r="Z920" s="8">
        <f t="shared" si="104"/>
        <v>0.30303030303030304</v>
      </c>
      <c r="AA920" s="8">
        <v>2.8312599999999999</v>
      </c>
    </row>
    <row r="921" spans="2:27" ht="15" customHeight="1" x14ac:dyDescent="0.25">
      <c r="B921" s="32">
        <v>742</v>
      </c>
      <c r="C921" s="1">
        <v>-12363.480100000001</v>
      </c>
      <c r="D921" s="2">
        <v>-12364.877261</v>
      </c>
      <c r="F921" s="3">
        <v>0.99794899999999997</v>
      </c>
      <c r="G921" s="2">
        <v>0.20599999999999999</v>
      </c>
      <c r="H921">
        <v>7</v>
      </c>
      <c r="I921">
        <v>6</v>
      </c>
      <c r="K921" s="8">
        <f t="shared" si="98"/>
        <v>-1.037430769232742</v>
      </c>
      <c r="L921" s="8">
        <f t="shared" si="99"/>
        <v>-7.9802366864057075E-2</v>
      </c>
      <c r="M921" s="8">
        <f t="shared" si="100"/>
        <v>-1.0084691538449988</v>
      </c>
      <c r="N921" s="8">
        <f t="shared" si="101"/>
        <v>-7.7574550295769137E-2</v>
      </c>
      <c r="O921" s="8"/>
      <c r="P921" t="s">
        <v>1208</v>
      </c>
      <c r="Q921">
        <v>34</v>
      </c>
      <c r="R921" s="8">
        <v>2.8186599999999999</v>
      </c>
      <c r="S921">
        <v>8</v>
      </c>
      <c r="T921" s="8">
        <f t="shared" si="102"/>
        <v>0.23529411764705882</v>
      </c>
      <c r="U921" s="8">
        <v>2.8557299999999999</v>
      </c>
      <c r="V921">
        <v>18</v>
      </c>
      <c r="W921" s="8">
        <f t="shared" si="103"/>
        <v>0.52941176470588236</v>
      </c>
      <c r="X921" s="8">
        <v>2.7971900000000001</v>
      </c>
      <c r="Y921">
        <v>8</v>
      </c>
      <c r="Z921" s="8">
        <f t="shared" si="104"/>
        <v>0.23529411764705882</v>
      </c>
      <c r="AA921" s="8">
        <v>2.8298700000000001</v>
      </c>
    </row>
    <row r="922" spans="2:27" ht="15" customHeight="1" x14ac:dyDescent="0.25">
      <c r="B922" s="32">
        <v>541</v>
      </c>
      <c r="C922" s="1">
        <v>-12363.5599</v>
      </c>
      <c r="D922" s="2">
        <v>-12364.875427999999</v>
      </c>
      <c r="F922" s="3">
        <v>0.99642200000000003</v>
      </c>
      <c r="G922" s="2">
        <v>0.18976000000000001</v>
      </c>
      <c r="H922">
        <v>7</v>
      </c>
      <c r="I922">
        <v>6</v>
      </c>
      <c r="K922" s="8">
        <f t="shared" si="98"/>
        <v>-1.1172307692322647</v>
      </c>
      <c r="L922" s="8">
        <f t="shared" si="99"/>
        <v>-8.5940828402481906E-2</v>
      </c>
      <c r="M922" s="8">
        <f t="shared" si="100"/>
        <v>-1.0066361538447381</v>
      </c>
      <c r="N922" s="8">
        <f t="shared" si="101"/>
        <v>-7.7433550295749082E-2</v>
      </c>
      <c r="O922" s="8"/>
      <c r="P922" t="s">
        <v>1209</v>
      </c>
      <c r="Q922">
        <v>34</v>
      </c>
      <c r="R922" s="8">
        <v>2.8192699999999999</v>
      </c>
      <c r="S922">
        <v>5</v>
      </c>
      <c r="T922" s="8">
        <f t="shared" si="102"/>
        <v>0.14705882352941177</v>
      </c>
      <c r="U922" s="8">
        <v>2.7945199999999999</v>
      </c>
      <c r="V922">
        <v>19</v>
      </c>
      <c r="W922" s="8">
        <f t="shared" si="103"/>
        <v>0.55882352941176472</v>
      </c>
      <c r="X922" s="8">
        <v>2.8071299999999999</v>
      </c>
      <c r="Y922">
        <v>10</v>
      </c>
      <c r="Z922" s="8">
        <f t="shared" si="104"/>
        <v>0.29411764705882354</v>
      </c>
      <c r="AA922" s="8">
        <v>2.8547199999999999</v>
      </c>
    </row>
    <row r="923" spans="2:27" ht="15" customHeight="1" x14ac:dyDescent="0.25">
      <c r="B923">
        <v>731</v>
      </c>
      <c r="C923" s="1">
        <v>-12363.361531</v>
      </c>
      <c r="D923" s="2">
        <v>-12364.872026999999</v>
      </c>
      <c r="F923" s="3">
        <v>0.99508300000000005</v>
      </c>
      <c r="G923" s="2">
        <v>0.18170999999999901</v>
      </c>
      <c r="H923">
        <v>7</v>
      </c>
      <c r="I923">
        <v>6</v>
      </c>
      <c r="K923" s="8">
        <f t="shared" si="98"/>
        <v>-0.91886176923253515</v>
      </c>
      <c r="L923" s="8">
        <f t="shared" si="99"/>
        <v>-7.0681674556348856E-2</v>
      </c>
      <c r="M923" s="8">
        <f t="shared" si="100"/>
        <v>-1.0032351538447983</v>
      </c>
      <c r="N923" s="8">
        <f t="shared" si="101"/>
        <v>-7.7171934911138329E-2</v>
      </c>
      <c r="O923" s="8"/>
      <c r="P923" t="s">
        <v>1210</v>
      </c>
      <c r="Q923">
        <v>34</v>
      </c>
      <c r="R923" s="8">
        <v>2.82334</v>
      </c>
      <c r="S923">
        <v>7</v>
      </c>
      <c r="T923" s="8">
        <f t="shared" si="102"/>
        <v>0.20588235294117646</v>
      </c>
      <c r="U923" s="8">
        <v>2.7868200000000001</v>
      </c>
      <c r="V923">
        <v>16</v>
      </c>
      <c r="W923" s="8">
        <f t="shared" si="103"/>
        <v>0.47058823529411764</v>
      </c>
      <c r="X923" s="8">
        <v>2.8225500000000001</v>
      </c>
      <c r="Y923">
        <v>11</v>
      </c>
      <c r="Z923" s="8">
        <f t="shared" si="104"/>
        <v>0.3235294117647059</v>
      </c>
      <c r="AA923" s="8">
        <v>2.8477299999999999</v>
      </c>
    </row>
    <row r="924" spans="2:27" ht="15" customHeight="1" x14ac:dyDescent="0.25">
      <c r="B924">
        <v>559</v>
      </c>
      <c r="C924" s="1">
        <v>-12363.533228</v>
      </c>
      <c r="D924" s="2">
        <v>-12364.870666999999</v>
      </c>
      <c r="F924" s="3">
        <v>0.99666299999999997</v>
      </c>
      <c r="G924" s="2">
        <v>0.18483999999999901</v>
      </c>
      <c r="H924">
        <v>7</v>
      </c>
      <c r="I924">
        <v>6</v>
      </c>
      <c r="K924" s="8">
        <f t="shared" si="98"/>
        <v>-1.0905587692323024</v>
      </c>
      <c r="L924" s="8">
        <f t="shared" si="99"/>
        <v>-8.3889136094792496E-2</v>
      </c>
      <c r="M924" s="8">
        <f t="shared" si="100"/>
        <v>-1.001875153844594</v>
      </c>
      <c r="N924" s="8">
        <f t="shared" si="101"/>
        <v>-7.7067319526507236E-2</v>
      </c>
      <c r="O924" s="8"/>
      <c r="P924" t="s">
        <v>1211</v>
      </c>
      <c r="Q924">
        <v>32</v>
      </c>
      <c r="R924" s="8">
        <v>2.7997999999999998</v>
      </c>
      <c r="S924">
        <v>6</v>
      </c>
      <c r="T924" s="8">
        <f t="shared" si="102"/>
        <v>0.1875</v>
      </c>
      <c r="U924" s="8">
        <v>2.81257</v>
      </c>
      <c r="V924">
        <v>17</v>
      </c>
      <c r="W924" s="8">
        <f t="shared" si="103"/>
        <v>0.53125</v>
      </c>
      <c r="X924" s="8">
        <v>2.7817099999999999</v>
      </c>
      <c r="Y924">
        <v>9</v>
      </c>
      <c r="Z924" s="8">
        <f t="shared" si="104"/>
        <v>0.28125</v>
      </c>
      <c r="AA924" s="8">
        <v>2.8254700000000001</v>
      </c>
    </row>
    <row r="925" spans="2:27" ht="15" customHeight="1" x14ac:dyDescent="0.25">
      <c r="B925">
        <v>528</v>
      </c>
      <c r="C925" s="1">
        <v>-12363.54326</v>
      </c>
      <c r="D925" s="2">
        <v>-12364.870562</v>
      </c>
      <c r="F925" s="3">
        <v>0.99397599999999997</v>
      </c>
      <c r="G925" s="2">
        <v>0.17607999999999899</v>
      </c>
      <c r="H925">
        <v>7</v>
      </c>
      <c r="I925">
        <v>6</v>
      </c>
      <c r="K925" s="8">
        <f t="shared" si="98"/>
        <v>-1.1005907692324399</v>
      </c>
      <c r="L925" s="8">
        <f t="shared" si="99"/>
        <v>-8.4660828402495378E-2</v>
      </c>
      <c r="M925" s="8">
        <f t="shared" si="100"/>
        <v>-1.0017701538454276</v>
      </c>
      <c r="N925" s="8">
        <f t="shared" si="101"/>
        <v>-7.7059242603494421E-2</v>
      </c>
      <c r="O925" s="8"/>
      <c r="P925" t="s">
        <v>1212</v>
      </c>
      <c r="Q925">
        <v>34</v>
      </c>
      <c r="R925" s="8">
        <v>2.8195100000000002</v>
      </c>
      <c r="S925">
        <v>6</v>
      </c>
      <c r="T925" s="8">
        <f t="shared" si="102"/>
        <v>0.17647058823529413</v>
      </c>
      <c r="U925" s="8">
        <v>2.8078799999999999</v>
      </c>
      <c r="V925">
        <v>19</v>
      </c>
      <c r="W925" s="8">
        <f t="shared" si="103"/>
        <v>0.55882352941176472</v>
      </c>
      <c r="X925" s="8">
        <v>2.8214399999999999</v>
      </c>
      <c r="Y925">
        <v>9</v>
      </c>
      <c r="Z925" s="8">
        <f t="shared" si="104"/>
        <v>0.26470588235294118</v>
      </c>
      <c r="AA925" s="8">
        <v>2.8231899999999999</v>
      </c>
    </row>
    <row r="926" spans="2:27" ht="15" customHeight="1" x14ac:dyDescent="0.25">
      <c r="B926" s="32">
        <v>329</v>
      </c>
      <c r="C926" s="1">
        <v>-12362.883099999999</v>
      </c>
      <c r="D926" s="2">
        <v>-12364.869505999999</v>
      </c>
      <c r="F926" s="3">
        <v>0.99417199999999994</v>
      </c>
      <c r="G926" s="2">
        <v>0.17507</v>
      </c>
      <c r="H926">
        <v>7</v>
      </c>
      <c r="I926">
        <v>6</v>
      </c>
      <c r="K926" s="8">
        <f t="shared" si="98"/>
        <v>-0.44043076923117042</v>
      </c>
      <c r="L926" s="8">
        <f t="shared" si="99"/>
        <v>-3.3879289940859265E-2</v>
      </c>
      <c r="M926" s="8">
        <f t="shared" si="100"/>
        <v>-1.0007141538444557</v>
      </c>
      <c r="N926" s="8">
        <f t="shared" si="101"/>
        <v>-7.6978011834188897E-2</v>
      </c>
      <c r="O926" s="8"/>
      <c r="P926" t="s">
        <v>1213</v>
      </c>
      <c r="Q926">
        <v>36</v>
      </c>
      <c r="R926" s="8">
        <v>2.8395999999999999</v>
      </c>
      <c r="S926">
        <v>9</v>
      </c>
      <c r="T926" s="8">
        <f t="shared" si="102"/>
        <v>0.25</v>
      </c>
      <c r="U926" s="8">
        <v>2.8716400000000002</v>
      </c>
      <c r="V926">
        <v>18</v>
      </c>
      <c r="W926" s="8">
        <f t="shared" si="103"/>
        <v>0.5</v>
      </c>
      <c r="X926" s="8">
        <v>2.8241100000000001</v>
      </c>
      <c r="Y926">
        <v>9</v>
      </c>
      <c r="Z926" s="8">
        <f t="shared" si="104"/>
        <v>0.25</v>
      </c>
      <c r="AA926" s="8">
        <v>2.8385199999999999</v>
      </c>
    </row>
    <row r="927" spans="2:27" ht="15" customHeight="1" x14ac:dyDescent="0.25">
      <c r="B927" s="32">
        <v>451</v>
      </c>
      <c r="C927" s="1">
        <v>-12363.344300000001</v>
      </c>
      <c r="D927" s="2">
        <v>-12364.868071000001</v>
      </c>
      <c r="F927" s="3">
        <v>0.997417</v>
      </c>
      <c r="G927" s="2">
        <v>0.19952999999999901</v>
      </c>
      <c r="H927">
        <v>7</v>
      </c>
      <c r="I927">
        <v>6</v>
      </c>
      <c r="K927" s="8">
        <f t="shared" si="98"/>
        <v>-0.90163076923272456</v>
      </c>
      <c r="L927" s="8">
        <f t="shared" si="99"/>
        <v>-6.9356213017901888E-2</v>
      </c>
      <c r="M927" s="8">
        <f t="shared" si="100"/>
        <v>-0.99927915384614607</v>
      </c>
      <c r="N927" s="8">
        <f t="shared" si="101"/>
        <v>-7.6867627218934309E-2</v>
      </c>
      <c r="O927" s="8"/>
      <c r="P927" t="s">
        <v>1214</v>
      </c>
      <c r="Q927">
        <v>36</v>
      </c>
      <c r="R927" s="8">
        <v>2.8400099999999999</v>
      </c>
      <c r="S927">
        <v>8</v>
      </c>
      <c r="T927" s="8">
        <f t="shared" si="102"/>
        <v>0.22222222222222221</v>
      </c>
      <c r="U927" s="8">
        <v>2.9349500000000002</v>
      </c>
      <c r="V927">
        <v>22</v>
      </c>
      <c r="W927" s="8">
        <f t="shared" si="103"/>
        <v>0.61111111111111116</v>
      </c>
      <c r="X927" s="8">
        <v>2.7972199999999998</v>
      </c>
      <c r="Y927">
        <v>6</v>
      </c>
      <c r="Z927" s="8">
        <f t="shared" si="104"/>
        <v>0.16666666666666666</v>
      </c>
      <c r="AA927" s="8">
        <v>2.87032</v>
      </c>
    </row>
    <row r="928" spans="2:27" ht="15" customHeight="1" x14ac:dyDescent="0.25">
      <c r="B928" s="32">
        <v>374</v>
      </c>
      <c r="C928" s="1">
        <v>-12363.2799</v>
      </c>
      <c r="D928" s="2">
        <v>-12364.867941</v>
      </c>
      <c r="F928" s="3">
        <v>0.99506099999999997</v>
      </c>
      <c r="G928" s="2">
        <v>0.18006999999999901</v>
      </c>
      <c r="H928">
        <v>7</v>
      </c>
      <c r="I928">
        <v>6</v>
      </c>
      <c r="K928" s="8">
        <f t="shared" si="98"/>
        <v>-0.83723076923160988</v>
      </c>
      <c r="L928" s="8">
        <f t="shared" si="99"/>
        <v>-6.4402366863969995E-2</v>
      </c>
      <c r="M928" s="8">
        <f t="shared" si="100"/>
        <v>-0.99914915384579217</v>
      </c>
      <c r="N928" s="8">
        <f t="shared" si="101"/>
        <v>-7.6857627218907085E-2</v>
      </c>
      <c r="O928" s="8"/>
      <c r="P928" t="s">
        <v>1215</v>
      </c>
      <c r="Q928">
        <v>36</v>
      </c>
      <c r="R928" s="8">
        <v>2.8360099999999999</v>
      </c>
      <c r="S928">
        <v>8</v>
      </c>
      <c r="T928" s="8">
        <f t="shared" si="102"/>
        <v>0.22222222222222221</v>
      </c>
      <c r="U928" s="8">
        <v>2.8380000000000001</v>
      </c>
      <c r="V928">
        <v>19</v>
      </c>
      <c r="W928" s="8">
        <f t="shared" si="103"/>
        <v>0.52777777777777779</v>
      </c>
      <c r="X928" s="8">
        <v>2.8493200000000001</v>
      </c>
      <c r="Y928">
        <v>9</v>
      </c>
      <c r="Z928" s="8">
        <f t="shared" si="104"/>
        <v>0.25</v>
      </c>
      <c r="AA928" s="8">
        <v>2.80613</v>
      </c>
    </row>
    <row r="929" spans="2:27" ht="15" customHeight="1" x14ac:dyDescent="0.25">
      <c r="B929" s="32">
        <v>459</v>
      </c>
      <c r="C929" s="1">
        <v>-12363.482400000001</v>
      </c>
      <c r="D929" s="2">
        <v>-12364.867525</v>
      </c>
      <c r="F929" s="3">
        <v>0.997583</v>
      </c>
      <c r="G929" s="2">
        <v>0.201429999999999</v>
      </c>
      <c r="H929">
        <v>7</v>
      </c>
      <c r="I929">
        <v>6</v>
      </c>
      <c r="K929" s="8">
        <f t="shared" si="98"/>
        <v>-1.0397307692328468</v>
      </c>
      <c r="L929" s="8">
        <f t="shared" si="99"/>
        <v>-7.9979289940988213E-2</v>
      </c>
      <c r="M929" s="8">
        <f t="shared" si="100"/>
        <v>-0.99873315384502348</v>
      </c>
      <c r="N929" s="8">
        <f t="shared" si="101"/>
        <v>-7.6825627218847961E-2</v>
      </c>
      <c r="O929" s="8"/>
      <c r="P929" t="s">
        <v>1216</v>
      </c>
      <c r="Q929">
        <v>35</v>
      </c>
      <c r="R929" s="8">
        <v>2.8250600000000001</v>
      </c>
      <c r="S929">
        <v>7</v>
      </c>
      <c r="T929" s="8">
        <f t="shared" si="102"/>
        <v>0.2</v>
      </c>
      <c r="U929" s="8">
        <v>2.81989</v>
      </c>
      <c r="V929">
        <v>17</v>
      </c>
      <c r="W929" s="8">
        <f t="shared" si="103"/>
        <v>0.48571428571428571</v>
      </c>
      <c r="X929" s="8">
        <v>2.82037</v>
      </c>
      <c r="Y929">
        <v>11</v>
      </c>
      <c r="Z929" s="8">
        <f t="shared" si="104"/>
        <v>0.31428571428571428</v>
      </c>
      <c r="AA929" s="8">
        <v>2.8355899999999998</v>
      </c>
    </row>
    <row r="930" spans="2:27" ht="15" customHeight="1" x14ac:dyDescent="0.25">
      <c r="B930">
        <v>627</v>
      </c>
      <c r="C930" s="1">
        <v>-12363.496635</v>
      </c>
      <c r="D930" s="2">
        <v>-12364.86715</v>
      </c>
      <c r="F930" s="3">
        <v>0.99575499999999995</v>
      </c>
      <c r="G930" s="2">
        <v>0.18465999999999999</v>
      </c>
      <c r="H930">
        <v>7</v>
      </c>
      <c r="I930">
        <v>6</v>
      </c>
      <c r="K930" s="8">
        <f t="shared" si="98"/>
        <v>-1.0539657692315814</v>
      </c>
      <c r="L930" s="8">
        <f t="shared" si="99"/>
        <v>-8.1074289940890873E-2</v>
      </c>
      <c r="M930" s="8">
        <f t="shared" si="100"/>
        <v>-0.99835815384540183</v>
      </c>
      <c r="N930" s="8">
        <f t="shared" si="101"/>
        <v>-7.6796781065030906E-2</v>
      </c>
      <c r="O930" s="8"/>
      <c r="P930" t="s">
        <v>1217</v>
      </c>
      <c r="Q930">
        <v>34</v>
      </c>
      <c r="R930" s="8">
        <v>2.82348</v>
      </c>
      <c r="S930">
        <v>8</v>
      </c>
      <c r="T930" s="8">
        <f t="shared" si="102"/>
        <v>0.23529411764705882</v>
      </c>
      <c r="U930" s="8">
        <v>2.8501099999999999</v>
      </c>
      <c r="V930">
        <v>18</v>
      </c>
      <c r="W930" s="8">
        <f t="shared" si="103"/>
        <v>0.52941176470588236</v>
      </c>
      <c r="X930" s="8">
        <v>2.8165200000000001</v>
      </c>
      <c r="Y930">
        <v>8</v>
      </c>
      <c r="Z930" s="8">
        <f t="shared" si="104"/>
        <v>0.23529411764705882</v>
      </c>
      <c r="AA930" s="8">
        <v>2.8125200000000001</v>
      </c>
    </row>
    <row r="931" spans="2:27" ht="15" customHeight="1" x14ac:dyDescent="0.25">
      <c r="B931">
        <v>522</v>
      </c>
      <c r="C931" s="1">
        <v>-12363.562986999999</v>
      </c>
      <c r="D931" s="2">
        <v>-12364.866151</v>
      </c>
      <c r="F931" s="3">
        <v>0.99785699999999999</v>
      </c>
      <c r="G931" s="2">
        <v>0.19547999999999999</v>
      </c>
      <c r="H931">
        <v>7</v>
      </c>
      <c r="I931">
        <v>6</v>
      </c>
      <c r="K931" s="8">
        <f t="shared" si="98"/>
        <v>-1.1203177692314057</v>
      </c>
      <c r="L931" s="8">
        <f t="shared" si="99"/>
        <v>-8.6178289940877367E-2</v>
      </c>
      <c r="M931" s="8">
        <f t="shared" si="100"/>
        <v>-0.99735915384553664</v>
      </c>
      <c r="N931" s="8">
        <f t="shared" si="101"/>
        <v>-7.6719934911195123E-2</v>
      </c>
      <c r="O931" s="8"/>
      <c r="P931" t="s">
        <v>1218</v>
      </c>
      <c r="Q931">
        <v>35</v>
      </c>
      <c r="R931" s="8">
        <v>2.8406600000000002</v>
      </c>
      <c r="S931">
        <v>6</v>
      </c>
      <c r="T931" s="8">
        <f t="shared" si="102"/>
        <v>0.17142857142857143</v>
      </c>
      <c r="U931" s="8">
        <v>2.8384800000000001</v>
      </c>
      <c r="V931">
        <v>20</v>
      </c>
      <c r="W931" s="8">
        <f t="shared" si="103"/>
        <v>0.5714285714285714</v>
      </c>
      <c r="X931" s="8">
        <v>2.8160099999999999</v>
      </c>
      <c r="Y931">
        <v>9</v>
      </c>
      <c r="Z931" s="8">
        <f t="shared" si="104"/>
        <v>0.25714285714285712</v>
      </c>
      <c r="AA931" s="8">
        <v>2.89689</v>
      </c>
    </row>
    <row r="932" spans="2:27" ht="15" customHeight="1" x14ac:dyDescent="0.25">
      <c r="B932" s="32">
        <v>363</v>
      </c>
      <c r="C932" s="1">
        <v>-12363.153899999999</v>
      </c>
      <c r="D932" s="2">
        <v>-12364.862834</v>
      </c>
      <c r="F932" s="3">
        <v>0.99389400000000006</v>
      </c>
      <c r="G932" s="2">
        <v>0.17368</v>
      </c>
      <c r="H932">
        <v>7</v>
      </c>
      <c r="I932">
        <v>6</v>
      </c>
      <c r="K932" s="8">
        <f t="shared" si="98"/>
        <v>-0.71123076923140616</v>
      </c>
      <c r="L932" s="8">
        <f t="shared" si="99"/>
        <v>-5.4710059171646626E-2</v>
      </c>
      <c r="M932" s="8">
        <f t="shared" si="100"/>
        <v>-0.99404215384493</v>
      </c>
      <c r="N932" s="8">
        <f t="shared" si="101"/>
        <v>-7.6464781064994616E-2</v>
      </c>
      <c r="O932" s="8"/>
      <c r="P932" t="s">
        <v>1219</v>
      </c>
      <c r="Q932">
        <v>36</v>
      </c>
      <c r="R932" s="8">
        <v>2.8401999999999998</v>
      </c>
      <c r="S932">
        <v>9</v>
      </c>
      <c r="T932" s="8">
        <f t="shared" si="102"/>
        <v>0.25</v>
      </c>
      <c r="U932" s="8">
        <v>2.9082300000000001</v>
      </c>
      <c r="V932">
        <v>19</v>
      </c>
      <c r="W932" s="8">
        <f t="shared" si="103"/>
        <v>0.52777777777777779</v>
      </c>
      <c r="X932" s="8">
        <v>2.8178999999999998</v>
      </c>
      <c r="Y932">
        <v>8</v>
      </c>
      <c r="Z932" s="8">
        <f t="shared" si="104"/>
        <v>0.22222222222222221</v>
      </c>
      <c r="AA932" s="8">
        <v>2.8166199999999999</v>
      </c>
    </row>
    <row r="933" spans="2:27" ht="15" customHeight="1" x14ac:dyDescent="0.25">
      <c r="B933" s="32">
        <v>341</v>
      </c>
      <c r="C933" s="1">
        <v>-12363.308000000001</v>
      </c>
      <c r="D933" s="2">
        <v>-12364.861978999999</v>
      </c>
      <c r="F933" s="3">
        <v>0.99645899999999998</v>
      </c>
      <c r="G933" s="2">
        <v>0.190049999999999</v>
      </c>
      <c r="H933">
        <v>7</v>
      </c>
      <c r="I933">
        <v>6</v>
      </c>
      <c r="K933" s="8">
        <f t="shared" si="98"/>
        <v>-0.86533076923296903</v>
      </c>
      <c r="L933" s="8">
        <f t="shared" si="99"/>
        <v>-6.6563905325613001E-2</v>
      </c>
      <c r="M933" s="8">
        <f t="shared" si="100"/>
        <v>-0.99318715384470124</v>
      </c>
      <c r="N933" s="8">
        <f t="shared" si="101"/>
        <v>-7.6399011834207789E-2</v>
      </c>
      <c r="O933" s="8"/>
      <c r="P933" t="s">
        <v>1220</v>
      </c>
      <c r="Q933">
        <v>35</v>
      </c>
      <c r="R933" s="8">
        <v>2.8339699999999999</v>
      </c>
      <c r="S933">
        <v>8</v>
      </c>
      <c r="T933" s="8">
        <f t="shared" si="102"/>
        <v>0.22857142857142856</v>
      </c>
      <c r="U933" s="8">
        <v>2.84727</v>
      </c>
      <c r="V933">
        <v>19</v>
      </c>
      <c r="W933" s="8">
        <f t="shared" si="103"/>
        <v>0.54285714285714282</v>
      </c>
      <c r="X933" s="8">
        <v>2.8265699999999998</v>
      </c>
      <c r="Y933">
        <v>8</v>
      </c>
      <c r="Z933" s="8">
        <f t="shared" si="104"/>
        <v>0.22857142857142856</v>
      </c>
      <c r="AA933" s="8">
        <v>2.83826</v>
      </c>
    </row>
    <row r="934" spans="2:27" ht="15" customHeight="1" x14ac:dyDescent="0.25">
      <c r="B934">
        <v>544</v>
      </c>
      <c r="C934" s="1">
        <v>-12363.304341999999</v>
      </c>
      <c r="D934" s="2">
        <v>-12364.860612</v>
      </c>
      <c r="F934" s="3">
        <v>0.99533099999999997</v>
      </c>
      <c r="G934" s="2">
        <v>0.181589999999999</v>
      </c>
      <c r="H934">
        <v>7</v>
      </c>
      <c r="I934">
        <v>6</v>
      </c>
      <c r="K934" s="8">
        <f t="shared" si="98"/>
        <v>-0.86167276923151803</v>
      </c>
      <c r="L934" s="8">
        <f t="shared" si="99"/>
        <v>-6.6282520710116768E-2</v>
      </c>
      <c r="M934" s="8">
        <f t="shared" si="100"/>
        <v>-0.99182015384576516</v>
      </c>
      <c r="N934" s="8">
        <f t="shared" si="101"/>
        <v>-7.6293857988135788E-2</v>
      </c>
      <c r="O934" s="8"/>
      <c r="P934" t="s">
        <v>1221</v>
      </c>
      <c r="Q934">
        <v>34</v>
      </c>
      <c r="R934" s="8">
        <v>2.8204400000000001</v>
      </c>
      <c r="S934">
        <v>7</v>
      </c>
      <c r="T934" s="8">
        <f t="shared" si="102"/>
        <v>0.20588235294117646</v>
      </c>
      <c r="U934" s="8">
        <v>2.8151700000000002</v>
      </c>
      <c r="V934">
        <v>17</v>
      </c>
      <c r="W934" s="8">
        <f t="shared" si="103"/>
        <v>0.5</v>
      </c>
      <c r="X934" s="8">
        <v>2.78606</v>
      </c>
      <c r="Y934">
        <v>10</v>
      </c>
      <c r="Z934" s="8">
        <f t="shared" si="104"/>
        <v>0.29411764705882354</v>
      </c>
      <c r="AA934" s="8">
        <v>2.8825799999999999</v>
      </c>
    </row>
    <row r="935" spans="2:27" ht="15" customHeight="1" x14ac:dyDescent="0.25">
      <c r="B935" s="32">
        <v>461</v>
      </c>
      <c r="C935" s="1">
        <v>-12363.2197</v>
      </c>
      <c r="D935" s="2">
        <v>-12364.859656000001</v>
      </c>
      <c r="F935" s="3">
        <v>0.99682000000000004</v>
      </c>
      <c r="G935" s="2">
        <v>0.19314999999999999</v>
      </c>
      <c r="H935">
        <v>7</v>
      </c>
      <c r="I935">
        <v>6</v>
      </c>
      <c r="K935" s="8">
        <f t="shared" si="98"/>
        <v>-0.77703076923171466</v>
      </c>
      <c r="L935" s="8">
        <f t="shared" si="99"/>
        <v>-5.9771597633208821E-2</v>
      </c>
      <c r="M935" s="8">
        <f t="shared" si="100"/>
        <v>-0.99086415384590509</v>
      </c>
      <c r="N935" s="8">
        <f t="shared" si="101"/>
        <v>-7.6220319526608085E-2</v>
      </c>
      <c r="O935" s="8"/>
      <c r="P935" t="s">
        <v>1222</v>
      </c>
      <c r="Q935">
        <v>35</v>
      </c>
      <c r="R935" s="8">
        <v>2.8271899999999999</v>
      </c>
      <c r="S935">
        <v>9</v>
      </c>
      <c r="T935" s="8">
        <f t="shared" si="102"/>
        <v>0.25714285714285712</v>
      </c>
      <c r="U935" s="8">
        <v>2.9101499999999998</v>
      </c>
      <c r="V935">
        <v>19</v>
      </c>
      <c r="W935" s="8">
        <f t="shared" si="103"/>
        <v>0.54285714285714282</v>
      </c>
      <c r="X935" s="8">
        <v>2.7865099999999998</v>
      </c>
      <c r="Y935">
        <v>7</v>
      </c>
      <c r="Z935" s="8">
        <f t="shared" si="104"/>
        <v>0.2</v>
      </c>
      <c r="AA935" s="8">
        <v>2.8309299999999999</v>
      </c>
    </row>
    <row r="936" spans="2:27" ht="15" customHeight="1" x14ac:dyDescent="0.25">
      <c r="B936" s="32">
        <v>367</v>
      </c>
      <c r="C936" s="1">
        <v>-12363.298000000001</v>
      </c>
      <c r="D936" s="2">
        <v>-12364.859506999999</v>
      </c>
      <c r="F936" s="3">
        <v>0.99598399999999998</v>
      </c>
      <c r="G936" s="2">
        <v>0.18607000000000001</v>
      </c>
      <c r="H936">
        <v>7</v>
      </c>
      <c r="I936">
        <v>6</v>
      </c>
      <c r="K936" s="8">
        <f t="shared" si="98"/>
        <v>-0.85533076923275075</v>
      </c>
      <c r="L936" s="8">
        <f t="shared" si="99"/>
        <v>-6.5794674556365437E-2</v>
      </c>
      <c r="M936" s="8">
        <f t="shared" si="100"/>
        <v>-0.99071515384457598</v>
      </c>
      <c r="N936" s="8">
        <f t="shared" si="101"/>
        <v>-7.6208857988044304E-2</v>
      </c>
      <c r="O936" s="8"/>
      <c r="P936" t="s">
        <v>1223</v>
      </c>
      <c r="Q936">
        <v>35</v>
      </c>
      <c r="R936" s="8">
        <v>2.8252000000000002</v>
      </c>
      <c r="S936">
        <v>8</v>
      </c>
      <c r="T936" s="8">
        <f t="shared" si="102"/>
        <v>0.22857142857142856</v>
      </c>
      <c r="U936" s="8">
        <v>2.8398099999999999</v>
      </c>
      <c r="V936">
        <v>18</v>
      </c>
      <c r="W936" s="8">
        <f t="shared" si="103"/>
        <v>0.51428571428571423</v>
      </c>
      <c r="X936" s="8">
        <v>2.8290899999999999</v>
      </c>
      <c r="Y936">
        <v>9</v>
      </c>
      <c r="Z936" s="8">
        <f t="shared" si="104"/>
        <v>0.25714285714285712</v>
      </c>
      <c r="AA936" s="8">
        <v>2.80443</v>
      </c>
    </row>
    <row r="937" spans="2:27" ht="15" customHeight="1" x14ac:dyDescent="0.25">
      <c r="B937" s="32">
        <v>383</v>
      </c>
      <c r="C937" s="1">
        <v>-12363.2557</v>
      </c>
      <c r="D937" s="2">
        <v>-12364.856247</v>
      </c>
      <c r="F937" s="3">
        <v>0.99605299999999997</v>
      </c>
      <c r="G937" s="2">
        <v>0.18678</v>
      </c>
      <c r="H937">
        <v>7</v>
      </c>
      <c r="I937">
        <v>6</v>
      </c>
      <c r="K937" s="8">
        <f t="shared" si="98"/>
        <v>-0.81303076923177287</v>
      </c>
      <c r="L937" s="8">
        <f t="shared" si="99"/>
        <v>-6.2540828402444071E-2</v>
      </c>
      <c r="M937" s="8">
        <f t="shared" si="100"/>
        <v>-0.98745515384507598</v>
      </c>
      <c r="N937" s="8">
        <f t="shared" si="101"/>
        <v>-7.5958088757313538E-2</v>
      </c>
      <c r="O937" s="8"/>
      <c r="P937" t="s">
        <v>1224</v>
      </c>
      <c r="Q937">
        <v>36</v>
      </c>
      <c r="R937" s="8">
        <v>2.8325800000000001</v>
      </c>
      <c r="S937">
        <v>8</v>
      </c>
      <c r="T937" s="8">
        <f t="shared" si="102"/>
        <v>0.22222222222222221</v>
      </c>
      <c r="U937" s="8">
        <v>2.84727</v>
      </c>
      <c r="V937">
        <v>19</v>
      </c>
      <c r="W937" s="8">
        <f t="shared" si="103"/>
        <v>0.52777777777777779</v>
      </c>
      <c r="X937" s="8">
        <v>2.83405</v>
      </c>
      <c r="Y937">
        <v>9</v>
      </c>
      <c r="Z937" s="8">
        <f t="shared" si="104"/>
        <v>0.25</v>
      </c>
      <c r="AA937" s="8">
        <v>2.8164199999999999</v>
      </c>
    </row>
    <row r="938" spans="2:27" ht="15" customHeight="1" x14ac:dyDescent="0.25">
      <c r="B938" s="32">
        <v>354</v>
      </c>
      <c r="C938" s="1">
        <v>-12363.307000000001</v>
      </c>
      <c r="D938" s="2">
        <v>-12364.852061</v>
      </c>
      <c r="F938" s="3">
        <v>0.99656299999999998</v>
      </c>
      <c r="G938" s="2">
        <v>0.19095000000000001</v>
      </c>
      <c r="H938">
        <v>7</v>
      </c>
      <c r="I938">
        <v>6</v>
      </c>
      <c r="K938" s="8">
        <f t="shared" si="98"/>
        <v>-0.86433076923276531</v>
      </c>
      <c r="L938" s="8">
        <f t="shared" si="99"/>
        <v>-6.6486982248674248E-2</v>
      </c>
      <c r="M938" s="8">
        <f t="shared" si="100"/>
        <v>-0.98326915384495805</v>
      </c>
      <c r="N938" s="8">
        <f t="shared" si="101"/>
        <v>-7.5636088757304459E-2</v>
      </c>
      <c r="O938" s="8"/>
      <c r="P938" t="s">
        <v>1225</v>
      </c>
      <c r="Q938">
        <v>35</v>
      </c>
      <c r="R938" s="8">
        <v>2.8321299999999998</v>
      </c>
      <c r="S938">
        <v>8</v>
      </c>
      <c r="T938" s="8">
        <f t="shared" si="102"/>
        <v>0.22857142857142856</v>
      </c>
      <c r="U938" s="8">
        <v>2.8881000000000001</v>
      </c>
      <c r="V938">
        <v>18</v>
      </c>
      <c r="W938" s="8">
        <f t="shared" si="103"/>
        <v>0.51428571428571423</v>
      </c>
      <c r="X938" s="8">
        <v>2.79636</v>
      </c>
      <c r="Y938">
        <v>9</v>
      </c>
      <c r="Z938" s="8">
        <f t="shared" si="104"/>
        <v>0.25714285714285712</v>
      </c>
      <c r="AA938" s="8">
        <v>2.8539300000000001</v>
      </c>
    </row>
    <row r="939" spans="2:27" ht="15" customHeight="1" x14ac:dyDescent="0.25">
      <c r="B939">
        <v>636</v>
      </c>
      <c r="C939" s="1">
        <v>-12363.446936</v>
      </c>
      <c r="D939" s="2">
        <v>-12364.851585</v>
      </c>
      <c r="F939" s="3">
        <v>0.99668800000000002</v>
      </c>
      <c r="G939" s="2">
        <v>0.20177999999999899</v>
      </c>
      <c r="H939">
        <v>7</v>
      </c>
      <c r="I939">
        <v>6</v>
      </c>
      <c r="K939" s="8">
        <f t="shared" si="98"/>
        <v>-1.0042667692323448</v>
      </c>
      <c r="L939" s="8">
        <f t="shared" si="99"/>
        <v>-7.7251289940949597E-2</v>
      </c>
      <c r="M939" s="8">
        <f t="shared" si="100"/>
        <v>-0.98279315384570509</v>
      </c>
      <c r="N939" s="8">
        <f t="shared" si="101"/>
        <v>-7.5599473372746542E-2</v>
      </c>
      <c r="O939" s="8"/>
      <c r="P939" t="s">
        <v>1226</v>
      </c>
      <c r="Q939">
        <v>33</v>
      </c>
      <c r="R939" s="8">
        <v>2.8060999999999998</v>
      </c>
      <c r="S939">
        <v>7</v>
      </c>
      <c r="T939" s="8">
        <f t="shared" si="102"/>
        <v>0.21212121212121213</v>
      </c>
      <c r="U939" s="8">
        <v>2.8379400000000001</v>
      </c>
      <c r="V939">
        <v>19</v>
      </c>
      <c r="W939" s="8">
        <f t="shared" si="103"/>
        <v>0.5757575757575758</v>
      </c>
      <c r="X939" s="8">
        <v>2.78973</v>
      </c>
      <c r="Y939">
        <v>7</v>
      </c>
      <c r="Z939" s="8">
        <f t="shared" si="104"/>
        <v>0.21212121212121213</v>
      </c>
      <c r="AA939" s="8">
        <v>2.8186800000000001</v>
      </c>
    </row>
    <row r="940" spans="2:27" ht="15" customHeight="1" x14ac:dyDescent="0.25">
      <c r="B940" s="32">
        <v>308</v>
      </c>
      <c r="C940" s="1">
        <v>-12363.3058</v>
      </c>
      <c r="D940" s="2">
        <v>-12364.850735</v>
      </c>
      <c r="F940" s="3">
        <v>0.99474099999999999</v>
      </c>
      <c r="G940" s="2">
        <v>0.17791999999999999</v>
      </c>
      <c r="H940">
        <v>7</v>
      </c>
      <c r="I940">
        <v>6</v>
      </c>
      <c r="K940" s="8">
        <f t="shared" si="98"/>
        <v>-0.86313076923215704</v>
      </c>
      <c r="L940" s="8">
        <f t="shared" si="99"/>
        <v>-6.6394674556319769E-2</v>
      </c>
      <c r="M940" s="8">
        <f t="shared" si="100"/>
        <v>-0.98194315384535003</v>
      </c>
      <c r="N940" s="8">
        <f t="shared" si="101"/>
        <v>-7.5534088757334611E-2</v>
      </c>
      <c r="O940" s="8"/>
      <c r="P940" t="s">
        <v>1227</v>
      </c>
      <c r="Q940">
        <v>36</v>
      </c>
      <c r="R940" s="8">
        <v>2.83595</v>
      </c>
      <c r="S940">
        <v>7</v>
      </c>
      <c r="T940" s="8">
        <f t="shared" si="102"/>
        <v>0.19444444444444445</v>
      </c>
      <c r="U940" s="8">
        <v>2.8305699999999998</v>
      </c>
      <c r="V940">
        <v>20</v>
      </c>
      <c r="W940" s="8">
        <f t="shared" si="103"/>
        <v>0.55555555555555558</v>
      </c>
      <c r="X940" s="8">
        <v>2.8529200000000001</v>
      </c>
      <c r="Y940">
        <v>9</v>
      </c>
      <c r="Z940" s="8">
        <f t="shared" si="104"/>
        <v>0.25</v>
      </c>
      <c r="AA940" s="8">
        <v>2.8024200000000001</v>
      </c>
    </row>
    <row r="941" spans="2:27" ht="15" customHeight="1" x14ac:dyDescent="0.25">
      <c r="B941">
        <v>608</v>
      </c>
      <c r="C941" s="1">
        <v>-12363.486466</v>
      </c>
      <c r="D941" s="2">
        <v>-12364.849416999999</v>
      </c>
      <c r="F941" s="3">
        <v>0.99547799999999997</v>
      </c>
      <c r="G941" s="2">
        <v>0.18351999999999999</v>
      </c>
      <c r="H941">
        <v>7</v>
      </c>
      <c r="I941">
        <v>6</v>
      </c>
      <c r="K941" s="8">
        <f t="shared" si="98"/>
        <v>-1.0437967692323582</v>
      </c>
      <c r="L941" s="8">
        <f t="shared" si="99"/>
        <v>-8.029205917171986E-2</v>
      </c>
      <c r="M941" s="8">
        <f t="shared" si="100"/>
        <v>-0.9806251538448123</v>
      </c>
      <c r="N941" s="8">
        <f t="shared" si="101"/>
        <v>-7.5432704141908641E-2</v>
      </c>
      <c r="O941" s="8"/>
      <c r="P941" t="s">
        <v>1228</v>
      </c>
      <c r="Q941">
        <v>34</v>
      </c>
      <c r="R941" s="8">
        <v>2.8230499999999998</v>
      </c>
      <c r="S941">
        <v>6</v>
      </c>
      <c r="T941" s="8">
        <f t="shared" si="102"/>
        <v>0.17647058823529413</v>
      </c>
      <c r="U941" s="8">
        <v>2.8308900000000001</v>
      </c>
      <c r="V941">
        <v>18</v>
      </c>
      <c r="W941" s="8">
        <f t="shared" si="103"/>
        <v>0.52941176470588236</v>
      </c>
      <c r="X941" s="8">
        <v>2.7843900000000001</v>
      </c>
      <c r="Y941">
        <v>10</v>
      </c>
      <c r="Z941" s="8">
        <f t="shared" si="104"/>
        <v>0.29411764705882354</v>
      </c>
      <c r="AA941" s="8">
        <v>2.88795</v>
      </c>
    </row>
    <row r="942" spans="2:27" ht="15" customHeight="1" x14ac:dyDescent="0.25">
      <c r="B942" s="32">
        <v>356</v>
      </c>
      <c r="C942" s="1">
        <v>-12362.965200000001</v>
      </c>
      <c r="D942" s="2">
        <v>-12364.849295</v>
      </c>
      <c r="F942" s="3">
        <v>0.99475999999999998</v>
      </c>
      <c r="G942" s="2">
        <v>0.17824999999999999</v>
      </c>
      <c r="H942">
        <v>7</v>
      </c>
      <c r="I942">
        <v>6</v>
      </c>
      <c r="K942" s="8">
        <f t="shared" si="98"/>
        <v>-0.52253076923261688</v>
      </c>
      <c r="L942" s="8">
        <f t="shared" si="99"/>
        <v>-4.0194674556355142E-2</v>
      </c>
      <c r="M942" s="8">
        <f t="shared" si="100"/>
        <v>-0.9805031538453477</v>
      </c>
      <c r="N942" s="8">
        <f t="shared" si="101"/>
        <v>-7.5423319526565211E-2</v>
      </c>
      <c r="O942" s="8"/>
      <c r="P942" t="s">
        <v>1229</v>
      </c>
      <c r="Q942">
        <v>36</v>
      </c>
      <c r="R942" s="8">
        <v>2.8350599999999999</v>
      </c>
      <c r="S942">
        <v>10</v>
      </c>
      <c r="T942" s="8">
        <f t="shared" si="102"/>
        <v>0.27777777777777779</v>
      </c>
      <c r="U942" s="8">
        <v>2.8441800000000002</v>
      </c>
      <c r="V942">
        <v>15</v>
      </c>
      <c r="W942" s="8">
        <f t="shared" si="103"/>
        <v>0.41666666666666669</v>
      </c>
      <c r="X942" s="8">
        <v>2.8479399999999999</v>
      </c>
      <c r="Y942">
        <v>11</v>
      </c>
      <c r="Z942" s="8">
        <f t="shared" si="104"/>
        <v>0.30555555555555558</v>
      </c>
      <c r="AA942" s="8">
        <v>2.8092000000000001</v>
      </c>
    </row>
    <row r="943" spans="2:27" ht="15" customHeight="1" x14ac:dyDescent="0.25">
      <c r="B943">
        <v>625</v>
      </c>
      <c r="C943" s="1">
        <v>-12363.352359</v>
      </c>
      <c r="D943" s="2">
        <v>-12364.848731</v>
      </c>
      <c r="F943" s="3">
        <v>0.99521700000000002</v>
      </c>
      <c r="G943" s="2">
        <v>0.17726</v>
      </c>
      <c r="H943">
        <v>7</v>
      </c>
      <c r="I943">
        <v>6</v>
      </c>
      <c r="K943" s="8">
        <f t="shared" si="98"/>
        <v>-0.90968976923250011</v>
      </c>
      <c r="L943" s="8">
        <f t="shared" si="99"/>
        <v>-6.9976136094807698E-2</v>
      </c>
      <c r="M943" s="8">
        <f t="shared" si="100"/>
        <v>-0.97993915384540742</v>
      </c>
      <c r="N943" s="8">
        <f t="shared" si="101"/>
        <v>-7.5379934911185192E-2</v>
      </c>
      <c r="O943" s="8"/>
      <c r="P943" t="s">
        <v>1230</v>
      </c>
      <c r="Q943">
        <v>34</v>
      </c>
      <c r="R943" s="8">
        <v>2.8111899999999999</v>
      </c>
      <c r="S943">
        <v>8</v>
      </c>
      <c r="T943" s="8">
        <f t="shared" si="102"/>
        <v>0.23529411764705882</v>
      </c>
      <c r="U943" s="8">
        <v>2.7983600000000002</v>
      </c>
      <c r="V943">
        <v>17</v>
      </c>
      <c r="W943" s="8">
        <f t="shared" si="103"/>
        <v>0.5</v>
      </c>
      <c r="X943" s="8">
        <v>2.81148</v>
      </c>
      <c r="Y943">
        <v>9</v>
      </c>
      <c r="Z943" s="8">
        <f t="shared" si="104"/>
        <v>0.26470588235294118</v>
      </c>
      <c r="AA943" s="8">
        <v>2.8220499999999999</v>
      </c>
    </row>
    <row r="944" spans="2:27" ht="15" customHeight="1" x14ac:dyDescent="0.25">
      <c r="B944">
        <v>516</v>
      </c>
      <c r="C944" s="1">
        <v>-12363.492672</v>
      </c>
      <c r="D944" s="2">
        <v>-12364.846801</v>
      </c>
      <c r="F944" s="3">
        <v>0.99601600000000001</v>
      </c>
      <c r="G944" s="2">
        <v>0.183529999999999</v>
      </c>
      <c r="H944">
        <v>7</v>
      </c>
      <c r="I944">
        <v>6</v>
      </c>
      <c r="K944" s="8">
        <f t="shared" si="98"/>
        <v>-1.0500027692323783</v>
      </c>
      <c r="L944" s="8">
        <f t="shared" si="99"/>
        <v>-8.0769443787106029E-2</v>
      </c>
      <c r="M944" s="8">
        <f t="shared" si="100"/>
        <v>-0.97800915384505061</v>
      </c>
      <c r="N944" s="8">
        <f t="shared" si="101"/>
        <v>-7.52314733726962E-2</v>
      </c>
      <c r="O944" s="8"/>
      <c r="P944" t="s">
        <v>1231</v>
      </c>
      <c r="Q944">
        <v>34</v>
      </c>
      <c r="R944" s="8">
        <v>2.81515</v>
      </c>
      <c r="S944">
        <v>8</v>
      </c>
      <c r="T944" s="8">
        <f t="shared" si="102"/>
        <v>0.23529411764705882</v>
      </c>
      <c r="U944" s="8">
        <v>2.8500700000000001</v>
      </c>
      <c r="V944">
        <v>19</v>
      </c>
      <c r="W944" s="8">
        <f t="shared" si="103"/>
        <v>0.55882352941176472</v>
      </c>
      <c r="X944" s="8">
        <v>2.81074</v>
      </c>
      <c r="Y944">
        <v>7</v>
      </c>
      <c r="Z944" s="8">
        <f t="shared" si="104"/>
        <v>0.20588235294117646</v>
      </c>
      <c r="AA944" s="8">
        <v>2.7871999999999999</v>
      </c>
    </row>
    <row r="945" spans="2:27" ht="15" customHeight="1" x14ac:dyDescent="0.25">
      <c r="B945">
        <v>639</v>
      </c>
      <c r="C945" s="1">
        <v>-12363.488042999999</v>
      </c>
      <c r="D945" s="2">
        <v>-12364.844969</v>
      </c>
      <c r="F945" s="3">
        <v>0.99857700000000005</v>
      </c>
      <c r="G945" s="2">
        <v>0.20186999999999999</v>
      </c>
      <c r="H945">
        <v>7</v>
      </c>
      <c r="I945">
        <v>6</v>
      </c>
      <c r="K945" s="8">
        <f t="shared" si="98"/>
        <v>-1.0453737692314462</v>
      </c>
      <c r="L945" s="8">
        <f t="shared" si="99"/>
        <v>-8.0413366863957406E-2</v>
      </c>
      <c r="M945" s="8">
        <f t="shared" si="100"/>
        <v>-0.97617715384512849</v>
      </c>
      <c r="N945" s="8">
        <f t="shared" si="101"/>
        <v>-7.5090550295779115E-2</v>
      </c>
      <c r="O945" s="8"/>
      <c r="P945" t="s">
        <v>1232</v>
      </c>
      <c r="Q945">
        <v>34</v>
      </c>
      <c r="R945" s="8">
        <v>2.82518</v>
      </c>
      <c r="S945">
        <v>7</v>
      </c>
      <c r="T945" s="8">
        <f t="shared" si="102"/>
        <v>0.20588235294117646</v>
      </c>
      <c r="U945" s="8">
        <v>2.8525200000000002</v>
      </c>
      <c r="V945">
        <v>18</v>
      </c>
      <c r="W945" s="8">
        <f t="shared" si="103"/>
        <v>0.52941176470588236</v>
      </c>
      <c r="X945" s="8">
        <v>2.79853</v>
      </c>
      <c r="Y945">
        <v>9</v>
      </c>
      <c r="Z945" s="8">
        <f t="shared" si="104"/>
        <v>0.26470588235294118</v>
      </c>
      <c r="AA945" s="8">
        <v>2.8572199999999999</v>
      </c>
    </row>
    <row r="946" spans="2:27" ht="15" customHeight="1" x14ac:dyDescent="0.25">
      <c r="B946">
        <v>703</v>
      </c>
      <c r="C946" s="1">
        <v>-12363.482413</v>
      </c>
      <c r="D946" s="2">
        <v>-12364.844802</v>
      </c>
      <c r="F946" s="3">
        <v>0.99599400000000005</v>
      </c>
      <c r="G946" s="2">
        <v>0.18817999999999999</v>
      </c>
      <c r="H946">
        <v>7</v>
      </c>
      <c r="I946">
        <v>6</v>
      </c>
      <c r="K946" s="8">
        <f t="shared" si="98"/>
        <v>-1.0397437692317908</v>
      </c>
      <c r="L946" s="8">
        <f t="shared" si="99"/>
        <v>-7.9980289940906987E-2</v>
      </c>
      <c r="M946" s="8">
        <f t="shared" si="100"/>
        <v>-0.97601015384498169</v>
      </c>
      <c r="N946" s="8">
        <f t="shared" si="101"/>
        <v>-7.5077704141921664E-2</v>
      </c>
      <c r="O946" s="8"/>
      <c r="P946" t="s">
        <v>1233</v>
      </c>
      <c r="Q946">
        <v>34</v>
      </c>
      <c r="R946" s="8">
        <v>2.82077</v>
      </c>
      <c r="S946">
        <v>7</v>
      </c>
      <c r="T946" s="8">
        <f t="shared" si="102"/>
        <v>0.20588235294117646</v>
      </c>
      <c r="U946" s="8">
        <v>2.7932600000000001</v>
      </c>
      <c r="V946">
        <v>17</v>
      </c>
      <c r="W946" s="8">
        <f t="shared" si="103"/>
        <v>0.5</v>
      </c>
      <c r="X946" s="8">
        <v>2.8243100000000001</v>
      </c>
      <c r="Y946">
        <v>10</v>
      </c>
      <c r="Z946" s="8">
        <f t="shared" si="104"/>
        <v>0.29411764705882354</v>
      </c>
      <c r="AA946" s="8">
        <v>2.83399</v>
      </c>
    </row>
    <row r="947" spans="2:27" ht="15" customHeight="1" x14ac:dyDescent="0.25">
      <c r="B947">
        <v>575</v>
      </c>
      <c r="C947" s="1">
        <v>-12363.354993000001</v>
      </c>
      <c r="D947" s="2">
        <v>-12364.840915000001</v>
      </c>
      <c r="F947" s="3">
        <v>0.99696099999999999</v>
      </c>
      <c r="G947" s="2">
        <v>0.191079999999999</v>
      </c>
      <c r="H947">
        <v>7</v>
      </c>
      <c r="I947">
        <v>6</v>
      </c>
      <c r="K947" s="8">
        <f t="shared" si="98"/>
        <v>-0.91232376923289848</v>
      </c>
      <c r="L947" s="8">
        <f t="shared" si="99"/>
        <v>-7.0178751479453724E-2</v>
      </c>
      <c r="M947" s="8">
        <f t="shared" si="100"/>
        <v>-0.97212315384604153</v>
      </c>
      <c r="N947" s="8">
        <f t="shared" si="101"/>
        <v>-7.4778704142003188E-2</v>
      </c>
      <c r="O947" s="8"/>
      <c r="P947" t="s">
        <v>1234</v>
      </c>
      <c r="Q947">
        <v>34</v>
      </c>
      <c r="R947" s="8">
        <v>2.8102399999999998</v>
      </c>
      <c r="S947">
        <v>8</v>
      </c>
      <c r="T947" s="8">
        <f t="shared" si="102"/>
        <v>0.23529411764705882</v>
      </c>
      <c r="U947" s="8">
        <v>2.7890700000000002</v>
      </c>
      <c r="V947">
        <v>15</v>
      </c>
      <c r="W947" s="8">
        <f t="shared" si="103"/>
        <v>0.44117647058823528</v>
      </c>
      <c r="X947" s="8">
        <v>2.8018000000000001</v>
      </c>
      <c r="Y947">
        <v>11</v>
      </c>
      <c r="Z947" s="8">
        <f t="shared" si="104"/>
        <v>0.3235294117647059</v>
      </c>
      <c r="AA947" s="8">
        <v>2.8371499999999998</v>
      </c>
    </row>
    <row r="948" spans="2:27" ht="15" customHeight="1" x14ac:dyDescent="0.25">
      <c r="B948">
        <v>634</v>
      </c>
      <c r="C948" s="1">
        <v>-12363.455332</v>
      </c>
      <c r="D948" s="2">
        <v>-12364.840423</v>
      </c>
      <c r="F948" s="3">
        <v>0.99679200000000001</v>
      </c>
      <c r="G948" s="2">
        <v>0.19896</v>
      </c>
      <c r="H948">
        <v>7</v>
      </c>
      <c r="I948">
        <v>6</v>
      </c>
      <c r="K948" s="8">
        <f t="shared" si="98"/>
        <v>-1.0126627692316106</v>
      </c>
      <c r="L948" s="8">
        <f t="shared" si="99"/>
        <v>-7.7897136094739278E-2</v>
      </c>
      <c r="M948" s="8">
        <f t="shared" si="100"/>
        <v>-0.97163115384500998</v>
      </c>
      <c r="N948" s="8">
        <f t="shared" si="101"/>
        <v>-7.4740857988077697E-2</v>
      </c>
      <c r="O948" s="8"/>
      <c r="P948" t="s">
        <v>1235</v>
      </c>
      <c r="Q948">
        <v>34</v>
      </c>
      <c r="R948" s="8">
        <v>2.8203900000000002</v>
      </c>
      <c r="S948">
        <v>7</v>
      </c>
      <c r="T948" s="8">
        <f t="shared" si="102"/>
        <v>0.20588235294117646</v>
      </c>
      <c r="U948" s="8">
        <v>2.8253699999999999</v>
      </c>
      <c r="V948">
        <v>17</v>
      </c>
      <c r="W948" s="8">
        <f t="shared" si="103"/>
        <v>0.5</v>
      </c>
      <c r="X948" s="8">
        <v>2.7985600000000002</v>
      </c>
      <c r="Y948">
        <v>10</v>
      </c>
      <c r="Z948" s="8">
        <f t="shared" si="104"/>
        <v>0.29411764705882354</v>
      </c>
      <c r="AA948" s="8">
        <v>2.8540399999999999</v>
      </c>
    </row>
    <row r="949" spans="2:27" ht="15" customHeight="1" x14ac:dyDescent="0.25">
      <c r="B949" s="32">
        <v>406</v>
      </c>
      <c r="C949" s="1">
        <v>-12363.2353</v>
      </c>
      <c r="D949" s="2">
        <v>-12364.839468</v>
      </c>
      <c r="F949" s="3">
        <v>0.99227399999999999</v>
      </c>
      <c r="G949" s="2">
        <v>0.166569999999999</v>
      </c>
      <c r="H949">
        <v>7</v>
      </c>
      <c r="I949">
        <v>6</v>
      </c>
      <c r="K949" s="8">
        <f t="shared" si="98"/>
        <v>-0.79263076923234621</v>
      </c>
      <c r="L949" s="8">
        <f t="shared" si="99"/>
        <v>-6.09715976332574E-2</v>
      </c>
      <c r="M949" s="8">
        <f t="shared" si="100"/>
        <v>-0.97067615384548844</v>
      </c>
      <c r="N949" s="8">
        <f t="shared" si="101"/>
        <v>-7.4667396449652951E-2</v>
      </c>
      <c r="O949" s="8"/>
      <c r="P949" t="s">
        <v>1236</v>
      </c>
      <c r="Q949">
        <v>35</v>
      </c>
      <c r="R949" s="8">
        <v>2.82945</v>
      </c>
      <c r="S949">
        <v>7</v>
      </c>
      <c r="T949" s="8">
        <f t="shared" si="102"/>
        <v>0.2</v>
      </c>
      <c r="U949" s="8">
        <v>2.8473700000000002</v>
      </c>
      <c r="V949">
        <v>21</v>
      </c>
      <c r="W949" s="8">
        <f t="shared" si="103"/>
        <v>0.6</v>
      </c>
      <c r="X949" s="8">
        <v>2.8121299999999998</v>
      </c>
      <c r="Y949">
        <v>7</v>
      </c>
      <c r="Z949" s="8">
        <f t="shared" si="104"/>
        <v>0.2</v>
      </c>
      <c r="AA949" s="8">
        <v>2.86348</v>
      </c>
    </row>
    <row r="950" spans="2:27" ht="15" customHeight="1" x14ac:dyDescent="0.25">
      <c r="B950">
        <v>740</v>
      </c>
      <c r="C950" s="1">
        <v>-12363.418406000001</v>
      </c>
      <c r="D950" s="2">
        <v>-12364.838776000001</v>
      </c>
      <c r="F950" s="3">
        <v>0.99661500000000003</v>
      </c>
      <c r="G950" s="2">
        <v>0.19092000000000001</v>
      </c>
      <c r="H950">
        <v>7</v>
      </c>
      <c r="I950">
        <v>6</v>
      </c>
      <c r="K950" s="8">
        <f t="shared" si="98"/>
        <v>-0.97573676923275343</v>
      </c>
      <c r="L950" s="8">
        <f t="shared" si="99"/>
        <v>-7.5056674556365652E-2</v>
      </c>
      <c r="M950" s="8">
        <f t="shared" si="100"/>
        <v>-0.96998415384587133</v>
      </c>
      <c r="N950" s="8">
        <f t="shared" si="101"/>
        <v>-7.4614165680451636E-2</v>
      </c>
      <c r="O950" s="8"/>
      <c r="P950" t="s">
        <v>1237</v>
      </c>
      <c r="Q950">
        <v>32</v>
      </c>
      <c r="R950" s="8">
        <v>2.80084</v>
      </c>
      <c r="S950">
        <v>6</v>
      </c>
      <c r="T950" s="8">
        <f t="shared" si="102"/>
        <v>0.1875</v>
      </c>
      <c r="U950" s="8">
        <v>2.7898999999999998</v>
      </c>
      <c r="V950">
        <v>17</v>
      </c>
      <c r="W950" s="8">
        <f t="shared" si="103"/>
        <v>0.53125</v>
      </c>
      <c r="X950" s="8">
        <v>2.7985000000000002</v>
      </c>
      <c r="Y950">
        <v>9</v>
      </c>
      <c r="Z950" s="8">
        <f t="shared" si="104"/>
        <v>0.28125</v>
      </c>
      <c r="AA950" s="8">
        <v>2.8125599999999999</v>
      </c>
    </row>
    <row r="951" spans="2:27" ht="15" customHeight="1" x14ac:dyDescent="0.25">
      <c r="B951">
        <v>661</v>
      </c>
      <c r="C951" s="1">
        <v>-12363.452992</v>
      </c>
      <c r="D951" s="2">
        <v>-12364.835662</v>
      </c>
      <c r="F951" s="3">
        <v>0.99676699999999996</v>
      </c>
      <c r="G951" s="2">
        <v>0.19208</v>
      </c>
      <c r="H951">
        <v>7</v>
      </c>
      <c r="I951">
        <v>6</v>
      </c>
      <c r="K951" s="8">
        <f t="shared" si="98"/>
        <v>-1.0103227692325163</v>
      </c>
      <c r="L951" s="8">
        <f t="shared" si="99"/>
        <v>-7.7717136094808945E-2</v>
      </c>
      <c r="M951" s="8">
        <f t="shared" si="100"/>
        <v>-0.96687015384486585</v>
      </c>
      <c r="N951" s="8">
        <f t="shared" si="101"/>
        <v>-7.4374627218835837E-2</v>
      </c>
      <c r="O951" s="8"/>
      <c r="P951" t="s">
        <v>1238</v>
      </c>
      <c r="Q951">
        <v>33</v>
      </c>
      <c r="R951" s="8">
        <v>2.8134899999999998</v>
      </c>
      <c r="S951">
        <v>7</v>
      </c>
      <c r="T951" s="8">
        <f t="shared" si="102"/>
        <v>0.21212121212121213</v>
      </c>
      <c r="U951" s="8">
        <v>2.82294</v>
      </c>
      <c r="V951">
        <v>17</v>
      </c>
      <c r="W951" s="8">
        <f t="shared" si="103"/>
        <v>0.51515151515151514</v>
      </c>
      <c r="X951" s="8">
        <v>2.8129</v>
      </c>
      <c r="Y951">
        <v>9</v>
      </c>
      <c r="Z951" s="8">
        <f t="shared" si="104"/>
        <v>0.27272727272727271</v>
      </c>
      <c r="AA951" s="8">
        <v>2.8072599999999999</v>
      </c>
    </row>
    <row r="952" spans="2:27" ht="15" customHeight="1" x14ac:dyDescent="0.25">
      <c r="B952" s="32">
        <v>483</v>
      </c>
      <c r="C952" s="1">
        <v>-12363.153</v>
      </c>
      <c r="D952" s="2">
        <v>-12364.831414</v>
      </c>
      <c r="F952" s="3">
        <v>0.99502800000000002</v>
      </c>
      <c r="G952" s="2">
        <v>0.179889999999999</v>
      </c>
      <c r="H952">
        <v>7</v>
      </c>
      <c r="I952">
        <v>6</v>
      </c>
      <c r="K952" s="8">
        <f t="shared" si="98"/>
        <v>-0.7103307692323142</v>
      </c>
      <c r="L952" s="8">
        <f t="shared" si="99"/>
        <v>-5.4640828402485707E-2</v>
      </c>
      <c r="M952" s="8">
        <f t="shared" si="100"/>
        <v>-0.96262215384558658</v>
      </c>
      <c r="N952" s="8">
        <f t="shared" si="101"/>
        <v>-7.4047857988122051E-2</v>
      </c>
      <c r="O952" s="8"/>
      <c r="P952" t="s">
        <v>1239</v>
      </c>
      <c r="Q952">
        <v>33</v>
      </c>
      <c r="R952" s="8">
        <v>2.8113100000000002</v>
      </c>
      <c r="S952">
        <v>7</v>
      </c>
      <c r="T952" s="8">
        <f t="shared" si="102"/>
        <v>0.21212121212121213</v>
      </c>
      <c r="U952" s="8">
        <v>2.8866000000000001</v>
      </c>
      <c r="V952">
        <v>20</v>
      </c>
      <c r="W952" s="8">
        <f t="shared" si="103"/>
        <v>0.60606060606060608</v>
      </c>
      <c r="X952" s="8">
        <v>2.77197</v>
      </c>
      <c r="Y952">
        <v>6</v>
      </c>
      <c r="Z952" s="8">
        <f t="shared" si="104"/>
        <v>0.18181818181818182</v>
      </c>
      <c r="AA952" s="8">
        <v>2.8546</v>
      </c>
    </row>
    <row r="953" spans="2:27" ht="15" customHeight="1" x14ac:dyDescent="0.25">
      <c r="B953" s="32">
        <v>439</v>
      </c>
      <c r="C953" s="1">
        <v>-12363.0867</v>
      </c>
      <c r="D953" s="2">
        <v>-12364.827904</v>
      </c>
      <c r="F953" s="3">
        <v>0.99346999999999996</v>
      </c>
      <c r="G953" s="2">
        <v>0.17166000000000001</v>
      </c>
      <c r="H953">
        <v>7</v>
      </c>
      <c r="I953">
        <v>6</v>
      </c>
      <c r="K953" s="8">
        <f t="shared" si="98"/>
        <v>-0.64403076923190383</v>
      </c>
      <c r="L953" s="8">
        <f t="shared" si="99"/>
        <v>-4.9540828402454141E-2</v>
      </c>
      <c r="M953" s="8">
        <f t="shared" si="100"/>
        <v>-0.95911215384512616</v>
      </c>
      <c r="N953" s="8">
        <f t="shared" si="101"/>
        <v>-7.3777857988086629E-2</v>
      </c>
      <c r="O953" s="8"/>
      <c r="P953" t="s">
        <v>1240</v>
      </c>
      <c r="Q953">
        <v>36</v>
      </c>
      <c r="R953" s="8">
        <v>2.8368600000000002</v>
      </c>
      <c r="S953">
        <v>8</v>
      </c>
      <c r="T953" s="8">
        <f t="shared" si="102"/>
        <v>0.22222222222222221</v>
      </c>
      <c r="U953" s="8">
        <v>2.9323000000000001</v>
      </c>
      <c r="V953">
        <v>21</v>
      </c>
      <c r="W953" s="8">
        <f t="shared" si="103"/>
        <v>0.58333333333333337</v>
      </c>
      <c r="X953" s="8">
        <v>2.7981799999999999</v>
      </c>
      <c r="Y953">
        <v>7</v>
      </c>
      <c r="Z953" s="8">
        <f t="shared" si="104"/>
        <v>0.19444444444444445</v>
      </c>
      <c r="AA953" s="8">
        <v>2.8438300000000001</v>
      </c>
    </row>
    <row r="954" spans="2:27" ht="15" customHeight="1" x14ac:dyDescent="0.25">
      <c r="B954" s="32">
        <v>375</v>
      </c>
      <c r="C954" s="1">
        <v>-12363.162</v>
      </c>
      <c r="D954" s="2">
        <v>-12364.827373</v>
      </c>
      <c r="F954" s="3">
        <v>0.99534599999999995</v>
      </c>
      <c r="G954" s="2">
        <v>0.18178</v>
      </c>
      <c r="H954">
        <v>7</v>
      </c>
      <c r="I954">
        <v>6</v>
      </c>
      <c r="K954" s="8">
        <f t="shared" si="98"/>
        <v>-0.71933076923232875</v>
      </c>
      <c r="L954" s="8">
        <f t="shared" si="99"/>
        <v>-5.5333136094794518E-2</v>
      </c>
      <c r="M954" s="8">
        <f t="shared" si="100"/>
        <v>-0.95858115384544362</v>
      </c>
      <c r="N954" s="8">
        <f t="shared" si="101"/>
        <v>-7.3737011834264898E-2</v>
      </c>
      <c r="O954" s="8"/>
      <c r="P954" t="s">
        <v>1241</v>
      </c>
      <c r="Q954">
        <v>34</v>
      </c>
      <c r="R954" s="8">
        <v>2.8146399999999998</v>
      </c>
      <c r="S954">
        <v>6</v>
      </c>
      <c r="T954" s="8">
        <f t="shared" si="102"/>
        <v>0.17647058823529413</v>
      </c>
      <c r="U954" s="8">
        <v>2.8476599999999999</v>
      </c>
      <c r="V954">
        <v>22</v>
      </c>
      <c r="W954" s="8">
        <f t="shared" si="103"/>
        <v>0.6470588235294118</v>
      </c>
      <c r="X954" s="8">
        <v>2.80789</v>
      </c>
      <c r="Y954">
        <v>6</v>
      </c>
      <c r="Z954" s="8">
        <f t="shared" si="104"/>
        <v>0.17647058823529413</v>
      </c>
      <c r="AA954" s="8">
        <v>2.8063600000000002</v>
      </c>
    </row>
    <row r="955" spans="2:27" ht="15" customHeight="1" x14ac:dyDescent="0.25">
      <c r="B955" s="32">
        <v>430</v>
      </c>
      <c r="C955" s="1">
        <v>-12363.1152</v>
      </c>
      <c r="D955" s="2">
        <v>-12364.826346</v>
      </c>
      <c r="F955" s="3">
        <v>0.99581299999999995</v>
      </c>
      <c r="G955" s="2">
        <v>0.18354999999999899</v>
      </c>
      <c r="H955">
        <v>7</v>
      </c>
      <c r="I955">
        <v>6</v>
      </c>
      <c r="K955" s="8">
        <f t="shared" si="98"/>
        <v>-0.67253076923225308</v>
      </c>
      <c r="L955" s="8">
        <f t="shared" si="99"/>
        <v>-5.1733136094788697E-2</v>
      </c>
      <c r="M955" s="8">
        <f t="shared" si="100"/>
        <v>-0.95755415384519438</v>
      </c>
      <c r="N955" s="8">
        <f t="shared" si="101"/>
        <v>-7.3658011834245724E-2</v>
      </c>
      <c r="O955" s="8"/>
      <c r="P955" t="s">
        <v>1242</v>
      </c>
      <c r="Q955">
        <v>36</v>
      </c>
      <c r="R955" s="8">
        <v>2.8365499999999999</v>
      </c>
      <c r="S955">
        <v>8</v>
      </c>
      <c r="T955" s="8">
        <f t="shared" si="102"/>
        <v>0.22222222222222221</v>
      </c>
      <c r="U955" s="8">
        <v>2.8757199999999998</v>
      </c>
      <c r="V955">
        <v>20</v>
      </c>
      <c r="W955" s="8">
        <f t="shared" si="103"/>
        <v>0.55555555555555558</v>
      </c>
      <c r="X955" s="8">
        <v>2.8319999999999999</v>
      </c>
      <c r="Y955">
        <v>8</v>
      </c>
      <c r="Z955" s="8">
        <f t="shared" si="104"/>
        <v>0.22222222222222221</v>
      </c>
      <c r="AA955" s="8">
        <v>2.8087499999999999</v>
      </c>
    </row>
    <row r="956" spans="2:27" ht="15" customHeight="1" x14ac:dyDescent="0.25">
      <c r="B956" s="32">
        <v>307</v>
      </c>
      <c r="C956" s="1">
        <v>-12363.2682</v>
      </c>
      <c r="D956" s="2">
        <v>-12364.826293</v>
      </c>
      <c r="F956" s="3">
        <v>0.99689099999999997</v>
      </c>
      <c r="G956" s="2">
        <v>0.18812999999999999</v>
      </c>
      <c r="H956">
        <v>7</v>
      </c>
      <c r="I956">
        <v>6</v>
      </c>
      <c r="K956" s="8">
        <f t="shared" si="98"/>
        <v>-0.82553076923250046</v>
      </c>
      <c r="L956" s="8">
        <f t="shared" si="99"/>
        <v>-6.3502366864038498E-2</v>
      </c>
      <c r="M956" s="8">
        <f t="shared" si="100"/>
        <v>-0.95750115384544188</v>
      </c>
      <c r="N956" s="8">
        <f t="shared" si="101"/>
        <v>-7.3653934911187838E-2</v>
      </c>
      <c r="O956" s="8"/>
      <c r="P956" t="s">
        <v>1243</v>
      </c>
      <c r="Q956">
        <v>36</v>
      </c>
      <c r="R956" s="8">
        <v>2.8380800000000002</v>
      </c>
      <c r="S956">
        <v>8</v>
      </c>
      <c r="T956" s="8">
        <f t="shared" si="102"/>
        <v>0.22222222222222221</v>
      </c>
      <c r="U956" s="8">
        <v>2.84985</v>
      </c>
      <c r="V956">
        <v>20</v>
      </c>
      <c r="W956" s="8">
        <f t="shared" si="103"/>
        <v>0.55555555555555558</v>
      </c>
      <c r="X956" s="8">
        <v>2.84354</v>
      </c>
      <c r="Y956">
        <v>8</v>
      </c>
      <c r="Z956" s="8">
        <f t="shared" si="104"/>
        <v>0.22222222222222221</v>
      </c>
      <c r="AA956" s="8">
        <v>2.8126799999999998</v>
      </c>
    </row>
    <row r="957" spans="2:27" ht="15" customHeight="1" x14ac:dyDescent="0.25">
      <c r="B957" s="32">
        <v>396</v>
      </c>
      <c r="C957" s="1">
        <v>-12363.062</v>
      </c>
      <c r="D957" s="2">
        <v>-12364.825245</v>
      </c>
      <c r="F957" s="3">
        <v>0.99145799999999995</v>
      </c>
      <c r="G957" s="2">
        <v>0.16359000000000001</v>
      </c>
      <c r="H957">
        <v>7</v>
      </c>
      <c r="I957">
        <v>6</v>
      </c>
      <c r="K957" s="8">
        <f t="shared" si="98"/>
        <v>-0.61933076923196495</v>
      </c>
      <c r="L957" s="8">
        <f t="shared" si="99"/>
        <v>-4.764082840245884E-2</v>
      </c>
      <c r="M957" s="8">
        <f t="shared" si="100"/>
        <v>-0.95645315384535934</v>
      </c>
      <c r="N957" s="8">
        <f t="shared" si="101"/>
        <v>-7.3573319526566108E-2</v>
      </c>
      <c r="O957" s="8"/>
      <c r="P957" t="s">
        <v>1244</v>
      </c>
      <c r="Q957">
        <v>36</v>
      </c>
      <c r="R957" s="8">
        <v>2.8360699999999999</v>
      </c>
      <c r="S957">
        <v>8</v>
      </c>
      <c r="T957" s="8">
        <f t="shared" si="102"/>
        <v>0.22222222222222221</v>
      </c>
      <c r="U957" s="8">
        <v>2.9036200000000001</v>
      </c>
      <c r="V957">
        <v>20</v>
      </c>
      <c r="W957" s="8">
        <f t="shared" si="103"/>
        <v>0.55555555555555558</v>
      </c>
      <c r="X957" s="8">
        <v>2.8150900000000001</v>
      </c>
      <c r="Y957">
        <v>8</v>
      </c>
      <c r="Z957" s="8">
        <f t="shared" si="104"/>
        <v>0.22222222222222221</v>
      </c>
      <c r="AA957" s="8">
        <v>2.8209399999999998</v>
      </c>
    </row>
    <row r="958" spans="2:27" ht="15" customHeight="1" x14ac:dyDescent="0.25">
      <c r="B958" s="32">
        <v>355</v>
      </c>
      <c r="C958" s="1">
        <v>-12363.212600000001</v>
      </c>
      <c r="D958" s="2">
        <v>-12364.823759000001</v>
      </c>
      <c r="F958" s="3">
        <v>0.99436500000000005</v>
      </c>
      <c r="G958" s="2">
        <v>0.17605000000000001</v>
      </c>
      <c r="H958">
        <v>7</v>
      </c>
      <c r="I958">
        <v>6</v>
      </c>
      <c r="K958" s="8">
        <f t="shared" si="98"/>
        <v>-0.76993076923281478</v>
      </c>
      <c r="L958" s="8">
        <f t="shared" si="99"/>
        <v>-5.9225443787139599E-2</v>
      </c>
      <c r="M958" s="8">
        <f t="shared" si="100"/>
        <v>-0.95496715384615527</v>
      </c>
      <c r="N958" s="8">
        <f t="shared" si="101"/>
        <v>-7.3459011834319632E-2</v>
      </c>
      <c r="O958" s="8"/>
      <c r="P958" t="s">
        <v>1245</v>
      </c>
      <c r="Q958">
        <v>36</v>
      </c>
      <c r="R958" s="8">
        <v>2.84002</v>
      </c>
      <c r="S958">
        <v>9</v>
      </c>
      <c r="T958" s="8">
        <f t="shared" si="102"/>
        <v>0.25</v>
      </c>
      <c r="U958" s="8">
        <v>2.88672</v>
      </c>
      <c r="V958">
        <v>19</v>
      </c>
      <c r="W958" s="8">
        <f t="shared" si="103"/>
        <v>0.52777777777777779</v>
      </c>
      <c r="X958" s="8">
        <v>2.8316499999999998</v>
      </c>
      <c r="Y958">
        <v>8</v>
      </c>
      <c r="Z958" s="8">
        <f t="shared" si="104"/>
        <v>0.22222222222222221</v>
      </c>
      <c r="AA958" s="8">
        <v>2.80735</v>
      </c>
    </row>
    <row r="959" spans="2:27" ht="15" customHeight="1" x14ac:dyDescent="0.25">
      <c r="B959">
        <v>706</v>
      </c>
      <c r="C959" s="1">
        <v>-12363.341766</v>
      </c>
      <c r="D959" s="2">
        <v>-12364.823532</v>
      </c>
      <c r="F959" s="3">
        <v>0.99715299999999996</v>
      </c>
      <c r="G959" s="2">
        <v>0.19813</v>
      </c>
      <c r="H959">
        <v>7</v>
      </c>
      <c r="I959">
        <v>6</v>
      </c>
      <c r="K959" s="8">
        <f t="shared" si="98"/>
        <v>-0.89909676923161896</v>
      </c>
      <c r="L959" s="8">
        <f t="shared" si="99"/>
        <v>-6.9161289940893766E-2</v>
      </c>
      <c r="M959" s="8">
        <f t="shared" si="100"/>
        <v>-0.95474015384570521</v>
      </c>
      <c r="N959" s="8">
        <f t="shared" si="101"/>
        <v>-7.3441550295823471E-2</v>
      </c>
      <c r="O959" s="8"/>
      <c r="P959" t="s">
        <v>1246</v>
      </c>
      <c r="Q959">
        <v>35</v>
      </c>
      <c r="R959" s="8">
        <v>2.82782</v>
      </c>
      <c r="S959">
        <v>8</v>
      </c>
      <c r="T959" s="8">
        <f t="shared" si="102"/>
        <v>0.22857142857142856</v>
      </c>
      <c r="U959" s="8">
        <v>2.81955</v>
      </c>
      <c r="V959">
        <v>16</v>
      </c>
      <c r="W959" s="8">
        <f t="shared" si="103"/>
        <v>0.45714285714285713</v>
      </c>
      <c r="X959" s="8">
        <v>2.8165</v>
      </c>
      <c r="Y959">
        <v>11</v>
      </c>
      <c r="Z959" s="8">
        <f t="shared" si="104"/>
        <v>0.31428571428571428</v>
      </c>
      <c r="AA959" s="8">
        <v>2.8503099999999999</v>
      </c>
    </row>
    <row r="960" spans="2:27" ht="15" customHeight="1" x14ac:dyDescent="0.25">
      <c r="B960" s="32">
        <v>445</v>
      </c>
      <c r="C960" s="1">
        <v>-12363.2189</v>
      </c>
      <c r="D960" s="2">
        <v>-12364.822749000001</v>
      </c>
      <c r="F960" s="3">
        <v>0.99494300000000002</v>
      </c>
      <c r="G960" s="2">
        <v>0.17932999999999899</v>
      </c>
      <c r="H960">
        <v>7</v>
      </c>
      <c r="I960">
        <v>6</v>
      </c>
      <c r="K960" s="8">
        <f t="shared" si="98"/>
        <v>-0.77623076923191547</v>
      </c>
      <c r="L960" s="8">
        <f t="shared" si="99"/>
        <v>-5.9710059171685807E-2</v>
      </c>
      <c r="M960" s="8">
        <f t="shared" si="100"/>
        <v>-0.95395715384620416</v>
      </c>
      <c r="N960" s="8">
        <f t="shared" si="101"/>
        <v>-7.3381319526631086E-2</v>
      </c>
      <c r="O960" s="8"/>
      <c r="P960" t="s">
        <v>1247</v>
      </c>
      <c r="Q960">
        <v>36</v>
      </c>
      <c r="R960" s="8">
        <v>2.8357100000000002</v>
      </c>
      <c r="S960">
        <v>9</v>
      </c>
      <c r="T960" s="8">
        <f t="shared" si="102"/>
        <v>0.25</v>
      </c>
      <c r="U960" s="8">
        <v>2.9058299999999999</v>
      </c>
      <c r="V960">
        <v>19</v>
      </c>
      <c r="W960" s="8">
        <f t="shared" si="103"/>
        <v>0.52777777777777779</v>
      </c>
      <c r="X960" s="8">
        <v>2.8109899999999999</v>
      </c>
      <c r="Y960">
        <v>8</v>
      </c>
      <c r="Z960" s="8">
        <f t="shared" si="104"/>
        <v>0.22222222222222221</v>
      </c>
      <c r="AA960" s="8">
        <v>2.8155199999999998</v>
      </c>
    </row>
    <row r="961" spans="2:27" ht="15" customHeight="1" x14ac:dyDescent="0.25">
      <c r="B961">
        <v>545</v>
      </c>
      <c r="C961" s="1">
        <v>-12363.295273</v>
      </c>
      <c r="D961" s="2">
        <v>-12364.820486000001</v>
      </c>
      <c r="F961" s="3">
        <v>0.99672899999999998</v>
      </c>
      <c r="G961" s="2">
        <v>0.19600999999999999</v>
      </c>
      <c r="H961">
        <v>7</v>
      </c>
      <c r="I961">
        <v>6</v>
      </c>
      <c r="K961" s="8">
        <f t="shared" si="98"/>
        <v>-0.85260376923179138</v>
      </c>
      <c r="L961" s="8">
        <f t="shared" si="99"/>
        <v>-6.5584905325522413E-2</v>
      </c>
      <c r="M961" s="8">
        <f t="shared" si="100"/>
        <v>-0.95169415384589229</v>
      </c>
      <c r="N961" s="8">
        <f t="shared" si="101"/>
        <v>-7.3207242603530176E-2</v>
      </c>
      <c r="O961" s="8"/>
      <c r="P961" t="s">
        <v>1248</v>
      </c>
      <c r="Q961">
        <v>34</v>
      </c>
      <c r="R961" s="8">
        <v>2.8177300000000001</v>
      </c>
      <c r="S961">
        <v>7</v>
      </c>
      <c r="T961" s="8">
        <f t="shared" si="102"/>
        <v>0.20588235294117646</v>
      </c>
      <c r="U961" s="8">
        <v>2.8308300000000002</v>
      </c>
      <c r="V961">
        <v>18</v>
      </c>
      <c r="W961" s="8">
        <f t="shared" si="103"/>
        <v>0.52941176470588236</v>
      </c>
      <c r="X961" s="8">
        <v>2.8094700000000001</v>
      </c>
      <c r="Y961">
        <v>9</v>
      </c>
      <c r="Z961" s="8">
        <f t="shared" si="104"/>
        <v>0.26470588235294118</v>
      </c>
      <c r="AA961" s="8">
        <v>2.8240699999999999</v>
      </c>
    </row>
    <row r="962" spans="2:27" ht="15" customHeight="1" x14ac:dyDescent="0.25">
      <c r="B962" s="32">
        <v>724</v>
      </c>
      <c r="C962" s="1">
        <v>-12363.4007</v>
      </c>
      <c r="D962" s="2">
        <v>-12364.819949999999</v>
      </c>
      <c r="F962" s="3">
        <v>0.99597500000000005</v>
      </c>
      <c r="G962" s="2">
        <v>0.18634999999999999</v>
      </c>
      <c r="H962">
        <v>7</v>
      </c>
      <c r="I962">
        <v>6</v>
      </c>
      <c r="K962" s="8">
        <f t="shared" si="98"/>
        <v>-0.95803076923220942</v>
      </c>
      <c r="L962" s="8">
        <f t="shared" si="99"/>
        <v>-7.3694674556323808E-2</v>
      </c>
      <c r="M962" s="8">
        <f t="shared" si="100"/>
        <v>-0.95115815384451707</v>
      </c>
      <c r="N962" s="8">
        <f t="shared" si="101"/>
        <v>-7.316601183419362E-2</v>
      </c>
      <c r="O962" s="8"/>
      <c r="P962" t="s">
        <v>1249</v>
      </c>
      <c r="Q962">
        <v>35</v>
      </c>
      <c r="R962" s="8">
        <v>2.8247599999999999</v>
      </c>
      <c r="S962">
        <v>9</v>
      </c>
      <c r="T962" s="8">
        <f t="shared" si="102"/>
        <v>0.25714285714285712</v>
      </c>
      <c r="U962" s="8">
        <v>2.84842</v>
      </c>
      <c r="V962">
        <v>17</v>
      </c>
      <c r="W962" s="8">
        <f t="shared" si="103"/>
        <v>0.48571428571428571</v>
      </c>
      <c r="X962" s="8">
        <v>2.8216899999999998</v>
      </c>
      <c r="Y962">
        <v>9</v>
      </c>
      <c r="Z962" s="8">
        <f t="shared" si="104"/>
        <v>0.25714285714285712</v>
      </c>
      <c r="AA962" s="8">
        <v>2.8069199999999999</v>
      </c>
    </row>
    <row r="963" spans="2:27" ht="15" customHeight="1" x14ac:dyDescent="0.25">
      <c r="B963" s="32">
        <v>543</v>
      </c>
      <c r="C963" s="1">
        <v>-12363.210118000001</v>
      </c>
      <c r="D963" s="2">
        <v>-12364.819668</v>
      </c>
      <c r="F963" s="3">
        <v>0.99251999999999996</v>
      </c>
      <c r="G963" s="2">
        <v>0.16932</v>
      </c>
      <c r="H963">
        <v>7</v>
      </c>
      <c r="I963">
        <v>6</v>
      </c>
      <c r="K963" s="8">
        <f t="shared" ref="K963:K1026" si="105">IF(ISNUMBER(C963),C963-(($C$3-$C$2236)/($H$3-$H$2236)*H963+$C$2236),"")</f>
        <v>-0.76744876923294214</v>
      </c>
      <c r="L963" s="8">
        <f t="shared" ref="L963:L1026" si="106">IF(ISNUMBER(C963),K963/(H963+I963),"")</f>
        <v>-5.9034520710226315E-2</v>
      </c>
      <c r="M963" s="8">
        <f t="shared" ref="M963:M1026" si="107">IF(ISNUMBER(D963),D963-(($D$3-$D$2236)/($H$3-$H$2236)*H963+$D$2236),"")</f>
        <v>-0.95087615384545643</v>
      </c>
      <c r="N963" s="8">
        <f t="shared" ref="N963:N1026" si="108">IF(ISNUMBER(D963),M963/(H963+I963),"")</f>
        <v>-7.3144319526573576E-2</v>
      </c>
      <c r="O963" s="8"/>
      <c r="P963" t="s">
        <v>1250</v>
      </c>
      <c r="Q963">
        <v>34</v>
      </c>
      <c r="R963" s="8">
        <v>2.8152599999999999</v>
      </c>
      <c r="S963">
        <v>8</v>
      </c>
      <c r="T963" s="8">
        <f t="shared" ref="T963:T1026" si="109">IF(ISNUMBER(S963),S963/(Q963),"")</f>
        <v>0.23529411764705882</v>
      </c>
      <c r="U963" s="8">
        <v>2.8437600000000001</v>
      </c>
      <c r="V963">
        <v>17</v>
      </c>
      <c r="W963" s="8">
        <f t="shared" ref="W963:W1026" si="110">IF(ISNUMBER(V963),V963/($Q963),"")</f>
        <v>0.5</v>
      </c>
      <c r="X963" s="8">
        <v>2.7778800000000001</v>
      </c>
      <c r="Y963">
        <v>9</v>
      </c>
      <c r="Z963" s="8">
        <f t="shared" ref="Z963:Z1026" si="111">IF(ISNUMBER(Y963),Y963/($Q963),"")</f>
        <v>0.26470588235294118</v>
      </c>
      <c r="AA963" s="8">
        <v>2.8605399999999999</v>
      </c>
    </row>
    <row r="964" spans="2:27" ht="15" customHeight="1" x14ac:dyDescent="0.25">
      <c r="B964" s="32">
        <v>425</v>
      </c>
      <c r="C964" s="1">
        <v>-12363.1674</v>
      </c>
      <c r="D964" s="2">
        <v>-12364.817911</v>
      </c>
      <c r="F964" s="3">
        <v>0.99409700000000001</v>
      </c>
      <c r="G964" s="2">
        <v>0.17466999999999899</v>
      </c>
      <c r="H964">
        <v>7</v>
      </c>
      <c r="I964">
        <v>6</v>
      </c>
      <c r="K964" s="8">
        <f t="shared" si="105"/>
        <v>-0.72473076923233748</v>
      </c>
      <c r="L964" s="8">
        <f t="shared" si="106"/>
        <v>-5.5748520710179807E-2</v>
      </c>
      <c r="M964" s="8">
        <f t="shared" si="107"/>
        <v>-0.94911915384545864</v>
      </c>
      <c r="N964" s="8">
        <f t="shared" si="108"/>
        <v>-7.3009165680419902E-2</v>
      </c>
      <c r="O964" s="8"/>
      <c r="P964" t="s">
        <v>1251</v>
      </c>
      <c r="Q964">
        <v>36</v>
      </c>
      <c r="R964" s="8">
        <v>2.83725</v>
      </c>
      <c r="S964">
        <v>8</v>
      </c>
      <c r="T964" s="8">
        <f t="shared" si="109"/>
        <v>0.22222222222222221</v>
      </c>
      <c r="U964" s="8">
        <v>2.8756599999999999</v>
      </c>
      <c r="V964">
        <v>20</v>
      </c>
      <c r="W964" s="8">
        <f t="shared" si="110"/>
        <v>0.55555555555555558</v>
      </c>
      <c r="X964" s="8">
        <v>2.82464</v>
      </c>
      <c r="Y964">
        <v>8</v>
      </c>
      <c r="Z964" s="8">
        <f t="shared" si="111"/>
        <v>0.22222222222222221</v>
      </c>
      <c r="AA964" s="8">
        <v>2.8303600000000002</v>
      </c>
    </row>
    <row r="965" spans="2:27" ht="15" customHeight="1" x14ac:dyDescent="0.25">
      <c r="B965" s="32">
        <v>496</v>
      </c>
      <c r="C965" s="1">
        <v>-12363.1643</v>
      </c>
      <c r="D965" s="2">
        <v>-12364.816903000001</v>
      </c>
      <c r="F965" s="3">
        <v>0.99507900000000005</v>
      </c>
      <c r="G965" s="2">
        <v>0.18013999999999999</v>
      </c>
      <c r="H965">
        <v>7</v>
      </c>
      <c r="I965">
        <v>6</v>
      </c>
      <c r="K965" s="8">
        <f t="shared" si="105"/>
        <v>-0.72163076923243352</v>
      </c>
      <c r="L965" s="8">
        <f t="shared" si="106"/>
        <v>-5.5510059171725655E-2</v>
      </c>
      <c r="M965" s="8">
        <f t="shared" si="107"/>
        <v>-0.94811115384618461</v>
      </c>
      <c r="N965" s="8">
        <f t="shared" si="108"/>
        <v>-7.2931627218937284E-2</v>
      </c>
      <c r="O965" s="8"/>
      <c r="P965" t="s">
        <v>1252</v>
      </c>
      <c r="Q965">
        <v>34</v>
      </c>
      <c r="R965" s="8">
        <v>2.81778</v>
      </c>
      <c r="S965">
        <v>7</v>
      </c>
      <c r="T965" s="8">
        <f t="shared" si="109"/>
        <v>0.20588235294117646</v>
      </c>
      <c r="U965" s="8">
        <v>2.8498199999999998</v>
      </c>
      <c r="V965">
        <v>20</v>
      </c>
      <c r="W965" s="8">
        <f t="shared" si="110"/>
        <v>0.58823529411764708</v>
      </c>
      <c r="X965" s="8">
        <v>2.80165</v>
      </c>
      <c r="Y965">
        <v>7</v>
      </c>
      <c r="Z965" s="8">
        <f t="shared" si="111"/>
        <v>0.20588235294117646</v>
      </c>
      <c r="AA965" s="8">
        <v>2.8318500000000002</v>
      </c>
    </row>
    <row r="966" spans="2:27" ht="15" customHeight="1" x14ac:dyDescent="0.25">
      <c r="B966" s="32">
        <v>421</v>
      </c>
      <c r="C966" s="1">
        <v>-12363.129000000001</v>
      </c>
      <c r="D966" s="2">
        <v>-12364.813564</v>
      </c>
      <c r="F966" s="3">
        <v>0.99515200000000004</v>
      </c>
      <c r="G966" s="2">
        <v>0.18060000000000001</v>
      </c>
      <c r="H966">
        <v>7</v>
      </c>
      <c r="I966">
        <v>6</v>
      </c>
      <c r="K966" s="8">
        <f t="shared" si="105"/>
        <v>-0.68633076923288172</v>
      </c>
      <c r="L966" s="8">
        <f t="shared" si="106"/>
        <v>-5.2794674556375515E-2</v>
      </c>
      <c r="M966" s="8">
        <f t="shared" si="107"/>
        <v>-0.94477215384540614</v>
      </c>
      <c r="N966" s="8">
        <f t="shared" si="108"/>
        <v>-7.2674781065031238E-2</v>
      </c>
      <c r="O966" s="8"/>
      <c r="P966" t="s">
        <v>1253</v>
      </c>
      <c r="Q966">
        <v>36</v>
      </c>
      <c r="R966" s="8">
        <v>2.8372000000000002</v>
      </c>
      <c r="S966">
        <v>7</v>
      </c>
      <c r="T966" s="8">
        <f t="shared" si="109"/>
        <v>0.19444444444444445</v>
      </c>
      <c r="U966" s="8">
        <v>2.8991799999999999</v>
      </c>
      <c r="V966">
        <v>22</v>
      </c>
      <c r="W966" s="8">
        <f t="shared" si="110"/>
        <v>0.61111111111111116</v>
      </c>
      <c r="X966" s="8">
        <v>2.8209599999999999</v>
      </c>
      <c r="Y966">
        <v>7</v>
      </c>
      <c r="Z966" s="8">
        <f t="shared" si="111"/>
        <v>0.19444444444444445</v>
      </c>
      <c r="AA966" s="8">
        <v>2.8262800000000001</v>
      </c>
    </row>
    <row r="967" spans="2:27" ht="15" customHeight="1" x14ac:dyDescent="0.25">
      <c r="B967">
        <v>694</v>
      </c>
      <c r="C967" s="1">
        <v>-12363.289005000001</v>
      </c>
      <c r="D967" s="2">
        <v>-12364.812465999999</v>
      </c>
      <c r="F967" s="3">
        <v>0.994506</v>
      </c>
      <c r="G967" s="2">
        <v>0.18051999999999899</v>
      </c>
      <c r="H967">
        <v>7</v>
      </c>
      <c r="I967">
        <v>6</v>
      </c>
      <c r="K967" s="8">
        <f t="shared" si="105"/>
        <v>-0.84633576923260989</v>
      </c>
      <c r="L967" s="8">
        <f t="shared" si="106"/>
        <v>-6.5102751479431537E-2</v>
      </c>
      <c r="M967" s="8">
        <f t="shared" si="107"/>
        <v>-0.94367415384476772</v>
      </c>
      <c r="N967" s="8">
        <f t="shared" si="108"/>
        <v>-7.2590319526520591E-2</v>
      </c>
      <c r="O967" s="8"/>
      <c r="P967" t="s">
        <v>1254</v>
      </c>
      <c r="Q967">
        <v>34</v>
      </c>
      <c r="R967" s="8">
        <v>2.8227699999999998</v>
      </c>
      <c r="S967">
        <v>7</v>
      </c>
      <c r="T967" s="8">
        <f t="shared" si="109"/>
        <v>0.20588235294117646</v>
      </c>
      <c r="U967" s="8">
        <v>2.8326699999999998</v>
      </c>
      <c r="V967">
        <v>17</v>
      </c>
      <c r="W967" s="8">
        <f t="shared" si="110"/>
        <v>0.5</v>
      </c>
      <c r="X967" s="8">
        <v>2.80627</v>
      </c>
      <c r="Y967">
        <v>10</v>
      </c>
      <c r="Z967" s="8">
        <f t="shared" si="111"/>
        <v>0.29411764705882354</v>
      </c>
      <c r="AA967" s="8">
        <v>2.84388</v>
      </c>
    </row>
    <row r="968" spans="2:27" ht="15" customHeight="1" x14ac:dyDescent="0.25">
      <c r="B968">
        <v>664</v>
      </c>
      <c r="C968" s="1">
        <v>-12363.436680999999</v>
      </c>
      <c r="D968" s="2">
        <v>-12364.810737</v>
      </c>
      <c r="F968" s="3">
        <v>0.99662300000000004</v>
      </c>
      <c r="G968" s="2">
        <v>0.19980999999999899</v>
      </c>
      <c r="H968">
        <v>7</v>
      </c>
      <c r="I968">
        <v>6</v>
      </c>
      <c r="K968" s="8">
        <f t="shared" si="105"/>
        <v>-0.99401176923129242</v>
      </c>
      <c r="L968" s="8">
        <f t="shared" si="106"/>
        <v>-7.6462443787022494E-2</v>
      </c>
      <c r="M968" s="8">
        <f t="shared" si="107"/>
        <v>-0.94194515384515398</v>
      </c>
      <c r="N968" s="8">
        <f t="shared" si="108"/>
        <v>-7.2457319526550309E-2</v>
      </c>
      <c r="O968" s="8"/>
      <c r="P968" t="s">
        <v>1255</v>
      </c>
      <c r="Q968">
        <v>34</v>
      </c>
      <c r="R968" s="8">
        <v>2.8239200000000002</v>
      </c>
      <c r="S968">
        <v>6</v>
      </c>
      <c r="T968" s="8">
        <f t="shared" si="109"/>
        <v>0.17647058823529413</v>
      </c>
      <c r="U968" s="8">
        <v>2.8278599999999998</v>
      </c>
      <c r="V968">
        <v>19</v>
      </c>
      <c r="W968" s="8">
        <f t="shared" si="110"/>
        <v>0.55882352941176472</v>
      </c>
      <c r="X968" s="8">
        <v>2.80409</v>
      </c>
      <c r="Y968">
        <v>9</v>
      </c>
      <c r="Z968" s="8">
        <f t="shared" si="111"/>
        <v>0.26470588235294118</v>
      </c>
      <c r="AA968" s="8">
        <v>2.8631700000000002</v>
      </c>
    </row>
    <row r="969" spans="2:27" ht="15" customHeight="1" x14ac:dyDescent="0.25">
      <c r="B969">
        <v>678</v>
      </c>
      <c r="C969" s="8">
        <v>-12363.240499</v>
      </c>
      <c r="D969" s="2">
        <v>-12364.810638000001</v>
      </c>
      <c r="F969" s="3">
        <v>0.99574700000000005</v>
      </c>
      <c r="G969" s="2">
        <v>0.18404000000000001</v>
      </c>
      <c r="H969">
        <v>7</v>
      </c>
      <c r="I969">
        <v>6</v>
      </c>
      <c r="K969" s="8">
        <f t="shared" si="105"/>
        <v>-0.79782976923161186</v>
      </c>
      <c r="L969" s="8">
        <f t="shared" si="106"/>
        <v>-6.1371520710123986E-2</v>
      </c>
      <c r="M969" s="8">
        <f t="shared" si="107"/>
        <v>-0.94184615384619974</v>
      </c>
      <c r="N969" s="8">
        <f t="shared" si="108"/>
        <v>-7.2449704142015361E-2</v>
      </c>
      <c r="O969" s="8"/>
      <c r="P969" t="s">
        <v>1256</v>
      </c>
      <c r="Q969">
        <v>34</v>
      </c>
      <c r="R969" s="8">
        <v>2.82077</v>
      </c>
      <c r="S969">
        <v>8</v>
      </c>
      <c r="T969" s="8">
        <f t="shared" si="109"/>
        <v>0.23529411764705882</v>
      </c>
      <c r="U969" s="8">
        <v>2.8054299999999999</v>
      </c>
      <c r="V969">
        <v>15</v>
      </c>
      <c r="W969" s="8">
        <f t="shared" si="110"/>
        <v>0.44117647058823528</v>
      </c>
      <c r="X969" s="8">
        <v>2.82612</v>
      </c>
      <c r="Y969">
        <v>11</v>
      </c>
      <c r="Z969" s="8">
        <f t="shared" si="111"/>
        <v>0.3235294117647059</v>
      </c>
      <c r="AA969" s="8">
        <v>2.8246500000000001</v>
      </c>
    </row>
    <row r="970" spans="2:27" ht="15" customHeight="1" x14ac:dyDescent="0.25">
      <c r="B970">
        <v>663</v>
      </c>
      <c r="C970" s="1">
        <v>-12363.44037</v>
      </c>
      <c r="D970" s="2">
        <v>-12364.81056</v>
      </c>
      <c r="F970" s="3">
        <v>0.99549200000000004</v>
      </c>
      <c r="G970" s="2">
        <v>0.17946999999999999</v>
      </c>
      <c r="H970">
        <v>7</v>
      </c>
      <c r="I970">
        <v>6</v>
      </c>
      <c r="K970" s="8">
        <f t="shared" si="105"/>
        <v>-0.99770076923232409</v>
      </c>
      <c r="L970" s="8">
        <f t="shared" si="106"/>
        <v>-7.6746213017871087E-2</v>
      </c>
      <c r="M970" s="8">
        <f t="shared" si="107"/>
        <v>-0.9417681538452598</v>
      </c>
      <c r="N970" s="8">
        <f t="shared" si="108"/>
        <v>-7.2443704141943066E-2</v>
      </c>
      <c r="O970" s="8"/>
      <c r="P970" t="s">
        <v>1257</v>
      </c>
      <c r="Q970">
        <v>33</v>
      </c>
      <c r="R970" s="8">
        <v>2.80897</v>
      </c>
      <c r="S970">
        <v>6</v>
      </c>
      <c r="T970" s="8">
        <f t="shared" si="109"/>
        <v>0.18181818181818182</v>
      </c>
      <c r="U970" s="8">
        <v>2.7884199999999999</v>
      </c>
      <c r="V970">
        <v>18</v>
      </c>
      <c r="W970" s="8">
        <f t="shared" si="110"/>
        <v>0.54545454545454541</v>
      </c>
      <c r="X970" s="8">
        <v>2.8071299999999999</v>
      </c>
      <c r="Y970">
        <v>9</v>
      </c>
      <c r="Z970" s="8">
        <f t="shared" si="111"/>
        <v>0.27272727272727271</v>
      </c>
      <c r="AA970" s="8">
        <v>2.8263500000000001</v>
      </c>
    </row>
    <row r="971" spans="2:27" ht="15" customHeight="1" x14ac:dyDescent="0.25">
      <c r="B971">
        <v>550</v>
      </c>
      <c r="C971" s="1">
        <v>-12363.423035</v>
      </c>
      <c r="D971" s="2">
        <v>-12364.810431</v>
      </c>
      <c r="F971" s="3">
        <v>0.99531000000000003</v>
      </c>
      <c r="G971" s="2">
        <v>0.18151999999999899</v>
      </c>
      <c r="H971">
        <v>7</v>
      </c>
      <c r="I971">
        <v>6</v>
      </c>
      <c r="K971" s="8">
        <f t="shared" si="105"/>
        <v>-0.98036576923186658</v>
      </c>
      <c r="L971" s="8">
        <f t="shared" si="106"/>
        <v>-7.5412751479374346E-2</v>
      </c>
      <c r="M971" s="8">
        <f t="shared" si="107"/>
        <v>-0.94163915384524444</v>
      </c>
      <c r="N971" s="8">
        <f t="shared" si="108"/>
        <v>-7.2433781065018799E-2</v>
      </c>
      <c r="O971" s="8"/>
      <c r="P971" t="s">
        <v>1258</v>
      </c>
      <c r="Q971">
        <v>32</v>
      </c>
      <c r="R971" s="8">
        <v>2.8044600000000002</v>
      </c>
      <c r="S971">
        <v>7</v>
      </c>
      <c r="T971" s="8">
        <f t="shared" si="109"/>
        <v>0.21875</v>
      </c>
      <c r="U971" s="8">
        <v>2.8347799999999999</v>
      </c>
      <c r="V971">
        <v>17</v>
      </c>
      <c r="W971" s="8">
        <f t="shared" si="110"/>
        <v>0.53125</v>
      </c>
      <c r="X971" s="8">
        <v>2.79087</v>
      </c>
      <c r="Y971">
        <v>8</v>
      </c>
      <c r="Z971" s="8">
        <f t="shared" si="111"/>
        <v>0.25</v>
      </c>
      <c r="AA971" s="8">
        <v>2.80681</v>
      </c>
    </row>
    <row r="972" spans="2:27" ht="15" customHeight="1" x14ac:dyDescent="0.25">
      <c r="B972" s="32">
        <v>336</v>
      </c>
      <c r="C972" s="1">
        <v>-12363.2382</v>
      </c>
      <c r="D972" s="2">
        <v>-12364.807686</v>
      </c>
      <c r="F972" s="3">
        <v>0.99507100000000004</v>
      </c>
      <c r="G972" s="2">
        <v>0.18018999999999999</v>
      </c>
      <c r="H972">
        <v>7</v>
      </c>
      <c r="I972">
        <v>6</v>
      </c>
      <c r="K972" s="8">
        <f t="shared" si="105"/>
        <v>-0.79553076923184562</v>
      </c>
      <c r="L972" s="8">
        <f t="shared" si="106"/>
        <v>-6.1194674556295819E-2</v>
      </c>
      <c r="M972" s="8">
        <f t="shared" si="107"/>
        <v>-0.93889415384546737</v>
      </c>
      <c r="N972" s="8">
        <f t="shared" si="108"/>
        <v>-7.2222627218882104E-2</v>
      </c>
      <c r="O972" s="8"/>
      <c r="P972" t="s">
        <v>1259</v>
      </c>
      <c r="Q972">
        <v>36</v>
      </c>
      <c r="R972" s="8">
        <v>2.8420999999999998</v>
      </c>
      <c r="S972">
        <v>9</v>
      </c>
      <c r="T972" s="8">
        <f t="shared" si="109"/>
        <v>0.25</v>
      </c>
      <c r="U972" s="8">
        <v>2.86164</v>
      </c>
      <c r="V972">
        <v>18</v>
      </c>
      <c r="W972" s="8">
        <f t="shared" si="110"/>
        <v>0.5</v>
      </c>
      <c r="X972" s="8">
        <v>2.8432900000000001</v>
      </c>
      <c r="Y972">
        <v>9</v>
      </c>
      <c r="Z972" s="8">
        <f t="shared" si="111"/>
        <v>0.25</v>
      </c>
      <c r="AA972" s="8">
        <v>2.8201900000000002</v>
      </c>
    </row>
    <row r="973" spans="2:27" ht="15" customHeight="1" x14ac:dyDescent="0.25">
      <c r="B973" s="32">
        <v>342</v>
      </c>
      <c r="C973" s="1">
        <v>-12363.2407</v>
      </c>
      <c r="D973" s="2">
        <v>-12364.807654</v>
      </c>
      <c r="F973" s="3">
        <v>0.99429100000000004</v>
      </c>
      <c r="G973" s="2">
        <v>0.17566999999999999</v>
      </c>
      <c r="H973">
        <v>7</v>
      </c>
      <c r="I973">
        <v>6</v>
      </c>
      <c r="K973" s="8">
        <f t="shared" si="105"/>
        <v>-0.79803076923235494</v>
      </c>
      <c r="L973" s="8">
        <f t="shared" si="106"/>
        <v>-6.1386982248642689E-2</v>
      </c>
      <c r="M973" s="8">
        <f t="shared" si="107"/>
        <v>-0.93886215384554816</v>
      </c>
      <c r="N973" s="8">
        <f t="shared" si="108"/>
        <v>-7.2220165680426787E-2</v>
      </c>
      <c r="O973" s="8"/>
      <c r="P973" t="s">
        <v>1260</v>
      </c>
      <c r="Q973">
        <v>34</v>
      </c>
      <c r="R973" s="8">
        <v>2.8269000000000002</v>
      </c>
      <c r="S973">
        <v>7</v>
      </c>
      <c r="T973" s="8">
        <f t="shared" si="109"/>
        <v>0.20588235294117646</v>
      </c>
      <c r="U973" s="8">
        <v>2.8389700000000002</v>
      </c>
      <c r="V973">
        <v>19</v>
      </c>
      <c r="W973" s="8">
        <f t="shared" si="110"/>
        <v>0.55882352941176472</v>
      </c>
      <c r="X973" s="8">
        <v>2.83663</v>
      </c>
      <c r="Y973">
        <v>8</v>
      </c>
      <c r="Z973" s="8">
        <f t="shared" si="111"/>
        <v>0.23529411764705882</v>
      </c>
      <c r="AA973" s="8">
        <v>2.7932199999999998</v>
      </c>
    </row>
    <row r="974" spans="2:27" ht="15" customHeight="1" x14ac:dyDescent="0.25">
      <c r="B974" s="32">
        <v>415</v>
      </c>
      <c r="C974" s="1">
        <v>-12363.1108</v>
      </c>
      <c r="D974" s="2">
        <v>-12364.806420000001</v>
      </c>
      <c r="F974" s="3">
        <v>0.99757200000000001</v>
      </c>
      <c r="G974" s="2">
        <v>0.20136999999999899</v>
      </c>
      <c r="H974">
        <v>7</v>
      </c>
      <c r="I974">
        <v>6</v>
      </c>
      <c r="K974" s="8">
        <f t="shared" si="105"/>
        <v>-0.66813076923244807</v>
      </c>
      <c r="L974" s="8">
        <f t="shared" si="106"/>
        <v>-5.1394674556342161E-2</v>
      </c>
      <c r="M974" s="8">
        <f t="shared" si="107"/>
        <v>-0.9376281538461626</v>
      </c>
      <c r="N974" s="8">
        <f t="shared" si="108"/>
        <v>-7.2125242603550965E-2</v>
      </c>
      <c r="O974" s="8"/>
      <c r="P974" t="s">
        <v>1261</v>
      </c>
      <c r="Q974">
        <v>36</v>
      </c>
      <c r="R974" s="8">
        <v>2.83962</v>
      </c>
      <c r="S974">
        <v>9</v>
      </c>
      <c r="T974" s="8">
        <f t="shared" si="109"/>
        <v>0.25</v>
      </c>
      <c r="U974" s="8">
        <v>2.9017599999999999</v>
      </c>
      <c r="V974">
        <v>20</v>
      </c>
      <c r="W974" s="8">
        <f t="shared" si="110"/>
        <v>0.55555555555555558</v>
      </c>
      <c r="X974" s="8">
        <v>2.8074499999999998</v>
      </c>
      <c r="Y974">
        <v>7</v>
      </c>
      <c r="Z974" s="8">
        <f t="shared" si="111"/>
        <v>0.19444444444444445</v>
      </c>
      <c r="AA974" s="8">
        <v>2.8516300000000001</v>
      </c>
    </row>
    <row r="975" spans="2:27" ht="15" customHeight="1" x14ac:dyDescent="0.25">
      <c r="B975" s="32">
        <v>475</v>
      </c>
      <c r="C975" s="1">
        <v>-12363.2266</v>
      </c>
      <c r="D975" s="2">
        <v>-12364.805301</v>
      </c>
      <c r="F975" s="3">
        <v>0.98772199999999999</v>
      </c>
      <c r="G975" s="2">
        <v>0.15251999999999999</v>
      </c>
      <c r="H975">
        <v>7</v>
      </c>
      <c r="I975">
        <v>6</v>
      </c>
      <c r="K975" s="8">
        <f t="shared" si="105"/>
        <v>-0.78393076923202898</v>
      </c>
      <c r="L975" s="8">
        <f t="shared" si="106"/>
        <v>-6.0302366864002227E-2</v>
      </c>
      <c r="M975" s="8">
        <f t="shared" si="107"/>
        <v>-0.93650915384569089</v>
      </c>
      <c r="N975" s="8">
        <f t="shared" si="108"/>
        <v>-7.2039165680437764E-2</v>
      </c>
      <c r="O975" s="8"/>
      <c r="P975" t="s">
        <v>1262</v>
      </c>
      <c r="Q975">
        <v>35</v>
      </c>
      <c r="R975" s="8">
        <v>2.8231299999999999</v>
      </c>
      <c r="S975">
        <v>8</v>
      </c>
      <c r="T975" s="8">
        <f t="shared" si="109"/>
        <v>0.22857142857142856</v>
      </c>
      <c r="U975" s="8">
        <v>2.8286500000000001</v>
      </c>
      <c r="V975">
        <v>18</v>
      </c>
      <c r="W975" s="8">
        <f t="shared" si="110"/>
        <v>0.51428571428571423</v>
      </c>
      <c r="X975" s="8">
        <v>2.8189500000000001</v>
      </c>
      <c r="Y975">
        <v>9</v>
      </c>
      <c r="Z975" s="8">
        <f t="shared" si="111"/>
        <v>0.25714285714285712</v>
      </c>
      <c r="AA975" s="8">
        <v>2.8265799999999999</v>
      </c>
    </row>
    <row r="976" spans="2:27" ht="15" customHeight="1" x14ac:dyDescent="0.25">
      <c r="B976" s="32">
        <v>397</v>
      </c>
      <c r="C976" s="1">
        <v>-12363.1549</v>
      </c>
      <c r="D976" s="2">
        <v>-12364.804749000001</v>
      </c>
      <c r="F976" s="3">
        <v>0.99317299999999997</v>
      </c>
      <c r="G976" s="2">
        <v>0.17030000000000001</v>
      </c>
      <c r="H976">
        <v>7</v>
      </c>
      <c r="I976">
        <v>6</v>
      </c>
      <c r="K976" s="8">
        <f t="shared" si="105"/>
        <v>-0.71223076923160988</v>
      </c>
      <c r="L976" s="8">
        <f t="shared" si="106"/>
        <v>-5.4786982248585372E-2</v>
      </c>
      <c r="M976" s="8">
        <f t="shared" si="107"/>
        <v>-0.93595715384617506</v>
      </c>
      <c r="N976" s="8">
        <f t="shared" si="108"/>
        <v>-7.1996704142013465E-2</v>
      </c>
      <c r="O976" s="8"/>
      <c r="P976" t="s">
        <v>1263</v>
      </c>
      <c r="Q976">
        <v>34</v>
      </c>
      <c r="R976" s="8">
        <v>2.81745</v>
      </c>
      <c r="S976">
        <v>8</v>
      </c>
      <c r="T976" s="8">
        <f t="shared" si="109"/>
        <v>0.23529411764705882</v>
      </c>
      <c r="U976" s="8">
        <v>2.88802</v>
      </c>
      <c r="V976">
        <v>19</v>
      </c>
      <c r="W976" s="8">
        <f t="shared" si="110"/>
        <v>0.55882352941176472</v>
      </c>
      <c r="X976" s="8">
        <v>2.7863099999999998</v>
      </c>
      <c r="Y976">
        <v>7</v>
      </c>
      <c r="Z976" s="8">
        <f t="shared" si="111"/>
        <v>0.20588235294117646</v>
      </c>
      <c r="AA976" s="8">
        <v>2.8213400000000002</v>
      </c>
    </row>
    <row r="977" spans="2:27" ht="15" customHeight="1" x14ac:dyDescent="0.25">
      <c r="B977" s="32">
        <v>440</v>
      </c>
      <c r="C977" s="1">
        <v>-12363.1625</v>
      </c>
      <c r="D977" s="2">
        <v>-12364.804617</v>
      </c>
      <c r="F977" s="3">
        <v>0.99639900000000003</v>
      </c>
      <c r="G977" s="2">
        <v>0.18950999999999901</v>
      </c>
      <c r="H977">
        <v>7</v>
      </c>
      <c r="I977">
        <v>6</v>
      </c>
      <c r="K977" s="8">
        <f t="shared" si="105"/>
        <v>-0.71983076923243061</v>
      </c>
      <c r="L977" s="8">
        <f t="shared" si="106"/>
        <v>-5.5371597633263894E-2</v>
      </c>
      <c r="M977" s="8">
        <f t="shared" si="107"/>
        <v>-0.93582515384514409</v>
      </c>
      <c r="N977" s="8">
        <f t="shared" si="108"/>
        <v>-7.1986550295780313E-2</v>
      </c>
      <c r="O977" s="8"/>
      <c r="P977" t="s">
        <v>1264</v>
      </c>
      <c r="Q977">
        <v>35</v>
      </c>
      <c r="R977" s="8">
        <v>2.8245</v>
      </c>
      <c r="S977">
        <v>6</v>
      </c>
      <c r="T977" s="8">
        <f t="shared" si="109"/>
        <v>0.17142857142857143</v>
      </c>
      <c r="U977" s="8">
        <v>2.8546299999999998</v>
      </c>
      <c r="V977">
        <v>21</v>
      </c>
      <c r="W977" s="8">
        <f t="shared" si="110"/>
        <v>0.6</v>
      </c>
      <c r="X977" s="8">
        <v>2.8156300000000001</v>
      </c>
      <c r="Y977">
        <v>8</v>
      </c>
      <c r="Z977" s="8">
        <f t="shared" si="111"/>
        <v>0.22857142857142856</v>
      </c>
      <c r="AA977" s="8">
        <v>2.8252000000000002</v>
      </c>
    </row>
    <row r="978" spans="2:27" ht="15" customHeight="1" x14ac:dyDescent="0.25">
      <c r="B978">
        <v>618</v>
      </c>
      <c r="C978" s="1">
        <v>-12363.448559</v>
      </c>
      <c r="D978" s="2">
        <v>-12364.803849</v>
      </c>
      <c r="F978" s="3">
        <v>0.99699899999999997</v>
      </c>
      <c r="G978" s="2">
        <v>0.19427</v>
      </c>
      <c r="H978">
        <v>7</v>
      </c>
      <c r="I978">
        <v>6</v>
      </c>
      <c r="K978" s="8">
        <f t="shared" si="105"/>
        <v>-1.0058897692324535</v>
      </c>
      <c r="L978" s="8">
        <f t="shared" si="106"/>
        <v>-7.7376136094804121E-2</v>
      </c>
      <c r="M978" s="8">
        <f t="shared" si="107"/>
        <v>-0.93505715384526411</v>
      </c>
      <c r="N978" s="8">
        <f t="shared" si="108"/>
        <v>-7.192747337271263E-2</v>
      </c>
      <c r="O978" s="8"/>
      <c r="P978" t="s">
        <v>1265</v>
      </c>
      <c r="Q978">
        <v>34</v>
      </c>
      <c r="R978" s="8">
        <v>2.8144399999999998</v>
      </c>
      <c r="S978">
        <v>7</v>
      </c>
      <c r="T978" s="8">
        <f t="shared" si="109"/>
        <v>0.20588235294117646</v>
      </c>
      <c r="U978" s="8">
        <v>2.7881100000000001</v>
      </c>
      <c r="V978">
        <v>18</v>
      </c>
      <c r="W978" s="8">
        <f t="shared" si="110"/>
        <v>0.52941176470588236</v>
      </c>
      <c r="X978" s="8">
        <v>2.8222100000000001</v>
      </c>
      <c r="Y978">
        <v>9</v>
      </c>
      <c r="Z978" s="8">
        <f t="shared" si="111"/>
        <v>0.26470588235294118</v>
      </c>
      <c r="AA978" s="8">
        <v>2.8193700000000002</v>
      </c>
    </row>
    <row r="979" spans="2:27" ht="15" customHeight="1" x14ac:dyDescent="0.25">
      <c r="B979" s="32">
        <v>351</v>
      </c>
      <c r="C979" s="1">
        <v>-12363.1077</v>
      </c>
      <c r="D979" s="2">
        <v>-12364.801996</v>
      </c>
      <c r="F979" s="3">
        <v>0.99490000000000001</v>
      </c>
      <c r="G979" s="2">
        <v>0.17909</v>
      </c>
      <c r="H979">
        <v>7</v>
      </c>
      <c r="I979">
        <v>6</v>
      </c>
      <c r="K979" s="8">
        <f t="shared" si="105"/>
        <v>-0.66503076923254412</v>
      </c>
      <c r="L979" s="8">
        <f t="shared" si="106"/>
        <v>-5.115621301788801E-2</v>
      </c>
      <c r="M979" s="8">
        <f t="shared" si="107"/>
        <v>-0.9332041538455087</v>
      </c>
      <c r="N979" s="8">
        <f t="shared" si="108"/>
        <v>-7.1784934911192977E-2</v>
      </c>
      <c r="O979" s="8"/>
      <c r="P979" t="s">
        <v>1266</v>
      </c>
      <c r="Q979">
        <v>34</v>
      </c>
      <c r="R979" s="8">
        <v>2.8199399999999999</v>
      </c>
      <c r="S979">
        <v>8</v>
      </c>
      <c r="T979" s="8">
        <f t="shared" si="109"/>
        <v>0.23529411764705882</v>
      </c>
      <c r="U979" s="8">
        <v>2.87798</v>
      </c>
      <c r="V979">
        <v>19</v>
      </c>
      <c r="W979" s="8">
        <f t="shared" si="110"/>
        <v>0.55882352941176472</v>
      </c>
      <c r="X979" s="8">
        <v>2.80375</v>
      </c>
      <c r="Y979">
        <v>7</v>
      </c>
      <c r="Z979" s="8">
        <f t="shared" si="111"/>
        <v>0.20588235294117646</v>
      </c>
      <c r="AA979" s="8">
        <v>2.79752</v>
      </c>
    </row>
    <row r="980" spans="2:27" ht="15" customHeight="1" x14ac:dyDescent="0.25">
      <c r="B980">
        <v>604</v>
      </c>
      <c r="C980" s="1">
        <v>-12363.259791</v>
      </c>
      <c r="D980" s="2">
        <v>-12364.800997</v>
      </c>
      <c r="F980" s="3">
        <v>0.99682300000000001</v>
      </c>
      <c r="G980" s="2">
        <v>0.19633</v>
      </c>
      <c r="H980">
        <v>7</v>
      </c>
      <c r="I980">
        <v>6</v>
      </c>
      <c r="K980" s="8">
        <f t="shared" si="105"/>
        <v>-0.81712176923247171</v>
      </c>
      <c r="L980" s="8">
        <f t="shared" si="106"/>
        <v>-6.2855520710190127E-2</v>
      </c>
      <c r="M980" s="8">
        <f t="shared" si="107"/>
        <v>-0.93220515384564351</v>
      </c>
      <c r="N980" s="8">
        <f t="shared" si="108"/>
        <v>-7.1708088757357194E-2</v>
      </c>
      <c r="O980" s="8"/>
      <c r="P980" t="s">
        <v>1267</v>
      </c>
      <c r="Q980">
        <v>33</v>
      </c>
      <c r="R980" s="8">
        <v>2.80829</v>
      </c>
      <c r="S980">
        <v>9</v>
      </c>
      <c r="T980" s="8">
        <f t="shared" si="109"/>
        <v>0.27272727272727271</v>
      </c>
      <c r="U980" s="8">
        <v>2.8172999999999999</v>
      </c>
      <c r="V980">
        <v>14</v>
      </c>
      <c r="W980" s="8">
        <f t="shared" si="110"/>
        <v>0.42424242424242425</v>
      </c>
      <c r="X980" s="8">
        <v>2.8112699999999999</v>
      </c>
      <c r="Y980">
        <v>10</v>
      </c>
      <c r="Z980" s="8">
        <f t="shared" si="111"/>
        <v>0.30303030303030304</v>
      </c>
      <c r="AA980" s="8">
        <v>2.7960099999999999</v>
      </c>
    </row>
    <row r="981" spans="2:27" ht="15" customHeight="1" x14ac:dyDescent="0.25">
      <c r="B981" s="32">
        <v>316</v>
      </c>
      <c r="C981" s="1">
        <v>-12363.192499999999</v>
      </c>
      <c r="D981" s="2">
        <v>-12364.800902999999</v>
      </c>
      <c r="F981" s="3">
        <v>0.99333700000000003</v>
      </c>
      <c r="G981" s="2">
        <v>0.17077000000000001</v>
      </c>
      <c r="H981">
        <v>7</v>
      </c>
      <c r="I981">
        <v>6</v>
      </c>
      <c r="K981" s="8">
        <f t="shared" si="105"/>
        <v>-0.74983076923126646</v>
      </c>
      <c r="L981" s="8">
        <f t="shared" si="106"/>
        <v>-5.767928994086665E-2</v>
      </c>
      <c r="M981" s="8">
        <f t="shared" si="107"/>
        <v>-0.93211115384474397</v>
      </c>
      <c r="N981" s="8">
        <f t="shared" si="108"/>
        <v>-7.1700857988057226E-2</v>
      </c>
      <c r="O981" s="8"/>
      <c r="P981" t="s">
        <v>1268</v>
      </c>
      <c r="Q981">
        <v>36</v>
      </c>
      <c r="R981" s="8">
        <v>2.8381500000000002</v>
      </c>
      <c r="S981">
        <v>7</v>
      </c>
      <c r="T981" s="8">
        <f t="shared" si="109"/>
        <v>0.19444444444444445</v>
      </c>
      <c r="U981" s="8">
        <v>2.83595</v>
      </c>
      <c r="V981">
        <v>21</v>
      </c>
      <c r="W981" s="8">
        <f t="shared" si="110"/>
        <v>0.58333333333333337</v>
      </c>
      <c r="X981" s="8">
        <v>2.8469699999999998</v>
      </c>
      <c r="Y981">
        <v>8</v>
      </c>
      <c r="Z981" s="8">
        <f t="shared" si="111"/>
        <v>0.22222222222222221</v>
      </c>
      <c r="AA981" s="8">
        <v>2.8169300000000002</v>
      </c>
    </row>
    <row r="982" spans="2:27" ht="15" customHeight="1" x14ac:dyDescent="0.25">
      <c r="B982">
        <v>548</v>
      </c>
      <c r="C982" s="1">
        <v>-12363.168636</v>
      </c>
      <c r="D982" s="2">
        <v>-12364.800616</v>
      </c>
      <c r="F982" s="3">
        <v>0.99494199999999999</v>
      </c>
      <c r="G982" s="2">
        <v>0.17791000000000001</v>
      </c>
      <c r="H982">
        <v>7</v>
      </c>
      <c r="I982">
        <v>6</v>
      </c>
      <c r="K982" s="8">
        <f t="shared" si="105"/>
        <v>-0.72596676923240011</v>
      </c>
      <c r="L982" s="8">
        <f t="shared" si="106"/>
        <v>-5.5843597633261549E-2</v>
      </c>
      <c r="M982" s="8">
        <f t="shared" si="107"/>
        <v>-0.93182415384580963</v>
      </c>
      <c r="N982" s="8">
        <f t="shared" si="108"/>
        <v>-7.1678781065062286E-2</v>
      </c>
      <c r="O982" s="8"/>
      <c r="P982" t="s">
        <v>1269</v>
      </c>
      <c r="Q982">
        <v>33</v>
      </c>
      <c r="R982" s="8">
        <v>2.8121700000000001</v>
      </c>
      <c r="S982">
        <v>8</v>
      </c>
      <c r="T982" s="8">
        <f t="shared" si="109"/>
        <v>0.24242424242424243</v>
      </c>
      <c r="U982" s="8">
        <v>2.7944200000000001</v>
      </c>
      <c r="V982">
        <v>14</v>
      </c>
      <c r="W982" s="8">
        <f t="shared" si="110"/>
        <v>0.42424242424242425</v>
      </c>
      <c r="X982" s="8">
        <v>2.8075299999999999</v>
      </c>
      <c r="Y982">
        <v>11</v>
      </c>
      <c r="Z982" s="8">
        <f t="shared" si="111"/>
        <v>0.33333333333333331</v>
      </c>
      <c r="AA982" s="8">
        <v>2.831</v>
      </c>
    </row>
    <row r="983" spans="2:27" ht="15" customHeight="1" x14ac:dyDescent="0.25">
      <c r="B983">
        <v>656</v>
      </c>
      <c r="C983" s="1">
        <v>-12363.239518</v>
      </c>
      <c r="D983" s="2">
        <v>-12364.799070999999</v>
      </c>
      <c r="F983" s="3">
        <v>0.99657200000000001</v>
      </c>
      <c r="G983" s="2">
        <v>0.19466999999999901</v>
      </c>
      <c r="H983">
        <v>7</v>
      </c>
      <c r="I983">
        <v>6</v>
      </c>
      <c r="K983" s="8">
        <f t="shared" si="105"/>
        <v>-0.79684876923238335</v>
      </c>
      <c r="L983" s="8">
        <f t="shared" si="106"/>
        <v>-6.1296059171721796E-2</v>
      </c>
      <c r="M983" s="8">
        <f t="shared" si="107"/>
        <v>-0.93027915384482185</v>
      </c>
      <c r="N983" s="8">
        <f t="shared" si="108"/>
        <v>-7.1559934911140141E-2</v>
      </c>
      <c r="O983" s="8"/>
      <c r="P983" t="s">
        <v>1270</v>
      </c>
      <c r="Q983">
        <v>36</v>
      </c>
      <c r="R983" s="8">
        <v>2.8433899999999999</v>
      </c>
      <c r="S983">
        <v>8</v>
      </c>
      <c r="T983" s="8">
        <f t="shared" si="109"/>
        <v>0.22222222222222221</v>
      </c>
      <c r="U983" s="8">
        <v>2.81175</v>
      </c>
      <c r="V983">
        <v>16</v>
      </c>
      <c r="W983" s="8">
        <f t="shared" si="110"/>
        <v>0.44444444444444442</v>
      </c>
      <c r="X983" s="8">
        <v>2.8368899999999999</v>
      </c>
      <c r="Y983">
        <v>12</v>
      </c>
      <c r="Z983" s="8">
        <f t="shared" si="111"/>
        <v>0.33333333333333331</v>
      </c>
      <c r="AA983" s="8">
        <v>2.8731499999999999</v>
      </c>
    </row>
    <row r="984" spans="2:27" ht="15" customHeight="1" x14ac:dyDescent="0.25">
      <c r="B984">
        <v>730</v>
      </c>
      <c r="C984" s="1">
        <v>-12363.348517</v>
      </c>
      <c r="D984" s="2">
        <v>-12364.798127</v>
      </c>
      <c r="F984" s="3">
        <v>0.99146500000000004</v>
      </c>
      <c r="G984" s="2">
        <v>0.16758999999999999</v>
      </c>
      <c r="H984">
        <v>7</v>
      </c>
      <c r="I984">
        <v>6</v>
      </c>
      <c r="K984" s="8">
        <f t="shared" si="105"/>
        <v>-0.90584776923242316</v>
      </c>
      <c r="L984" s="8">
        <f t="shared" si="106"/>
        <v>-6.9680597633263314E-2</v>
      </c>
      <c r="M984" s="8">
        <f t="shared" si="107"/>
        <v>-0.92933515384538623</v>
      </c>
      <c r="N984" s="8">
        <f t="shared" si="108"/>
        <v>-7.1487319526568172E-2</v>
      </c>
      <c r="O984" s="8"/>
      <c r="P984" t="s">
        <v>1271</v>
      </c>
      <c r="Q984">
        <v>34</v>
      </c>
      <c r="R984" s="8">
        <v>2.82131</v>
      </c>
      <c r="S984">
        <v>6</v>
      </c>
      <c r="T984" s="8">
        <f t="shared" si="109"/>
        <v>0.17647058823529413</v>
      </c>
      <c r="U984" s="8">
        <v>2.7844899999999999</v>
      </c>
      <c r="V984">
        <v>20</v>
      </c>
      <c r="W984" s="8">
        <f t="shared" si="110"/>
        <v>0.58823529411764708</v>
      </c>
      <c r="X984" s="8">
        <v>2.8277899999999998</v>
      </c>
      <c r="Y984">
        <v>8</v>
      </c>
      <c r="Z984" s="8">
        <f t="shared" si="111"/>
        <v>0.23529411764705882</v>
      </c>
      <c r="AA984" s="8">
        <v>2.8327399999999998</v>
      </c>
    </row>
    <row r="985" spans="2:27" ht="15" customHeight="1" x14ac:dyDescent="0.25">
      <c r="B985" s="32">
        <v>428</v>
      </c>
      <c r="C985" s="1">
        <v>-12363.2261</v>
      </c>
      <c r="D985" s="2">
        <v>-12364.79773</v>
      </c>
      <c r="F985" s="3">
        <v>0.99493500000000001</v>
      </c>
      <c r="G985" s="2">
        <v>0.17932999999999899</v>
      </c>
      <c r="H985">
        <v>7</v>
      </c>
      <c r="I985">
        <v>6</v>
      </c>
      <c r="K985" s="8">
        <f t="shared" si="105"/>
        <v>-0.78343076923192712</v>
      </c>
      <c r="L985" s="8">
        <f t="shared" si="106"/>
        <v>-6.0263905325532857E-2</v>
      </c>
      <c r="M985" s="8">
        <f t="shared" si="107"/>
        <v>-0.92893815384559275</v>
      </c>
      <c r="N985" s="8">
        <f t="shared" si="108"/>
        <v>-7.1456781065045591E-2</v>
      </c>
      <c r="O985" s="8"/>
      <c r="P985" t="s">
        <v>1272</v>
      </c>
      <c r="Q985">
        <v>36</v>
      </c>
      <c r="R985" s="8">
        <v>2.8380700000000001</v>
      </c>
      <c r="S985">
        <v>8</v>
      </c>
      <c r="T985" s="8">
        <f t="shared" si="109"/>
        <v>0.22222222222222221</v>
      </c>
      <c r="U985" s="8">
        <v>2.8751699999999998</v>
      </c>
      <c r="V985">
        <v>20</v>
      </c>
      <c r="W985" s="8">
        <f t="shared" si="110"/>
        <v>0.55555555555555558</v>
      </c>
      <c r="X985" s="8">
        <v>2.8209300000000002</v>
      </c>
      <c r="Y985">
        <v>8</v>
      </c>
      <c r="Z985" s="8">
        <f t="shared" si="111"/>
        <v>0.22222222222222221</v>
      </c>
      <c r="AA985" s="8">
        <v>2.84382</v>
      </c>
    </row>
    <row r="986" spans="2:27" ht="15" customHeight="1" x14ac:dyDescent="0.25">
      <c r="B986" s="32">
        <v>377</v>
      </c>
      <c r="C986" s="1">
        <v>-12363.2539</v>
      </c>
      <c r="D986" s="2">
        <v>-12364.796840999999</v>
      </c>
      <c r="F986" s="3">
        <v>0.99668900000000005</v>
      </c>
      <c r="G986" s="2">
        <v>0.192049999999999</v>
      </c>
      <c r="H986">
        <v>7</v>
      </c>
      <c r="I986">
        <v>6</v>
      </c>
      <c r="K986" s="8">
        <f t="shared" si="105"/>
        <v>-0.81123076923176995</v>
      </c>
      <c r="L986" s="8">
        <f t="shared" si="106"/>
        <v>-6.2402366863982303E-2</v>
      </c>
      <c r="M986" s="8">
        <f t="shared" si="107"/>
        <v>-0.92804915384476772</v>
      </c>
      <c r="N986" s="8">
        <f t="shared" si="108"/>
        <v>-7.1388396449597519E-2</v>
      </c>
      <c r="O986" s="8"/>
      <c r="P986" t="s">
        <v>1273</v>
      </c>
      <c r="Q986">
        <v>35</v>
      </c>
      <c r="R986" s="8">
        <v>2.8302900000000002</v>
      </c>
      <c r="S986">
        <v>7</v>
      </c>
      <c r="T986" s="8">
        <f t="shared" si="109"/>
        <v>0.2</v>
      </c>
      <c r="U986" s="8">
        <v>2.8756499999999998</v>
      </c>
      <c r="V986">
        <v>20</v>
      </c>
      <c r="W986" s="8">
        <f t="shared" si="110"/>
        <v>0.5714285714285714</v>
      </c>
      <c r="X986" s="8">
        <v>2.8136299999999999</v>
      </c>
      <c r="Y986">
        <v>8</v>
      </c>
      <c r="Z986" s="8">
        <f t="shared" si="111"/>
        <v>0.22857142857142856</v>
      </c>
      <c r="AA986" s="8">
        <v>2.8322500000000002</v>
      </c>
    </row>
    <row r="987" spans="2:27" ht="15" customHeight="1" x14ac:dyDescent="0.25">
      <c r="B987" s="32">
        <v>743</v>
      </c>
      <c r="C987" s="1">
        <v>-12363.3845</v>
      </c>
      <c r="D987" s="2">
        <v>-12364.796833</v>
      </c>
      <c r="F987" s="3">
        <v>0.99691200000000002</v>
      </c>
      <c r="G987" s="2">
        <v>0.19384000000000001</v>
      </c>
      <c r="H987">
        <v>7</v>
      </c>
      <c r="I987">
        <v>6</v>
      </c>
      <c r="K987" s="8">
        <f t="shared" si="105"/>
        <v>-0.94183076923218323</v>
      </c>
      <c r="L987" s="8">
        <f t="shared" si="106"/>
        <v>-7.2448520710167941E-2</v>
      </c>
      <c r="M987" s="8">
        <f t="shared" si="107"/>
        <v>-0.92804115384569741</v>
      </c>
      <c r="N987" s="8">
        <f t="shared" si="108"/>
        <v>-7.138778106505364E-2</v>
      </c>
      <c r="O987" s="8"/>
      <c r="P987" t="s">
        <v>1274</v>
      </c>
      <c r="Q987">
        <v>34</v>
      </c>
      <c r="R987" s="8">
        <v>2.8218899999999998</v>
      </c>
      <c r="S987">
        <v>7</v>
      </c>
      <c r="T987" s="8">
        <f t="shared" si="109"/>
        <v>0.20588235294117646</v>
      </c>
      <c r="U987" s="8">
        <v>2.7683599999999999</v>
      </c>
      <c r="V987">
        <v>17</v>
      </c>
      <c r="W987" s="8">
        <f t="shared" si="110"/>
        <v>0.5</v>
      </c>
      <c r="X987" s="8">
        <v>2.8524600000000002</v>
      </c>
      <c r="Y987">
        <v>10</v>
      </c>
      <c r="Z987" s="8">
        <f t="shared" si="111"/>
        <v>0.29411764705882354</v>
      </c>
      <c r="AA987" s="8">
        <v>2.8073999999999999</v>
      </c>
    </row>
    <row r="988" spans="2:27" ht="15" customHeight="1" x14ac:dyDescent="0.25">
      <c r="B988" s="32">
        <v>348</v>
      </c>
      <c r="C988" s="1">
        <v>-12363.1211</v>
      </c>
      <c r="D988" s="2">
        <v>-12364.794164000001</v>
      </c>
      <c r="F988" s="3">
        <v>0.99186099999999999</v>
      </c>
      <c r="G988" s="2">
        <v>0.16500999999999999</v>
      </c>
      <c r="H988">
        <v>7</v>
      </c>
      <c r="I988">
        <v>6</v>
      </c>
      <c r="K988" s="8">
        <f t="shared" si="105"/>
        <v>-0.67843076923236367</v>
      </c>
      <c r="L988" s="8">
        <f t="shared" si="106"/>
        <v>-5.2186982248643363E-2</v>
      </c>
      <c r="M988" s="8">
        <f t="shared" si="107"/>
        <v>-0.92537215384618321</v>
      </c>
      <c r="N988" s="8">
        <f t="shared" si="108"/>
        <v>-7.1182473372783328E-2</v>
      </c>
      <c r="O988" s="8"/>
      <c r="P988" t="s">
        <v>1275</v>
      </c>
      <c r="Q988">
        <v>35</v>
      </c>
      <c r="R988" s="8">
        <v>2.8307899999999999</v>
      </c>
      <c r="S988">
        <v>9</v>
      </c>
      <c r="T988" s="8">
        <f t="shared" si="109"/>
        <v>0.25714285714285712</v>
      </c>
      <c r="U988" s="8">
        <v>2.8919800000000002</v>
      </c>
      <c r="V988">
        <v>18</v>
      </c>
      <c r="W988" s="8">
        <f t="shared" si="110"/>
        <v>0.51428571428571423</v>
      </c>
      <c r="X988" s="8">
        <v>2.79827</v>
      </c>
      <c r="Y988">
        <v>8</v>
      </c>
      <c r="Z988" s="8">
        <f t="shared" si="111"/>
        <v>0.22857142857142856</v>
      </c>
      <c r="AA988" s="8">
        <v>2.8351099999999998</v>
      </c>
    </row>
    <row r="989" spans="2:27" ht="15" customHeight="1" x14ac:dyDescent="0.25">
      <c r="B989" s="32">
        <v>472</v>
      </c>
      <c r="C989" s="1">
        <v>-12363.1178</v>
      </c>
      <c r="D989" s="2">
        <v>-12364.792906000001</v>
      </c>
      <c r="F989" s="3">
        <v>0.99476799999999999</v>
      </c>
      <c r="G989" s="2">
        <v>0.17829999999999999</v>
      </c>
      <c r="H989">
        <v>7</v>
      </c>
      <c r="I989">
        <v>6</v>
      </c>
      <c r="K989" s="8">
        <f t="shared" si="105"/>
        <v>-0.67513076923205517</v>
      </c>
      <c r="L989" s="8">
        <f t="shared" si="106"/>
        <v>-5.1933136094773472E-2</v>
      </c>
      <c r="M989" s="8">
        <f t="shared" si="107"/>
        <v>-0.92411415384594875</v>
      </c>
      <c r="N989" s="8">
        <f t="shared" si="108"/>
        <v>-7.1085704141996053E-2</v>
      </c>
      <c r="O989" s="8"/>
      <c r="P989" t="s">
        <v>1276</v>
      </c>
      <c r="Q989">
        <v>35</v>
      </c>
      <c r="R989" s="8">
        <v>2.8299400000000001</v>
      </c>
      <c r="S989">
        <v>7</v>
      </c>
      <c r="T989" s="8">
        <f t="shared" si="109"/>
        <v>0.2</v>
      </c>
      <c r="U989" s="8">
        <v>2.86626</v>
      </c>
      <c r="V989">
        <v>21</v>
      </c>
      <c r="W989" s="8">
        <f t="shared" si="110"/>
        <v>0.6</v>
      </c>
      <c r="X989" s="8">
        <v>2.7931499999999998</v>
      </c>
      <c r="Y989">
        <v>7</v>
      </c>
      <c r="Z989" s="8">
        <f t="shared" si="111"/>
        <v>0.2</v>
      </c>
      <c r="AA989" s="8">
        <v>2.9039799999999998</v>
      </c>
    </row>
    <row r="990" spans="2:27" ht="15" customHeight="1" x14ac:dyDescent="0.25">
      <c r="B990" s="32">
        <v>419</v>
      </c>
      <c r="C990" s="1">
        <v>-12362.906199999999</v>
      </c>
      <c r="D990" s="2">
        <v>-12364.791904</v>
      </c>
      <c r="F990" s="3">
        <v>0.99669099999999999</v>
      </c>
      <c r="G990" s="2">
        <v>0.19206999999999999</v>
      </c>
      <c r="H990">
        <v>7</v>
      </c>
      <c r="I990">
        <v>6</v>
      </c>
      <c r="K990" s="8">
        <f t="shared" si="105"/>
        <v>-0.46353076923151093</v>
      </c>
      <c r="L990" s="8">
        <f t="shared" si="106"/>
        <v>-3.5656213017808532E-2</v>
      </c>
      <c r="M990" s="8">
        <f t="shared" si="107"/>
        <v>-0.92311215384506795</v>
      </c>
      <c r="N990" s="8">
        <f t="shared" si="108"/>
        <v>-7.1008627218851386E-2</v>
      </c>
      <c r="O990" s="8"/>
      <c r="P990" t="s">
        <v>1277</v>
      </c>
      <c r="Q990">
        <v>35</v>
      </c>
      <c r="R990" s="8">
        <v>2.8275700000000001</v>
      </c>
      <c r="S990">
        <v>9</v>
      </c>
      <c r="T990" s="8">
        <f t="shared" si="109"/>
        <v>0.25714285714285712</v>
      </c>
      <c r="U990" s="8">
        <v>2.8438400000000001</v>
      </c>
      <c r="V990">
        <v>16</v>
      </c>
      <c r="W990" s="8">
        <f t="shared" si="110"/>
        <v>0.45714285714285713</v>
      </c>
      <c r="X990" s="8">
        <v>2.8115000000000001</v>
      </c>
      <c r="Y990">
        <v>10</v>
      </c>
      <c r="Z990" s="8">
        <f t="shared" si="111"/>
        <v>0.2857142857142857</v>
      </c>
      <c r="AA990" s="8">
        <v>2.83866</v>
      </c>
    </row>
    <row r="991" spans="2:27" ht="15" customHeight="1" x14ac:dyDescent="0.25">
      <c r="B991" s="32">
        <v>519</v>
      </c>
      <c r="C991" s="1">
        <v>-12363.290644999999</v>
      </c>
      <c r="D991" s="2">
        <v>-12364.790815</v>
      </c>
      <c r="F991" s="3">
        <v>0.99713499999999999</v>
      </c>
      <c r="G991" s="2">
        <v>0.197319999999999</v>
      </c>
      <c r="H991">
        <v>7</v>
      </c>
      <c r="I991">
        <v>6</v>
      </c>
      <c r="K991" s="8">
        <f t="shared" si="105"/>
        <v>-0.84797576923119777</v>
      </c>
      <c r="L991" s="8">
        <f t="shared" si="106"/>
        <v>-6.5228905325476746E-2</v>
      </c>
      <c r="M991" s="8">
        <f t="shared" si="107"/>
        <v>-0.92202315384565736</v>
      </c>
      <c r="N991" s="8">
        <f t="shared" si="108"/>
        <v>-7.092485798812749E-2</v>
      </c>
      <c r="O991" s="8"/>
      <c r="P991" t="s">
        <v>1278</v>
      </c>
      <c r="Q991">
        <v>34</v>
      </c>
      <c r="R991" s="8">
        <v>2.8164400000000001</v>
      </c>
      <c r="S991">
        <v>8</v>
      </c>
      <c r="T991" s="8">
        <f t="shared" si="109"/>
        <v>0.23529411764705882</v>
      </c>
      <c r="U991" s="8">
        <v>2.8036300000000001</v>
      </c>
      <c r="V991">
        <v>15</v>
      </c>
      <c r="W991" s="8">
        <f t="shared" si="110"/>
        <v>0.44117647058823528</v>
      </c>
      <c r="X991" s="8">
        <v>2.81887</v>
      </c>
      <c r="Y991">
        <v>11</v>
      </c>
      <c r="Z991" s="8">
        <f t="shared" si="111"/>
        <v>0.3235294117647059</v>
      </c>
      <c r="AA991" s="8">
        <v>2.8224499999999999</v>
      </c>
    </row>
    <row r="992" spans="2:27" ht="15" customHeight="1" x14ac:dyDescent="0.25">
      <c r="B992">
        <v>654</v>
      </c>
      <c r="C992" s="1">
        <v>-12363.215391</v>
      </c>
      <c r="D992" s="2">
        <v>-12364.789527999999</v>
      </c>
      <c r="F992" s="3">
        <v>0.99346199999999996</v>
      </c>
      <c r="G992" s="2">
        <v>0.17316999999999899</v>
      </c>
      <c r="H992">
        <v>7</v>
      </c>
      <c r="I992">
        <v>6</v>
      </c>
      <c r="K992" s="8">
        <f t="shared" si="105"/>
        <v>-0.77272176923179359</v>
      </c>
      <c r="L992" s="8">
        <f t="shared" si="106"/>
        <v>-5.9440136094753356E-2</v>
      </c>
      <c r="M992" s="8">
        <f t="shared" si="107"/>
        <v>-0.92073615384470031</v>
      </c>
      <c r="N992" s="8">
        <f t="shared" si="108"/>
        <v>-7.0825857988053867E-2</v>
      </c>
      <c r="O992" s="8"/>
      <c r="P992" t="s">
        <v>1279</v>
      </c>
      <c r="Q992">
        <v>35</v>
      </c>
      <c r="R992" s="8">
        <v>2.83264</v>
      </c>
      <c r="S992">
        <v>8</v>
      </c>
      <c r="T992" s="8">
        <f t="shared" si="109"/>
        <v>0.22857142857142856</v>
      </c>
      <c r="U992" s="8">
        <v>2.8378800000000002</v>
      </c>
      <c r="V992">
        <v>17</v>
      </c>
      <c r="W992" s="8">
        <f t="shared" si="110"/>
        <v>0.48571428571428571</v>
      </c>
      <c r="X992" s="8">
        <v>2.82368</v>
      </c>
      <c r="Y992">
        <v>10</v>
      </c>
      <c r="Z992" s="8">
        <f t="shared" si="111"/>
        <v>0.2857142857142857</v>
      </c>
      <c r="AA992" s="8">
        <v>2.8437000000000001</v>
      </c>
    </row>
    <row r="993" spans="2:27" ht="15" customHeight="1" x14ac:dyDescent="0.25">
      <c r="B993">
        <v>602</v>
      </c>
      <c r="C993" s="1">
        <v>-12363.209078</v>
      </c>
      <c r="D993" s="2">
        <v>-12364.789092000001</v>
      </c>
      <c r="F993" s="3">
        <v>0.99664699999999995</v>
      </c>
      <c r="G993" s="2">
        <v>0.18845999999999899</v>
      </c>
      <c r="H993">
        <v>7</v>
      </c>
      <c r="I993">
        <v>6</v>
      </c>
      <c r="K993" s="8">
        <f t="shared" si="105"/>
        <v>-0.76640876923192991</v>
      </c>
      <c r="L993" s="8">
        <f t="shared" si="106"/>
        <v>-5.8954520710148457E-2</v>
      </c>
      <c r="M993" s="8">
        <f t="shared" si="107"/>
        <v>-0.92030015384625585</v>
      </c>
      <c r="N993" s="8">
        <f t="shared" si="108"/>
        <v>-7.0792319526635061E-2</v>
      </c>
      <c r="O993" s="8"/>
      <c r="P993" t="s">
        <v>1280</v>
      </c>
      <c r="Q993">
        <v>33</v>
      </c>
      <c r="R993" s="8">
        <v>2.80742</v>
      </c>
      <c r="S993">
        <v>8</v>
      </c>
      <c r="T993" s="8">
        <f t="shared" si="109"/>
        <v>0.24242424242424243</v>
      </c>
      <c r="U993" s="8">
        <v>2.8371599999999999</v>
      </c>
      <c r="V993">
        <v>17</v>
      </c>
      <c r="W993" s="8">
        <f t="shared" si="110"/>
        <v>0.51515151515151514</v>
      </c>
      <c r="X993" s="8">
        <v>2.79853</v>
      </c>
      <c r="Y993">
        <v>8</v>
      </c>
      <c r="Z993" s="8">
        <f t="shared" si="111"/>
        <v>0.24242424242424243</v>
      </c>
      <c r="AA993" s="8">
        <v>2.7965599999999999</v>
      </c>
    </row>
    <row r="994" spans="2:27" ht="15" customHeight="1" x14ac:dyDescent="0.25">
      <c r="B994" s="32">
        <v>470</v>
      </c>
      <c r="C994" s="1">
        <v>-12363.444799999999</v>
      </c>
      <c r="D994" s="2">
        <v>-12364.788736</v>
      </c>
      <c r="F994" s="3">
        <v>0.99778100000000003</v>
      </c>
      <c r="G994" s="2">
        <v>0.20402999999999999</v>
      </c>
      <c r="H994">
        <v>7</v>
      </c>
      <c r="I994">
        <v>6</v>
      </c>
      <c r="K994" s="8">
        <f t="shared" si="105"/>
        <v>-1.0021307692313712</v>
      </c>
      <c r="L994" s="8">
        <f t="shared" si="106"/>
        <v>-7.7086982248567013E-2</v>
      </c>
      <c r="M994" s="8">
        <f t="shared" si="107"/>
        <v>-0.91994415384579042</v>
      </c>
      <c r="N994" s="8">
        <f t="shared" si="108"/>
        <v>-7.0764934911214647E-2</v>
      </c>
      <c r="O994" s="8"/>
      <c r="P994" t="s">
        <v>1281</v>
      </c>
      <c r="Q994">
        <v>36</v>
      </c>
      <c r="R994" s="8">
        <v>2.8357700000000001</v>
      </c>
      <c r="S994">
        <v>8</v>
      </c>
      <c r="T994" s="8">
        <f t="shared" si="109"/>
        <v>0.22222222222222221</v>
      </c>
      <c r="U994" s="8">
        <v>2.8887200000000002</v>
      </c>
      <c r="V994">
        <v>20</v>
      </c>
      <c r="W994" s="8">
        <f t="shared" si="110"/>
        <v>0.55555555555555558</v>
      </c>
      <c r="X994" s="8">
        <v>2.8165200000000001</v>
      </c>
      <c r="Y994">
        <v>8</v>
      </c>
      <c r="Z994" s="8">
        <f t="shared" si="111"/>
        <v>0.22222222222222221</v>
      </c>
      <c r="AA994" s="8">
        <v>2.83094</v>
      </c>
    </row>
    <row r="995" spans="2:27" ht="15" customHeight="1" x14ac:dyDescent="0.25">
      <c r="B995" s="32">
        <v>389</v>
      </c>
      <c r="C995" s="1">
        <v>-12363.036599999999</v>
      </c>
      <c r="D995" s="2">
        <v>-12364.788457000001</v>
      </c>
      <c r="F995" s="3">
        <v>0.99399400000000004</v>
      </c>
      <c r="G995" s="2">
        <v>0.17410999999999999</v>
      </c>
      <c r="H995">
        <v>7</v>
      </c>
      <c r="I995">
        <v>6</v>
      </c>
      <c r="K995" s="8">
        <f t="shared" si="105"/>
        <v>-0.59393076923151966</v>
      </c>
      <c r="L995" s="8">
        <f t="shared" si="106"/>
        <v>-4.5686982248578437E-2</v>
      </c>
      <c r="M995" s="8">
        <f t="shared" si="107"/>
        <v>-0.9196651538459264</v>
      </c>
      <c r="N995" s="8">
        <f t="shared" si="108"/>
        <v>-7.0743473372763571E-2</v>
      </c>
      <c r="O995" s="8"/>
      <c r="P995" t="s">
        <v>1282</v>
      </c>
      <c r="Q995">
        <v>35</v>
      </c>
      <c r="R995" s="8">
        <v>2.8242500000000001</v>
      </c>
      <c r="S995">
        <v>8</v>
      </c>
      <c r="T995" s="8">
        <f t="shared" si="109"/>
        <v>0.22857142857142856</v>
      </c>
      <c r="U995" s="8">
        <v>2.8300800000000002</v>
      </c>
      <c r="V995">
        <v>19</v>
      </c>
      <c r="W995" s="8">
        <f t="shared" si="110"/>
        <v>0.54285714285714282</v>
      </c>
      <c r="X995" s="8">
        <v>2.8192300000000001</v>
      </c>
      <c r="Y995">
        <v>8</v>
      </c>
      <c r="Z995" s="8">
        <f t="shared" si="111"/>
        <v>0.22857142857142856</v>
      </c>
      <c r="AA995" s="8">
        <v>2.83033</v>
      </c>
    </row>
    <row r="996" spans="2:27" ht="15" customHeight="1" x14ac:dyDescent="0.25">
      <c r="B996" s="32">
        <v>372</v>
      </c>
      <c r="C996" s="1">
        <v>-12363.132799999999</v>
      </c>
      <c r="D996" s="2">
        <v>-12364.788259999999</v>
      </c>
      <c r="F996" s="3">
        <v>0.99399400000000004</v>
      </c>
      <c r="G996" s="2">
        <v>0.17415</v>
      </c>
      <c r="H996">
        <v>7</v>
      </c>
      <c r="I996">
        <v>6</v>
      </c>
      <c r="K996" s="8">
        <f t="shared" si="105"/>
        <v>-0.6901307692314731</v>
      </c>
      <c r="L996" s="8">
        <f t="shared" si="106"/>
        <v>-5.3086982248574853E-2</v>
      </c>
      <c r="M996" s="8">
        <f t="shared" si="107"/>
        <v>-0.91946815384471847</v>
      </c>
      <c r="N996" s="8">
        <f t="shared" si="108"/>
        <v>-7.07283195265168E-2</v>
      </c>
      <c r="O996" s="8"/>
      <c r="P996" t="s">
        <v>1283</v>
      </c>
      <c r="Q996">
        <v>35</v>
      </c>
      <c r="R996" s="8">
        <v>2.8293499999999998</v>
      </c>
      <c r="S996">
        <v>9</v>
      </c>
      <c r="T996" s="8">
        <f t="shared" si="109"/>
        <v>0.25714285714285712</v>
      </c>
      <c r="U996" s="8">
        <v>2.8951500000000001</v>
      </c>
      <c r="V996">
        <v>19</v>
      </c>
      <c r="W996" s="8">
        <f t="shared" si="110"/>
        <v>0.54285714285714282</v>
      </c>
      <c r="X996" s="8">
        <v>2.8068300000000002</v>
      </c>
      <c r="Y996">
        <v>7</v>
      </c>
      <c r="Z996" s="8">
        <f t="shared" si="111"/>
        <v>0.2</v>
      </c>
      <c r="AA996" s="8">
        <v>2.8058700000000001</v>
      </c>
    </row>
    <row r="997" spans="2:27" ht="15" customHeight="1" x14ac:dyDescent="0.25">
      <c r="B997">
        <v>622</v>
      </c>
      <c r="C997" s="1">
        <v>-12363.223438000001</v>
      </c>
      <c r="D997" s="2">
        <v>-12364.785072999999</v>
      </c>
      <c r="F997" s="3">
        <v>0.99579200000000001</v>
      </c>
      <c r="G997" s="2">
        <v>0.18045999999999901</v>
      </c>
      <c r="H997">
        <v>7</v>
      </c>
      <c r="I997">
        <v>6</v>
      </c>
      <c r="K997" s="8">
        <f t="shared" si="105"/>
        <v>-0.78076876923296368</v>
      </c>
      <c r="L997" s="8">
        <f t="shared" si="106"/>
        <v>-6.0059136094843361E-2</v>
      </c>
      <c r="M997" s="8">
        <f t="shared" si="107"/>
        <v>-0.91628115384446573</v>
      </c>
      <c r="N997" s="8">
        <f t="shared" si="108"/>
        <v>-7.0483165680343518E-2</v>
      </c>
      <c r="O997" s="8"/>
      <c r="P997" t="s">
        <v>1284</v>
      </c>
      <c r="Q997">
        <v>34</v>
      </c>
      <c r="R997" s="8">
        <v>2.8264399999999998</v>
      </c>
      <c r="S997">
        <v>8</v>
      </c>
      <c r="T997" s="8">
        <f t="shared" si="109"/>
        <v>0.23529411764705882</v>
      </c>
      <c r="U997" s="8">
        <v>2.8289599999999999</v>
      </c>
      <c r="V997">
        <v>15</v>
      </c>
      <c r="W997" s="8">
        <f t="shared" si="110"/>
        <v>0.44117647058823528</v>
      </c>
      <c r="X997" s="8">
        <v>2.76627</v>
      </c>
      <c r="Y997">
        <v>11</v>
      </c>
      <c r="Z997" s="8">
        <f t="shared" si="111"/>
        <v>0.3235294117647059</v>
      </c>
      <c r="AA997" s="8">
        <v>2.90665</v>
      </c>
    </row>
    <row r="998" spans="2:27" ht="15" customHeight="1" x14ac:dyDescent="0.25">
      <c r="B998" s="32">
        <v>495</v>
      </c>
      <c r="C998" s="1">
        <v>-12363.135899999999</v>
      </c>
      <c r="D998" s="2">
        <v>-12364.783896000001</v>
      </c>
      <c r="F998" s="3">
        <v>0.991753</v>
      </c>
      <c r="G998" s="2">
        <v>0.164579999999999</v>
      </c>
      <c r="H998">
        <v>7</v>
      </c>
      <c r="I998">
        <v>6</v>
      </c>
      <c r="K998" s="8">
        <f t="shared" si="105"/>
        <v>-0.69323076923137705</v>
      </c>
      <c r="L998" s="8">
        <f t="shared" si="106"/>
        <v>-5.3325443787029005E-2</v>
      </c>
      <c r="M998" s="8">
        <f t="shared" si="107"/>
        <v>-0.91510415384618682</v>
      </c>
      <c r="N998" s="8">
        <f t="shared" si="108"/>
        <v>-7.0392627218937451E-2</v>
      </c>
      <c r="O998" s="8"/>
      <c r="P998" t="s">
        <v>1285</v>
      </c>
      <c r="Q998">
        <v>35</v>
      </c>
      <c r="R998" s="8">
        <v>2.8228599999999999</v>
      </c>
      <c r="S998">
        <v>7</v>
      </c>
      <c r="T998" s="8">
        <f t="shared" si="109"/>
        <v>0.2</v>
      </c>
      <c r="U998" s="8">
        <v>2.8386499999999999</v>
      </c>
      <c r="V998">
        <v>20</v>
      </c>
      <c r="W998" s="8">
        <f t="shared" si="110"/>
        <v>0.5714285714285714</v>
      </c>
      <c r="X998" s="8">
        <v>2.8086199999999999</v>
      </c>
      <c r="Y998">
        <v>8</v>
      </c>
      <c r="Z998" s="8">
        <f t="shared" si="111"/>
        <v>0.22857142857142856</v>
      </c>
      <c r="AA998" s="8">
        <v>2.84463</v>
      </c>
    </row>
    <row r="999" spans="2:27" ht="15" customHeight="1" x14ac:dyDescent="0.25">
      <c r="B999" s="32">
        <v>311</v>
      </c>
      <c r="C999" s="1">
        <v>-12363.229499999999</v>
      </c>
      <c r="D999" s="2">
        <v>-12364.783794000001</v>
      </c>
      <c r="F999" s="3">
        <v>0.99640600000000001</v>
      </c>
      <c r="G999" s="2">
        <v>0.18959999999999999</v>
      </c>
      <c r="H999">
        <v>7</v>
      </c>
      <c r="I999">
        <v>6</v>
      </c>
      <c r="K999" s="8">
        <f t="shared" si="105"/>
        <v>-0.78683076923152839</v>
      </c>
      <c r="L999" s="8">
        <f t="shared" si="106"/>
        <v>-6.0525443787040646E-2</v>
      </c>
      <c r="M999" s="8">
        <f t="shared" si="107"/>
        <v>-0.91500215384621697</v>
      </c>
      <c r="N999" s="8">
        <f t="shared" si="108"/>
        <v>-7.0384781065093618E-2</v>
      </c>
      <c r="O999" s="8"/>
      <c r="P999" t="s">
        <v>1286</v>
      </c>
      <c r="Q999">
        <v>36</v>
      </c>
      <c r="R999" s="8">
        <v>2.835</v>
      </c>
      <c r="S999">
        <v>7</v>
      </c>
      <c r="T999" s="8">
        <f t="shared" si="109"/>
        <v>0.19444444444444445</v>
      </c>
      <c r="U999" s="8">
        <v>2.8371</v>
      </c>
      <c r="V999">
        <v>20</v>
      </c>
      <c r="W999" s="8">
        <f t="shared" si="110"/>
        <v>0.55555555555555558</v>
      </c>
      <c r="X999" s="8">
        <v>2.8494600000000001</v>
      </c>
      <c r="Y999">
        <v>9</v>
      </c>
      <c r="Z999" s="8">
        <f t="shared" si="111"/>
        <v>0.25</v>
      </c>
      <c r="AA999" s="8">
        <v>2.8012100000000002</v>
      </c>
    </row>
    <row r="1000" spans="2:27" ht="15" customHeight="1" x14ac:dyDescent="0.25">
      <c r="B1000" s="32">
        <v>352</v>
      </c>
      <c r="C1000" s="1">
        <v>-12363.220499999999</v>
      </c>
      <c r="D1000" s="2">
        <v>-12364.782365999999</v>
      </c>
      <c r="F1000" s="3">
        <v>0.99739299999999997</v>
      </c>
      <c r="G1000" s="2">
        <v>0.19932</v>
      </c>
      <c r="H1000">
        <v>7</v>
      </c>
      <c r="I1000">
        <v>6</v>
      </c>
      <c r="K1000" s="8">
        <f t="shared" si="105"/>
        <v>-0.77783076923151384</v>
      </c>
      <c r="L1000" s="8">
        <f t="shared" si="106"/>
        <v>-5.9833136094731836E-2</v>
      </c>
      <c r="M1000" s="8">
        <f t="shared" si="107"/>
        <v>-0.9135741538448201</v>
      </c>
      <c r="N1000" s="8">
        <f t="shared" si="108"/>
        <v>-7.0274934911140008E-2</v>
      </c>
      <c r="O1000" s="8"/>
      <c r="P1000" t="s">
        <v>1287</v>
      </c>
      <c r="Q1000">
        <v>35</v>
      </c>
      <c r="R1000" s="8">
        <v>2.8285499999999999</v>
      </c>
      <c r="S1000">
        <v>9</v>
      </c>
      <c r="T1000" s="8">
        <f t="shared" si="109"/>
        <v>0.25714285714285712</v>
      </c>
      <c r="U1000" s="8">
        <v>2.8980000000000001</v>
      </c>
      <c r="V1000">
        <v>18</v>
      </c>
      <c r="W1000" s="8">
        <f t="shared" si="110"/>
        <v>0.51428571428571423</v>
      </c>
      <c r="X1000" s="8">
        <v>2.7925200000000001</v>
      </c>
      <c r="Y1000">
        <v>8</v>
      </c>
      <c r="Z1000" s="8">
        <f t="shared" si="111"/>
        <v>0.22857142857142856</v>
      </c>
      <c r="AA1000" s="8">
        <v>2.8314900000000001</v>
      </c>
    </row>
    <row r="1001" spans="2:27" ht="15" customHeight="1" x14ac:dyDescent="0.25">
      <c r="B1001" s="32">
        <v>350</v>
      </c>
      <c r="C1001" s="1">
        <v>-12363.2744</v>
      </c>
      <c r="D1001" s="2">
        <v>-12364.780612</v>
      </c>
      <c r="F1001" s="3">
        <v>0.99481399999999998</v>
      </c>
      <c r="G1001" s="2">
        <v>0.17856</v>
      </c>
      <c r="H1001">
        <v>7</v>
      </c>
      <c r="I1001">
        <v>6</v>
      </c>
      <c r="K1001" s="8">
        <f t="shared" si="105"/>
        <v>-0.83173076923230838</v>
      </c>
      <c r="L1001" s="8">
        <f t="shared" si="106"/>
        <v>-6.3979289940946801E-2</v>
      </c>
      <c r="M1001" s="8">
        <f t="shared" si="107"/>
        <v>-0.91182015384583792</v>
      </c>
      <c r="N1001" s="8">
        <f t="shared" si="108"/>
        <v>-7.0140011834295218E-2</v>
      </c>
      <c r="O1001" s="8"/>
      <c r="P1001" t="s">
        <v>1288</v>
      </c>
      <c r="Q1001">
        <v>35</v>
      </c>
      <c r="R1001" s="8">
        <v>2.8258299999999998</v>
      </c>
      <c r="S1001">
        <v>8</v>
      </c>
      <c r="T1001" s="8">
        <f t="shared" si="109"/>
        <v>0.22857142857142856</v>
      </c>
      <c r="U1001" s="8">
        <v>2.8618700000000001</v>
      </c>
      <c r="V1001">
        <v>18</v>
      </c>
      <c r="W1001" s="8">
        <f t="shared" si="110"/>
        <v>0.51428571428571423</v>
      </c>
      <c r="X1001" s="8">
        <v>2.8033999999999999</v>
      </c>
      <c r="Y1001">
        <v>9</v>
      </c>
      <c r="Z1001" s="8">
        <f t="shared" si="111"/>
        <v>0.25714285714285712</v>
      </c>
      <c r="AA1001" s="8">
        <v>2.83866</v>
      </c>
    </row>
    <row r="1002" spans="2:27" ht="15" customHeight="1" x14ac:dyDescent="0.25">
      <c r="B1002" s="32">
        <v>463</v>
      </c>
      <c r="C1002" s="1">
        <v>-12363.4058</v>
      </c>
      <c r="D1002" s="2">
        <v>-12364.780575999999</v>
      </c>
      <c r="F1002" s="3">
        <v>0.99524999999999997</v>
      </c>
      <c r="G1002" s="2">
        <v>0.18121999999999999</v>
      </c>
      <c r="H1002">
        <v>7</v>
      </c>
      <c r="I1002">
        <v>6</v>
      </c>
      <c r="K1002" s="8">
        <f t="shared" si="105"/>
        <v>-0.96313076923252083</v>
      </c>
      <c r="L1002" s="8">
        <f t="shared" si="106"/>
        <v>-7.4086982248655453E-2</v>
      </c>
      <c r="M1002" s="8">
        <f t="shared" si="107"/>
        <v>-0.91178415384456457</v>
      </c>
      <c r="N1002" s="8">
        <f t="shared" si="108"/>
        <v>-7.0137242603428046E-2</v>
      </c>
      <c r="O1002" s="8"/>
      <c r="P1002" t="s">
        <v>1289</v>
      </c>
      <c r="Q1002">
        <v>36</v>
      </c>
      <c r="R1002" s="8">
        <v>2.8391500000000001</v>
      </c>
      <c r="S1002">
        <v>8</v>
      </c>
      <c r="T1002" s="8">
        <f t="shared" si="109"/>
        <v>0.22222222222222221</v>
      </c>
      <c r="U1002" s="8">
        <v>2.8986499999999999</v>
      </c>
      <c r="V1002">
        <v>20</v>
      </c>
      <c r="W1002" s="8">
        <f t="shared" si="110"/>
        <v>0.55555555555555558</v>
      </c>
      <c r="X1002" s="8">
        <v>2.8133400000000002</v>
      </c>
      <c r="Y1002">
        <v>8</v>
      </c>
      <c r="Z1002" s="8">
        <f t="shared" si="111"/>
        <v>0.22222222222222221</v>
      </c>
      <c r="AA1002" s="8">
        <v>2.8441700000000001</v>
      </c>
    </row>
    <row r="1003" spans="2:27" ht="15" customHeight="1" x14ac:dyDescent="0.25">
      <c r="B1003">
        <v>566</v>
      </c>
      <c r="C1003" s="1">
        <v>-12363.448517999999</v>
      </c>
      <c r="D1003" s="2">
        <v>-12364.780355999999</v>
      </c>
      <c r="F1003" s="3">
        <v>0.99774099999999999</v>
      </c>
      <c r="G1003" s="2">
        <v>0.19295000000000001</v>
      </c>
      <c r="H1003">
        <v>7</v>
      </c>
      <c r="I1003">
        <v>6</v>
      </c>
      <c r="K1003" s="8">
        <f t="shared" si="105"/>
        <v>-1.0058487692313065</v>
      </c>
      <c r="L1003" s="8">
        <f t="shared" si="106"/>
        <v>-7.7372982248562039E-2</v>
      </c>
      <c r="M1003" s="8">
        <f t="shared" si="107"/>
        <v>-0.91156415384466527</v>
      </c>
      <c r="N1003" s="8">
        <f t="shared" si="108"/>
        <v>-7.0120319526512709E-2</v>
      </c>
      <c r="O1003" s="8"/>
      <c r="P1003" t="s">
        <v>1290</v>
      </c>
      <c r="Q1003">
        <v>34</v>
      </c>
      <c r="R1003" s="8">
        <v>2.81732</v>
      </c>
      <c r="S1003">
        <v>5</v>
      </c>
      <c r="T1003" s="8">
        <f t="shared" si="109"/>
        <v>0.14705882352941177</v>
      </c>
      <c r="U1003" s="8">
        <v>2.8210700000000002</v>
      </c>
      <c r="V1003">
        <v>20</v>
      </c>
      <c r="W1003" s="8">
        <f t="shared" si="110"/>
        <v>0.58823529411764708</v>
      </c>
      <c r="X1003" s="8">
        <v>2.79501</v>
      </c>
      <c r="Y1003">
        <v>9</v>
      </c>
      <c r="Z1003" s="8">
        <f t="shared" si="111"/>
        <v>0.26470588235294118</v>
      </c>
      <c r="AA1003" s="8">
        <v>2.8648099999999999</v>
      </c>
    </row>
    <row r="1004" spans="2:27" ht="15" customHeight="1" x14ac:dyDescent="0.25">
      <c r="B1004" s="32">
        <v>340</v>
      </c>
      <c r="C1004" s="1">
        <v>-12363.2312</v>
      </c>
      <c r="D1004" s="2">
        <v>-12364.779785000001</v>
      </c>
      <c r="F1004" s="3">
        <v>0.99568299999999998</v>
      </c>
      <c r="G1004" s="2">
        <v>0.18412000000000001</v>
      </c>
      <c r="H1004">
        <v>7</v>
      </c>
      <c r="I1004">
        <v>6</v>
      </c>
      <c r="K1004" s="8">
        <f t="shared" si="105"/>
        <v>-0.78853076923223853</v>
      </c>
      <c r="L1004" s="8">
        <f t="shared" si="106"/>
        <v>-6.0656213017864502E-2</v>
      </c>
      <c r="M1004" s="8">
        <f t="shared" si="107"/>
        <v>-0.91099315384599322</v>
      </c>
      <c r="N1004" s="8">
        <f t="shared" si="108"/>
        <v>-7.0076396449691783E-2</v>
      </c>
      <c r="O1004" s="8"/>
      <c r="P1004" t="s">
        <v>1291</v>
      </c>
      <c r="Q1004">
        <v>34</v>
      </c>
      <c r="R1004" s="8">
        <v>2.8237800000000002</v>
      </c>
      <c r="S1004">
        <v>10</v>
      </c>
      <c r="T1004" s="8">
        <f t="shared" si="109"/>
        <v>0.29411764705882354</v>
      </c>
      <c r="U1004" s="8">
        <v>2.8765900000000002</v>
      </c>
      <c r="V1004">
        <v>16</v>
      </c>
      <c r="W1004" s="8">
        <f t="shared" si="110"/>
        <v>0.47058823529411764</v>
      </c>
      <c r="X1004" s="8">
        <v>2.7936999999999999</v>
      </c>
      <c r="Y1004">
        <v>8</v>
      </c>
      <c r="Z1004" s="8">
        <f t="shared" si="111"/>
        <v>0.23529411764705882</v>
      </c>
      <c r="AA1004" s="8">
        <v>2.81793</v>
      </c>
    </row>
    <row r="1005" spans="2:27" ht="15" customHeight="1" x14ac:dyDescent="0.25">
      <c r="B1005" s="32">
        <v>358</v>
      </c>
      <c r="C1005" s="1">
        <v>-12363.2376</v>
      </c>
      <c r="D1005" s="2">
        <v>-12364.777743000001</v>
      </c>
      <c r="F1005" s="3">
        <v>0.99668599999999996</v>
      </c>
      <c r="G1005" s="2">
        <v>0.19200999999999899</v>
      </c>
      <c r="H1005">
        <v>7</v>
      </c>
      <c r="I1005">
        <v>6</v>
      </c>
      <c r="K1005" s="8">
        <f t="shared" si="105"/>
        <v>-0.79493076923245098</v>
      </c>
      <c r="L1005" s="8">
        <f t="shared" si="106"/>
        <v>-6.1148520710188538E-2</v>
      </c>
      <c r="M1005" s="8">
        <f t="shared" si="107"/>
        <v>-0.90895115384591918</v>
      </c>
      <c r="N1005" s="8">
        <f t="shared" si="108"/>
        <v>-6.9919319526609167E-2</v>
      </c>
      <c r="O1005" s="8"/>
      <c r="P1005" t="s">
        <v>1292</v>
      </c>
      <c r="Q1005">
        <v>35</v>
      </c>
      <c r="R1005" s="8">
        <v>2.82972</v>
      </c>
      <c r="S1005">
        <v>8</v>
      </c>
      <c r="T1005" s="8">
        <f t="shared" si="109"/>
        <v>0.22857142857142856</v>
      </c>
      <c r="U1005" s="8">
        <v>2.8616700000000002</v>
      </c>
      <c r="V1005">
        <v>18</v>
      </c>
      <c r="W1005" s="8">
        <f t="shared" si="110"/>
        <v>0.51428571428571423</v>
      </c>
      <c r="X1005" s="8">
        <v>2.8232900000000001</v>
      </c>
      <c r="Y1005">
        <v>9</v>
      </c>
      <c r="Z1005" s="8">
        <f t="shared" si="111"/>
        <v>0.25714285714285712</v>
      </c>
      <c r="AA1005" s="8">
        <v>2.8142</v>
      </c>
    </row>
    <row r="1006" spans="2:27" ht="15" customHeight="1" x14ac:dyDescent="0.25">
      <c r="B1006">
        <v>525</v>
      </c>
      <c r="C1006" s="1">
        <v>-12363.406262</v>
      </c>
      <c r="D1006" s="2">
        <v>-12364.773773000001</v>
      </c>
      <c r="F1006" s="3">
        <v>0.99174200000000001</v>
      </c>
      <c r="G1006" s="2">
        <v>0.16758000000000001</v>
      </c>
      <c r="H1006">
        <v>7</v>
      </c>
      <c r="I1006">
        <v>6</v>
      </c>
      <c r="K1006" s="8">
        <f t="shared" si="105"/>
        <v>-0.96359276923249126</v>
      </c>
      <c r="L1006" s="8">
        <f t="shared" si="106"/>
        <v>-7.4122520710191639E-2</v>
      </c>
      <c r="M1006" s="8">
        <f t="shared" si="107"/>
        <v>-0.9049811538461654</v>
      </c>
      <c r="N1006" s="8">
        <f t="shared" si="108"/>
        <v>-6.9613934911243486E-2</v>
      </c>
      <c r="O1006" s="8"/>
      <c r="P1006" t="s">
        <v>1293</v>
      </c>
      <c r="Q1006">
        <v>32</v>
      </c>
      <c r="R1006" s="8">
        <v>2.8014800000000002</v>
      </c>
      <c r="S1006">
        <v>7</v>
      </c>
      <c r="T1006" s="8">
        <f t="shared" si="109"/>
        <v>0.21875</v>
      </c>
      <c r="U1006" s="8">
        <v>2.8156599999999998</v>
      </c>
      <c r="V1006">
        <v>16</v>
      </c>
      <c r="W1006" s="8">
        <f t="shared" si="110"/>
        <v>0.5</v>
      </c>
      <c r="X1006" s="8">
        <v>2.7764700000000002</v>
      </c>
      <c r="Y1006">
        <v>9</v>
      </c>
      <c r="Z1006" s="8">
        <f t="shared" si="111"/>
        <v>0.28125</v>
      </c>
      <c r="AA1006" s="8">
        <v>2.8349199999999999</v>
      </c>
    </row>
    <row r="1007" spans="2:27" ht="15" customHeight="1" x14ac:dyDescent="0.25">
      <c r="B1007">
        <v>633</v>
      </c>
      <c r="C1007" s="1">
        <v>-12363.353025</v>
      </c>
      <c r="D1007" s="2">
        <v>-12364.772177999999</v>
      </c>
      <c r="F1007" s="3">
        <v>0.99836499999999995</v>
      </c>
      <c r="G1007" s="2">
        <v>0.19991</v>
      </c>
      <c r="H1007">
        <v>7</v>
      </c>
      <c r="I1007">
        <v>6</v>
      </c>
      <c r="K1007" s="8">
        <f t="shared" si="105"/>
        <v>-0.91035576923241024</v>
      </c>
      <c r="L1007" s="8">
        <f t="shared" si="106"/>
        <v>-7.0027366864031562E-2</v>
      </c>
      <c r="M1007" s="8">
        <f t="shared" si="107"/>
        <v>-0.90338615384462173</v>
      </c>
      <c r="N1007" s="8">
        <f t="shared" si="108"/>
        <v>-6.9491242603432438E-2</v>
      </c>
      <c r="O1007" s="8"/>
      <c r="P1007" t="s">
        <v>1294</v>
      </c>
      <c r="Q1007">
        <v>35</v>
      </c>
      <c r="R1007" s="8">
        <v>2.8289399999999998</v>
      </c>
      <c r="S1007">
        <v>9</v>
      </c>
      <c r="T1007" s="8">
        <f t="shared" si="109"/>
        <v>0.25714285714285712</v>
      </c>
      <c r="U1007" s="8">
        <v>2.8593999999999999</v>
      </c>
      <c r="V1007">
        <v>18</v>
      </c>
      <c r="W1007" s="8">
        <f t="shared" si="110"/>
        <v>0.51428571428571423</v>
      </c>
      <c r="X1007" s="8">
        <v>2.8209599999999999</v>
      </c>
      <c r="Y1007">
        <v>8</v>
      </c>
      <c r="Z1007" s="8">
        <f t="shared" si="111"/>
        <v>0.22857142857142856</v>
      </c>
      <c r="AA1007" s="8">
        <v>2.81263</v>
      </c>
    </row>
    <row r="1008" spans="2:27" ht="15" customHeight="1" x14ac:dyDescent="0.25">
      <c r="B1008" s="32">
        <v>321</v>
      </c>
      <c r="C1008" s="1">
        <v>-12363.155000000001</v>
      </c>
      <c r="D1008" s="2">
        <v>-12364.771819</v>
      </c>
      <c r="F1008" s="3">
        <v>0.99730399999999997</v>
      </c>
      <c r="G1008" s="2">
        <v>0.19267000000000001</v>
      </c>
      <c r="H1008">
        <v>7</v>
      </c>
      <c r="I1008">
        <v>6</v>
      </c>
      <c r="K1008" s="8">
        <f t="shared" si="105"/>
        <v>-0.71233076923272165</v>
      </c>
      <c r="L1008" s="8">
        <f t="shared" si="106"/>
        <v>-5.4794674556363207E-2</v>
      </c>
      <c r="M1008" s="8">
        <f t="shared" si="107"/>
        <v>-0.90302715384495968</v>
      </c>
      <c r="N1008" s="8">
        <f t="shared" si="108"/>
        <v>-6.9463627218843055E-2</v>
      </c>
      <c r="O1008" s="8"/>
      <c r="P1008" t="s">
        <v>1295</v>
      </c>
      <c r="Q1008">
        <v>36</v>
      </c>
      <c r="R1008" s="8">
        <v>2.8408799999999998</v>
      </c>
      <c r="S1008">
        <v>9</v>
      </c>
      <c r="T1008" s="8">
        <f t="shared" si="109"/>
        <v>0.25</v>
      </c>
      <c r="U1008" s="8">
        <v>2.87262</v>
      </c>
      <c r="V1008">
        <v>19</v>
      </c>
      <c r="W1008" s="8">
        <f t="shared" si="110"/>
        <v>0.52777777777777779</v>
      </c>
      <c r="X1008" s="8">
        <v>2.8324400000000001</v>
      </c>
      <c r="Y1008">
        <v>8</v>
      </c>
      <c r="Z1008" s="8">
        <f t="shared" si="111"/>
        <v>0.22222222222222221</v>
      </c>
      <c r="AA1008" s="8">
        <v>2.8252100000000002</v>
      </c>
    </row>
    <row r="1009" spans="2:27" ht="15" customHeight="1" x14ac:dyDescent="0.25">
      <c r="B1009" s="32">
        <v>345</v>
      </c>
      <c r="C1009" s="1">
        <v>-12363.429899999999</v>
      </c>
      <c r="D1009" s="2">
        <v>-12364.76982</v>
      </c>
      <c r="F1009" s="3">
        <v>0.99572099999999997</v>
      </c>
      <c r="G1009" s="2">
        <v>0.18434999999999899</v>
      </c>
      <c r="H1009">
        <v>7</v>
      </c>
      <c r="I1009">
        <v>6</v>
      </c>
      <c r="K1009" s="8">
        <f t="shared" si="105"/>
        <v>-0.98723076923124609</v>
      </c>
      <c r="L1009" s="8">
        <f t="shared" si="106"/>
        <v>-7.5940828402403543E-2</v>
      </c>
      <c r="M1009" s="8">
        <f t="shared" si="107"/>
        <v>-0.90102815384489077</v>
      </c>
      <c r="N1009" s="8">
        <f t="shared" si="108"/>
        <v>-6.9309857988068518E-2</v>
      </c>
      <c r="O1009" s="8"/>
      <c r="P1009" t="s">
        <v>1296</v>
      </c>
      <c r="Q1009">
        <v>35</v>
      </c>
      <c r="R1009" s="8">
        <v>2.8265500000000001</v>
      </c>
      <c r="S1009">
        <v>7</v>
      </c>
      <c r="T1009" s="8">
        <f t="shared" si="109"/>
        <v>0.2</v>
      </c>
      <c r="U1009" s="8">
        <v>2.83318</v>
      </c>
      <c r="V1009">
        <v>18</v>
      </c>
      <c r="W1009" s="8">
        <f t="shared" si="110"/>
        <v>0.51428571428571423</v>
      </c>
      <c r="X1009" s="8">
        <v>2.8240400000000001</v>
      </c>
      <c r="Y1009">
        <v>10</v>
      </c>
      <c r="Z1009" s="8">
        <f t="shared" si="111"/>
        <v>0.2857142857142857</v>
      </c>
      <c r="AA1009" s="8">
        <v>2.82646</v>
      </c>
    </row>
    <row r="1010" spans="2:27" ht="15" customHeight="1" x14ac:dyDescent="0.25">
      <c r="B1010" s="32">
        <v>399</v>
      </c>
      <c r="C1010" s="1">
        <v>-12363.146199999999</v>
      </c>
      <c r="D1010" s="2">
        <v>-12364.766847999999</v>
      </c>
      <c r="F1010" s="3">
        <v>0.99547399999999997</v>
      </c>
      <c r="G1010" s="2">
        <v>0.18187</v>
      </c>
      <c r="H1010">
        <v>7</v>
      </c>
      <c r="I1010">
        <v>6</v>
      </c>
      <c r="K1010" s="8">
        <f t="shared" si="105"/>
        <v>-0.70353076923129265</v>
      </c>
      <c r="L1010" s="8">
        <f t="shared" si="106"/>
        <v>-5.4117751479330206E-2</v>
      </c>
      <c r="M1010" s="8">
        <f t="shared" si="107"/>
        <v>-0.89805615384466364</v>
      </c>
      <c r="N1010" s="8">
        <f t="shared" si="108"/>
        <v>-6.9081242603435664E-2</v>
      </c>
      <c r="O1010" s="8"/>
      <c r="P1010" t="s">
        <v>1297</v>
      </c>
      <c r="Q1010">
        <v>35</v>
      </c>
      <c r="R1010" s="8">
        <v>2.82795</v>
      </c>
      <c r="S1010">
        <v>9</v>
      </c>
      <c r="T1010" s="8">
        <f t="shared" si="109"/>
        <v>0.25714285714285712</v>
      </c>
      <c r="U1010" s="8">
        <v>2.88226</v>
      </c>
      <c r="V1010">
        <v>18</v>
      </c>
      <c r="W1010" s="8">
        <f t="shared" si="110"/>
        <v>0.51428571428571423</v>
      </c>
      <c r="X1010" s="8">
        <v>2.8089</v>
      </c>
      <c r="Y1010">
        <v>8</v>
      </c>
      <c r="Z1010" s="8">
        <f t="shared" si="111"/>
        <v>0.22857142857142856</v>
      </c>
      <c r="AA1010" s="8">
        <v>2.8096999999999999</v>
      </c>
    </row>
    <row r="1011" spans="2:27" ht="15" customHeight="1" x14ac:dyDescent="0.25">
      <c r="B1011" s="32">
        <v>486</v>
      </c>
      <c r="C1011" s="1">
        <v>-12363.166499999999</v>
      </c>
      <c r="D1011" s="2">
        <v>-12364.765135</v>
      </c>
      <c r="F1011" s="3">
        <v>0.996618</v>
      </c>
      <c r="G1011" s="2">
        <v>0.19141999999999901</v>
      </c>
      <c r="H1011">
        <v>7</v>
      </c>
      <c r="I1011">
        <v>6</v>
      </c>
      <c r="K1011" s="8">
        <f t="shared" si="105"/>
        <v>-0.72383076923142653</v>
      </c>
      <c r="L1011" s="8">
        <f t="shared" si="106"/>
        <v>-5.5679289940878965E-2</v>
      </c>
      <c r="M1011" s="8">
        <f t="shared" si="107"/>
        <v>-0.89634315384500951</v>
      </c>
      <c r="N1011" s="8">
        <f t="shared" si="108"/>
        <v>-6.894947337269304E-2</v>
      </c>
      <c r="O1011" s="8"/>
      <c r="P1011" t="s">
        <v>1298</v>
      </c>
      <c r="Q1011">
        <v>35</v>
      </c>
      <c r="R1011" s="8">
        <v>2.8263500000000001</v>
      </c>
      <c r="S1011">
        <v>9</v>
      </c>
      <c r="T1011" s="8">
        <f t="shared" si="109"/>
        <v>0.25714285714285712</v>
      </c>
      <c r="U1011" s="8">
        <v>2.86687</v>
      </c>
      <c r="V1011">
        <v>18</v>
      </c>
      <c r="W1011" s="8">
        <f t="shared" si="110"/>
        <v>0.51428571428571423</v>
      </c>
      <c r="X1011" s="8">
        <v>2.81534</v>
      </c>
      <c r="Y1011">
        <v>8</v>
      </c>
      <c r="Z1011" s="8">
        <f t="shared" si="111"/>
        <v>0.22857142857142856</v>
      </c>
      <c r="AA1011" s="8">
        <v>2.8055500000000002</v>
      </c>
    </row>
    <row r="1012" spans="2:27" ht="15" customHeight="1" x14ac:dyDescent="0.25">
      <c r="B1012">
        <v>564</v>
      </c>
      <c r="C1012" s="1">
        <v>-12363.158536999999</v>
      </c>
      <c r="D1012" s="2">
        <v>-12364.76505</v>
      </c>
      <c r="F1012" s="3">
        <v>0.99492400000000003</v>
      </c>
      <c r="G1012" s="2">
        <v>0.17812999999999901</v>
      </c>
      <c r="H1012">
        <v>7</v>
      </c>
      <c r="I1012">
        <v>6</v>
      </c>
      <c r="K1012" s="8">
        <f t="shared" si="105"/>
        <v>-0.7158677692314086</v>
      </c>
      <c r="L1012" s="8">
        <f t="shared" si="106"/>
        <v>-5.5066751479339121E-2</v>
      </c>
      <c r="M1012" s="8">
        <f t="shared" si="107"/>
        <v>-0.8962581538453378</v>
      </c>
      <c r="N1012" s="8">
        <f t="shared" si="108"/>
        <v>-6.8942934911179837E-2</v>
      </c>
      <c r="O1012" s="8"/>
      <c r="P1012" t="s">
        <v>1299</v>
      </c>
      <c r="Q1012">
        <v>34</v>
      </c>
      <c r="R1012" s="8">
        <v>2.8148</v>
      </c>
      <c r="S1012">
        <v>7</v>
      </c>
      <c r="T1012" s="8">
        <f t="shared" si="109"/>
        <v>0.20588235294117646</v>
      </c>
      <c r="U1012" s="8">
        <v>2.8298700000000001</v>
      </c>
      <c r="V1012">
        <v>17</v>
      </c>
      <c r="W1012" s="8">
        <f t="shared" si="110"/>
        <v>0.5</v>
      </c>
      <c r="X1012" s="8">
        <v>2.79251</v>
      </c>
      <c r="Y1012">
        <v>10</v>
      </c>
      <c r="Z1012" s="8">
        <f t="shared" si="111"/>
        <v>0.29411764705882354</v>
      </c>
      <c r="AA1012" s="8">
        <v>2.8421400000000001</v>
      </c>
    </row>
    <row r="1013" spans="2:27" ht="15" customHeight="1" x14ac:dyDescent="0.25">
      <c r="B1013">
        <v>573</v>
      </c>
      <c r="C1013" s="1">
        <v>-12363.419474</v>
      </c>
      <c r="D1013" s="2">
        <v>-12364.764827999999</v>
      </c>
      <c r="F1013" s="3">
        <v>0.99472700000000003</v>
      </c>
      <c r="G1013" s="2">
        <v>0.18079999999999999</v>
      </c>
      <c r="H1013">
        <v>7</v>
      </c>
      <c r="I1013">
        <v>6</v>
      </c>
      <c r="K1013" s="8">
        <f t="shared" si="105"/>
        <v>-0.97680476923233073</v>
      </c>
      <c r="L1013" s="8">
        <f t="shared" si="106"/>
        <v>-7.5138828402486979E-2</v>
      </c>
      <c r="M1013" s="8">
        <f t="shared" si="107"/>
        <v>-0.89603615384476143</v>
      </c>
      <c r="N1013" s="8">
        <f t="shared" si="108"/>
        <v>-6.8925857988058573E-2</v>
      </c>
      <c r="O1013" s="8"/>
      <c r="P1013" t="s">
        <v>1300</v>
      </c>
      <c r="Q1013">
        <v>34</v>
      </c>
      <c r="R1013" s="8">
        <v>2.8149799999999998</v>
      </c>
      <c r="S1013">
        <v>7</v>
      </c>
      <c r="T1013" s="8">
        <f t="shared" si="109"/>
        <v>0.20588235294117646</v>
      </c>
      <c r="U1013" s="8">
        <v>2.8406799999999999</v>
      </c>
      <c r="V1013">
        <v>20</v>
      </c>
      <c r="W1013" s="8">
        <f t="shared" si="110"/>
        <v>0.58823529411764708</v>
      </c>
      <c r="X1013" s="8">
        <v>2.8101099999999999</v>
      </c>
      <c r="Y1013">
        <v>7</v>
      </c>
      <c r="Z1013" s="8">
        <f t="shared" si="111"/>
        <v>0.20588235294117646</v>
      </c>
      <c r="AA1013" s="8">
        <v>2.8031700000000002</v>
      </c>
    </row>
    <row r="1014" spans="2:27" ht="15" customHeight="1" x14ac:dyDescent="0.25">
      <c r="B1014" s="32">
        <v>416</v>
      </c>
      <c r="C1014" s="1">
        <v>-12363.1566</v>
      </c>
      <c r="D1014" s="2">
        <v>-12364.76391</v>
      </c>
      <c r="F1014" s="3">
        <v>0.99809099999999995</v>
      </c>
      <c r="G1014" s="2">
        <v>0.20852999999999999</v>
      </c>
      <c r="H1014">
        <v>7</v>
      </c>
      <c r="I1014">
        <v>6</v>
      </c>
      <c r="K1014" s="8">
        <f t="shared" si="105"/>
        <v>-0.71393076923232002</v>
      </c>
      <c r="L1014" s="8">
        <f t="shared" si="106"/>
        <v>-5.4917751479409235E-2</v>
      </c>
      <c r="M1014" s="8">
        <f t="shared" si="107"/>
        <v>-0.89511815384503279</v>
      </c>
      <c r="N1014" s="8">
        <f t="shared" si="108"/>
        <v>-6.8855242603464067E-2</v>
      </c>
      <c r="O1014" s="8"/>
      <c r="P1014" t="s">
        <v>1301</v>
      </c>
      <c r="Q1014">
        <v>35</v>
      </c>
      <c r="R1014" s="8">
        <v>2.8242500000000001</v>
      </c>
      <c r="S1014">
        <v>8</v>
      </c>
      <c r="T1014" s="8">
        <f t="shared" si="109"/>
        <v>0.22857142857142856</v>
      </c>
      <c r="U1014" s="8">
        <v>2.8508900000000001</v>
      </c>
      <c r="V1014">
        <v>18</v>
      </c>
      <c r="W1014" s="8">
        <f t="shared" si="110"/>
        <v>0.51428571428571423</v>
      </c>
      <c r="X1014" s="8">
        <v>2.8028499999999998</v>
      </c>
      <c r="Y1014">
        <v>9</v>
      </c>
      <c r="Z1014" s="8">
        <f t="shared" si="111"/>
        <v>0.25714285714285712</v>
      </c>
      <c r="AA1014" s="8">
        <v>2.8433700000000002</v>
      </c>
    </row>
    <row r="1015" spans="2:27" ht="15" customHeight="1" x14ac:dyDescent="0.25">
      <c r="B1015">
        <v>546</v>
      </c>
      <c r="C1015" s="1">
        <v>-12363.415591000001</v>
      </c>
      <c r="D1015" s="2">
        <v>-12364.762569</v>
      </c>
      <c r="F1015" s="3">
        <v>0.99524800000000002</v>
      </c>
      <c r="G1015" s="2">
        <v>0.18422999999999901</v>
      </c>
      <c r="H1015">
        <v>7</v>
      </c>
      <c r="I1015">
        <v>6</v>
      </c>
      <c r="K1015" s="8">
        <f t="shared" si="105"/>
        <v>-0.97292176923292573</v>
      </c>
      <c r="L1015" s="8">
        <f t="shared" si="106"/>
        <v>-7.4840136094840443E-2</v>
      </c>
      <c r="M1015" s="8">
        <f t="shared" si="107"/>
        <v>-0.8937771538458037</v>
      </c>
      <c r="N1015" s="8">
        <f t="shared" si="108"/>
        <v>-6.8752088757369517E-2</v>
      </c>
      <c r="O1015" s="8"/>
      <c r="P1015" t="s">
        <v>1302</v>
      </c>
      <c r="Q1015">
        <v>34</v>
      </c>
      <c r="R1015" s="8">
        <v>2.8206099999999998</v>
      </c>
      <c r="S1015">
        <v>6</v>
      </c>
      <c r="T1015" s="8">
        <f t="shared" si="109"/>
        <v>0.17647058823529413</v>
      </c>
      <c r="U1015" s="8">
        <v>2.8056000000000001</v>
      </c>
      <c r="V1015">
        <v>19</v>
      </c>
      <c r="W1015" s="8">
        <f t="shared" si="110"/>
        <v>0.55882352941176472</v>
      </c>
      <c r="X1015" s="8">
        <v>2.8200699999999999</v>
      </c>
      <c r="Y1015">
        <v>9</v>
      </c>
      <c r="Z1015" s="8">
        <f t="shared" si="111"/>
        <v>0.26470588235294118</v>
      </c>
      <c r="AA1015" s="8">
        <v>2.8317600000000001</v>
      </c>
    </row>
    <row r="1016" spans="2:27" ht="15" customHeight="1" x14ac:dyDescent="0.25">
      <c r="B1016" s="32">
        <v>446</v>
      </c>
      <c r="C1016" s="1">
        <v>-12363.164699999999</v>
      </c>
      <c r="D1016" s="2">
        <v>-12364.761718</v>
      </c>
      <c r="F1016" s="3">
        <v>0.99575800000000003</v>
      </c>
      <c r="G1016" s="2">
        <v>0.18461</v>
      </c>
      <c r="H1016">
        <v>7</v>
      </c>
      <c r="I1016">
        <v>6</v>
      </c>
      <c r="K1016" s="8">
        <f t="shared" si="105"/>
        <v>-0.72203076923142362</v>
      </c>
      <c r="L1016" s="8">
        <f t="shared" si="106"/>
        <v>-5.5540828402417204E-2</v>
      </c>
      <c r="M1016" s="8">
        <f t="shared" si="107"/>
        <v>-0.89292615384511009</v>
      </c>
      <c r="N1016" s="8">
        <f t="shared" si="108"/>
        <v>-6.8686627218854629E-2</v>
      </c>
      <c r="O1016" s="8"/>
      <c r="P1016" t="s">
        <v>1303</v>
      </c>
      <c r="Q1016">
        <v>35</v>
      </c>
      <c r="R1016" s="8">
        <v>2.8307699999999998</v>
      </c>
      <c r="S1016">
        <v>9</v>
      </c>
      <c r="T1016" s="8">
        <f t="shared" si="109"/>
        <v>0.25714285714285712</v>
      </c>
      <c r="U1016" s="8">
        <v>2.8968400000000001</v>
      </c>
      <c r="V1016">
        <v>19</v>
      </c>
      <c r="W1016" s="8">
        <f t="shared" si="110"/>
        <v>0.54285714285714282</v>
      </c>
      <c r="X1016" s="8">
        <v>2.7994300000000001</v>
      </c>
      <c r="Y1016">
        <v>7</v>
      </c>
      <c r="Z1016" s="8">
        <f t="shared" si="111"/>
        <v>0.2</v>
      </c>
      <c r="AA1016" s="8">
        <v>2.83087</v>
      </c>
    </row>
    <row r="1017" spans="2:27" ht="15" customHeight="1" x14ac:dyDescent="0.25">
      <c r="B1017">
        <v>572</v>
      </c>
      <c r="C1017" s="1">
        <v>-12363.376679999999</v>
      </c>
      <c r="D1017" s="2">
        <v>-12364.761645</v>
      </c>
      <c r="F1017" s="3">
        <v>0.99660700000000002</v>
      </c>
      <c r="G1017" s="2">
        <v>0.18608</v>
      </c>
      <c r="H1017">
        <v>7</v>
      </c>
      <c r="I1017">
        <v>6</v>
      </c>
      <c r="K1017" s="8">
        <f t="shared" si="105"/>
        <v>-0.9340107692314632</v>
      </c>
      <c r="L1017" s="8">
        <f t="shared" si="106"/>
        <v>-7.1846982248574096E-2</v>
      </c>
      <c r="M1017" s="8">
        <f t="shared" si="107"/>
        <v>-0.89285315384586283</v>
      </c>
      <c r="N1017" s="8">
        <f t="shared" si="108"/>
        <v>-6.8681011834297145E-2</v>
      </c>
      <c r="O1017" s="8"/>
      <c r="P1017" t="s">
        <v>1304</v>
      </c>
      <c r="Q1017">
        <v>34</v>
      </c>
      <c r="R1017" s="8">
        <v>2.8193600000000001</v>
      </c>
      <c r="S1017">
        <v>8</v>
      </c>
      <c r="T1017" s="8">
        <f t="shared" si="109"/>
        <v>0.23529411764705882</v>
      </c>
      <c r="U1017" s="8">
        <v>2.80199</v>
      </c>
      <c r="V1017">
        <v>16</v>
      </c>
      <c r="W1017" s="8">
        <f t="shared" si="110"/>
        <v>0.47058823529411764</v>
      </c>
      <c r="X1017" s="8">
        <v>2.83263</v>
      </c>
      <c r="Y1017">
        <v>10</v>
      </c>
      <c r="Z1017" s="8">
        <f t="shared" si="111"/>
        <v>0.29411764705882354</v>
      </c>
      <c r="AA1017" s="8">
        <v>2.81203</v>
      </c>
    </row>
    <row r="1018" spans="2:27" ht="15" customHeight="1" x14ac:dyDescent="0.25">
      <c r="B1018" s="32">
        <v>390</v>
      </c>
      <c r="C1018" s="1">
        <v>-12362.8199</v>
      </c>
      <c r="D1018" s="2">
        <v>-12364.758191999999</v>
      </c>
      <c r="F1018" s="3">
        <v>0.99034599999999995</v>
      </c>
      <c r="G1018" s="2">
        <v>0.15986999999999901</v>
      </c>
      <c r="H1018">
        <v>7</v>
      </c>
      <c r="I1018">
        <v>6</v>
      </c>
      <c r="K1018" s="8">
        <f t="shared" si="105"/>
        <v>-0.377230769232483</v>
      </c>
      <c r="L1018" s="8">
        <f t="shared" si="106"/>
        <v>-2.9017751479421768E-2</v>
      </c>
      <c r="M1018" s="8">
        <f t="shared" si="107"/>
        <v>-0.88940015384469007</v>
      </c>
      <c r="N1018" s="8">
        <f t="shared" si="108"/>
        <v>-6.8415396449591548E-2</v>
      </c>
      <c r="O1018" s="8"/>
      <c r="P1018" t="s">
        <v>1305</v>
      </c>
      <c r="Q1018">
        <v>35</v>
      </c>
      <c r="R1018" s="8">
        <v>2.8268900000000001</v>
      </c>
      <c r="S1018">
        <v>10</v>
      </c>
      <c r="T1018" s="8">
        <f t="shared" si="109"/>
        <v>0.2857142857142857</v>
      </c>
      <c r="U1018" s="8">
        <v>2.8295300000000001</v>
      </c>
      <c r="V1018">
        <v>14</v>
      </c>
      <c r="W1018" s="8">
        <f t="shared" si="110"/>
        <v>0.4</v>
      </c>
      <c r="X1018" s="8">
        <v>2.8263099999999999</v>
      </c>
      <c r="Y1018">
        <v>11</v>
      </c>
      <c r="Z1018" s="8">
        <f t="shared" si="111"/>
        <v>0.31428571428571428</v>
      </c>
      <c r="AA1018" s="8">
        <v>2.8252299999999999</v>
      </c>
    </row>
    <row r="1019" spans="2:27" ht="15" customHeight="1" x14ac:dyDescent="0.25">
      <c r="B1019" s="32">
        <v>498</v>
      </c>
      <c r="C1019" s="1">
        <v>-12363.0651</v>
      </c>
      <c r="D1019" s="2">
        <v>-12364.757906999999</v>
      </c>
      <c r="F1019" s="3">
        <v>0.99553100000000005</v>
      </c>
      <c r="G1019" s="2">
        <v>0.18310000000000001</v>
      </c>
      <c r="H1019">
        <v>7</v>
      </c>
      <c r="I1019">
        <v>6</v>
      </c>
      <c r="K1019" s="8">
        <f t="shared" si="105"/>
        <v>-0.62243076923186891</v>
      </c>
      <c r="L1019" s="8">
        <f t="shared" si="106"/>
        <v>-4.7879289940912992E-2</v>
      </c>
      <c r="M1019" s="8">
        <f t="shared" si="107"/>
        <v>-0.88911515384461381</v>
      </c>
      <c r="N1019" s="8">
        <f t="shared" si="108"/>
        <v>-6.8393473372662605E-2</v>
      </c>
      <c r="O1019" s="8"/>
      <c r="P1019" t="s">
        <v>1306</v>
      </c>
      <c r="Q1019">
        <v>35</v>
      </c>
      <c r="R1019" s="8">
        <v>2.8225600000000002</v>
      </c>
      <c r="S1019">
        <v>8</v>
      </c>
      <c r="T1019" s="8">
        <f t="shared" si="109"/>
        <v>0.22857142857142856</v>
      </c>
      <c r="U1019" s="8">
        <v>2.8271299999999999</v>
      </c>
      <c r="V1019">
        <v>18</v>
      </c>
      <c r="W1019" s="8">
        <f t="shared" si="110"/>
        <v>0.51428571428571423</v>
      </c>
      <c r="X1019" s="8">
        <v>2.8173699999999999</v>
      </c>
      <c r="Y1019">
        <v>9</v>
      </c>
      <c r="Z1019" s="8">
        <f t="shared" si="111"/>
        <v>0.25714285714285712</v>
      </c>
      <c r="AA1019" s="8">
        <v>2.8289</v>
      </c>
    </row>
    <row r="1020" spans="2:27" ht="15" customHeight="1" x14ac:dyDescent="0.25">
      <c r="B1020" s="32">
        <v>317</v>
      </c>
      <c r="C1020" s="1">
        <v>-12363.059600000001</v>
      </c>
      <c r="D1020" s="2">
        <v>-12364.756853999999</v>
      </c>
      <c r="F1020" s="3">
        <v>0.99463999999999997</v>
      </c>
      <c r="G1020" s="2">
        <v>0.17754</v>
      </c>
      <c r="H1020">
        <v>7</v>
      </c>
      <c r="I1020">
        <v>6</v>
      </c>
      <c r="K1020" s="8">
        <f t="shared" si="105"/>
        <v>-0.6169307692325674</v>
      </c>
      <c r="L1020" s="8">
        <f t="shared" si="106"/>
        <v>-4.7456213017889798E-2</v>
      </c>
      <c r="M1020" s="8">
        <f t="shared" si="107"/>
        <v>-0.88806215384465759</v>
      </c>
      <c r="N1020" s="8">
        <f t="shared" si="108"/>
        <v>-6.8312473372665966E-2</v>
      </c>
      <c r="O1020" s="8"/>
      <c r="P1020" t="s">
        <v>1307</v>
      </c>
      <c r="Q1020">
        <v>35</v>
      </c>
      <c r="R1020" s="8">
        <v>2.8302399999999999</v>
      </c>
      <c r="S1020">
        <v>7</v>
      </c>
      <c r="T1020" s="8">
        <f t="shared" si="109"/>
        <v>0.2</v>
      </c>
      <c r="U1020" s="8">
        <v>2.8832200000000001</v>
      </c>
      <c r="V1020">
        <v>21</v>
      </c>
      <c r="W1020" s="8">
        <f t="shared" si="110"/>
        <v>0.6</v>
      </c>
      <c r="X1020" s="8">
        <v>2.8098700000000001</v>
      </c>
      <c r="Y1020">
        <v>7</v>
      </c>
      <c r="Z1020" s="8">
        <f t="shared" si="111"/>
        <v>0.2</v>
      </c>
      <c r="AA1020" s="8">
        <v>2.8383500000000002</v>
      </c>
    </row>
    <row r="1021" spans="2:27" ht="15" customHeight="1" x14ac:dyDescent="0.25">
      <c r="B1021" s="32">
        <v>441</v>
      </c>
      <c r="C1021" s="1">
        <v>-12363.1072</v>
      </c>
      <c r="D1021" s="2">
        <v>-12364.752648</v>
      </c>
      <c r="F1021" s="3">
        <v>0.99455400000000005</v>
      </c>
      <c r="G1021" s="2">
        <v>0.17670999999999901</v>
      </c>
      <c r="H1021">
        <v>7</v>
      </c>
      <c r="I1021">
        <v>6</v>
      </c>
      <c r="K1021" s="8">
        <f t="shared" si="105"/>
        <v>-0.66453076923244225</v>
      </c>
      <c r="L1021" s="8">
        <f t="shared" si="106"/>
        <v>-5.1117751479418633E-2</v>
      </c>
      <c r="M1021" s="8">
        <f t="shared" si="107"/>
        <v>-0.8838561538450449</v>
      </c>
      <c r="N1021" s="8">
        <f t="shared" si="108"/>
        <v>-6.7988934911157303E-2</v>
      </c>
      <c r="O1021" s="8"/>
      <c r="P1021" t="s">
        <v>1308</v>
      </c>
      <c r="Q1021">
        <v>35</v>
      </c>
      <c r="R1021" s="8">
        <v>2.82734</v>
      </c>
      <c r="S1021">
        <v>7</v>
      </c>
      <c r="T1021" s="8">
        <f t="shared" si="109"/>
        <v>0.2</v>
      </c>
      <c r="U1021" s="8">
        <v>2.9422299999999999</v>
      </c>
      <c r="V1021">
        <v>21</v>
      </c>
      <c r="W1021" s="8">
        <f t="shared" si="110"/>
        <v>0.6</v>
      </c>
      <c r="X1021" s="8">
        <v>2.7850199999999998</v>
      </c>
      <c r="Y1021">
        <v>7</v>
      </c>
      <c r="Z1021" s="8">
        <f t="shared" si="111"/>
        <v>0.2</v>
      </c>
      <c r="AA1021" s="8">
        <v>2.8394400000000002</v>
      </c>
    </row>
    <row r="1022" spans="2:27" ht="15" customHeight="1" x14ac:dyDescent="0.25">
      <c r="B1022" s="32">
        <v>442</v>
      </c>
      <c r="C1022" s="1">
        <v>-12363.3189</v>
      </c>
      <c r="D1022" s="2">
        <v>-12364.749161</v>
      </c>
      <c r="F1022" s="3">
        <v>0.99528899999999998</v>
      </c>
      <c r="G1022" s="2">
        <v>0.181309999999999</v>
      </c>
      <c r="H1022">
        <v>7</v>
      </c>
      <c r="I1022">
        <v>6</v>
      </c>
      <c r="K1022" s="8">
        <f t="shared" si="105"/>
        <v>-0.87623076923227927</v>
      </c>
      <c r="L1022" s="8">
        <f t="shared" si="106"/>
        <v>-6.7402366864021485E-2</v>
      </c>
      <c r="M1022" s="8">
        <f t="shared" si="107"/>
        <v>-0.88036915384509484</v>
      </c>
      <c r="N1022" s="8">
        <f t="shared" si="108"/>
        <v>-6.7720704141930377E-2</v>
      </c>
      <c r="O1022" s="8"/>
      <c r="P1022" t="s">
        <v>1309</v>
      </c>
      <c r="Q1022">
        <v>36</v>
      </c>
      <c r="R1022" s="8">
        <v>2.8358599999999998</v>
      </c>
      <c r="S1022">
        <v>6</v>
      </c>
      <c r="T1022" s="8">
        <f t="shared" si="109"/>
        <v>0.16666666666666666</v>
      </c>
      <c r="U1022" s="8">
        <v>2.90368</v>
      </c>
      <c r="V1022">
        <v>23</v>
      </c>
      <c r="W1022" s="8">
        <f t="shared" si="110"/>
        <v>0.63888888888888884</v>
      </c>
      <c r="X1022" s="8">
        <v>2.8213499999999998</v>
      </c>
      <c r="Y1022">
        <v>7</v>
      </c>
      <c r="Z1022" s="8">
        <f t="shared" si="111"/>
        <v>0.19444444444444445</v>
      </c>
      <c r="AA1022" s="8">
        <v>2.8253900000000001</v>
      </c>
    </row>
    <row r="1023" spans="2:27" ht="15" customHeight="1" x14ac:dyDescent="0.25">
      <c r="B1023" s="32">
        <v>314</v>
      </c>
      <c r="C1023" s="1">
        <v>-12363.0612</v>
      </c>
      <c r="D1023" s="2">
        <v>-12364.748485</v>
      </c>
      <c r="F1023" s="3">
        <v>0.99270800000000003</v>
      </c>
      <c r="G1023" s="2">
        <v>0.16830999999999999</v>
      </c>
      <c r="H1023">
        <v>7</v>
      </c>
      <c r="I1023">
        <v>6</v>
      </c>
      <c r="K1023" s="8">
        <f t="shared" si="105"/>
        <v>-0.61853076923216577</v>
      </c>
      <c r="L1023" s="8">
        <f t="shared" si="106"/>
        <v>-4.7579289940935826E-2</v>
      </c>
      <c r="M1023" s="8">
        <f t="shared" si="107"/>
        <v>-0.87969315384543734</v>
      </c>
      <c r="N1023" s="8">
        <f t="shared" si="108"/>
        <v>-6.766870414195672E-2</v>
      </c>
      <c r="O1023" s="8"/>
      <c r="P1023" t="s">
        <v>1310</v>
      </c>
      <c r="Q1023">
        <v>35</v>
      </c>
      <c r="R1023" s="8">
        <v>2.8337400000000001</v>
      </c>
      <c r="S1023">
        <v>8</v>
      </c>
      <c r="T1023" s="8">
        <f t="shared" si="109"/>
        <v>0.22857142857142856</v>
      </c>
      <c r="U1023" s="8">
        <v>2.8620800000000002</v>
      </c>
      <c r="V1023">
        <v>19</v>
      </c>
      <c r="W1023" s="8">
        <f t="shared" si="110"/>
        <v>0.54285714285714282</v>
      </c>
      <c r="X1023" s="8">
        <v>2.8120400000000001</v>
      </c>
      <c r="Y1023">
        <v>8</v>
      </c>
      <c r="Z1023" s="8">
        <f t="shared" si="111"/>
        <v>0.22857142857142856</v>
      </c>
      <c r="AA1023" s="8">
        <v>2.8569399999999998</v>
      </c>
    </row>
    <row r="1024" spans="2:27" ht="15" customHeight="1" x14ac:dyDescent="0.25">
      <c r="B1024">
        <v>658</v>
      </c>
      <c r="C1024" s="1">
        <v>-12363.224146</v>
      </c>
      <c r="D1024" s="2">
        <v>-12364.747756999999</v>
      </c>
      <c r="F1024" s="3">
        <v>0.99684300000000003</v>
      </c>
      <c r="G1024" s="2">
        <v>0.18873000000000001</v>
      </c>
      <c r="H1024">
        <v>7</v>
      </c>
      <c r="I1024">
        <v>6</v>
      </c>
      <c r="K1024" s="8">
        <f t="shared" si="105"/>
        <v>-0.78147676923254039</v>
      </c>
      <c r="L1024" s="8">
        <f t="shared" si="106"/>
        <v>-6.0113597633272335E-2</v>
      </c>
      <c r="M1024" s="8">
        <f t="shared" si="107"/>
        <v>-0.87896515384454688</v>
      </c>
      <c r="N1024" s="8">
        <f t="shared" si="108"/>
        <v>-6.7612704141888219E-2</v>
      </c>
      <c r="O1024" s="8"/>
      <c r="P1024" t="s">
        <v>1311</v>
      </c>
      <c r="Q1024">
        <v>33</v>
      </c>
      <c r="R1024" s="8">
        <v>2.8075000000000001</v>
      </c>
      <c r="S1024">
        <v>9</v>
      </c>
      <c r="T1024" s="8">
        <f t="shared" si="109"/>
        <v>0.27272727272727271</v>
      </c>
      <c r="U1024" s="8">
        <v>2.79555</v>
      </c>
      <c r="V1024">
        <v>14</v>
      </c>
      <c r="W1024" s="8">
        <f t="shared" si="110"/>
        <v>0.42424242424242425</v>
      </c>
      <c r="X1024" s="8">
        <v>2.8194900000000001</v>
      </c>
      <c r="Y1024">
        <v>10</v>
      </c>
      <c r="Z1024" s="8">
        <f t="shared" si="111"/>
        <v>0.30303030303030304</v>
      </c>
      <c r="AA1024" s="8">
        <v>2.8014800000000002</v>
      </c>
    </row>
    <row r="1025" spans="2:27" ht="15" customHeight="1" x14ac:dyDescent="0.25">
      <c r="B1025" s="32">
        <v>378</v>
      </c>
      <c r="C1025" s="1">
        <v>-12363.1374</v>
      </c>
      <c r="D1025" s="2">
        <v>-12364.7469</v>
      </c>
      <c r="F1025" s="3">
        <v>0.99454799999999999</v>
      </c>
      <c r="G1025" s="2">
        <v>0.17699000000000001</v>
      </c>
      <c r="H1025">
        <v>7</v>
      </c>
      <c r="I1025">
        <v>6</v>
      </c>
      <c r="K1025" s="8">
        <f t="shared" si="105"/>
        <v>-0.69473076923168264</v>
      </c>
      <c r="L1025" s="8">
        <f t="shared" si="106"/>
        <v>-5.3440828402437128E-2</v>
      </c>
      <c r="M1025" s="8">
        <f t="shared" si="107"/>
        <v>-0.87810815384546004</v>
      </c>
      <c r="N1025" s="8">
        <f t="shared" si="108"/>
        <v>-6.7546781065035394E-2</v>
      </c>
      <c r="O1025" s="8"/>
      <c r="P1025" t="s">
        <v>1312</v>
      </c>
      <c r="Q1025">
        <v>34</v>
      </c>
      <c r="R1025" s="8">
        <v>2.8157299999999998</v>
      </c>
      <c r="S1025">
        <v>8</v>
      </c>
      <c r="T1025" s="8">
        <f t="shared" si="109"/>
        <v>0.23529411764705882</v>
      </c>
      <c r="U1025" s="8">
        <v>2.85989</v>
      </c>
      <c r="V1025">
        <v>18</v>
      </c>
      <c r="W1025" s="8">
        <f t="shared" si="110"/>
        <v>0.52941176470588236</v>
      </c>
      <c r="X1025" s="8">
        <v>2.8059799999999999</v>
      </c>
      <c r="Y1025">
        <v>8</v>
      </c>
      <c r="Z1025" s="8">
        <f t="shared" si="111"/>
        <v>0.23529411764705882</v>
      </c>
      <c r="AA1025" s="8">
        <v>2.7934999999999999</v>
      </c>
    </row>
    <row r="1026" spans="2:27" ht="15" customHeight="1" x14ac:dyDescent="0.25">
      <c r="B1026">
        <v>567</v>
      </c>
      <c r="C1026" s="1">
        <v>-12363.400032</v>
      </c>
      <c r="D1026" s="2">
        <v>-12364.745988999999</v>
      </c>
      <c r="F1026" s="3">
        <v>0.99525300000000005</v>
      </c>
      <c r="G1026" s="2">
        <v>0.181279999999999</v>
      </c>
      <c r="H1026">
        <v>7</v>
      </c>
      <c r="I1026">
        <v>6</v>
      </c>
      <c r="K1026" s="8">
        <f t="shared" si="105"/>
        <v>-0.95736276923162222</v>
      </c>
      <c r="L1026" s="8">
        <f t="shared" si="106"/>
        <v>-7.3643289940894016E-2</v>
      </c>
      <c r="M1026" s="8">
        <f t="shared" si="107"/>
        <v>-0.87719715384446317</v>
      </c>
      <c r="N1026" s="8">
        <f t="shared" si="108"/>
        <v>-6.7476704141881783E-2</v>
      </c>
      <c r="O1026" s="8"/>
      <c r="P1026" t="s">
        <v>1313</v>
      </c>
      <c r="Q1026">
        <v>34</v>
      </c>
      <c r="R1026" s="8">
        <v>2.82369</v>
      </c>
      <c r="S1026">
        <v>5</v>
      </c>
      <c r="T1026" s="8">
        <f t="shared" si="109"/>
        <v>0.14705882352941177</v>
      </c>
      <c r="U1026" s="8">
        <v>2.8282799999999999</v>
      </c>
      <c r="V1026">
        <v>19</v>
      </c>
      <c r="W1026" s="8">
        <f t="shared" si="110"/>
        <v>0.55882352941176472</v>
      </c>
      <c r="X1026" s="8">
        <v>2.7860999999999998</v>
      </c>
      <c r="Y1026">
        <v>10</v>
      </c>
      <c r="Z1026" s="8">
        <f t="shared" si="111"/>
        <v>0.29411764705882354</v>
      </c>
      <c r="AA1026" s="8">
        <v>2.8927999999999998</v>
      </c>
    </row>
    <row r="1027" spans="2:27" ht="15" customHeight="1" x14ac:dyDescent="0.25">
      <c r="B1027">
        <v>739</v>
      </c>
      <c r="C1027" s="1">
        <v>-12363.293272000001</v>
      </c>
      <c r="D1027" s="2">
        <v>-12364.742307</v>
      </c>
      <c r="F1027" s="3">
        <v>0.99792400000000003</v>
      </c>
      <c r="G1027" s="2">
        <v>0.20086999999999899</v>
      </c>
      <c r="H1027">
        <v>7</v>
      </c>
      <c r="I1027">
        <v>6</v>
      </c>
      <c r="K1027" s="8">
        <f t="shared" ref="K1027:K1090" si="112">IF(ISNUMBER(C1027),C1027-(($C$3-$C$2236)/($H$3-$H$2236)*H1027+$C$2236),"")</f>
        <v>-0.85060276923286438</v>
      </c>
      <c r="L1027" s="8">
        <f t="shared" ref="L1027:L1090" si="113">IF(ISNUMBER(C1027),K1027/(H1027+I1027),"")</f>
        <v>-6.5430982248681879E-2</v>
      </c>
      <c r="M1027" s="8">
        <f t="shared" ref="M1027:M1090" si="114">IF(ISNUMBER(D1027),D1027-(($D$3-$D$2236)/($H$3-$H$2236)*H1027+$D$2236),"")</f>
        <v>-0.87351515384580125</v>
      </c>
      <c r="N1027" s="8">
        <f t="shared" ref="N1027:N1090" si="115">IF(ISNUMBER(D1027),M1027/(H1027+I1027),"")</f>
        <v>-6.7193473372753942E-2</v>
      </c>
      <c r="O1027" s="8"/>
      <c r="P1027" t="s">
        <v>1314</v>
      </c>
      <c r="Q1027">
        <v>33</v>
      </c>
      <c r="R1027" s="8">
        <v>2.8141799999999999</v>
      </c>
      <c r="S1027">
        <v>9</v>
      </c>
      <c r="T1027" s="8">
        <f t="shared" ref="T1027:T1090" si="116">IF(ISNUMBER(S1027),S1027/(Q1027),"")</f>
        <v>0.27272727272727271</v>
      </c>
      <c r="U1027" s="8">
        <v>2.87418</v>
      </c>
      <c r="V1027">
        <v>20</v>
      </c>
      <c r="W1027" s="8">
        <f t="shared" ref="W1027:W1090" si="117">IF(ISNUMBER(V1027),V1027/($Q1027),"")</f>
        <v>0.60606060606060608</v>
      </c>
      <c r="X1027" s="8">
        <v>2.7989999999999999</v>
      </c>
      <c r="Y1027">
        <v>4</v>
      </c>
      <c r="Z1027" s="8">
        <f t="shared" ref="Z1027:Z1090" si="118">IF(ISNUMBER(Y1027),Y1027/($Q1027),"")</f>
        <v>0.12121212121212122</v>
      </c>
      <c r="AA1027" s="8">
        <v>2.7551199999999998</v>
      </c>
    </row>
    <row r="1028" spans="2:27" ht="15" customHeight="1" x14ac:dyDescent="0.25">
      <c r="B1028" s="32">
        <v>460</v>
      </c>
      <c r="C1028" s="1">
        <v>-12363.023499999999</v>
      </c>
      <c r="D1028" s="2">
        <v>-12364.741540000001</v>
      </c>
      <c r="F1028" s="3">
        <v>0.99519000000000002</v>
      </c>
      <c r="G1028" s="2">
        <v>0.18081999999999901</v>
      </c>
      <c r="H1028">
        <v>7</v>
      </c>
      <c r="I1028">
        <v>6</v>
      </c>
      <c r="K1028" s="8">
        <f t="shared" si="112"/>
        <v>-0.58083076923139743</v>
      </c>
      <c r="L1028" s="8">
        <f t="shared" si="113"/>
        <v>-4.4679289940876728E-2</v>
      </c>
      <c r="M1028" s="8">
        <f t="shared" si="114"/>
        <v>-0.87274815384625981</v>
      </c>
      <c r="N1028" s="8">
        <f t="shared" si="115"/>
        <v>-6.7134473372789216E-2</v>
      </c>
      <c r="O1028" s="8"/>
      <c r="P1028" t="s">
        <v>1315</v>
      </c>
      <c r="Q1028">
        <v>34</v>
      </c>
      <c r="R1028" s="8">
        <v>2.8177099999999999</v>
      </c>
      <c r="S1028">
        <v>8</v>
      </c>
      <c r="T1028" s="8">
        <f t="shared" si="116"/>
        <v>0.23529411764705882</v>
      </c>
      <c r="U1028" s="8">
        <v>2.8700700000000001</v>
      </c>
      <c r="V1028">
        <v>18</v>
      </c>
      <c r="W1028" s="8">
        <f t="shared" si="117"/>
        <v>0.52941176470588236</v>
      </c>
      <c r="X1028" s="8">
        <v>2.7846600000000001</v>
      </c>
      <c r="Y1028">
        <v>8</v>
      </c>
      <c r="Z1028" s="8">
        <f t="shared" si="118"/>
        <v>0.23529411764705882</v>
      </c>
      <c r="AA1028" s="8">
        <v>2.8397199999999998</v>
      </c>
    </row>
    <row r="1029" spans="2:27" ht="15" customHeight="1" x14ac:dyDescent="0.25">
      <c r="B1029" s="32">
        <v>369</v>
      </c>
      <c r="C1029" s="1">
        <v>-12363.396000000001</v>
      </c>
      <c r="D1029" s="2">
        <v>-12364.739846</v>
      </c>
      <c r="F1029" s="3">
        <v>0.99820900000000001</v>
      </c>
      <c r="G1029" s="2">
        <v>0.20669999999999999</v>
      </c>
      <c r="H1029">
        <v>7</v>
      </c>
      <c r="I1029">
        <v>6</v>
      </c>
      <c r="K1029" s="8">
        <f t="shared" si="112"/>
        <v>-0.9533307692327071</v>
      </c>
      <c r="L1029" s="8">
        <f t="shared" si="113"/>
        <v>-7.3333136094823628E-2</v>
      </c>
      <c r="M1029" s="8">
        <f t="shared" si="114"/>
        <v>-0.8710541538457619</v>
      </c>
      <c r="N1029" s="8">
        <f t="shared" si="115"/>
        <v>-6.700416568044322E-2</v>
      </c>
      <c r="O1029" s="8"/>
      <c r="P1029" t="s">
        <v>1316</v>
      </c>
      <c r="Q1029">
        <v>36</v>
      </c>
      <c r="R1029" s="8">
        <v>2.83297</v>
      </c>
      <c r="S1029">
        <v>7</v>
      </c>
      <c r="T1029" s="8">
        <f t="shared" si="116"/>
        <v>0.19444444444444445</v>
      </c>
      <c r="U1029" s="8">
        <v>2.8256999999999999</v>
      </c>
      <c r="V1029">
        <v>19</v>
      </c>
      <c r="W1029" s="8">
        <f t="shared" si="117"/>
        <v>0.52777777777777779</v>
      </c>
      <c r="X1029" s="8">
        <v>2.84429</v>
      </c>
      <c r="Y1029">
        <v>10</v>
      </c>
      <c r="Z1029" s="8">
        <f t="shared" si="118"/>
        <v>0.27777777777777779</v>
      </c>
      <c r="AA1029" s="8">
        <v>2.8165499999999999</v>
      </c>
    </row>
    <row r="1030" spans="2:27" ht="15" customHeight="1" x14ac:dyDescent="0.25">
      <c r="B1030" s="32">
        <v>453</v>
      </c>
      <c r="C1030" s="1">
        <v>-12363.3945</v>
      </c>
      <c r="D1030" s="2">
        <v>-12364.738088</v>
      </c>
      <c r="F1030" s="3">
        <v>0.99721199999999999</v>
      </c>
      <c r="G1030" s="2">
        <v>0.19719</v>
      </c>
      <c r="H1030">
        <v>7</v>
      </c>
      <c r="I1030">
        <v>6</v>
      </c>
      <c r="K1030" s="8">
        <f t="shared" si="112"/>
        <v>-0.95183076923240151</v>
      </c>
      <c r="L1030" s="8">
        <f t="shared" si="113"/>
        <v>-7.3217751479415505E-2</v>
      </c>
      <c r="M1030" s="8">
        <f t="shared" si="114"/>
        <v>-0.86929615384542558</v>
      </c>
      <c r="N1030" s="8">
        <f t="shared" si="115"/>
        <v>-6.6868934911186589E-2</v>
      </c>
      <c r="O1030" s="8"/>
      <c r="P1030" t="s">
        <v>1317</v>
      </c>
      <c r="Q1030">
        <v>35</v>
      </c>
      <c r="R1030" s="8">
        <v>2.8285499999999999</v>
      </c>
      <c r="S1030">
        <v>8</v>
      </c>
      <c r="T1030" s="8">
        <f t="shared" si="116"/>
        <v>0.22857142857142856</v>
      </c>
      <c r="U1030" s="8">
        <v>2.8827199999999999</v>
      </c>
      <c r="V1030">
        <v>18</v>
      </c>
      <c r="W1030" s="8">
        <f t="shared" si="117"/>
        <v>0.51428571428571423</v>
      </c>
      <c r="X1030" s="8">
        <v>2.8028599999999999</v>
      </c>
      <c r="Y1030">
        <v>9</v>
      </c>
      <c r="Z1030" s="8">
        <f t="shared" si="118"/>
        <v>0.25714285714285712</v>
      </c>
      <c r="AA1030" s="8">
        <v>2.8317999999999999</v>
      </c>
    </row>
    <row r="1031" spans="2:27" ht="15" customHeight="1" x14ac:dyDescent="0.25">
      <c r="B1031">
        <v>613</v>
      </c>
      <c r="C1031" s="1">
        <v>-12363.345499999999</v>
      </c>
      <c r="D1031" s="2">
        <v>-12364.734306</v>
      </c>
      <c r="F1031" s="3">
        <v>0.99590100000000004</v>
      </c>
      <c r="G1031" s="2">
        <v>0.18565999999999899</v>
      </c>
      <c r="H1031">
        <v>7</v>
      </c>
      <c r="I1031">
        <v>6</v>
      </c>
      <c r="K1031" s="8">
        <f t="shared" si="112"/>
        <v>-0.90283076923151384</v>
      </c>
      <c r="L1031" s="8">
        <f t="shared" si="113"/>
        <v>-6.9448520710116451E-2</v>
      </c>
      <c r="M1031" s="8">
        <f t="shared" si="114"/>
        <v>-0.86551415384565189</v>
      </c>
      <c r="N1031" s="8">
        <f t="shared" si="115"/>
        <v>-6.6578011834280915E-2</v>
      </c>
      <c r="O1031" s="8"/>
      <c r="P1031" t="s">
        <v>1318</v>
      </c>
      <c r="Q1031">
        <v>34</v>
      </c>
      <c r="R1031" s="8">
        <v>2.8195100000000002</v>
      </c>
      <c r="S1031">
        <v>8</v>
      </c>
      <c r="T1031" s="8">
        <f t="shared" si="116"/>
        <v>0.23529411764705882</v>
      </c>
      <c r="U1031" s="8">
        <v>2.7869700000000002</v>
      </c>
      <c r="V1031">
        <v>16</v>
      </c>
      <c r="W1031" s="8">
        <f t="shared" si="117"/>
        <v>0.47058823529411764</v>
      </c>
      <c r="X1031" s="8">
        <v>2.8378700000000001</v>
      </c>
      <c r="Y1031">
        <v>10</v>
      </c>
      <c r="Z1031" s="8">
        <f t="shared" si="118"/>
        <v>0.29411764705882354</v>
      </c>
      <c r="AA1031" s="8">
        <v>2.81616</v>
      </c>
    </row>
    <row r="1032" spans="2:27" ht="15" customHeight="1" x14ac:dyDescent="0.25">
      <c r="B1032" s="32">
        <v>424</v>
      </c>
      <c r="C1032" s="1">
        <v>-12363.060100000001</v>
      </c>
      <c r="D1032" s="2">
        <v>-12364.733475000001</v>
      </c>
      <c r="F1032" s="3">
        <v>0.99411400000000005</v>
      </c>
      <c r="G1032" s="2">
        <v>0.17479</v>
      </c>
      <c r="H1032">
        <v>7</v>
      </c>
      <c r="I1032">
        <v>6</v>
      </c>
      <c r="K1032" s="8">
        <f t="shared" si="112"/>
        <v>-0.61743076923266926</v>
      </c>
      <c r="L1032" s="8">
        <f t="shared" si="113"/>
        <v>-4.7494674556359175E-2</v>
      </c>
      <c r="M1032" s="8">
        <f t="shared" si="114"/>
        <v>-0.86468315384627203</v>
      </c>
      <c r="N1032" s="8">
        <f t="shared" si="115"/>
        <v>-6.651408875740554E-2</v>
      </c>
      <c r="O1032" s="8"/>
      <c r="P1032" t="s">
        <v>1319</v>
      </c>
      <c r="Q1032">
        <v>35</v>
      </c>
      <c r="R1032" s="8">
        <v>2.82796</v>
      </c>
      <c r="S1032">
        <v>7</v>
      </c>
      <c r="T1032" s="8">
        <f t="shared" si="116"/>
        <v>0.2</v>
      </c>
      <c r="U1032" s="8">
        <v>2.8488199999999999</v>
      </c>
      <c r="V1032">
        <v>21</v>
      </c>
      <c r="W1032" s="8">
        <f t="shared" si="117"/>
        <v>0.6</v>
      </c>
      <c r="X1032" s="8">
        <v>2.8080099999999999</v>
      </c>
      <c r="Y1032">
        <v>7</v>
      </c>
      <c r="Z1032" s="8">
        <f t="shared" si="118"/>
        <v>0.2</v>
      </c>
      <c r="AA1032" s="8">
        <v>2.8669500000000001</v>
      </c>
    </row>
    <row r="1033" spans="2:27" ht="15" customHeight="1" x14ac:dyDescent="0.25">
      <c r="B1033" s="32">
        <v>494</v>
      </c>
      <c r="C1033" s="1">
        <v>-12363.1446</v>
      </c>
      <c r="D1033" s="2">
        <v>-12364.733348</v>
      </c>
      <c r="F1033" s="3">
        <v>0.99467499999999998</v>
      </c>
      <c r="G1033" s="2">
        <v>0.17333000000000001</v>
      </c>
      <c r="H1033">
        <v>7</v>
      </c>
      <c r="I1033">
        <v>6</v>
      </c>
      <c r="K1033" s="8">
        <f t="shared" si="112"/>
        <v>-0.70193076923169428</v>
      </c>
      <c r="L1033" s="8">
        <f t="shared" si="113"/>
        <v>-5.3994674556284178E-2</v>
      </c>
      <c r="M1033" s="8">
        <f t="shared" si="114"/>
        <v>-0.86455615384511475</v>
      </c>
      <c r="N1033" s="8">
        <f t="shared" si="115"/>
        <v>-6.6504319526547284E-2</v>
      </c>
      <c r="O1033" s="8"/>
      <c r="P1033" t="s">
        <v>1320</v>
      </c>
      <c r="Q1033">
        <v>36</v>
      </c>
      <c r="R1033" s="8">
        <v>2.83806</v>
      </c>
      <c r="S1033">
        <v>8</v>
      </c>
      <c r="T1033" s="8">
        <f t="shared" si="116"/>
        <v>0.22222222222222221</v>
      </c>
      <c r="U1033" s="8">
        <v>2.9297499999999999</v>
      </c>
      <c r="V1033">
        <v>21</v>
      </c>
      <c r="W1033" s="8">
        <f t="shared" si="117"/>
        <v>0.58333333333333337</v>
      </c>
      <c r="X1033" s="8">
        <v>2.79548</v>
      </c>
      <c r="Y1033">
        <v>7</v>
      </c>
      <c r="Z1033" s="8">
        <f t="shared" si="118"/>
        <v>0.19444444444444445</v>
      </c>
      <c r="AA1033" s="8">
        <v>2.8610099999999998</v>
      </c>
    </row>
    <row r="1034" spans="2:27" ht="15" customHeight="1" x14ac:dyDescent="0.25">
      <c r="B1034" s="32">
        <v>444</v>
      </c>
      <c r="C1034" s="1">
        <v>-12363.406000000001</v>
      </c>
      <c r="D1034" s="2">
        <v>-12364.732540999999</v>
      </c>
      <c r="F1034" s="3">
        <v>0.99687599999999998</v>
      </c>
      <c r="G1034" s="2">
        <v>0.19381999999999999</v>
      </c>
      <c r="H1034">
        <v>7</v>
      </c>
      <c r="I1034">
        <v>6</v>
      </c>
      <c r="K1034" s="8">
        <f t="shared" si="112"/>
        <v>-0.96333076923292538</v>
      </c>
      <c r="L1034" s="8">
        <f t="shared" si="113"/>
        <v>-7.4102366864071179E-2</v>
      </c>
      <c r="M1034" s="8">
        <f t="shared" si="114"/>
        <v>-0.86374915384476481</v>
      </c>
      <c r="N1034" s="8">
        <f t="shared" si="115"/>
        <v>-6.6442242603443447E-2</v>
      </c>
      <c r="O1034" s="8"/>
      <c r="P1034" t="s">
        <v>1321</v>
      </c>
      <c r="Q1034">
        <v>36</v>
      </c>
      <c r="R1034" s="8">
        <v>2.8302399999999999</v>
      </c>
      <c r="S1034">
        <v>8</v>
      </c>
      <c r="T1034" s="8">
        <f t="shared" si="116"/>
        <v>0.22222222222222221</v>
      </c>
      <c r="U1034" s="8">
        <v>2.8543699999999999</v>
      </c>
      <c r="V1034">
        <v>18</v>
      </c>
      <c r="W1034" s="8">
        <f t="shared" si="117"/>
        <v>0.5</v>
      </c>
      <c r="X1034" s="8">
        <v>2.8358699999999999</v>
      </c>
      <c r="Y1034">
        <v>10</v>
      </c>
      <c r="Z1034" s="8">
        <f t="shared" si="118"/>
        <v>0.27777777777777779</v>
      </c>
      <c r="AA1034" s="8">
        <v>2.80077</v>
      </c>
    </row>
    <row r="1035" spans="2:27" ht="15" customHeight="1" x14ac:dyDescent="0.25">
      <c r="B1035" s="32">
        <v>310</v>
      </c>
      <c r="C1035" s="1">
        <v>-12363.1387</v>
      </c>
      <c r="D1035" s="2">
        <v>-12364.729734</v>
      </c>
      <c r="F1035" s="3">
        <v>0.99628499999999998</v>
      </c>
      <c r="G1035" s="2">
        <v>0.18859999999999999</v>
      </c>
      <c r="H1035">
        <v>7</v>
      </c>
      <c r="I1035">
        <v>6</v>
      </c>
      <c r="K1035" s="8">
        <f t="shared" si="112"/>
        <v>-0.69603076923158369</v>
      </c>
      <c r="L1035" s="8">
        <f t="shared" si="113"/>
        <v>-5.3540828402429512E-2</v>
      </c>
      <c r="M1035" s="8">
        <f t="shared" si="114"/>
        <v>-0.8609421538458264</v>
      </c>
      <c r="N1035" s="8">
        <f t="shared" si="115"/>
        <v>-6.6226319526602032E-2</v>
      </c>
      <c r="O1035" s="8"/>
      <c r="P1035" t="s">
        <v>1322</v>
      </c>
      <c r="Q1035">
        <v>33</v>
      </c>
      <c r="R1035" s="8">
        <v>2.8096999999999999</v>
      </c>
      <c r="S1035">
        <v>7</v>
      </c>
      <c r="T1035" s="8">
        <f t="shared" si="116"/>
        <v>0.21212121212121213</v>
      </c>
      <c r="U1035" s="8">
        <v>2.82647</v>
      </c>
      <c r="V1035">
        <v>18</v>
      </c>
      <c r="W1035" s="8">
        <f t="shared" si="117"/>
        <v>0.54545454545454541</v>
      </c>
      <c r="X1035" s="8">
        <v>2.80287</v>
      </c>
      <c r="Y1035">
        <v>8</v>
      </c>
      <c r="Z1035" s="8">
        <f t="shared" si="118"/>
        <v>0.24242424242424243</v>
      </c>
      <c r="AA1035" s="8">
        <v>2.8104</v>
      </c>
    </row>
    <row r="1036" spans="2:27" ht="15" customHeight="1" x14ac:dyDescent="0.25">
      <c r="B1036" s="32">
        <v>466</v>
      </c>
      <c r="C1036" s="1">
        <v>-12363.0987</v>
      </c>
      <c r="D1036" s="2">
        <v>-12364.726403999999</v>
      </c>
      <c r="F1036" s="3">
        <v>0.99560000000000004</v>
      </c>
      <c r="G1036" s="2">
        <v>0.18351000000000001</v>
      </c>
      <c r="H1036">
        <v>7</v>
      </c>
      <c r="I1036">
        <v>6</v>
      </c>
      <c r="K1036" s="8">
        <f t="shared" si="112"/>
        <v>-0.65603076923252956</v>
      </c>
      <c r="L1036" s="8">
        <f t="shared" si="113"/>
        <v>-5.0463905325579199E-2</v>
      </c>
      <c r="M1036" s="8">
        <f t="shared" si="114"/>
        <v>-0.85761215384445677</v>
      </c>
      <c r="N1036" s="8">
        <f t="shared" si="115"/>
        <v>-6.5970165680342835E-2</v>
      </c>
      <c r="O1036" s="8"/>
      <c r="P1036" t="s">
        <v>1323</v>
      </c>
      <c r="Q1036">
        <v>36</v>
      </c>
      <c r="R1036" s="8">
        <v>2.8378700000000001</v>
      </c>
      <c r="S1036">
        <v>9</v>
      </c>
      <c r="T1036" s="8">
        <f t="shared" si="116"/>
        <v>0.25</v>
      </c>
      <c r="U1036" s="8">
        <v>2.8830499999999999</v>
      </c>
      <c r="V1036">
        <v>18</v>
      </c>
      <c r="W1036" s="8">
        <f t="shared" si="117"/>
        <v>0.5</v>
      </c>
      <c r="X1036" s="8">
        <v>2.8180900000000002</v>
      </c>
      <c r="Y1036">
        <v>9</v>
      </c>
      <c r="Z1036" s="8">
        <f t="shared" si="118"/>
        <v>0.25</v>
      </c>
      <c r="AA1036" s="8">
        <v>2.8322799999999999</v>
      </c>
    </row>
    <row r="1037" spans="2:27" ht="15" customHeight="1" x14ac:dyDescent="0.25">
      <c r="B1037" s="32">
        <v>366</v>
      </c>
      <c r="C1037" s="1">
        <v>-12363.3665</v>
      </c>
      <c r="D1037" s="2">
        <v>-12364.722831999999</v>
      </c>
      <c r="F1037" s="3">
        <v>0.99499499999999996</v>
      </c>
      <c r="G1037" s="2">
        <v>0.179649999999999</v>
      </c>
      <c r="H1037">
        <v>7</v>
      </c>
      <c r="I1037">
        <v>6</v>
      </c>
      <c r="K1037" s="8">
        <f t="shared" si="112"/>
        <v>-0.92383076923215413</v>
      </c>
      <c r="L1037" s="8">
        <f t="shared" si="113"/>
        <v>-7.1063905325550319E-2</v>
      </c>
      <c r="M1037" s="8">
        <f t="shared" si="114"/>
        <v>-0.854040153844835</v>
      </c>
      <c r="N1037" s="8">
        <f t="shared" si="115"/>
        <v>-6.5695396449602692E-2</v>
      </c>
      <c r="O1037" s="8"/>
      <c r="P1037" t="s">
        <v>1324</v>
      </c>
      <c r="Q1037">
        <v>36</v>
      </c>
      <c r="R1037" s="8">
        <v>2.83752</v>
      </c>
      <c r="S1037">
        <v>8</v>
      </c>
      <c r="T1037" s="8">
        <f t="shared" si="116"/>
        <v>0.22222222222222221</v>
      </c>
      <c r="U1037" s="8">
        <v>2.89208</v>
      </c>
      <c r="V1037">
        <v>21</v>
      </c>
      <c r="W1037" s="8">
        <f t="shared" si="117"/>
        <v>0.58333333333333337</v>
      </c>
      <c r="X1037" s="8">
        <v>2.8340999999999998</v>
      </c>
      <c r="Y1037">
        <v>7</v>
      </c>
      <c r="Z1037" s="8">
        <f t="shared" si="118"/>
        <v>0.19444444444444445</v>
      </c>
      <c r="AA1037" s="8">
        <v>2.7854199999999998</v>
      </c>
    </row>
    <row r="1038" spans="2:27" ht="15" customHeight="1" x14ac:dyDescent="0.25">
      <c r="B1038" s="32">
        <v>414</v>
      </c>
      <c r="C1038" s="1">
        <v>-12362.9995</v>
      </c>
      <c r="D1038" s="2">
        <v>-12364.722427999999</v>
      </c>
      <c r="F1038" s="3">
        <v>0.99746999999999997</v>
      </c>
      <c r="G1038" s="2">
        <v>0.20027</v>
      </c>
      <c r="H1038">
        <v>7</v>
      </c>
      <c r="I1038">
        <v>6</v>
      </c>
      <c r="K1038" s="8">
        <f t="shared" si="112"/>
        <v>-0.55683076923196495</v>
      </c>
      <c r="L1038" s="8">
        <f t="shared" si="113"/>
        <v>-4.2833136094766536E-2</v>
      </c>
      <c r="M1038" s="8">
        <f t="shared" si="114"/>
        <v>-0.85363615384449076</v>
      </c>
      <c r="N1038" s="8">
        <f t="shared" si="115"/>
        <v>-6.5664319526499287E-2</v>
      </c>
      <c r="O1038" s="8"/>
      <c r="P1038" t="s">
        <v>1325</v>
      </c>
      <c r="Q1038">
        <v>35</v>
      </c>
      <c r="R1038" s="8">
        <v>2.8271199999999999</v>
      </c>
      <c r="S1038">
        <v>8</v>
      </c>
      <c r="T1038" s="8">
        <f t="shared" si="116"/>
        <v>0.22857142857142856</v>
      </c>
      <c r="U1038" s="8">
        <v>2.8591099999999998</v>
      </c>
      <c r="V1038">
        <v>19</v>
      </c>
      <c r="W1038" s="8">
        <f t="shared" si="117"/>
        <v>0.54285714285714282</v>
      </c>
      <c r="X1038" s="8">
        <v>2.7955299999999998</v>
      </c>
      <c r="Y1038">
        <v>8</v>
      </c>
      <c r="Z1038" s="8">
        <f t="shared" si="118"/>
        <v>0.22857142857142856</v>
      </c>
      <c r="AA1038" s="8">
        <v>2.8701400000000001</v>
      </c>
    </row>
    <row r="1039" spans="2:27" ht="15" customHeight="1" x14ac:dyDescent="0.25">
      <c r="B1039">
        <v>749</v>
      </c>
      <c r="C1039" s="1">
        <v>-12363.265230999999</v>
      </c>
      <c r="D1039" s="2">
        <v>-12364.720738</v>
      </c>
      <c r="F1039" s="3">
        <v>0.995668</v>
      </c>
      <c r="G1039" s="2">
        <v>0.18398</v>
      </c>
      <c r="H1039">
        <v>7</v>
      </c>
      <c r="I1039">
        <v>6</v>
      </c>
      <c r="K1039" s="8">
        <f t="shared" si="112"/>
        <v>-0.82256176923146995</v>
      </c>
      <c r="L1039" s="8">
        <f t="shared" si="113"/>
        <v>-6.3273982248574612E-2</v>
      </c>
      <c r="M1039" s="8">
        <f t="shared" si="114"/>
        <v>-0.851946153845347</v>
      </c>
      <c r="N1039" s="8">
        <f t="shared" si="115"/>
        <v>-6.553431952656516E-2</v>
      </c>
      <c r="O1039" s="8"/>
      <c r="P1039" t="s">
        <v>1326</v>
      </c>
      <c r="Q1039">
        <v>36</v>
      </c>
      <c r="R1039" s="8">
        <v>2.83738</v>
      </c>
      <c r="S1039">
        <v>7</v>
      </c>
      <c r="T1039" s="8">
        <f t="shared" si="116"/>
        <v>0.19444444444444445</v>
      </c>
      <c r="U1039" s="8">
        <v>2.7804500000000001</v>
      </c>
      <c r="V1039">
        <v>19</v>
      </c>
      <c r="W1039" s="8">
        <f t="shared" si="117"/>
        <v>0.52777777777777779</v>
      </c>
      <c r="X1039" s="8">
        <v>2.85934</v>
      </c>
      <c r="Y1039">
        <v>10</v>
      </c>
      <c r="Z1039" s="8">
        <f t="shared" si="118"/>
        <v>0.27777777777777779</v>
      </c>
      <c r="AA1039" s="8">
        <v>2.8354900000000001</v>
      </c>
    </row>
    <row r="1040" spans="2:27" ht="15" customHeight="1" x14ac:dyDescent="0.25">
      <c r="B1040" s="32">
        <v>303</v>
      </c>
      <c r="C1040" s="1">
        <v>-12363.164699999999</v>
      </c>
      <c r="D1040" s="2">
        <v>-12364.719423</v>
      </c>
      <c r="F1040" s="3">
        <v>0.99348099999999995</v>
      </c>
      <c r="G1040" s="2">
        <v>0.17169999999999999</v>
      </c>
      <c r="H1040">
        <v>7</v>
      </c>
      <c r="I1040">
        <v>6</v>
      </c>
      <c r="K1040" s="8">
        <f t="shared" si="112"/>
        <v>-0.72203076923142362</v>
      </c>
      <c r="L1040" s="8">
        <f t="shared" si="113"/>
        <v>-5.5540828402417204E-2</v>
      </c>
      <c r="M1040" s="8">
        <f t="shared" si="114"/>
        <v>-0.85063115384582488</v>
      </c>
      <c r="N1040" s="8">
        <f t="shared" si="115"/>
        <v>-6.5433165680448074E-2</v>
      </c>
      <c r="O1040" s="8"/>
      <c r="P1040" t="s">
        <v>1327</v>
      </c>
      <c r="Q1040">
        <v>36</v>
      </c>
      <c r="R1040" s="8">
        <v>2.8376700000000001</v>
      </c>
      <c r="S1040">
        <v>9</v>
      </c>
      <c r="T1040" s="8">
        <f t="shared" si="116"/>
        <v>0.25</v>
      </c>
      <c r="U1040" s="8">
        <v>2.85548</v>
      </c>
      <c r="V1040">
        <v>18</v>
      </c>
      <c r="W1040" s="8">
        <f t="shared" si="117"/>
        <v>0.5</v>
      </c>
      <c r="X1040" s="8">
        <v>2.8379500000000002</v>
      </c>
      <c r="Y1040">
        <v>9</v>
      </c>
      <c r="Z1040" s="8">
        <f t="shared" si="118"/>
        <v>0.25</v>
      </c>
      <c r="AA1040" s="8">
        <v>2.8193100000000002</v>
      </c>
    </row>
    <row r="1041" spans="2:27" ht="15" customHeight="1" x14ac:dyDescent="0.25">
      <c r="B1041" s="32">
        <v>469</v>
      </c>
      <c r="C1041" s="1">
        <v>-12363.355799999999</v>
      </c>
      <c r="D1041" s="2">
        <v>-12364.713078999999</v>
      </c>
      <c r="F1041" s="3">
        <v>0.99568500000000004</v>
      </c>
      <c r="G1041" s="2">
        <v>0.18404999999999999</v>
      </c>
      <c r="H1041">
        <v>7</v>
      </c>
      <c r="I1041">
        <v>6</v>
      </c>
      <c r="K1041" s="8">
        <f t="shared" si="112"/>
        <v>-0.91313076923142944</v>
      </c>
      <c r="L1041" s="8">
        <f t="shared" si="113"/>
        <v>-7.0240828402417646E-2</v>
      </c>
      <c r="M1041" s="8">
        <f t="shared" si="114"/>
        <v>-0.84428715384456154</v>
      </c>
      <c r="N1041" s="8">
        <f t="shared" si="115"/>
        <v>-6.4945165680350886E-2</v>
      </c>
      <c r="O1041" s="8"/>
      <c r="P1041" t="s">
        <v>1328</v>
      </c>
      <c r="Q1041">
        <v>36</v>
      </c>
      <c r="R1041" s="8">
        <v>2.8339099999999999</v>
      </c>
      <c r="S1041">
        <v>8</v>
      </c>
      <c r="T1041" s="8">
        <f t="shared" si="116"/>
        <v>0.22222222222222221</v>
      </c>
      <c r="U1041" s="8">
        <v>2.8917299999999999</v>
      </c>
      <c r="V1041">
        <v>20</v>
      </c>
      <c r="W1041" s="8">
        <f t="shared" si="117"/>
        <v>0.55555555555555558</v>
      </c>
      <c r="X1041" s="8">
        <v>2.8131499999999998</v>
      </c>
      <c r="Y1041">
        <v>8</v>
      </c>
      <c r="Z1041" s="8">
        <f t="shared" si="118"/>
        <v>0.22222222222222221</v>
      </c>
      <c r="AA1041" s="8">
        <v>2.8279700000000001</v>
      </c>
    </row>
    <row r="1042" spans="2:27" ht="15" customHeight="1" x14ac:dyDescent="0.25">
      <c r="B1042" s="32">
        <v>362</v>
      </c>
      <c r="C1042" s="1">
        <v>-12363.073200000001</v>
      </c>
      <c r="D1042" s="2">
        <v>-12364.709797</v>
      </c>
      <c r="F1042" s="3">
        <v>0.99552200000000002</v>
      </c>
      <c r="G1042" s="2">
        <v>0.18296999999999899</v>
      </c>
      <c r="H1042">
        <v>7</v>
      </c>
      <c r="I1042">
        <v>6</v>
      </c>
      <c r="K1042" s="8">
        <f t="shared" si="112"/>
        <v>-0.6305307692327915</v>
      </c>
      <c r="L1042" s="8">
        <f t="shared" si="113"/>
        <v>-4.8502366864060883E-2</v>
      </c>
      <c r="M1042" s="8">
        <f t="shared" si="114"/>
        <v>-0.84100515384488972</v>
      </c>
      <c r="N1042" s="8">
        <f t="shared" si="115"/>
        <v>-6.4692704141914595E-2</v>
      </c>
      <c r="O1042" s="8"/>
      <c r="P1042" t="s">
        <v>1329</v>
      </c>
      <c r="Q1042">
        <v>34</v>
      </c>
      <c r="R1042" s="8">
        <v>2.8196400000000001</v>
      </c>
      <c r="S1042">
        <v>9</v>
      </c>
      <c r="T1042" s="8">
        <f t="shared" si="116"/>
        <v>0.26470588235294118</v>
      </c>
      <c r="U1042" s="8">
        <v>2.84735</v>
      </c>
      <c r="V1042">
        <v>17</v>
      </c>
      <c r="W1042" s="8">
        <f t="shared" si="117"/>
        <v>0.5</v>
      </c>
      <c r="X1042" s="8">
        <v>2.7995100000000002</v>
      </c>
      <c r="Y1042">
        <v>8</v>
      </c>
      <c r="Z1042" s="8">
        <f t="shared" si="118"/>
        <v>0.23529411764705882</v>
      </c>
      <c r="AA1042" s="8">
        <v>2.8312499999999998</v>
      </c>
    </row>
    <row r="1043" spans="2:27" ht="15" customHeight="1" x14ac:dyDescent="0.25">
      <c r="B1043" s="32">
        <v>309</v>
      </c>
      <c r="C1043" s="1">
        <v>-12363.1466</v>
      </c>
      <c r="D1043" s="2">
        <v>-12364.703153</v>
      </c>
      <c r="F1043" s="3">
        <v>0.99477499999999996</v>
      </c>
      <c r="G1043" s="2">
        <v>0.17842</v>
      </c>
      <c r="H1043">
        <v>7</v>
      </c>
      <c r="I1043">
        <v>6</v>
      </c>
      <c r="K1043" s="8">
        <f t="shared" si="112"/>
        <v>-0.70393076923210174</v>
      </c>
      <c r="L1043" s="8">
        <f t="shared" si="113"/>
        <v>-5.4148520710161671E-2</v>
      </c>
      <c r="M1043" s="8">
        <f t="shared" si="114"/>
        <v>-0.83436115384574805</v>
      </c>
      <c r="N1043" s="8">
        <f t="shared" si="115"/>
        <v>-6.4181627218903692E-2</v>
      </c>
      <c r="O1043" s="8"/>
      <c r="P1043" t="s">
        <v>1330</v>
      </c>
      <c r="Q1043">
        <v>34</v>
      </c>
      <c r="R1043" s="8">
        <v>2.8212199999999998</v>
      </c>
      <c r="S1043">
        <v>9</v>
      </c>
      <c r="T1043" s="8">
        <f t="shared" si="116"/>
        <v>0.26470588235294118</v>
      </c>
      <c r="U1043" s="8">
        <v>2.86971</v>
      </c>
      <c r="V1043">
        <v>17</v>
      </c>
      <c r="W1043" s="8">
        <f t="shared" si="117"/>
        <v>0.5</v>
      </c>
      <c r="X1043" s="8">
        <v>2.8079499999999999</v>
      </c>
      <c r="Y1043">
        <v>8</v>
      </c>
      <c r="Z1043" s="8">
        <f t="shared" si="118"/>
        <v>0.23529411764705882</v>
      </c>
      <c r="AA1043" s="8">
        <v>2.79487</v>
      </c>
    </row>
    <row r="1044" spans="2:27" ht="15" customHeight="1" x14ac:dyDescent="0.25">
      <c r="B1044" s="32">
        <v>320</v>
      </c>
      <c r="C1044" s="1">
        <v>-12363.151900000001</v>
      </c>
      <c r="D1044" s="2">
        <v>-12364.703121</v>
      </c>
      <c r="F1044" s="3">
        <v>0.99309499999999995</v>
      </c>
      <c r="G1044" s="2">
        <v>0.16750000000000001</v>
      </c>
      <c r="H1044">
        <v>7</v>
      </c>
      <c r="I1044">
        <v>6</v>
      </c>
      <c r="K1044" s="8">
        <f t="shared" si="112"/>
        <v>-0.70923076923281769</v>
      </c>
      <c r="L1044" s="8">
        <f t="shared" si="113"/>
        <v>-5.4556213017909055E-2</v>
      </c>
      <c r="M1044" s="8">
        <f t="shared" si="114"/>
        <v>-0.83432915384582884</v>
      </c>
      <c r="N1044" s="8">
        <f t="shared" si="115"/>
        <v>-6.4179165680448375E-2</v>
      </c>
      <c r="O1044" s="8"/>
      <c r="P1044" t="s">
        <v>1331</v>
      </c>
      <c r="Q1044">
        <v>35</v>
      </c>
      <c r="R1044" s="8">
        <v>2.8277700000000001</v>
      </c>
      <c r="S1044">
        <v>7</v>
      </c>
      <c r="T1044" s="8">
        <f t="shared" si="116"/>
        <v>0.2</v>
      </c>
      <c r="U1044" s="8">
        <v>2.8677700000000002</v>
      </c>
      <c r="V1044">
        <v>20</v>
      </c>
      <c r="W1044" s="8">
        <f t="shared" si="117"/>
        <v>0.5714285714285714</v>
      </c>
      <c r="X1044" s="8">
        <v>2.8138299999999998</v>
      </c>
      <c r="Y1044">
        <v>8</v>
      </c>
      <c r="Z1044" s="8">
        <f t="shared" si="118"/>
        <v>0.22857142857142856</v>
      </c>
      <c r="AA1044" s="8">
        <v>2.8276500000000002</v>
      </c>
    </row>
    <row r="1045" spans="2:27" ht="15" customHeight="1" x14ac:dyDescent="0.25">
      <c r="B1045">
        <v>609</v>
      </c>
      <c r="C1045" s="1">
        <v>-12363.320621999999</v>
      </c>
      <c r="D1045" s="2">
        <v>-12364.703028</v>
      </c>
      <c r="F1045" s="3">
        <v>0.99488799999999999</v>
      </c>
      <c r="G1045" s="2">
        <v>0.17795</v>
      </c>
      <c r="H1045">
        <v>7</v>
      </c>
      <c r="I1045">
        <v>6</v>
      </c>
      <c r="K1045" s="8">
        <f t="shared" si="112"/>
        <v>-0.87795276923134224</v>
      </c>
      <c r="L1045" s="8">
        <f t="shared" si="113"/>
        <v>-6.7534828402410943E-2</v>
      </c>
      <c r="M1045" s="8">
        <f t="shared" si="114"/>
        <v>-0.83423615384526784</v>
      </c>
      <c r="N1045" s="8">
        <f t="shared" si="115"/>
        <v>-6.4172011834251377E-2</v>
      </c>
      <c r="O1045" s="8"/>
      <c r="P1045" t="s">
        <v>1332</v>
      </c>
      <c r="Q1045">
        <v>34</v>
      </c>
      <c r="R1045" s="8">
        <v>2.8189899999999999</v>
      </c>
      <c r="S1045">
        <v>8</v>
      </c>
      <c r="T1045" s="8">
        <f t="shared" si="116"/>
        <v>0.23529411764705882</v>
      </c>
      <c r="U1045" s="8">
        <v>2.8193899999999998</v>
      </c>
      <c r="V1045">
        <v>16</v>
      </c>
      <c r="W1045" s="8">
        <f t="shared" si="117"/>
        <v>0.47058823529411764</v>
      </c>
      <c r="X1045" s="8">
        <v>2.8154699999999999</v>
      </c>
      <c r="Y1045">
        <v>10</v>
      </c>
      <c r="Z1045" s="8">
        <f t="shared" si="118"/>
        <v>0.29411764705882354</v>
      </c>
      <c r="AA1045" s="8">
        <v>2.8243</v>
      </c>
    </row>
    <row r="1046" spans="2:27" ht="15" customHeight="1" x14ac:dyDescent="0.25">
      <c r="B1046">
        <v>750</v>
      </c>
      <c r="C1046" s="1">
        <v>-12363.262366999999</v>
      </c>
      <c r="D1046" s="2">
        <v>-12364.700803</v>
      </c>
      <c r="F1046" s="3">
        <v>0.99522200000000005</v>
      </c>
      <c r="G1046" s="2">
        <v>0.18110999999999899</v>
      </c>
      <c r="H1046">
        <v>7</v>
      </c>
      <c r="I1046">
        <v>6</v>
      </c>
      <c r="K1046" s="8">
        <f t="shared" si="112"/>
        <v>-0.8196977692314249</v>
      </c>
      <c r="L1046" s="8">
        <f t="shared" si="113"/>
        <v>-6.3053674556263456E-2</v>
      </c>
      <c r="M1046" s="8">
        <f t="shared" si="114"/>
        <v>-0.83201115384508739</v>
      </c>
      <c r="N1046" s="8">
        <f t="shared" si="115"/>
        <v>-6.4000857988083651E-2</v>
      </c>
      <c r="O1046" s="8"/>
      <c r="P1046" t="s">
        <v>1333</v>
      </c>
      <c r="Q1046">
        <v>35</v>
      </c>
      <c r="R1046" s="8">
        <v>2.82673</v>
      </c>
      <c r="S1046">
        <v>8</v>
      </c>
      <c r="T1046" s="8">
        <f t="shared" si="116"/>
        <v>0.22857142857142856</v>
      </c>
      <c r="U1046" s="8">
        <v>2.8207</v>
      </c>
      <c r="V1046">
        <v>16</v>
      </c>
      <c r="W1046" s="8">
        <f t="shared" si="117"/>
        <v>0.45714285714285713</v>
      </c>
      <c r="X1046" s="8">
        <v>2.8340900000000002</v>
      </c>
      <c r="Y1046">
        <v>11</v>
      </c>
      <c r="Z1046" s="8">
        <f t="shared" si="118"/>
        <v>0.31428571428571428</v>
      </c>
      <c r="AA1046" s="8">
        <v>2.82043</v>
      </c>
    </row>
    <row r="1047" spans="2:27" ht="15" customHeight="1" x14ac:dyDescent="0.25">
      <c r="B1047" s="32">
        <v>373</v>
      </c>
      <c r="C1047" s="1">
        <v>-12363.134099999999</v>
      </c>
      <c r="D1047" s="2">
        <v>-12364.700296000001</v>
      </c>
      <c r="F1047" s="3">
        <v>0.99716499999999997</v>
      </c>
      <c r="G1047" s="2">
        <v>0.196709999999999</v>
      </c>
      <c r="H1047">
        <v>7</v>
      </c>
      <c r="I1047">
        <v>6</v>
      </c>
      <c r="K1047" s="8">
        <f t="shared" si="112"/>
        <v>-0.69143076923137414</v>
      </c>
      <c r="L1047" s="8">
        <f t="shared" si="113"/>
        <v>-5.3186982248567244E-2</v>
      </c>
      <c r="M1047" s="8">
        <f t="shared" si="114"/>
        <v>-0.83150415384625376</v>
      </c>
      <c r="N1047" s="8">
        <f t="shared" si="115"/>
        <v>-6.396185798817336E-2</v>
      </c>
      <c r="O1047" s="8"/>
      <c r="P1047" t="s">
        <v>1334</v>
      </c>
      <c r="Q1047">
        <v>35</v>
      </c>
      <c r="R1047" s="8">
        <v>2.8259599999999998</v>
      </c>
      <c r="S1047">
        <v>9</v>
      </c>
      <c r="T1047" s="8">
        <f t="shared" si="116"/>
        <v>0.25714285714285712</v>
      </c>
      <c r="U1047" s="8">
        <v>2.8295599999999999</v>
      </c>
      <c r="V1047">
        <v>16</v>
      </c>
      <c r="W1047" s="8">
        <f t="shared" si="117"/>
        <v>0.45714285714285713</v>
      </c>
      <c r="X1047" s="8">
        <v>2.8269099999999998</v>
      </c>
      <c r="Y1047">
        <v>10</v>
      </c>
      <c r="Z1047" s="8">
        <f t="shared" si="118"/>
        <v>0.2857142857142857</v>
      </c>
      <c r="AA1047" s="8">
        <v>2.8212000000000002</v>
      </c>
    </row>
    <row r="1048" spans="2:27" ht="15" customHeight="1" x14ac:dyDescent="0.25">
      <c r="B1048" s="32">
        <v>315</v>
      </c>
      <c r="C1048" s="1">
        <v>-12362.9375</v>
      </c>
      <c r="D1048" s="2">
        <v>-12364.698793</v>
      </c>
      <c r="F1048" s="3">
        <v>0.99431199999999997</v>
      </c>
      <c r="G1048" s="2">
        <v>0.17580999999999899</v>
      </c>
      <c r="H1048">
        <v>7</v>
      </c>
      <c r="I1048">
        <v>6</v>
      </c>
      <c r="K1048" s="8">
        <f t="shared" si="112"/>
        <v>-0.49483076923206681</v>
      </c>
      <c r="L1048" s="8">
        <f t="shared" si="113"/>
        <v>-3.8063905325543601E-2</v>
      </c>
      <c r="M1048" s="8">
        <f t="shared" si="114"/>
        <v>-0.83000115384493256</v>
      </c>
      <c r="N1048" s="8">
        <f t="shared" si="115"/>
        <v>-6.3846242603456352E-2</v>
      </c>
      <c r="O1048" s="8"/>
      <c r="P1048" t="s">
        <v>1335</v>
      </c>
      <c r="Q1048">
        <v>35</v>
      </c>
      <c r="R1048" s="8">
        <v>2.8277000000000001</v>
      </c>
      <c r="S1048">
        <v>9</v>
      </c>
      <c r="T1048" s="8">
        <f t="shared" si="116"/>
        <v>0.25714285714285712</v>
      </c>
      <c r="U1048" s="8">
        <v>2.8290299999999999</v>
      </c>
      <c r="V1048">
        <v>16</v>
      </c>
      <c r="W1048" s="8">
        <f t="shared" si="117"/>
        <v>0.45714285714285713</v>
      </c>
      <c r="X1048" s="8">
        <v>2.8462800000000001</v>
      </c>
      <c r="Y1048">
        <v>10</v>
      </c>
      <c r="Z1048" s="8">
        <f t="shared" si="118"/>
        <v>0.2857142857142857</v>
      </c>
      <c r="AA1048" s="8">
        <v>2.79677</v>
      </c>
    </row>
    <row r="1049" spans="2:27" ht="15" customHeight="1" x14ac:dyDescent="0.25">
      <c r="B1049" s="32">
        <v>405</v>
      </c>
      <c r="C1049" s="1">
        <v>-12363.329599999999</v>
      </c>
      <c r="D1049" s="2">
        <v>-12364.692499000001</v>
      </c>
      <c r="F1049" s="3">
        <v>0.998444</v>
      </c>
      <c r="G1049" s="2">
        <v>0.142479999999999</v>
      </c>
      <c r="H1049">
        <v>7</v>
      </c>
      <c r="I1049">
        <v>6</v>
      </c>
      <c r="K1049" s="8">
        <f t="shared" si="112"/>
        <v>-0.88693076923118497</v>
      </c>
      <c r="L1049" s="8">
        <f t="shared" si="113"/>
        <v>-6.8225443787014228E-2</v>
      </c>
      <c r="M1049" s="8">
        <f t="shared" si="114"/>
        <v>-0.82370715384604409</v>
      </c>
      <c r="N1049" s="8">
        <f t="shared" si="115"/>
        <v>-6.336208875738801E-2</v>
      </c>
      <c r="O1049" s="8"/>
      <c r="P1049" t="s">
        <v>1336</v>
      </c>
      <c r="Q1049">
        <v>36</v>
      </c>
      <c r="R1049" s="8">
        <v>2.8388800000000001</v>
      </c>
      <c r="S1049">
        <v>8</v>
      </c>
      <c r="T1049" s="8">
        <f t="shared" si="116"/>
        <v>0.22222222222222221</v>
      </c>
      <c r="U1049" s="8">
        <v>2.8876300000000001</v>
      </c>
      <c r="V1049">
        <v>21</v>
      </c>
      <c r="W1049" s="8">
        <f t="shared" si="117"/>
        <v>0.58333333333333337</v>
      </c>
      <c r="X1049" s="8">
        <v>2.82721</v>
      </c>
      <c r="Y1049">
        <v>7</v>
      </c>
      <c r="Z1049" s="8">
        <f t="shared" si="118"/>
        <v>0.19444444444444445</v>
      </c>
      <c r="AA1049" s="8">
        <v>2.8182</v>
      </c>
    </row>
    <row r="1050" spans="2:27" ht="15" customHeight="1" x14ac:dyDescent="0.25">
      <c r="B1050" s="32">
        <v>411</v>
      </c>
      <c r="C1050" s="1">
        <v>-12363.319600000001</v>
      </c>
      <c r="D1050" s="2">
        <v>-12364.691153</v>
      </c>
      <c r="F1050" s="3">
        <v>0.99420299999999995</v>
      </c>
      <c r="G1050" s="2">
        <v>0.17523</v>
      </c>
      <c r="H1050">
        <v>7</v>
      </c>
      <c r="I1050">
        <v>6</v>
      </c>
      <c r="K1050" s="8">
        <f t="shared" si="112"/>
        <v>-0.87693076923278568</v>
      </c>
      <c r="L1050" s="8">
        <f t="shared" si="113"/>
        <v>-6.7456213017906594E-2</v>
      </c>
      <c r="M1050" s="8">
        <f t="shared" si="114"/>
        <v>-0.82236115384512232</v>
      </c>
      <c r="N1050" s="8">
        <f t="shared" si="115"/>
        <v>-6.3258550295778634E-2</v>
      </c>
      <c r="O1050" s="8"/>
      <c r="P1050" t="s">
        <v>1337</v>
      </c>
      <c r="Q1050">
        <v>35</v>
      </c>
      <c r="R1050" s="8">
        <v>2.8247</v>
      </c>
      <c r="S1050">
        <v>7</v>
      </c>
      <c r="T1050" s="8">
        <f t="shared" si="116"/>
        <v>0.2</v>
      </c>
      <c r="U1050" s="8">
        <v>2.84294</v>
      </c>
      <c r="V1050">
        <v>20</v>
      </c>
      <c r="W1050" s="8">
        <f t="shared" si="117"/>
        <v>0.5714285714285714</v>
      </c>
      <c r="X1050" s="8">
        <v>2.8281000000000001</v>
      </c>
      <c r="Y1050">
        <v>8</v>
      </c>
      <c r="Z1050" s="8">
        <f t="shared" si="118"/>
        <v>0.22857142857142856</v>
      </c>
      <c r="AA1050" s="8">
        <v>2.8002400000000001</v>
      </c>
    </row>
    <row r="1051" spans="2:27" ht="15" customHeight="1" x14ac:dyDescent="0.25">
      <c r="B1051">
        <v>565</v>
      </c>
      <c r="C1051" s="1">
        <v>-12363.276755999999</v>
      </c>
      <c r="D1051" s="2">
        <v>-12364.685310999999</v>
      </c>
      <c r="F1051" s="3">
        <v>0.994367</v>
      </c>
      <c r="G1051" s="2">
        <v>0.17729</v>
      </c>
      <c r="H1051">
        <v>7</v>
      </c>
      <c r="I1051">
        <v>6</v>
      </c>
      <c r="K1051" s="8">
        <f t="shared" si="112"/>
        <v>-0.83408676923136227</v>
      </c>
      <c r="L1051" s="8">
        <f t="shared" si="113"/>
        <v>-6.4160520710104793E-2</v>
      </c>
      <c r="M1051" s="8">
        <f t="shared" si="114"/>
        <v>-0.81651915384463791</v>
      </c>
      <c r="N1051" s="8">
        <f t="shared" si="115"/>
        <v>-6.2809165680356757E-2</v>
      </c>
      <c r="O1051" s="8"/>
      <c r="P1051" t="s">
        <v>1338</v>
      </c>
      <c r="Q1051">
        <v>36</v>
      </c>
      <c r="R1051" s="8">
        <v>2.8403200000000002</v>
      </c>
      <c r="S1051">
        <v>6</v>
      </c>
      <c r="T1051" s="8">
        <f t="shared" si="116"/>
        <v>0.16666666666666666</v>
      </c>
      <c r="U1051" s="8">
        <v>2.84511</v>
      </c>
      <c r="V1051">
        <v>20</v>
      </c>
      <c r="W1051" s="8">
        <f t="shared" si="117"/>
        <v>0.55555555555555558</v>
      </c>
      <c r="X1051" s="8">
        <v>2.8151999999999999</v>
      </c>
      <c r="Y1051">
        <v>10</v>
      </c>
      <c r="Z1051" s="8">
        <f t="shared" si="118"/>
        <v>0.27777777777777779</v>
      </c>
      <c r="AA1051" s="8">
        <v>2.8876900000000001</v>
      </c>
    </row>
    <row r="1052" spans="2:27" ht="15" customHeight="1" x14ac:dyDescent="0.25">
      <c r="B1052">
        <v>683</v>
      </c>
      <c r="C1052" s="1">
        <v>-12363.174041</v>
      </c>
      <c r="D1052" s="2">
        <v>-12364.685240000001</v>
      </c>
      <c r="F1052" s="3">
        <v>0.99402299999999999</v>
      </c>
      <c r="G1052" s="2">
        <v>0.17288999999999899</v>
      </c>
      <c r="H1052">
        <v>7</v>
      </c>
      <c r="I1052">
        <v>6</v>
      </c>
      <c r="K1052" s="8">
        <f t="shared" si="112"/>
        <v>-0.73137176923228253</v>
      </c>
      <c r="L1052" s="8">
        <f t="shared" si="113"/>
        <v>-5.6259366864021734E-2</v>
      </c>
      <c r="M1052" s="8">
        <f t="shared" si="114"/>
        <v>-0.81644815384606773</v>
      </c>
      <c r="N1052" s="8">
        <f t="shared" si="115"/>
        <v>-6.2803704142005215E-2</v>
      </c>
      <c r="O1052" s="8"/>
      <c r="P1052" t="s">
        <v>1339</v>
      </c>
      <c r="Q1052">
        <v>34</v>
      </c>
      <c r="R1052" s="8">
        <v>2.8220700000000001</v>
      </c>
      <c r="S1052">
        <v>7</v>
      </c>
      <c r="T1052" s="8">
        <f t="shared" si="116"/>
        <v>0.20588235294117646</v>
      </c>
      <c r="U1052" s="8">
        <v>2.7990400000000002</v>
      </c>
      <c r="V1052">
        <v>16</v>
      </c>
      <c r="W1052" s="8">
        <f t="shared" si="117"/>
        <v>0.47058823529411764</v>
      </c>
      <c r="X1052" s="8">
        <v>2.81759</v>
      </c>
      <c r="Y1052">
        <v>11</v>
      </c>
      <c r="Z1052" s="8">
        <f t="shared" si="118"/>
        <v>0.3235294117647059</v>
      </c>
      <c r="AA1052" s="8">
        <v>2.8432300000000001</v>
      </c>
    </row>
    <row r="1053" spans="2:27" ht="15" customHeight="1" x14ac:dyDescent="0.25">
      <c r="B1053" s="32">
        <v>370</v>
      </c>
      <c r="C1053" s="1">
        <v>-12363.0738</v>
      </c>
      <c r="D1053" s="2">
        <v>-12364.683653</v>
      </c>
      <c r="F1053" s="3">
        <v>0.99463800000000002</v>
      </c>
      <c r="G1053" s="2">
        <v>0.177509999999999</v>
      </c>
      <c r="H1053">
        <v>7</v>
      </c>
      <c r="I1053">
        <v>6</v>
      </c>
      <c r="K1053" s="8">
        <f t="shared" si="112"/>
        <v>-0.63113076923218614</v>
      </c>
      <c r="L1053" s="8">
        <f t="shared" si="113"/>
        <v>-4.8548520710168165E-2</v>
      </c>
      <c r="M1053" s="8">
        <f t="shared" si="114"/>
        <v>-0.81486115384541336</v>
      </c>
      <c r="N1053" s="8">
        <f t="shared" si="115"/>
        <v>-6.2681627218877947E-2</v>
      </c>
      <c r="O1053" s="8"/>
      <c r="P1053" t="s">
        <v>1340</v>
      </c>
      <c r="Q1053">
        <v>35</v>
      </c>
      <c r="R1053" s="8">
        <v>2.8309799999999998</v>
      </c>
      <c r="S1053">
        <v>11</v>
      </c>
      <c r="T1053" s="8">
        <f t="shared" si="116"/>
        <v>0.31428571428571428</v>
      </c>
      <c r="U1053" s="8">
        <v>2.8906499999999999</v>
      </c>
      <c r="V1053">
        <v>16</v>
      </c>
      <c r="W1053" s="8">
        <f t="shared" si="117"/>
        <v>0.45714285714285713</v>
      </c>
      <c r="X1053" s="8">
        <v>2.8008299999999999</v>
      </c>
      <c r="Y1053">
        <v>8</v>
      </c>
      <c r="Z1053" s="8">
        <f t="shared" si="118"/>
        <v>0.22857142857142856</v>
      </c>
      <c r="AA1053" s="8">
        <v>2.80925</v>
      </c>
    </row>
    <row r="1054" spans="2:27" ht="15" customHeight="1" x14ac:dyDescent="0.25">
      <c r="B1054" s="32">
        <v>381</v>
      </c>
      <c r="C1054" s="1">
        <v>-12363.348400000001</v>
      </c>
      <c r="D1054" s="2">
        <v>-12364.683644000001</v>
      </c>
      <c r="F1054" s="3">
        <v>0.99469099999999999</v>
      </c>
      <c r="G1054" s="2">
        <v>0.176759999999999</v>
      </c>
      <c r="H1054">
        <v>7</v>
      </c>
      <c r="I1054">
        <v>6</v>
      </c>
      <c r="K1054" s="8">
        <f t="shared" si="112"/>
        <v>-0.90573076923283224</v>
      </c>
      <c r="L1054" s="8">
        <f t="shared" si="113"/>
        <v>-6.9671597633294793E-2</v>
      </c>
      <c r="M1054" s="8">
        <f t="shared" si="114"/>
        <v>-0.81485215384600451</v>
      </c>
      <c r="N1054" s="8">
        <f t="shared" si="115"/>
        <v>-6.2680934911231112E-2</v>
      </c>
      <c r="O1054" s="8"/>
      <c r="P1054" t="s">
        <v>1341</v>
      </c>
      <c r="Q1054">
        <v>34</v>
      </c>
      <c r="R1054" s="8">
        <v>2.8182299999999998</v>
      </c>
      <c r="S1054">
        <v>6</v>
      </c>
      <c r="T1054" s="8">
        <f t="shared" si="116"/>
        <v>0.17647058823529413</v>
      </c>
      <c r="U1054" s="8">
        <v>2.8869500000000001</v>
      </c>
      <c r="V1054">
        <v>21</v>
      </c>
      <c r="W1054" s="8">
        <f t="shared" si="117"/>
        <v>0.61764705882352944</v>
      </c>
      <c r="X1054" s="8">
        <v>2.79332</v>
      </c>
      <c r="Y1054">
        <v>7</v>
      </c>
      <c r="Z1054" s="8">
        <f t="shared" si="118"/>
        <v>0.20588235294117646</v>
      </c>
      <c r="AA1054" s="8">
        <v>2.8340299999999998</v>
      </c>
    </row>
    <row r="1055" spans="2:27" ht="15" customHeight="1" x14ac:dyDescent="0.25">
      <c r="B1055" s="32">
        <v>376</v>
      </c>
      <c r="C1055" s="1">
        <v>-12363.107599999999</v>
      </c>
      <c r="D1055" s="2">
        <v>-12364.683621</v>
      </c>
      <c r="F1055" s="3">
        <v>0.99451699999999998</v>
      </c>
      <c r="G1055" s="2">
        <v>0.17693999999999999</v>
      </c>
      <c r="H1055">
        <v>7</v>
      </c>
      <c r="I1055">
        <v>6</v>
      </c>
      <c r="K1055" s="8">
        <f t="shared" si="112"/>
        <v>-0.66493076923143235</v>
      </c>
      <c r="L1055" s="8">
        <f t="shared" si="113"/>
        <v>-5.1148520710110182E-2</v>
      </c>
      <c r="M1055" s="8">
        <f t="shared" si="114"/>
        <v>-0.81482915384549415</v>
      </c>
      <c r="N1055" s="8">
        <f t="shared" si="115"/>
        <v>-6.267916568042263E-2</v>
      </c>
      <c r="O1055" s="8"/>
      <c r="P1055" t="s">
        <v>1342</v>
      </c>
      <c r="Q1055">
        <v>34</v>
      </c>
      <c r="R1055" s="8">
        <v>2.8163800000000001</v>
      </c>
      <c r="S1055">
        <v>8</v>
      </c>
      <c r="T1055" s="8">
        <f t="shared" si="116"/>
        <v>0.23529411764705882</v>
      </c>
      <c r="U1055" s="8">
        <v>2.8560599999999998</v>
      </c>
      <c r="V1055">
        <v>19</v>
      </c>
      <c r="W1055" s="8">
        <f t="shared" si="117"/>
        <v>0.55882352941176472</v>
      </c>
      <c r="X1055" s="8">
        <v>2.7945799999999998</v>
      </c>
      <c r="Y1055">
        <v>7</v>
      </c>
      <c r="Z1055" s="8">
        <f t="shared" si="118"/>
        <v>0.20588235294117646</v>
      </c>
      <c r="AA1055" s="8">
        <v>2.83019</v>
      </c>
    </row>
    <row r="1056" spans="2:27" ht="15" customHeight="1" x14ac:dyDescent="0.25">
      <c r="B1056" s="32">
        <v>418</v>
      </c>
      <c r="C1056" s="1">
        <v>-12362.9717</v>
      </c>
      <c r="D1056" s="2">
        <v>-12364.677769</v>
      </c>
      <c r="F1056" s="3">
        <v>0.99429999999999996</v>
      </c>
      <c r="G1056" s="2">
        <v>0.17571999999999999</v>
      </c>
      <c r="H1056">
        <v>7</v>
      </c>
      <c r="I1056">
        <v>6</v>
      </c>
      <c r="K1056" s="8">
        <f t="shared" si="112"/>
        <v>-0.52903076923212211</v>
      </c>
      <c r="L1056" s="8">
        <f t="shared" si="113"/>
        <v>-4.0694674556317083E-2</v>
      </c>
      <c r="M1056" s="8">
        <f t="shared" si="114"/>
        <v>-0.80897715384526236</v>
      </c>
      <c r="N1056" s="8">
        <f t="shared" si="115"/>
        <v>-6.2229011834250954E-2</v>
      </c>
      <c r="O1056" s="8"/>
      <c r="P1056" t="s">
        <v>1343</v>
      </c>
      <c r="Q1056">
        <v>33</v>
      </c>
      <c r="R1056" s="8">
        <v>2.8081800000000001</v>
      </c>
      <c r="S1056">
        <v>6</v>
      </c>
      <c r="T1056" s="8">
        <f t="shared" si="116"/>
        <v>0.18181818181818182</v>
      </c>
      <c r="U1056" s="8">
        <v>2.8004199999999999</v>
      </c>
      <c r="V1056">
        <v>21</v>
      </c>
      <c r="W1056" s="8">
        <f t="shared" si="117"/>
        <v>0.63636363636363635</v>
      </c>
      <c r="X1056" s="8">
        <v>2.8056999999999999</v>
      </c>
      <c r="Y1056">
        <v>6</v>
      </c>
      <c r="Z1056" s="8">
        <f t="shared" si="118"/>
        <v>0.18181818181818182</v>
      </c>
      <c r="AA1056" s="8">
        <v>2.8246199999999999</v>
      </c>
    </row>
    <row r="1057" spans="2:27" ht="15" customHeight="1" x14ac:dyDescent="0.25">
      <c r="B1057" s="32">
        <v>452</v>
      </c>
      <c r="C1057" s="1">
        <v>-12363.339</v>
      </c>
      <c r="D1057" s="2">
        <v>-12364.677196000001</v>
      </c>
      <c r="F1057" s="3">
        <v>0.99543099999999995</v>
      </c>
      <c r="G1057" s="2">
        <v>0.182339999999999</v>
      </c>
      <c r="H1057">
        <v>7</v>
      </c>
      <c r="I1057">
        <v>6</v>
      </c>
      <c r="K1057" s="8">
        <f t="shared" si="112"/>
        <v>-0.89633076923200861</v>
      </c>
      <c r="L1057" s="8">
        <f t="shared" si="113"/>
        <v>-6.8948520710154504E-2</v>
      </c>
      <c r="M1057" s="8">
        <f t="shared" si="114"/>
        <v>-0.80840415384591324</v>
      </c>
      <c r="N1057" s="8">
        <f t="shared" si="115"/>
        <v>-6.2184934911224093E-2</v>
      </c>
      <c r="O1057" s="8"/>
      <c r="P1057" t="s">
        <v>1344</v>
      </c>
      <c r="Q1057">
        <v>36</v>
      </c>
      <c r="R1057" s="8">
        <v>2.83527</v>
      </c>
      <c r="S1057">
        <v>8</v>
      </c>
      <c r="T1057" s="8">
        <f t="shared" si="116"/>
        <v>0.22222222222222221</v>
      </c>
      <c r="U1057" s="8">
        <v>2.8618999999999999</v>
      </c>
      <c r="V1057">
        <v>19</v>
      </c>
      <c r="W1057" s="8">
        <f t="shared" si="117"/>
        <v>0.52777777777777779</v>
      </c>
      <c r="X1057" s="8">
        <v>2.8280500000000002</v>
      </c>
      <c r="Y1057">
        <v>9</v>
      </c>
      <c r="Z1057" s="8">
        <f t="shared" si="118"/>
        <v>0.25</v>
      </c>
      <c r="AA1057" s="8">
        <v>2.8268399999999998</v>
      </c>
    </row>
    <row r="1058" spans="2:27" ht="15" customHeight="1" x14ac:dyDescent="0.25">
      <c r="B1058" s="32">
        <v>371</v>
      </c>
      <c r="C1058" s="1">
        <v>-12363.1041</v>
      </c>
      <c r="D1058" s="2">
        <v>-12364.674037999999</v>
      </c>
      <c r="F1058" s="3">
        <v>0.99421700000000002</v>
      </c>
      <c r="G1058" s="2">
        <v>0.17524999999999899</v>
      </c>
      <c r="H1058">
        <v>7</v>
      </c>
      <c r="I1058">
        <v>6</v>
      </c>
      <c r="K1058" s="8">
        <f t="shared" si="112"/>
        <v>-0.6614307692325383</v>
      </c>
      <c r="L1058" s="8">
        <f t="shared" si="113"/>
        <v>-5.0879289940964481E-2</v>
      </c>
      <c r="M1058" s="8">
        <f t="shared" si="114"/>
        <v>-0.80524615384456411</v>
      </c>
      <c r="N1058" s="8">
        <f t="shared" si="115"/>
        <v>-6.1942011834197237E-2</v>
      </c>
      <c r="O1058" s="8"/>
      <c r="P1058" t="s">
        <v>1345</v>
      </c>
      <c r="Q1058">
        <v>33</v>
      </c>
      <c r="R1058" s="8">
        <v>2.8105600000000002</v>
      </c>
      <c r="S1058">
        <v>7</v>
      </c>
      <c r="T1058" s="8">
        <f t="shared" si="116"/>
        <v>0.21212121212121213</v>
      </c>
      <c r="U1058" s="8">
        <v>2.8503099999999999</v>
      </c>
      <c r="V1058">
        <v>19</v>
      </c>
      <c r="W1058" s="8">
        <f t="shared" si="117"/>
        <v>0.5757575757575758</v>
      </c>
      <c r="X1058" s="8">
        <v>2.7932700000000001</v>
      </c>
      <c r="Y1058">
        <v>7</v>
      </c>
      <c r="Z1058" s="8">
        <f t="shared" si="118"/>
        <v>0.21212121212121213</v>
      </c>
      <c r="AA1058" s="8">
        <v>2.8177300000000001</v>
      </c>
    </row>
    <row r="1059" spans="2:27" ht="15" customHeight="1" x14ac:dyDescent="0.25">
      <c r="B1059" s="32">
        <v>357</v>
      </c>
      <c r="C1059" s="1">
        <v>-12363.3436</v>
      </c>
      <c r="D1059" s="2">
        <v>-12364.673806000001</v>
      </c>
      <c r="F1059" s="3">
        <v>0.99336999999999998</v>
      </c>
      <c r="G1059" s="2">
        <v>0.17118999999999901</v>
      </c>
      <c r="H1059">
        <v>7</v>
      </c>
      <c r="I1059">
        <v>6</v>
      </c>
      <c r="K1059" s="8">
        <f t="shared" si="112"/>
        <v>-0.90093076923221815</v>
      </c>
      <c r="L1059" s="8">
        <f t="shared" si="113"/>
        <v>-6.9302366864016779E-2</v>
      </c>
      <c r="M1059" s="8">
        <f t="shared" si="114"/>
        <v>-0.80501415384605934</v>
      </c>
      <c r="N1059" s="8">
        <f t="shared" si="115"/>
        <v>-6.1924165680466103E-2</v>
      </c>
      <c r="O1059" s="8"/>
      <c r="P1059" t="s">
        <v>1346</v>
      </c>
      <c r="Q1059">
        <v>35</v>
      </c>
      <c r="R1059" s="8">
        <v>2.8266200000000001</v>
      </c>
      <c r="S1059">
        <v>7</v>
      </c>
      <c r="T1059" s="8">
        <f t="shared" si="116"/>
        <v>0.2</v>
      </c>
      <c r="U1059" s="8">
        <v>2.8591299999999999</v>
      </c>
      <c r="V1059">
        <v>20</v>
      </c>
      <c r="W1059" s="8">
        <f t="shared" si="117"/>
        <v>0.5714285714285714</v>
      </c>
      <c r="X1059" s="8">
        <v>2.8076400000000001</v>
      </c>
      <c r="Y1059">
        <v>8</v>
      </c>
      <c r="Z1059" s="8">
        <f t="shared" si="118"/>
        <v>0.22857142857142856</v>
      </c>
      <c r="AA1059" s="8">
        <v>2.8456000000000001</v>
      </c>
    </row>
    <row r="1060" spans="2:27" ht="15" customHeight="1" x14ac:dyDescent="0.25">
      <c r="B1060">
        <v>748</v>
      </c>
      <c r="C1060" s="1">
        <v>-12363.141812</v>
      </c>
      <c r="D1060" s="2">
        <v>-12364.670914</v>
      </c>
      <c r="F1060" s="3">
        <v>0.99499300000000002</v>
      </c>
      <c r="G1060" s="2">
        <v>0.17610999999999999</v>
      </c>
      <c r="H1060">
        <v>7</v>
      </c>
      <c r="I1060">
        <v>6</v>
      </c>
      <c r="K1060" s="8">
        <f t="shared" si="112"/>
        <v>-0.6991427692319121</v>
      </c>
      <c r="L1060" s="8">
        <f t="shared" si="113"/>
        <v>-5.378021301783939E-2</v>
      </c>
      <c r="M1060" s="8">
        <f t="shared" si="114"/>
        <v>-0.80212215384563024</v>
      </c>
      <c r="N1060" s="8">
        <f t="shared" si="115"/>
        <v>-6.1701704141971556E-2</v>
      </c>
      <c r="O1060" s="8"/>
      <c r="P1060" t="s">
        <v>1347</v>
      </c>
      <c r="Q1060">
        <v>36</v>
      </c>
      <c r="R1060" s="8">
        <v>2.83751</v>
      </c>
      <c r="S1060">
        <v>8</v>
      </c>
      <c r="T1060" s="8">
        <f t="shared" si="116"/>
        <v>0.22222222222222221</v>
      </c>
      <c r="U1060" s="8">
        <v>2.7747199999999999</v>
      </c>
      <c r="V1060">
        <v>17</v>
      </c>
      <c r="W1060" s="8">
        <f t="shared" si="117"/>
        <v>0.47222222222222221</v>
      </c>
      <c r="X1060" s="8">
        <v>2.88503</v>
      </c>
      <c r="Y1060">
        <v>11</v>
      </c>
      <c r="Z1060" s="8">
        <f t="shared" si="118"/>
        <v>0.30555555555555558</v>
      </c>
      <c r="AA1060" s="8">
        <v>2.8097400000000001</v>
      </c>
    </row>
    <row r="1061" spans="2:27" ht="15" customHeight="1" x14ac:dyDescent="0.25">
      <c r="B1061" s="32">
        <v>318</v>
      </c>
      <c r="C1061" s="1">
        <v>-12363.0834</v>
      </c>
      <c r="D1061" s="2">
        <v>-12364.670633</v>
      </c>
      <c r="F1061" s="3">
        <v>0.99280800000000002</v>
      </c>
      <c r="G1061" s="2">
        <v>0.168289999999999</v>
      </c>
      <c r="H1061">
        <v>7</v>
      </c>
      <c r="I1061">
        <v>6</v>
      </c>
      <c r="K1061" s="8">
        <f t="shared" si="112"/>
        <v>-0.64073076923159533</v>
      </c>
      <c r="L1061" s="8">
        <f t="shared" si="113"/>
        <v>-4.9286982248584257E-2</v>
      </c>
      <c r="M1061" s="8">
        <f t="shared" si="114"/>
        <v>-0.80184115384508914</v>
      </c>
      <c r="N1061" s="8">
        <f t="shared" si="115"/>
        <v>-6.1680088757314552E-2</v>
      </c>
      <c r="O1061" s="8"/>
      <c r="P1061" t="s">
        <v>1348</v>
      </c>
      <c r="Q1061">
        <v>35</v>
      </c>
      <c r="R1061" s="8">
        <v>2.82375</v>
      </c>
      <c r="S1061">
        <v>8</v>
      </c>
      <c r="T1061" s="8">
        <f t="shared" si="116"/>
        <v>0.22857142857142856</v>
      </c>
      <c r="U1061" s="8">
        <v>2.84152</v>
      </c>
      <c r="V1061">
        <v>19</v>
      </c>
      <c r="W1061" s="8">
        <f t="shared" si="117"/>
        <v>0.54285714285714282</v>
      </c>
      <c r="X1061" s="8">
        <v>2.80768</v>
      </c>
      <c r="Y1061">
        <v>8</v>
      </c>
      <c r="Z1061" s="8">
        <f t="shared" si="118"/>
        <v>0.22857142857142856</v>
      </c>
      <c r="AA1061" s="8">
        <v>2.84415</v>
      </c>
    </row>
    <row r="1062" spans="2:27" ht="15" customHeight="1" x14ac:dyDescent="0.25">
      <c r="B1062" s="32">
        <v>325</v>
      </c>
      <c r="C1062" s="1">
        <v>-12363.287399999999</v>
      </c>
      <c r="D1062" s="2">
        <v>-12364.669947</v>
      </c>
      <c r="F1062" s="3">
        <v>0.99732500000000002</v>
      </c>
      <c r="G1062" s="2">
        <v>0.19814999999999999</v>
      </c>
      <c r="H1062">
        <v>7</v>
      </c>
      <c r="I1062">
        <v>6</v>
      </c>
      <c r="K1062" s="8">
        <f t="shared" si="112"/>
        <v>-0.84473076923131885</v>
      </c>
      <c r="L1062" s="8">
        <f t="shared" si="113"/>
        <v>-6.4979289940870683E-2</v>
      </c>
      <c r="M1062" s="8">
        <f t="shared" si="114"/>
        <v>-0.80115515384568425</v>
      </c>
      <c r="N1062" s="8">
        <f t="shared" si="115"/>
        <v>-6.1627319526591097E-2</v>
      </c>
      <c r="O1062" s="8"/>
      <c r="P1062" t="s">
        <v>1349</v>
      </c>
      <c r="Q1062">
        <v>36</v>
      </c>
      <c r="R1062" s="8">
        <v>2.8373200000000001</v>
      </c>
      <c r="S1062">
        <v>7</v>
      </c>
      <c r="T1062" s="8">
        <f t="shared" si="116"/>
        <v>0.19444444444444445</v>
      </c>
      <c r="U1062" s="8">
        <v>2.8579699999999999</v>
      </c>
      <c r="V1062">
        <v>21</v>
      </c>
      <c r="W1062" s="8">
        <f t="shared" si="117"/>
        <v>0.58333333333333337</v>
      </c>
      <c r="X1062" s="8">
        <v>2.8323100000000001</v>
      </c>
      <c r="Y1062">
        <v>8</v>
      </c>
      <c r="Z1062" s="8">
        <f t="shared" si="118"/>
        <v>0.22222222222222221</v>
      </c>
      <c r="AA1062" s="8">
        <v>2.83243</v>
      </c>
    </row>
    <row r="1063" spans="2:27" ht="15" customHeight="1" x14ac:dyDescent="0.25">
      <c r="B1063" s="32">
        <v>436</v>
      </c>
      <c r="C1063" s="1">
        <v>-12362.9542</v>
      </c>
      <c r="D1063" s="2">
        <v>-12364.668419</v>
      </c>
      <c r="F1063" s="3">
        <v>0.99735700000000005</v>
      </c>
      <c r="G1063" s="2">
        <v>0.19882</v>
      </c>
      <c r="H1063">
        <v>7</v>
      </c>
      <c r="I1063">
        <v>6</v>
      </c>
      <c r="K1063" s="8">
        <f t="shared" si="112"/>
        <v>-0.51153076923219487</v>
      </c>
      <c r="L1063" s="8">
        <f t="shared" si="113"/>
        <v>-3.9348520710168838E-2</v>
      </c>
      <c r="M1063" s="8">
        <f t="shared" si="114"/>
        <v>-0.79962715384499461</v>
      </c>
      <c r="N1063" s="8">
        <f t="shared" si="115"/>
        <v>-6.1509781064999589E-2</v>
      </c>
      <c r="O1063" s="8"/>
      <c r="P1063" t="s">
        <v>1350</v>
      </c>
      <c r="Q1063">
        <v>36</v>
      </c>
      <c r="R1063" s="8">
        <v>2.8359399999999999</v>
      </c>
      <c r="S1063">
        <v>9</v>
      </c>
      <c r="T1063" s="8">
        <f t="shared" si="116"/>
        <v>0.25</v>
      </c>
      <c r="U1063" s="8">
        <v>2.8989600000000002</v>
      </c>
      <c r="V1063">
        <v>19</v>
      </c>
      <c r="W1063" s="8">
        <f t="shared" si="117"/>
        <v>0.52777777777777779</v>
      </c>
      <c r="X1063" s="8">
        <v>2.8004899999999999</v>
      </c>
      <c r="Y1063">
        <v>8</v>
      </c>
      <c r="Z1063" s="8">
        <f t="shared" si="118"/>
        <v>0.22222222222222221</v>
      </c>
      <c r="AA1063" s="8">
        <v>2.84924</v>
      </c>
    </row>
    <row r="1064" spans="2:27" ht="15" customHeight="1" x14ac:dyDescent="0.25">
      <c r="B1064" s="32">
        <v>438</v>
      </c>
      <c r="C1064" s="1">
        <v>-12362.9512</v>
      </c>
      <c r="D1064" s="2">
        <v>-12364.667813</v>
      </c>
      <c r="F1064" s="3">
        <v>0.99536599999999997</v>
      </c>
      <c r="G1064" s="2">
        <v>0.18196999999999899</v>
      </c>
      <c r="H1064">
        <v>7</v>
      </c>
      <c r="I1064">
        <v>6</v>
      </c>
      <c r="K1064" s="8">
        <f t="shared" si="112"/>
        <v>-0.50853076923158369</v>
      </c>
      <c r="L1064" s="8">
        <f t="shared" si="113"/>
        <v>-3.9117751479352592E-2</v>
      </c>
      <c r="M1064" s="8">
        <f t="shared" si="114"/>
        <v>-0.79902115384538774</v>
      </c>
      <c r="N1064" s="8">
        <f t="shared" si="115"/>
        <v>-6.146316568041444E-2</v>
      </c>
      <c r="O1064" s="8"/>
      <c r="P1064" t="s">
        <v>1351</v>
      </c>
      <c r="Q1064">
        <v>36</v>
      </c>
      <c r="R1064" s="8">
        <v>2.8346399999999998</v>
      </c>
      <c r="S1064">
        <v>9</v>
      </c>
      <c r="T1064" s="8">
        <f t="shared" si="116"/>
        <v>0.25</v>
      </c>
      <c r="U1064" s="8">
        <v>2.8877600000000001</v>
      </c>
      <c r="V1064">
        <v>19</v>
      </c>
      <c r="W1064" s="8">
        <f t="shared" si="117"/>
        <v>0.52777777777777779</v>
      </c>
      <c r="X1064" s="8">
        <v>2.8131200000000001</v>
      </c>
      <c r="Y1064">
        <v>8</v>
      </c>
      <c r="Z1064" s="8">
        <f t="shared" si="118"/>
        <v>0.22222222222222221</v>
      </c>
      <c r="AA1064" s="8">
        <v>2.8259799999999999</v>
      </c>
    </row>
    <row r="1065" spans="2:27" ht="15" customHeight="1" x14ac:dyDescent="0.25">
      <c r="B1065">
        <v>677</v>
      </c>
      <c r="C1065" s="1">
        <v>-12363.191118000001</v>
      </c>
      <c r="D1065" s="2">
        <v>-12364.665494000001</v>
      </c>
      <c r="F1065" s="3">
        <v>0.99361500000000003</v>
      </c>
      <c r="G1065" s="2">
        <v>0.17459999999999901</v>
      </c>
      <c r="H1065">
        <v>7</v>
      </c>
      <c r="I1065">
        <v>6</v>
      </c>
      <c r="K1065" s="8">
        <f t="shared" si="112"/>
        <v>-0.74844876923270931</v>
      </c>
      <c r="L1065" s="8">
        <f t="shared" si="113"/>
        <v>-5.7572982248669947E-2</v>
      </c>
      <c r="M1065" s="8">
        <f t="shared" si="114"/>
        <v>-0.79670215384612675</v>
      </c>
      <c r="N1065" s="8">
        <f t="shared" si="115"/>
        <v>-6.1284781065086676E-2</v>
      </c>
      <c r="O1065" s="8"/>
      <c r="P1065" t="s">
        <v>1352</v>
      </c>
      <c r="Q1065">
        <v>34</v>
      </c>
      <c r="R1065" s="8">
        <v>2.82178</v>
      </c>
      <c r="S1065">
        <v>7</v>
      </c>
      <c r="T1065" s="8">
        <f t="shared" si="116"/>
        <v>0.20588235294117646</v>
      </c>
      <c r="U1065" s="8">
        <v>2.8130299999999999</v>
      </c>
      <c r="V1065">
        <v>18</v>
      </c>
      <c r="W1065" s="8">
        <f t="shared" si="117"/>
        <v>0.52941176470588236</v>
      </c>
      <c r="X1065" s="8">
        <v>2.8102399999999998</v>
      </c>
      <c r="Y1065">
        <v>9</v>
      </c>
      <c r="Z1065" s="8">
        <f t="shared" si="118"/>
        <v>0.26470588235294118</v>
      </c>
      <c r="AA1065" s="8">
        <v>2.85168</v>
      </c>
    </row>
    <row r="1066" spans="2:27" ht="15" customHeight="1" x14ac:dyDescent="0.25">
      <c r="B1066">
        <v>721</v>
      </c>
      <c r="C1066" s="1">
        <v>-12363.234151000001</v>
      </c>
      <c r="D1066" s="2">
        <v>-12364.662333</v>
      </c>
      <c r="F1066" s="3">
        <v>0.99602199999999996</v>
      </c>
      <c r="G1066" s="2">
        <v>0.17841000000000001</v>
      </c>
      <c r="H1066">
        <v>7</v>
      </c>
      <c r="I1066">
        <v>6</v>
      </c>
      <c r="K1066" s="8">
        <f t="shared" si="112"/>
        <v>-0.79148176923263236</v>
      </c>
      <c r="L1066" s="8">
        <f t="shared" si="113"/>
        <v>-6.0883213017894795E-2</v>
      </c>
      <c r="M1066" s="8">
        <f t="shared" si="114"/>
        <v>-0.79354115384558099</v>
      </c>
      <c r="N1066" s="8">
        <f t="shared" si="115"/>
        <v>-6.1041627218890844E-2</v>
      </c>
      <c r="O1066" s="8"/>
      <c r="P1066" t="s">
        <v>1353</v>
      </c>
      <c r="Q1066">
        <v>35</v>
      </c>
      <c r="R1066" s="8">
        <v>2.8301400000000001</v>
      </c>
      <c r="S1066">
        <v>7</v>
      </c>
      <c r="T1066" s="8">
        <f t="shared" si="116"/>
        <v>0.2</v>
      </c>
      <c r="U1066" s="8">
        <v>2.7962899999999999</v>
      </c>
      <c r="V1066">
        <v>20</v>
      </c>
      <c r="W1066" s="8">
        <f t="shared" si="117"/>
        <v>0.5714285714285714</v>
      </c>
      <c r="X1066" s="8">
        <v>2.8575300000000001</v>
      </c>
      <c r="Y1066">
        <v>8</v>
      </c>
      <c r="Z1066" s="8">
        <f t="shared" si="118"/>
        <v>0.22857142857142856</v>
      </c>
      <c r="AA1066" s="8">
        <v>2.7912699999999999</v>
      </c>
    </row>
    <row r="1067" spans="2:27" ht="15" customHeight="1" x14ac:dyDescent="0.25">
      <c r="B1067" s="32">
        <v>339</v>
      </c>
      <c r="C1067" s="1">
        <v>-12363.329599999999</v>
      </c>
      <c r="D1067" s="2">
        <v>-12364.656946999999</v>
      </c>
      <c r="F1067" s="3">
        <v>0.99421899999999996</v>
      </c>
      <c r="G1067" s="2">
        <v>0.17541000000000001</v>
      </c>
      <c r="H1067">
        <v>7</v>
      </c>
      <c r="I1067">
        <v>6</v>
      </c>
      <c r="K1067" s="8">
        <f t="shared" si="112"/>
        <v>-0.88693076923118497</v>
      </c>
      <c r="L1067" s="8">
        <f t="shared" si="113"/>
        <v>-6.8225443787014228E-2</v>
      </c>
      <c r="M1067" s="8">
        <f t="shared" si="114"/>
        <v>-0.78815515384485479</v>
      </c>
      <c r="N1067" s="8">
        <f t="shared" si="115"/>
        <v>-6.0627319526527293E-2</v>
      </c>
      <c r="O1067" s="8"/>
      <c r="P1067" t="s">
        <v>1354</v>
      </c>
      <c r="Q1067">
        <v>35</v>
      </c>
      <c r="R1067" s="8">
        <v>2.8263799999999999</v>
      </c>
      <c r="S1067">
        <v>8</v>
      </c>
      <c r="T1067" s="8">
        <f t="shared" si="116"/>
        <v>0.22857142857142856</v>
      </c>
      <c r="U1067" s="8">
        <v>2.82674</v>
      </c>
      <c r="V1067">
        <v>16</v>
      </c>
      <c r="W1067" s="8">
        <f t="shared" si="117"/>
        <v>0.45714285714285713</v>
      </c>
      <c r="X1067" s="8">
        <v>2.8249599999999999</v>
      </c>
      <c r="Y1067">
        <v>11</v>
      </c>
      <c r="Z1067" s="8">
        <f t="shared" si="118"/>
        <v>0.31428571428571428</v>
      </c>
      <c r="AA1067" s="8">
        <v>2.8281700000000001</v>
      </c>
    </row>
    <row r="1068" spans="2:27" ht="15" customHeight="1" x14ac:dyDescent="0.25">
      <c r="B1068">
        <v>722</v>
      </c>
      <c r="C1068" s="1">
        <v>-12363.109091</v>
      </c>
      <c r="D1068" s="2">
        <v>-12364.652129</v>
      </c>
      <c r="F1068" s="3">
        <v>0.99768900000000005</v>
      </c>
      <c r="G1068" s="2">
        <v>0.19528999999999999</v>
      </c>
      <c r="H1068">
        <v>7</v>
      </c>
      <c r="I1068">
        <v>6</v>
      </c>
      <c r="K1068" s="8">
        <f t="shared" si="112"/>
        <v>-0.6664217692323291</v>
      </c>
      <c r="L1068" s="8">
        <f t="shared" si="113"/>
        <v>-5.126321301787147E-2</v>
      </c>
      <c r="M1068" s="8">
        <f t="shared" si="114"/>
        <v>-0.78333715384542302</v>
      </c>
      <c r="N1068" s="8">
        <f t="shared" si="115"/>
        <v>-6.0256704141955615E-2</v>
      </c>
      <c r="O1068" s="8"/>
      <c r="P1068" t="s">
        <v>1355</v>
      </c>
      <c r="Q1068">
        <v>34</v>
      </c>
      <c r="R1068" s="8">
        <v>2.8183500000000001</v>
      </c>
      <c r="S1068">
        <v>9</v>
      </c>
      <c r="T1068" s="8">
        <f t="shared" si="116"/>
        <v>0.26470588235294118</v>
      </c>
      <c r="U1068" s="8">
        <v>2.79216</v>
      </c>
      <c r="V1068">
        <v>13</v>
      </c>
      <c r="W1068" s="8">
        <f t="shared" si="117"/>
        <v>0.38235294117647056</v>
      </c>
      <c r="X1068" s="8">
        <v>2.8177699999999999</v>
      </c>
      <c r="Y1068">
        <v>12</v>
      </c>
      <c r="Z1068" s="8">
        <f t="shared" si="118"/>
        <v>0.35294117647058826</v>
      </c>
      <c r="AA1068" s="8">
        <v>2.8386399999999998</v>
      </c>
    </row>
    <row r="1069" spans="2:27" ht="15" customHeight="1" x14ac:dyDescent="0.25">
      <c r="B1069">
        <v>727</v>
      </c>
      <c r="C1069" s="1">
        <v>-12363.286011</v>
      </c>
      <c r="D1069" s="2">
        <v>-12364.648824</v>
      </c>
      <c r="F1069" s="3">
        <v>0.99719599999999997</v>
      </c>
      <c r="G1069" s="2">
        <v>0.186329999999999</v>
      </c>
      <c r="H1069">
        <v>7</v>
      </c>
      <c r="I1069">
        <v>6</v>
      </c>
      <c r="K1069" s="8">
        <f t="shared" si="112"/>
        <v>-0.84334176923221094</v>
      </c>
      <c r="L1069" s="8">
        <f t="shared" si="113"/>
        <v>-6.4872443787093143E-2</v>
      </c>
      <c r="M1069" s="8">
        <f t="shared" si="114"/>
        <v>-0.78003215384524083</v>
      </c>
      <c r="N1069" s="8">
        <f t="shared" si="115"/>
        <v>-6.0002473372710835E-2</v>
      </c>
      <c r="O1069" s="8"/>
      <c r="P1069" t="s">
        <v>1356</v>
      </c>
      <c r="Q1069">
        <v>36</v>
      </c>
      <c r="R1069" s="8">
        <v>2.8435899999999998</v>
      </c>
      <c r="S1069">
        <v>8</v>
      </c>
      <c r="T1069" s="8">
        <f t="shared" si="116"/>
        <v>0.22222222222222221</v>
      </c>
      <c r="U1069" s="8">
        <v>2.7972800000000002</v>
      </c>
      <c r="V1069">
        <v>14</v>
      </c>
      <c r="W1069" s="8">
        <f t="shared" si="117"/>
        <v>0.3888888888888889</v>
      </c>
      <c r="X1069" s="8">
        <v>2.8396599999999999</v>
      </c>
      <c r="Y1069">
        <v>14</v>
      </c>
      <c r="Z1069" s="8">
        <f t="shared" si="118"/>
        <v>0.3888888888888889</v>
      </c>
      <c r="AA1069" s="8">
        <v>2.8739699999999999</v>
      </c>
    </row>
    <row r="1070" spans="2:27" ht="15" customHeight="1" x14ac:dyDescent="0.25">
      <c r="B1070" s="32">
        <v>343</v>
      </c>
      <c r="C1070" s="1">
        <v>-12363.310799999999</v>
      </c>
      <c r="D1070" s="2">
        <v>-12364.646799</v>
      </c>
      <c r="F1070" s="3">
        <v>0.99681699999999995</v>
      </c>
      <c r="G1070" s="2">
        <v>0.19323000000000001</v>
      </c>
      <c r="H1070">
        <v>7</v>
      </c>
      <c r="I1070">
        <v>6</v>
      </c>
      <c r="K1070" s="8">
        <f t="shared" si="112"/>
        <v>-0.86813076923135668</v>
      </c>
      <c r="L1070" s="8">
        <f t="shared" si="113"/>
        <v>-6.6779289940873593E-2</v>
      </c>
      <c r="M1070" s="8">
        <f t="shared" si="114"/>
        <v>-0.77800715384546493</v>
      </c>
      <c r="N1070" s="8">
        <f t="shared" si="115"/>
        <v>-5.9846704141958841E-2</v>
      </c>
      <c r="O1070" s="8"/>
      <c r="P1070" t="s">
        <v>1357</v>
      </c>
      <c r="Q1070">
        <v>36</v>
      </c>
      <c r="R1070" s="8">
        <v>2.84104</v>
      </c>
      <c r="S1070">
        <v>7</v>
      </c>
      <c r="T1070" s="8">
        <f t="shared" si="116"/>
        <v>0.19444444444444445</v>
      </c>
      <c r="U1070" s="8">
        <v>2.8672599999999999</v>
      </c>
      <c r="V1070">
        <v>22</v>
      </c>
      <c r="W1070" s="8">
        <f t="shared" si="117"/>
        <v>0.61111111111111116</v>
      </c>
      <c r="X1070" s="8">
        <v>2.8375900000000001</v>
      </c>
      <c r="Y1070">
        <v>7</v>
      </c>
      <c r="Z1070" s="8">
        <f t="shared" si="118"/>
        <v>0.19444444444444445</v>
      </c>
      <c r="AA1070" s="8">
        <v>2.8256399999999999</v>
      </c>
    </row>
    <row r="1071" spans="2:27" ht="15" customHeight="1" x14ac:dyDescent="0.25">
      <c r="B1071" s="32">
        <v>305</v>
      </c>
      <c r="C1071" s="1">
        <v>-12363.3272</v>
      </c>
      <c r="D1071" s="2">
        <v>-12364.645865</v>
      </c>
      <c r="F1071" s="3">
        <v>0.99278999999999995</v>
      </c>
      <c r="G1071" s="2">
        <v>0.16866</v>
      </c>
      <c r="H1071">
        <v>7</v>
      </c>
      <c r="I1071">
        <v>6</v>
      </c>
      <c r="K1071" s="8">
        <f t="shared" si="112"/>
        <v>-0.88453076923178742</v>
      </c>
      <c r="L1071" s="8">
        <f t="shared" si="113"/>
        <v>-6.8040828402445186E-2</v>
      </c>
      <c r="M1071" s="8">
        <f t="shared" si="114"/>
        <v>-0.77707315384577669</v>
      </c>
      <c r="N1071" s="8">
        <f t="shared" si="115"/>
        <v>-5.977485798813667E-2</v>
      </c>
      <c r="O1071" s="8"/>
      <c r="P1071" t="s">
        <v>1358</v>
      </c>
      <c r="Q1071">
        <v>36</v>
      </c>
      <c r="R1071" s="8">
        <v>2.8369</v>
      </c>
      <c r="S1071">
        <v>7</v>
      </c>
      <c r="T1071" s="8">
        <f t="shared" si="116"/>
        <v>0.19444444444444445</v>
      </c>
      <c r="U1071" s="8">
        <v>2.84267</v>
      </c>
      <c r="V1071">
        <v>20</v>
      </c>
      <c r="W1071" s="8">
        <f t="shared" si="117"/>
        <v>0.55555555555555558</v>
      </c>
      <c r="X1071" s="8">
        <v>2.8469199999999999</v>
      </c>
      <c r="Y1071">
        <v>9</v>
      </c>
      <c r="Z1071" s="8">
        <f t="shared" si="118"/>
        <v>0.25</v>
      </c>
      <c r="AA1071" s="8">
        <v>2.8101400000000001</v>
      </c>
    </row>
    <row r="1072" spans="2:27" ht="15" customHeight="1" x14ac:dyDescent="0.25">
      <c r="B1072" s="32">
        <v>331</v>
      </c>
      <c r="C1072" s="1">
        <v>-12362.992200000001</v>
      </c>
      <c r="D1072" s="2">
        <v>-12364.644537</v>
      </c>
      <c r="F1072" s="3">
        <v>0.99075500000000005</v>
      </c>
      <c r="G1072" s="2">
        <v>0.16109999999999899</v>
      </c>
      <c r="H1072">
        <v>7</v>
      </c>
      <c r="I1072">
        <v>6</v>
      </c>
      <c r="K1072" s="8">
        <f t="shared" si="112"/>
        <v>-0.54953076923266053</v>
      </c>
      <c r="L1072" s="8">
        <f t="shared" si="113"/>
        <v>-4.2271597633281581E-2</v>
      </c>
      <c r="M1072" s="8">
        <f t="shared" si="114"/>
        <v>-0.77574515384549159</v>
      </c>
      <c r="N1072" s="8">
        <f t="shared" si="115"/>
        <v>-5.9672704141960894E-2</v>
      </c>
      <c r="O1072" s="8"/>
      <c r="P1072" t="s">
        <v>1359</v>
      </c>
      <c r="Q1072">
        <v>36</v>
      </c>
      <c r="R1072" s="8">
        <v>2.8364699999999998</v>
      </c>
      <c r="S1072">
        <v>7</v>
      </c>
      <c r="T1072" s="8">
        <f t="shared" si="116"/>
        <v>0.19444444444444445</v>
      </c>
      <c r="U1072" s="8">
        <v>2.90307</v>
      </c>
      <c r="V1072">
        <v>22</v>
      </c>
      <c r="W1072" s="8">
        <f t="shared" si="117"/>
        <v>0.61111111111111116</v>
      </c>
      <c r="X1072" s="8">
        <v>2.8124699999999998</v>
      </c>
      <c r="Y1072">
        <v>7</v>
      </c>
      <c r="Z1072" s="8">
        <f t="shared" si="118"/>
        <v>0.19444444444444445</v>
      </c>
      <c r="AA1072" s="8">
        <v>2.8452999999999999</v>
      </c>
    </row>
    <row r="1073" spans="2:27" ht="15" customHeight="1" x14ac:dyDescent="0.25">
      <c r="B1073" s="32">
        <v>346</v>
      </c>
      <c r="C1073" s="1">
        <v>-12363.014300000001</v>
      </c>
      <c r="D1073" s="2">
        <v>-12364.643866</v>
      </c>
      <c r="F1073" s="3">
        <v>0.99488600000000005</v>
      </c>
      <c r="G1073" s="2">
        <v>0.17899000000000001</v>
      </c>
      <c r="H1073">
        <v>7</v>
      </c>
      <c r="I1073">
        <v>6</v>
      </c>
      <c r="K1073" s="8">
        <f t="shared" si="112"/>
        <v>-0.57163076923279732</v>
      </c>
      <c r="L1073" s="8">
        <f t="shared" si="113"/>
        <v>-4.39715976332921E-2</v>
      </c>
      <c r="M1073" s="8">
        <f t="shared" si="114"/>
        <v>-0.77507415384570777</v>
      </c>
      <c r="N1073" s="8">
        <f t="shared" si="115"/>
        <v>-5.9621088757362134E-2</v>
      </c>
      <c r="O1073" s="8"/>
      <c r="P1073" t="s">
        <v>1360</v>
      </c>
      <c r="Q1073">
        <v>34</v>
      </c>
      <c r="R1073" s="8">
        <v>2.81914</v>
      </c>
      <c r="S1073">
        <v>10</v>
      </c>
      <c r="T1073" s="8">
        <f t="shared" si="116"/>
        <v>0.29411764705882354</v>
      </c>
      <c r="U1073" s="8">
        <v>2.8353700000000002</v>
      </c>
      <c r="V1073">
        <v>14</v>
      </c>
      <c r="W1073" s="8">
        <f t="shared" si="117"/>
        <v>0.41176470588235292</v>
      </c>
      <c r="X1073" s="8">
        <v>2.7882099999999999</v>
      </c>
      <c r="Y1073">
        <v>10</v>
      </c>
      <c r="Z1073" s="8">
        <f t="shared" si="118"/>
        <v>0.29411764705882354</v>
      </c>
      <c r="AA1073" s="8">
        <v>2.8462000000000001</v>
      </c>
    </row>
    <row r="1074" spans="2:27" ht="15" customHeight="1" x14ac:dyDescent="0.25">
      <c r="B1074">
        <v>653</v>
      </c>
      <c r="C1074" s="1">
        <v>-12362.996021999999</v>
      </c>
      <c r="D1074" s="2">
        <v>-12364.638242000001</v>
      </c>
      <c r="F1074" s="3">
        <v>0.995143</v>
      </c>
      <c r="G1074" s="2">
        <v>0.175929999999999</v>
      </c>
      <c r="H1074">
        <v>7</v>
      </c>
      <c r="I1074">
        <v>6</v>
      </c>
      <c r="K1074" s="8">
        <f t="shared" si="112"/>
        <v>-0.55335276923142374</v>
      </c>
      <c r="L1074" s="8">
        <f t="shared" si="113"/>
        <v>-4.2565597633186444E-2</v>
      </c>
      <c r="M1074" s="8">
        <f t="shared" si="114"/>
        <v>-0.76945015384626458</v>
      </c>
      <c r="N1074" s="8">
        <f t="shared" si="115"/>
        <v>-5.9188473372789582E-2</v>
      </c>
      <c r="O1074" s="8"/>
      <c r="P1074" t="s">
        <v>1361</v>
      </c>
      <c r="Q1074">
        <v>35</v>
      </c>
      <c r="R1074" s="8">
        <v>2.8297099999999999</v>
      </c>
      <c r="S1074">
        <v>9</v>
      </c>
      <c r="T1074" s="8">
        <f t="shared" si="116"/>
        <v>0.25714285714285712</v>
      </c>
      <c r="U1074" s="8">
        <v>2.82124</v>
      </c>
      <c r="V1074">
        <v>13</v>
      </c>
      <c r="W1074" s="8">
        <f t="shared" si="117"/>
        <v>0.37142857142857144</v>
      </c>
      <c r="X1074" s="8">
        <v>2.8129200000000001</v>
      </c>
      <c r="Y1074">
        <v>13</v>
      </c>
      <c r="Z1074" s="8">
        <f t="shared" si="118"/>
        <v>0.37142857142857144</v>
      </c>
      <c r="AA1074" s="8">
        <v>2.8523700000000001</v>
      </c>
    </row>
    <row r="1075" spans="2:27" ht="15" customHeight="1" x14ac:dyDescent="0.25">
      <c r="B1075">
        <v>568</v>
      </c>
      <c r="C1075" s="1">
        <v>-12363.343758999999</v>
      </c>
      <c r="D1075" s="2">
        <v>-12364.633548</v>
      </c>
      <c r="F1075" s="3">
        <v>0.99610100000000001</v>
      </c>
      <c r="G1075" s="2">
        <v>0.129219999999999</v>
      </c>
      <c r="H1075">
        <v>7</v>
      </c>
      <c r="I1075">
        <v>6</v>
      </c>
      <c r="K1075" s="8">
        <f t="shared" si="112"/>
        <v>-0.90108976923147566</v>
      </c>
      <c r="L1075" s="8">
        <f t="shared" si="113"/>
        <v>-6.9314597633190436E-2</v>
      </c>
      <c r="M1075" s="8">
        <f t="shared" si="114"/>
        <v>-0.7647561538451555</v>
      </c>
      <c r="N1075" s="8">
        <f t="shared" si="115"/>
        <v>-5.8827396449627346E-2</v>
      </c>
      <c r="O1075" s="8"/>
      <c r="P1075" t="s">
        <v>1362</v>
      </c>
      <c r="Q1075">
        <v>35</v>
      </c>
      <c r="R1075" s="8">
        <v>2.8288600000000002</v>
      </c>
      <c r="S1075">
        <v>5</v>
      </c>
      <c r="T1075" s="8">
        <f t="shared" si="116"/>
        <v>0.14285714285714285</v>
      </c>
      <c r="U1075" s="8">
        <v>2.90591</v>
      </c>
      <c r="V1075">
        <v>22</v>
      </c>
      <c r="W1075" s="8">
        <f t="shared" si="117"/>
        <v>0.62857142857142856</v>
      </c>
      <c r="X1075" s="8">
        <v>2.8014000000000001</v>
      </c>
      <c r="Y1075">
        <v>8</v>
      </c>
      <c r="Z1075" s="8">
        <f t="shared" si="118"/>
        <v>0.22857142857142856</v>
      </c>
      <c r="AA1075" s="8">
        <v>2.85623</v>
      </c>
    </row>
    <row r="1076" spans="2:27" ht="15" customHeight="1" x14ac:dyDescent="0.25">
      <c r="B1076" s="32">
        <v>517</v>
      </c>
      <c r="C1076" s="1">
        <v>-12363.2673</v>
      </c>
      <c r="D1076" s="2">
        <v>-12364.627958999999</v>
      </c>
      <c r="F1076" s="3">
        <v>0.99593699999999996</v>
      </c>
      <c r="G1076" s="2">
        <v>0.18608999999999901</v>
      </c>
      <c r="H1076">
        <v>7</v>
      </c>
      <c r="I1076">
        <v>6</v>
      </c>
      <c r="K1076" s="8">
        <f t="shared" si="112"/>
        <v>-0.82463076923158951</v>
      </c>
      <c r="L1076" s="8">
        <f t="shared" si="113"/>
        <v>-6.3433136094737649E-2</v>
      </c>
      <c r="M1076" s="8">
        <f t="shared" si="114"/>
        <v>-0.75916715384482814</v>
      </c>
      <c r="N1076" s="8">
        <f t="shared" si="115"/>
        <v>-5.8397473372679087E-2</v>
      </c>
      <c r="O1076" s="8"/>
      <c r="P1076" t="s">
        <v>1363</v>
      </c>
      <c r="Q1076">
        <v>34</v>
      </c>
      <c r="R1076" s="8">
        <v>2.81385</v>
      </c>
      <c r="S1076">
        <v>8</v>
      </c>
      <c r="T1076" s="8">
        <f t="shared" si="116"/>
        <v>0.23529411764705882</v>
      </c>
      <c r="U1076" s="8">
        <v>2.80335</v>
      </c>
      <c r="V1076">
        <v>16</v>
      </c>
      <c r="W1076" s="8">
        <f t="shared" si="117"/>
        <v>0.47058823529411764</v>
      </c>
      <c r="X1076" s="8">
        <v>2.8097099999999999</v>
      </c>
      <c r="Y1076">
        <v>10</v>
      </c>
      <c r="Z1076" s="8">
        <f t="shared" si="118"/>
        <v>0.29411764705882354</v>
      </c>
      <c r="AA1076" s="8">
        <v>2.8288799999999998</v>
      </c>
    </row>
    <row r="1077" spans="2:27" ht="15" customHeight="1" x14ac:dyDescent="0.25">
      <c r="B1077">
        <v>693</v>
      </c>
      <c r="C1077" s="1">
        <v>-12363.195011</v>
      </c>
      <c r="D1077" s="2">
        <v>-12364.622872</v>
      </c>
      <c r="F1077" s="3">
        <v>0.99632600000000004</v>
      </c>
      <c r="G1077" s="2">
        <v>0.181119999999999</v>
      </c>
      <c r="H1077">
        <v>7</v>
      </c>
      <c r="I1077">
        <v>6</v>
      </c>
      <c r="K1077" s="8">
        <f t="shared" si="112"/>
        <v>-0.75234176923186169</v>
      </c>
      <c r="L1077" s="8">
        <f t="shared" si="113"/>
        <v>-5.7872443787066283E-2</v>
      </c>
      <c r="M1077" s="8">
        <f t="shared" si="114"/>
        <v>-0.75408015384527971</v>
      </c>
      <c r="N1077" s="8">
        <f t="shared" si="115"/>
        <v>-5.8006165680406133E-2</v>
      </c>
      <c r="O1077" s="8"/>
      <c r="P1077" t="s">
        <v>1364</v>
      </c>
      <c r="Q1077">
        <v>34</v>
      </c>
      <c r="R1077" s="8">
        <v>2.8178399999999999</v>
      </c>
      <c r="S1077">
        <v>8</v>
      </c>
      <c r="T1077" s="8">
        <f t="shared" si="116"/>
        <v>0.23529411764705882</v>
      </c>
      <c r="U1077" s="8">
        <v>2.8411</v>
      </c>
      <c r="V1077">
        <v>15</v>
      </c>
      <c r="W1077" s="8">
        <f t="shared" si="117"/>
        <v>0.44117647058823528</v>
      </c>
      <c r="X1077" s="8">
        <v>2.7962899999999999</v>
      </c>
      <c r="Y1077">
        <v>11</v>
      </c>
      <c r="Z1077" s="8">
        <f t="shared" si="118"/>
        <v>0.3235294117647059</v>
      </c>
      <c r="AA1077" s="8">
        <v>2.8303099999999999</v>
      </c>
    </row>
    <row r="1078" spans="2:27" ht="15" customHeight="1" x14ac:dyDescent="0.25">
      <c r="B1078" s="32">
        <v>344</v>
      </c>
      <c r="C1078" s="1">
        <v>-12363.272999999999</v>
      </c>
      <c r="D1078" s="2">
        <v>-12364.619975</v>
      </c>
      <c r="F1078" s="3">
        <v>0.99759799999999998</v>
      </c>
      <c r="G1078" s="2">
        <v>0.20180000000000001</v>
      </c>
      <c r="H1078">
        <v>7</v>
      </c>
      <c r="I1078">
        <v>6</v>
      </c>
      <c r="K1078" s="8">
        <f t="shared" si="112"/>
        <v>-0.83033076923129556</v>
      </c>
      <c r="L1078" s="8">
        <f t="shared" si="113"/>
        <v>-6.3871597633176583E-2</v>
      </c>
      <c r="M1078" s="8">
        <f t="shared" si="114"/>
        <v>-0.75118315384497691</v>
      </c>
      <c r="N1078" s="8">
        <f t="shared" si="115"/>
        <v>-5.7783319526536689E-2</v>
      </c>
      <c r="O1078" s="8"/>
      <c r="P1078" t="s">
        <v>1365</v>
      </c>
      <c r="Q1078">
        <v>35</v>
      </c>
      <c r="R1078" s="8">
        <v>2.8259599999999998</v>
      </c>
      <c r="S1078">
        <v>8</v>
      </c>
      <c r="T1078" s="8">
        <f t="shared" si="116"/>
        <v>0.22857142857142856</v>
      </c>
      <c r="U1078" s="8">
        <v>2.8233999999999999</v>
      </c>
      <c r="V1078">
        <v>16</v>
      </c>
      <c r="W1078" s="8">
        <f t="shared" si="117"/>
        <v>0.45714285714285713</v>
      </c>
      <c r="X1078" s="8">
        <v>2.82111</v>
      </c>
      <c r="Y1078">
        <v>11</v>
      </c>
      <c r="Z1078" s="8">
        <f t="shared" si="118"/>
        <v>0.31428571428571428</v>
      </c>
      <c r="AA1078" s="8">
        <v>2.8348800000000001</v>
      </c>
    </row>
    <row r="1079" spans="2:27" ht="15" customHeight="1" x14ac:dyDescent="0.25">
      <c r="B1079" s="32">
        <v>312</v>
      </c>
      <c r="C1079" s="1">
        <v>-12362.9205</v>
      </c>
      <c r="D1079" s="2">
        <v>-12364.618222999999</v>
      </c>
      <c r="F1079" s="3">
        <v>0.99321899999999996</v>
      </c>
      <c r="G1079" s="2">
        <v>0.17050999999999999</v>
      </c>
      <c r="H1079">
        <v>7</v>
      </c>
      <c r="I1079">
        <v>6</v>
      </c>
      <c r="K1079" s="8">
        <f t="shared" si="112"/>
        <v>-0.47783076923224144</v>
      </c>
      <c r="L1079" s="8">
        <f t="shared" si="113"/>
        <v>-3.6756213017864726E-2</v>
      </c>
      <c r="M1079" s="8">
        <f t="shared" si="114"/>
        <v>-0.74943115384485282</v>
      </c>
      <c r="N1079" s="8">
        <f t="shared" si="115"/>
        <v>-5.7648550295757911E-2</v>
      </c>
      <c r="O1079" s="8"/>
      <c r="P1079" t="s">
        <v>1366</v>
      </c>
      <c r="Q1079">
        <v>36</v>
      </c>
      <c r="R1079" s="8">
        <v>2.83717</v>
      </c>
      <c r="S1079">
        <v>10</v>
      </c>
      <c r="T1079" s="8">
        <f t="shared" si="116"/>
        <v>0.27777777777777779</v>
      </c>
      <c r="U1079" s="8">
        <v>2.85127</v>
      </c>
      <c r="V1079">
        <v>17</v>
      </c>
      <c r="W1079" s="8">
        <f t="shared" si="117"/>
        <v>0.47222222222222221</v>
      </c>
      <c r="X1079" s="8">
        <v>2.8401999999999998</v>
      </c>
      <c r="Y1079">
        <v>9</v>
      </c>
      <c r="Z1079" s="8">
        <f t="shared" si="118"/>
        <v>0.25</v>
      </c>
      <c r="AA1079" s="8">
        <v>2.8157800000000002</v>
      </c>
    </row>
    <row r="1080" spans="2:27" ht="15" customHeight="1" x14ac:dyDescent="0.25">
      <c r="B1080" s="32">
        <v>380</v>
      </c>
      <c r="C1080" s="1">
        <v>-12363.245199999999</v>
      </c>
      <c r="D1080" s="2">
        <v>-12364.617743000001</v>
      </c>
      <c r="F1080" s="3">
        <v>0.99518499999999999</v>
      </c>
      <c r="G1080" s="2">
        <v>0.18082999999999999</v>
      </c>
      <c r="H1080">
        <v>7</v>
      </c>
      <c r="I1080">
        <v>6</v>
      </c>
      <c r="K1080" s="8">
        <f t="shared" si="112"/>
        <v>-0.80253076923145272</v>
      </c>
      <c r="L1080" s="8">
        <f t="shared" si="113"/>
        <v>-6.173313609472713E-2</v>
      </c>
      <c r="M1080" s="8">
        <f t="shared" si="114"/>
        <v>-0.7489511538460647</v>
      </c>
      <c r="N1080" s="8">
        <f t="shared" si="115"/>
        <v>-5.7611627218928055E-2</v>
      </c>
      <c r="O1080" s="8"/>
      <c r="P1080" t="s">
        <v>1367</v>
      </c>
      <c r="Q1080">
        <v>35</v>
      </c>
      <c r="R1080" s="8">
        <v>2.8278099999999999</v>
      </c>
      <c r="S1080">
        <v>6</v>
      </c>
      <c r="T1080" s="8">
        <f t="shared" si="116"/>
        <v>0.17142857142857143</v>
      </c>
      <c r="U1080" s="8">
        <v>2.8277700000000001</v>
      </c>
      <c r="V1080">
        <v>20</v>
      </c>
      <c r="W1080" s="8">
        <f t="shared" si="117"/>
        <v>0.5714285714285714</v>
      </c>
      <c r="X1080" s="8">
        <v>2.8299699999999999</v>
      </c>
      <c r="Y1080">
        <v>9</v>
      </c>
      <c r="Z1080" s="8">
        <f t="shared" si="118"/>
        <v>0.25714285714285712</v>
      </c>
      <c r="AA1080" s="8">
        <v>2.8230400000000002</v>
      </c>
    </row>
    <row r="1081" spans="2:27" ht="15" customHeight="1" x14ac:dyDescent="0.25">
      <c r="B1081" s="32">
        <v>492</v>
      </c>
      <c r="C1081" s="1">
        <v>-12362.9692</v>
      </c>
      <c r="D1081" s="2">
        <v>-12364.615325999999</v>
      </c>
      <c r="F1081" s="3">
        <v>0.99589700000000003</v>
      </c>
      <c r="G1081" s="2">
        <v>0.185639999999999</v>
      </c>
      <c r="H1081">
        <v>7</v>
      </c>
      <c r="I1081">
        <v>6</v>
      </c>
      <c r="K1081" s="8">
        <f t="shared" si="112"/>
        <v>-0.52653076923161279</v>
      </c>
      <c r="L1081" s="8">
        <f t="shared" si="113"/>
        <v>-4.0502366863970213E-2</v>
      </c>
      <c r="M1081" s="8">
        <f t="shared" si="114"/>
        <v>-0.74653415384455002</v>
      </c>
      <c r="N1081" s="8">
        <f t="shared" si="115"/>
        <v>-5.742570414188846E-2</v>
      </c>
      <c r="O1081" s="8"/>
      <c r="P1081" t="s">
        <v>1368</v>
      </c>
      <c r="Q1081">
        <v>36</v>
      </c>
      <c r="R1081" s="8">
        <v>2.8324500000000001</v>
      </c>
      <c r="S1081">
        <v>10</v>
      </c>
      <c r="T1081" s="8">
        <f t="shared" si="116"/>
        <v>0.27777777777777779</v>
      </c>
      <c r="U1081" s="8">
        <v>2.8887</v>
      </c>
      <c r="V1081">
        <v>19</v>
      </c>
      <c r="W1081" s="8">
        <f t="shared" si="117"/>
        <v>0.52777777777777779</v>
      </c>
      <c r="X1081" s="8">
        <v>2.8039900000000002</v>
      </c>
      <c r="Y1081">
        <v>7</v>
      </c>
      <c r="Z1081" s="8">
        <f t="shared" si="118"/>
        <v>0.19444444444444445</v>
      </c>
      <c r="AA1081" s="8">
        <v>2.8293499999999998</v>
      </c>
    </row>
    <row r="1082" spans="2:27" ht="15" customHeight="1" x14ac:dyDescent="0.25">
      <c r="B1082">
        <v>655</v>
      </c>
      <c r="C1082" s="1">
        <v>-12363.197961</v>
      </c>
      <c r="D1082" s="2">
        <v>-12364.614197999999</v>
      </c>
      <c r="F1082" s="3">
        <v>0.99300699999999997</v>
      </c>
      <c r="G1082" s="2">
        <v>0.170239999999999</v>
      </c>
      <c r="H1082">
        <v>7</v>
      </c>
      <c r="I1082">
        <v>6</v>
      </c>
      <c r="K1082" s="8">
        <f t="shared" si="112"/>
        <v>-0.75529176923191699</v>
      </c>
      <c r="L1082" s="8">
        <f t="shared" si="113"/>
        <v>-5.8099366863993612E-2</v>
      </c>
      <c r="M1082" s="8">
        <f t="shared" si="114"/>
        <v>-0.74540615384466946</v>
      </c>
      <c r="N1082" s="8">
        <f t="shared" si="115"/>
        <v>-5.7338934911128417E-2</v>
      </c>
      <c r="O1082" s="8"/>
      <c r="P1082" t="s">
        <v>1369</v>
      </c>
      <c r="Q1082">
        <v>36</v>
      </c>
      <c r="R1082" s="8">
        <v>2.8405499999999999</v>
      </c>
      <c r="S1082">
        <v>8</v>
      </c>
      <c r="T1082" s="8">
        <f t="shared" si="116"/>
        <v>0.22222222222222221</v>
      </c>
      <c r="U1082" s="8">
        <v>2.8174399999999999</v>
      </c>
      <c r="V1082">
        <v>16</v>
      </c>
      <c r="W1082" s="8">
        <f t="shared" si="117"/>
        <v>0.44444444444444442</v>
      </c>
      <c r="X1082" s="8">
        <v>2.8339400000000001</v>
      </c>
      <c r="Y1082">
        <v>12</v>
      </c>
      <c r="Z1082" s="8">
        <f t="shared" si="118"/>
        <v>0.33333333333333331</v>
      </c>
      <c r="AA1082" s="8">
        <v>2.8647800000000001</v>
      </c>
    </row>
    <row r="1083" spans="2:27" ht="15" customHeight="1" x14ac:dyDescent="0.25">
      <c r="B1083" s="32">
        <v>455</v>
      </c>
      <c r="C1083" s="1">
        <v>-12363.249900000001</v>
      </c>
      <c r="D1083" s="2">
        <v>-12364.610744</v>
      </c>
      <c r="F1083" s="3">
        <v>0.99693799999999999</v>
      </c>
      <c r="G1083" s="2">
        <v>0.19434999999999999</v>
      </c>
      <c r="H1083">
        <v>7</v>
      </c>
      <c r="I1083">
        <v>6</v>
      </c>
      <c r="K1083" s="8">
        <f t="shared" si="112"/>
        <v>-0.80723076923277404</v>
      </c>
      <c r="L1083" s="8">
        <f t="shared" si="113"/>
        <v>-6.2094674556367233E-2</v>
      </c>
      <c r="M1083" s="8">
        <f t="shared" si="114"/>
        <v>-0.74195215384497715</v>
      </c>
      <c r="N1083" s="8">
        <f t="shared" si="115"/>
        <v>-5.7073242603459778E-2</v>
      </c>
      <c r="O1083" s="8"/>
      <c r="P1083" t="s">
        <v>1370</v>
      </c>
      <c r="Q1083">
        <v>35</v>
      </c>
      <c r="R1083" s="8">
        <v>2.8273100000000002</v>
      </c>
      <c r="S1083">
        <v>9</v>
      </c>
      <c r="T1083" s="8">
        <f t="shared" si="116"/>
        <v>0.25714285714285712</v>
      </c>
      <c r="U1083" s="8">
        <v>2.8409399999999998</v>
      </c>
      <c r="V1083">
        <v>16</v>
      </c>
      <c r="W1083" s="8">
        <f t="shared" si="117"/>
        <v>0.45714285714285713</v>
      </c>
      <c r="X1083" s="8">
        <v>2.8216600000000001</v>
      </c>
      <c r="Y1083">
        <v>10</v>
      </c>
      <c r="Z1083" s="8">
        <f t="shared" si="118"/>
        <v>0.2857142857142857</v>
      </c>
      <c r="AA1083" s="8">
        <v>2.82409</v>
      </c>
    </row>
    <row r="1084" spans="2:27" ht="15" customHeight="1" x14ac:dyDescent="0.25">
      <c r="B1084">
        <v>657</v>
      </c>
      <c r="C1084" s="1">
        <v>-12363.232222000001</v>
      </c>
      <c r="D1084" s="2">
        <v>-12364.605304999999</v>
      </c>
      <c r="F1084" s="3">
        <v>0.99848099999999995</v>
      </c>
      <c r="G1084" s="2">
        <v>0.15559000000000001</v>
      </c>
      <c r="H1084">
        <v>7</v>
      </c>
      <c r="I1084">
        <v>6</v>
      </c>
      <c r="K1084" s="8">
        <f t="shared" si="112"/>
        <v>-0.78955276923261408</v>
      </c>
      <c r="L1084" s="8">
        <f t="shared" si="113"/>
        <v>-6.0734828402508774E-2</v>
      </c>
      <c r="M1084" s="8">
        <f t="shared" si="114"/>
        <v>-0.73651315384449845</v>
      </c>
      <c r="N1084" s="8">
        <f t="shared" si="115"/>
        <v>-5.6654857988038342E-2</v>
      </c>
      <c r="O1084" s="8"/>
      <c r="P1084" t="s">
        <v>1371</v>
      </c>
      <c r="Q1084">
        <v>34</v>
      </c>
      <c r="R1084" s="8">
        <v>2.8177099999999999</v>
      </c>
      <c r="S1084">
        <v>8</v>
      </c>
      <c r="T1084" s="8">
        <f t="shared" si="116"/>
        <v>0.23529411764705882</v>
      </c>
      <c r="U1084" s="8">
        <v>2.82823</v>
      </c>
      <c r="V1084">
        <v>14</v>
      </c>
      <c r="W1084" s="8">
        <f t="shared" si="117"/>
        <v>0.41176470588235292</v>
      </c>
      <c r="X1084" s="8">
        <v>2.7977500000000002</v>
      </c>
      <c r="Y1084">
        <v>12</v>
      </c>
      <c r="Z1084" s="8">
        <f t="shared" si="118"/>
        <v>0.35294117647058826</v>
      </c>
      <c r="AA1084" s="8">
        <v>2.83399</v>
      </c>
    </row>
    <row r="1085" spans="2:27" ht="15" customHeight="1" x14ac:dyDescent="0.25">
      <c r="B1085">
        <v>623</v>
      </c>
      <c r="C1085" s="1">
        <v>-12363.211918999999</v>
      </c>
      <c r="D1085" s="2">
        <v>-12364.601640000001</v>
      </c>
      <c r="F1085" s="3">
        <v>0.99283699999999997</v>
      </c>
      <c r="G1085" s="2">
        <v>0.16738</v>
      </c>
      <c r="H1085">
        <v>7</v>
      </c>
      <c r="I1085">
        <v>6</v>
      </c>
      <c r="K1085" s="8">
        <f t="shared" si="112"/>
        <v>-0.7692497692314646</v>
      </c>
      <c r="L1085" s="8">
        <f t="shared" si="113"/>
        <v>-5.9173059171651124E-2</v>
      </c>
      <c r="M1085" s="8">
        <f t="shared" si="114"/>
        <v>-0.73284815384613466</v>
      </c>
      <c r="N1085" s="8">
        <f t="shared" si="115"/>
        <v>-5.6372934911241131E-2</v>
      </c>
      <c r="O1085" s="8"/>
      <c r="P1085" t="s">
        <v>1372</v>
      </c>
      <c r="Q1085">
        <v>34</v>
      </c>
      <c r="R1085" s="8">
        <v>2.8269299999999999</v>
      </c>
      <c r="S1085">
        <v>9</v>
      </c>
      <c r="T1085" s="8">
        <f t="shared" si="116"/>
        <v>0.26470588235294118</v>
      </c>
      <c r="U1085" s="8">
        <v>2.8222700000000001</v>
      </c>
      <c r="V1085">
        <v>11</v>
      </c>
      <c r="W1085" s="8">
        <f t="shared" si="117"/>
        <v>0.3235294117647059</v>
      </c>
      <c r="X1085" s="8">
        <v>2.7725200000000001</v>
      </c>
      <c r="Y1085">
        <v>14</v>
      </c>
      <c r="Z1085" s="8">
        <f t="shared" si="118"/>
        <v>0.41176470588235292</v>
      </c>
      <c r="AA1085" s="8">
        <v>2.8726799999999999</v>
      </c>
    </row>
    <row r="1086" spans="2:27" ht="15" customHeight="1" x14ac:dyDescent="0.25">
      <c r="B1086" s="32">
        <v>334</v>
      </c>
      <c r="C1086" s="1">
        <v>-12363.062099999999</v>
      </c>
      <c r="D1086" s="2">
        <v>-12364.590269</v>
      </c>
      <c r="F1086" s="3">
        <v>0.99487800000000004</v>
      </c>
      <c r="G1086" s="2">
        <v>0.17899000000000001</v>
      </c>
      <c r="H1086">
        <v>7</v>
      </c>
      <c r="I1086">
        <v>6</v>
      </c>
      <c r="K1086" s="8">
        <f t="shared" si="112"/>
        <v>-0.61943076923125773</v>
      </c>
      <c r="L1086" s="8">
        <f t="shared" si="113"/>
        <v>-4.7648520710096745E-2</v>
      </c>
      <c r="M1086" s="8">
        <f t="shared" si="114"/>
        <v>-0.72147715384562616</v>
      </c>
      <c r="N1086" s="8">
        <f t="shared" si="115"/>
        <v>-5.5498242603509704E-2</v>
      </c>
      <c r="O1086" s="8"/>
      <c r="P1086" t="s">
        <v>1373</v>
      </c>
      <c r="Q1086">
        <v>34</v>
      </c>
      <c r="R1086" s="8">
        <v>2.82138</v>
      </c>
      <c r="S1086">
        <v>10</v>
      </c>
      <c r="T1086" s="8">
        <f t="shared" si="116"/>
        <v>0.29411764705882354</v>
      </c>
      <c r="U1086" s="8">
        <v>2.8648400000000001</v>
      </c>
      <c r="V1086">
        <v>15</v>
      </c>
      <c r="W1086" s="8">
        <f t="shared" si="117"/>
        <v>0.44117647058823528</v>
      </c>
      <c r="X1086" s="8">
        <v>2.8012199999999998</v>
      </c>
      <c r="Y1086">
        <v>9</v>
      </c>
      <c r="Z1086" s="8">
        <f t="shared" si="118"/>
        <v>0.26470588235294118</v>
      </c>
      <c r="AA1086" s="8">
        <v>2.8066900000000001</v>
      </c>
    </row>
    <row r="1087" spans="2:27" ht="15" customHeight="1" x14ac:dyDescent="0.25">
      <c r="B1087" s="32">
        <v>386</v>
      </c>
      <c r="C1087" s="1">
        <v>-12362.8878</v>
      </c>
      <c r="D1087" s="2">
        <v>-12364.584688000001</v>
      </c>
      <c r="F1087" s="3">
        <v>0.99397599999999997</v>
      </c>
      <c r="G1087" s="2">
        <v>0.17404999999999901</v>
      </c>
      <c r="H1087">
        <v>7</v>
      </c>
      <c r="I1087">
        <v>6</v>
      </c>
      <c r="K1087" s="8">
        <f t="shared" si="112"/>
        <v>-0.44513076923249173</v>
      </c>
      <c r="L1087" s="8">
        <f t="shared" si="113"/>
        <v>-3.4240828402499361E-2</v>
      </c>
      <c r="M1087" s="8">
        <f t="shared" si="114"/>
        <v>-0.7158961538461881</v>
      </c>
      <c r="N1087" s="8">
        <f t="shared" si="115"/>
        <v>-5.5068934911245239E-2</v>
      </c>
      <c r="O1087" s="8"/>
      <c r="P1087" t="s">
        <v>1374</v>
      </c>
      <c r="Q1087">
        <v>35</v>
      </c>
      <c r="R1087" s="8">
        <v>2.8277999999999999</v>
      </c>
      <c r="S1087">
        <v>9</v>
      </c>
      <c r="T1087" s="8">
        <f t="shared" si="116"/>
        <v>0.25714285714285712</v>
      </c>
      <c r="U1087" s="8">
        <v>2.8419599999999998</v>
      </c>
      <c r="V1087">
        <v>17</v>
      </c>
      <c r="W1087" s="8">
        <f t="shared" si="117"/>
        <v>0.48571428571428571</v>
      </c>
      <c r="X1087" s="8">
        <v>2.8068</v>
      </c>
      <c r="Y1087">
        <v>9</v>
      </c>
      <c r="Z1087" s="8">
        <f t="shared" si="118"/>
        <v>0.25714285714285712</v>
      </c>
      <c r="AA1087" s="8">
        <v>2.8532999999999999</v>
      </c>
    </row>
    <row r="1088" spans="2:27" ht="15" customHeight="1" x14ac:dyDescent="0.25">
      <c r="B1088" s="32">
        <v>465</v>
      </c>
      <c r="C1088" s="1">
        <v>-12363.2456</v>
      </c>
      <c r="D1088" s="2">
        <v>-12364.58152</v>
      </c>
      <c r="F1088" s="3">
        <v>0.99315900000000001</v>
      </c>
      <c r="G1088" s="2">
        <v>0.17022999999999999</v>
      </c>
      <c r="H1088">
        <v>7</v>
      </c>
      <c r="I1088">
        <v>6</v>
      </c>
      <c r="K1088" s="8">
        <f t="shared" si="112"/>
        <v>-0.80293076923226181</v>
      </c>
      <c r="L1088" s="8">
        <f t="shared" si="113"/>
        <v>-6.1763905325558602E-2</v>
      </c>
      <c r="M1088" s="8">
        <f t="shared" si="114"/>
        <v>-0.71272815384509158</v>
      </c>
      <c r="N1088" s="8">
        <f t="shared" si="115"/>
        <v>-5.4825242603468584E-2</v>
      </c>
      <c r="O1088" s="8"/>
      <c r="P1088" t="s">
        <v>1375</v>
      </c>
      <c r="Q1088">
        <v>36</v>
      </c>
      <c r="R1088" s="8">
        <v>2.83623</v>
      </c>
      <c r="S1088">
        <v>8</v>
      </c>
      <c r="T1088" s="8">
        <f t="shared" si="116"/>
        <v>0.22222222222222221</v>
      </c>
      <c r="U1088" s="8">
        <v>2.91648</v>
      </c>
      <c r="V1088">
        <v>20</v>
      </c>
      <c r="W1088" s="8">
        <f t="shared" si="117"/>
        <v>0.55555555555555558</v>
      </c>
      <c r="X1088" s="8">
        <v>2.7991000000000001</v>
      </c>
      <c r="Y1088">
        <v>8</v>
      </c>
      <c r="Z1088" s="8">
        <f t="shared" si="118"/>
        <v>0.22222222222222221</v>
      </c>
      <c r="AA1088" s="8">
        <v>2.8488000000000002</v>
      </c>
    </row>
    <row r="1089" spans="2:27" ht="15" customHeight="1" x14ac:dyDescent="0.25">
      <c r="B1089" s="32">
        <v>333</v>
      </c>
      <c r="C1089" s="1">
        <v>-12363.2693</v>
      </c>
      <c r="D1089" s="2">
        <v>-12364.579545000001</v>
      </c>
      <c r="F1089" s="3">
        <v>0.99691799999999997</v>
      </c>
      <c r="G1089" s="2">
        <v>0.194299999999999</v>
      </c>
      <c r="H1089">
        <v>7</v>
      </c>
      <c r="I1089">
        <v>6</v>
      </c>
      <c r="K1089" s="8">
        <f t="shared" si="112"/>
        <v>-0.82663076923199696</v>
      </c>
      <c r="L1089" s="8">
        <f t="shared" si="113"/>
        <v>-6.3586982248615156E-2</v>
      </c>
      <c r="M1089" s="8">
        <f t="shared" si="114"/>
        <v>-0.71075315384587157</v>
      </c>
      <c r="N1089" s="8">
        <f t="shared" si="115"/>
        <v>-5.4673319526605507E-2</v>
      </c>
      <c r="O1089" s="8"/>
      <c r="P1089" t="s">
        <v>1376</v>
      </c>
      <c r="Q1089">
        <v>36</v>
      </c>
      <c r="R1089" s="8">
        <v>2.8382800000000001</v>
      </c>
      <c r="S1089">
        <v>9</v>
      </c>
      <c r="T1089" s="8">
        <f t="shared" si="116"/>
        <v>0.25</v>
      </c>
      <c r="U1089" s="8">
        <v>2.8774299999999999</v>
      </c>
      <c r="V1089">
        <v>17</v>
      </c>
      <c r="W1089" s="8">
        <f t="shared" si="117"/>
        <v>0.47222222222222221</v>
      </c>
      <c r="X1089" s="8">
        <v>2.8476900000000001</v>
      </c>
      <c r="Y1089">
        <v>10</v>
      </c>
      <c r="Z1089" s="8">
        <f t="shared" si="118"/>
        <v>0.27777777777777779</v>
      </c>
      <c r="AA1089" s="8">
        <v>2.7870599999999999</v>
      </c>
    </row>
    <row r="1090" spans="2:27" ht="15" customHeight="1" x14ac:dyDescent="0.25">
      <c r="B1090" s="32">
        <v>435</v>
      </c>
      <c r="C1090" s="1">
        <v>-12362.868700000001</v>
      </c>
      <c r="D1090" s="2">
        <v>-12364.574113999999</v>
      </c>
      <c r="F1090" s="3">
        <v>0.99711799999999995</v>
      </c>
      <c r="G1090" s="2">
        <v>0.19614999999999899</v>
      </c>
      <c r="H1090">
        <v>7</v>
      </c>
      <c r="I1090">
        <v>6</v>
      </c>
      <c r="K1090" s="8">
        <f t="shared" si="112"/>
        <v>-0.42603076923296612</v>
      </c>
      <c r="L1090" s="8">
        <f t="shared" si="113"/>
        <v>-3.2771597633305088E-2</v>
      </c>
      <c r="M1090" s="8">
        <f t="shared" si="114"/>
        <v>-0.70532215384446317</v>
      </c>
      <c r="N1090" s="8">
        <f t="shared" si="115"/>
        <v>-5.4255550295727935E-2</v>
      </c>
      <c r="O1090" s="8"/>
      <c r="P1090" t="s">
        <v>1377</v>
      </c>
      <c r="Q1090">
        <v>35</v>
      </c>
      <c r="R1090" s="8">
        <v>2.8254600000000001</v>
      </c>
      <c r="S1090">
        <v>8</v>
      </c>
      <c r="T1090" s="8">
        <f t="shared" si="116"/>
        <v>0.22857142857142856</v>
      </c>
      <c r="U1090" s="8">
        <v>2.8489200000000001</v>
      </c>
      <c r="V1090">
        <v>18</v>
      </c>
      <c r="W1090" s="8">
        <f t="shared" si="117"/>
        <v>0.51428571428571423</v>
      </c>
      <c r="X1090" s="8">
        <v>2.8040799999999999</v>
      </c>
      <c r="Y1090">
        <v>9</v>
      </c>
      <c r="Z1090" s="8">
        <f t="shared" si="118"/>
        <v>0.25714285714285712</v>
      </c>
      <c r="AA1090" s="8">
        <v>2.8473799999999998</v>
      </c>
    </row>
    <row r="1091" spans="2:27" ht="15" customHeight="1" x14ac:dyDescent="0.25">
      <c r="B1091" s="32">
        <v>327</v>
      </c>
      <c r="C1091" s="1">
        <v>-12362.8406</v>
      </c>
      <c r="D1091" s="2">
        <v>-12364.569841</v>
      </c>
      <c r="F1091" s="3">
        <v>0.99535099999999999</v>
      </c>
      <c r="G1091" s="2">
        <v>0.18185000000000001</v>
      </c>
      <c r="H1091">
        <v>7</v>
      </c>
      <c r="I1091">
        <v>6</v>
      </c>
      <c r="K1091" s="8">
        <f t="shared" ref="K1091:K1154" si="119">IF(ISNUMBER(C1091),C1091-(($C$3-$C$2236)/($H$3-$H$2236)*H1091+$C$2236),"")</f>
        <v>-0.39793076923160697</v>
      </c>
      <c r="L1091" s="8">
        <f t="shared" ref="L1091:L1154" si="120">IF(ISNUMBER(C1091),K1091/(H1091+I1091),"")</f>
        <v>-3.0610059171662075E-2</v>
      </c>
      <c r="M1091" s="8">
        <f t="shared" ref="M1091:M1154" si="121">IF(ISNUMBER(D1091),D1091-(($D$3-$D$2236)/($H$3-$H$2236)*H1091+$D$2236),"")</f>
        <v>-0.70104915384581545</v>
      </c>
      <c r="N1091" s="8">
        <f t="shared" ref="N1091:N1154" si="122">IF(ISNUMBER(D1091),M1091/(H1091+I1091),"")</f>
        <v>-5.3926857988139648E-2</v>
      </c>
      <c r="O1091" s="8"/>
      <c r="P1091" t="s">
        <v>1378</v>
      </c>
      <c r="Q1091">
        <v>35</v>
      </c>
      <c r="R1091" s="8">
        <v>2.8251499999999998</v>
      </c>
      <c r="S1091">
        <v>8</v>
      </c>
      <c r="T1091" s="8">
        <f t="shared" ref="T1091:T1154" si="123">IF(ISNUMBER(S1091),S1091/(Q1091),"")</f>
        <v>0.22857142857142856</v>
      </c>
      <c r="U1091" s="8">
        <v>2.8591000000000002</v>
      </c>
      <c r="V1091">
        <v>19</v>
      </c>
      <c r="W1091" s="8">
        <f t="shared" ref="W1091:W1154" si="124">IF(ISNUMBER(V1091),V1091/($Q1091),"")</f>
        <v>0.54285714285714282</v>
      </c>
      <c r="X1091" s="8">
        <v>2.8028900000000001</v>
      </c>
      <c r="Y1091">
        <v>8</v>
      </c>
      <c r="Z1091" s="8">
        <f t="shared" ref="Z1091:Z1154" si="125">IF(ISNUMBER(Y1091),Y1091/($Q1091),"")</f>
        <v>0.22857142857142856</v>
      </c>
      <c r="AA1091" s="8">
        <v>2.8440799999999999</v>
      </c>
    </row>
    <row r="1092" spans="2:27" ht="15" customHeight="1" x14ac:dyDescent="0.25">
      <c r="B1092" s="32">
        <v>388</v>
      </c>
      <c r="C1092" s="1">
        <v>-12362.9661</v>
      </c>
      <c r="D1092" s="2">
        <v>-12364.565207</v>
      </c>
      <c r="F1092" s="3">
        <v>0.993483</v>
      </c>
      <c r="G1092" s="2">
        <v>0.17166999999999999</v>
      </c>
      <c r="H1092">
        <v>7</v>
      </c>
      <c r="I1092">
        <v>6</v>
      </c>
      <c r="K1092" s="8">
        <f t="shared" si="119"/>
        <v>-0.52343076923170884</v>
      </c>
      <c r="L1092" s="8">
        <f t="shared" si="120"/>
        <v>-4.0263905325516061E-2</v>
      </c>
      <c r="M1092" s="8">
        <f t="shared" si="121"/>
        <v>-0.69641515384500963</v>
      </c>
      <c r="N1092" s="8">
        <f t="shared" si="122"/>
        <v>-5.3570396449616128E-2</v>
      </c>
      <c r="O1092" s="8"/>
      <c r="P1092" t="s">
        <v>1379</v>
      </c>
      <c r="Q1092">
        <v>35</v>
      </c>
      <c r="R1092" s="8">
        <v>2.8283999999999998</v>
      </c>
      <c r="S1092">
        <v>9</v>
      </c>
      <c r="T1092" s="8">
        <f t="shared" si="123"/>
        <v>0.25714285714285712</v>
      </c>
      <c r="U1092" s="8">
        <v>2.8458899999999998</v>
      </c>
      <c r="V1092">
        <v>17</v>
      </c>
      <c r="W1092" s="8">
        <f t="shared" si="124"/>
        <v>0.48571428571428571</v>
      </c>
      <c r="X1092" s="8">
        <v>2.83155</v>
      </c>
      <c r="Y1092">
        <v>9</v>
      </c>
      <c r="Z1092" s="8">
        <f t="shared" si="125"/>
        <v>0.25714285714285712</v>
      </c>
      <c r="AA1092" s="8">
        <v>2.80497</v>
      </c>
    </row>
    <row r="1093" spans="2:27" ht="15" customHeight="1" x14ac:dyDescent="0.25">
      <c r="B1093">
        <v>652</v>
      </c>
      <c r="C1093" s="1">
        <v>-12363.101135000001</v>
      </c>
      <c r="D1093" s="2">
        <v>-12364.563443999999</v>
      </c>
      <c r="F1093" s="3">
        <v>0.99535200000000001</v>
      </c>
      <c r="G1093" s="2">
        <v>0.17762</v>
      </c>
      <c r="H1093">
        <v>7</v>
      </c>
      <c r="I1093">
        <v>6</v>
      </c>
      <c r="K1093" s="8">
        <f t="shared" si="119"/>
        <v>-0.65846576923286193</v>
      </c>
      <c r="L1093" s="8">
        <f t="shared" si="120"/>
        <v>-5.0651213017912457E-2</v>
      </c>
      <c r="M1093" s="8">
        <f t="shared" si="121"/>
        <v>-0.69465215384479961</v>
      </c>
      <c r="N1093" s="8">
        <f t="shared" si="122"/>
        <v>-5.3434781064984588E-2</v>
      </c>
      <c r="O1093" s="8"/>
      <c r="P1093" t="s">
        <v>1380</v>
      </c>
      <c r="Q1093">
        <v>33</v>
      </c>
      <c r="R1093" s="8">
        <v>2.8128899999999999</v>
      </c>
      <c r="S1093">
        <v>8</v>
      </c>
      <c r="T1093" s="8">
        <f t="shared" si="123"/>
        <v>0.24242424242424243</v>
      </c>
      <c r="U1093" s="8">
        <v>2.8002199999999999</v>
      </c>
      <c r="V1093">
        <v>15</v>
      </c>
      <c r="W1093" s="8">
        <f t="shared" si="124"/>
        <v>0.45454545454545453</v>
      </c>
      <c r="X1093" s="8">
        <v>2.7980100000000001</v>
      </c>
      <c r="Y1093">
        <v>10</v>
      </c>
      <c r="Z1093" s="8">
        <f t="shared" si="125"/>
        <v>0.30303030303030304</v>
      </c>
      <c r="AA1093" s="8">
        <v>2.8453499999999998</v>
      </c>
    </row>
    <row r="1094" spans="2:27" ht="15" customHeight="1" x14ac:dyDescent="0.25">
      <c r="B1094" s="32">
        <v>473</v>
      </c>
      <c r="C1094" s="1">
        <v>-12363.1731</v>
      </c>
      <c r="D1094" s="2">
        <v>-12364.563173</v>
      </c>
      <c r="F1094" s="3">
        <v>0.99343899999999996</v>
      </c>
      <c r="G1094" s="2">
        <v>0.18547</v>
      </c>
      <c r="H1094">
        <v>7</v>
      </c>
      <c r="I1094">
        <v>6</v>
      </c>
      <c r="K1094" s="8">
        <f t="shared" si="119"/>
        <v>-0.73043076923204353</v>
      </c>
      <c r="L1094" s="8">
        <f t="shared" si="120"/>
        <v>-5.6186982248618733E-2</v>
      </c>
      <c r="M1094" s="8">
        <f t="shared" si="121"/>
        <v>-0.69438115384582488</v>
      </c>
      <c r="N1094" s="8">
        <f t="shared" si="122"/>
        <v>-5.3413934911217299E-2</v>
      </c>
      <c r="O1094" s="8"/>
      <c r="P1094" t="s">
        <v>1381</v>
      </c>
      <c r="Q1094">
        <v>36</v>
      </c>
      <c r="R1094" s="8">
        <v>2.83446</v>
      </c>
      <c r="S1094">
        <v>9</v>
      </c>
      <c r="T1094" s="8">
        <f t="shared" si="123"/>
        <v>0.25</v>
      </c>
      <c r="U1094" s="8">
        <v>2.8730600000000002</v>
      </c>
      <c r="V1094">
        <v>18</v>
      </c>
      <c r="W1094" s="8">
        <f t="shared" si="124"/>
        <v>0.5</v>
      </c>
      <c r="X1094" s="8">
        <v>2.8219799999999999</v>
      </c>
      <c r="Y1094">
        <v>9</v>
      </c>
      <c r="Z1094" s="8">
        <f t="shared" si="125"/>
        <v>0.25</v>
      </c>
      <c r="AA1094" s="8">
        <v>2.8208299999999999</v>
      </c>
    </row>
    <row r="1095" spans="2:27" ht="15" customHeight="1" x14ac:dyDescent="0.25">
      <c r="B1095" s="32">
        <v>437</v>
      </c>
      <c r="C1095" s="1">
        <v>-12363.1129</v>
      </c>
      <c r="D1095" s="2">
        <v>-12364.550565</v>
      </c>
      <c r="F1095" s="3">
        <v>0.99829900000000005</v>
      </c>
      <c r="G1095" s="2">
        <v>0.13469</v>
      </c>
      <c r="H1095">
        <v>7</v>
      </c>
      <c r="I1095">
        <v>6</v>
      </c>
      <c r="K1095" s="8">
        <f t="shared" si="119"/>
        <v>-0.6702307692321483</v>
      </c>
      <c r="L1095" s="8">
        <f t="shared" si="120"/>
        <v>-5.1556213017857559E-2</v>
      </c>
      <c r="M1095" s="8">
        <f t="shared" si="121"/>
        <v>-0.68177315384491521</v>
      </c>
      <c r="N1095" s="8">
        <f t="shared" si="122"/>
        <v>-5.2444088757301173E-2</v>
      </c>
      <c r="O1095" s="8"/>
      <c r="P1095" t="s">
        <v>1382</v>
      </c>
      <c r="Q1095">
        <v>36</v>
      </c>
      <c r="R1095" s="8">
        <v>2.8344</v>
      </c>
      <c r="S1095">
        <v>8</v>
      </c>
      <c r="T1095" s="8">
        <f t="shared" si="123"/>
        <v>0.22222222222222221</v>
      </c>
      <c r="U1095" s="8">
        <v>2.8783699999999999</v>
      </c>
      <c r="V1095">
        <v>19</v>
      </c>
      <c r="W1095" s="8">
        <f t="shared" si="124"/>
        <v>0.52777777777777779</v>
      </c>
      <c r="X1095" s="8">
        <v>2.8137599999999998</v>
      </c>
      <c r="Y1095">
        <v>9</v>
      </c>
      <c r="Z1095" s="8">
        <f t="shared" si="125"/>
        <v>0.25</v>
      </c>
      <c r="AA1095" s="8">
        <v>2.8388800000000001</v>
      </c>
    </row>
    <row r="1096" spans="2:27" ht="15" customHeight="1" x14ac:dyDescent="0.25">
      <c r="B1096" s="32">
        <v>302</v>
      </c>
      <c r="C1096" s="1">
        <v>-12363.013999999999</v>
      </c>
      <c r="D1096" s="2">
        <v>-12364.54249</v>
      </c>
      <c r="F1096" s="3">
        <v>0.99573199999999995</v>
      </c>
      <c r="G1096" s="2">
        <v>0.18442</v>
      </c>
      <c r="H1096">
        <v>7</v>
      </c>
      <c r="I1096">
        <v>6</v>
      </c>
      <c r="K1096" s="8">
        <f t="shared" si="119"/>
        <v>-0.57133076923128101</v>
      </c>
      <c r="L1096" s="8">
        <f t="shared" si="120"/>
        <v>-4.394852071009854E-2</v>
      </c>
      <c r="M1096" s="8">
        <f t="shared" si="121"/>
        <v>-0.67369815384518006</v>
      </c>
      <c r="N1096" s="8">
        <f t="shared" si="122"/>
        <v>-5.1822934911167698E-2</v>
      </c>
      <c r="O1096" s="8"/>
      <c r="P1096" t="s">
        <v>1383</v>
      </c>
      <c r="Q1096">
        <v>34</v>
      </c>
      <c r="R1096" s="8">
        <v>2.81717</v>
      </c>
      <c r="S1096">
        <v>10</v>
      </c>
      <c r="T1096" s="8">
        <f t="shared" si="123"/>
        <v>0.29411764705882354</v>
      </c>
      <c r="U1096" s="8">
        <v>2.8380299999999998</v>
      </c>
      <c r="V1096">
        <v>14</v>
      </c>
      <c r="W1096" s="8">
        <f t="shared" si="124"/>
        <v>0.41176470588235292</v>
      </c>
      <c r="X1096" s="8">
        <v>2.8073999999999999</v>
      </c>
      <c r="Y1096">
        <v>10</v>
      </c>
      <c r="Z1096" s="8">
        <f t="shared" si="125"/>
        <v>0.29411764705882354</v>
      </c>
      <c r="AA1096" s="8">
        <v>2.8099699999999999</v>
      </c>
    </row>
    <row r="1097" spans="2:27" ht="15" customHeight="1" x14ac:dyDescent="0.25">
      <c r="B1097" s="32">
        <v>410</v>
      </c>
      <c r="C1097" s="1">
        <v>-12363.1785</v>
      </c>
      <c r="D1097" s="2">
        <v>-12364.540596999999</v>
      </c>
      <c r="F1097" s="3">
        <v>0.99217699999999998</v>
      </c>
      <c r="G1097" s="2">
        <v>0.16625000000000001</v>
      </c>
      <c r="H1097">
        <v>7</v>
      </c>
      <c r="I1097">
        <v>6</v>
      </c>
      <c r="K1097" s="8">
        <f t="shared" si="119"/>
        <v>-0.73583076923205226</v>
      </c>
      <c r="L1097" s="8">
        <f t="shared" si="120"/>
        <v>-5.6602366864004022E-2</v>
      </c>
      <c r="M1097" s="8">
        <f t="shared" si="121"/>
        <v>-0.67180515384461614</v>
      </c>
      <c r="N1097" s="8">
        <f t="shared" si="122"/>
        <v>-5.1677319526508933E-2</v>
      </c>
      <c r="O1097" s="8"/>
      <c r="P1097" t="s">
        <v>1384</v>
      </c>
      <c r="Q1097">
        <v>34</v>
      </c>
      <c r="R1097" s="8">
        <v>2.8198500000000002</v>
      </c>
      <c r="S1097">
        <v>6</v>
      </c>
      <c r="T1097" s="8">
        <f t="shared" si="123"/>
        <v>0.17647058823529413</v>
      </c>
      <c r="U1097" s="8">
        <v>2.8041100000000001</v>
      </c>
      <c r="V1097">
        <v>21</v>
      </c>
      <c r="W1097" s="8">
        <f t="shared" si="124"/>
        <v>0.61764705882352944</v>
      </c>
      <c r="X1097" s="8">
        <v>2.8192599999999999</v>
      </c>
      <c r="Y1097">
        <v>7</v>
      </c>
      <c r="Z1097" s="8">
        <f t="shared" si="125"/>
        <v>0.20588235294117646</v>
      </c>
      <c r="AA1097" s="8">
        <v>2.83514</v>
      </c>
    </row>
    <row r="1098" spans="2:27" ht="15" customHeight="1" x14ac:dyDescent="0.25">
      <c r="B1098" s="32">
        <v>493</v>
      </c>
      <c r="C1098" s="1">
        <v>-12362.9095</v>
      </c>
      <c r="D1098" s="2">
        <v>-12364.539246</v>
      </c>
      <c r="F1098" s="3">
        <v>0.996062</v>
      </c>
      <c r="G1098" s="2">
        <v>0.18678999999999901</v>
      </c>
      <c r="H1098">
        <v>7</v>
      </c>
      <c r="I1098">
        <v>6</v>
      </c>
      <c r="K1098" s="8">
        <f t="shared" si="119"/>
        <v>-0.46683076923181943</v>
      </c>
      <c r="L1098" s="8">
        <f t="shared" si="120"/>
        <v>-3.5910059171678416E-2</v>
      </c>
      <c r="M1098" s="8">
        <f t="shared" si="121"/>
        <v>-0.67045415384563967</v>
      </c>
      <c r="N1098" s="8">
        <f t="shared" si="122"/>
        <v>-5.1573396449664591E-2</v>
      </c>
      <c r="O1098" s="8"/>
      <c r="P1098" t="s">
        <v>1385</v>
      </c>
      <c r="Q1098">
        <v>36</v>
      </c>
      <c r="R1098" s="8">
        <v>2.8331400000000002</v>
      </c>
      <c r="S1098">
        <v>10</v>
      </c>
      <c r="T1098" s="8">
        <f t="shared" si="123"/>
        <v>0.27777777777777779</v>
      </c>
      <c r="U1098" s="8">
        <v>2.8704399999999999</v>
      </c>
      <c r="V1098">
        <v>17</v>
      </c>
      <c r="W1098" s="8">
        <f t="shared" si="124"/>
        <v>0.47222222222222221</v>
      </c>
      <c r="X1098" s="8">
        <v>2.8203</v>
      </c>
      <c r="Y1098">
        <v>9</v>
      </c>
      <c r="Z1098" s="8">
        <f t="shared" si="125"/>
        <v>0.25</v>
      </c>
      <c r="AA1098" s="8">
        <v>2.81595</v>
      </c>
    </row>
    <row r="1099" spans="2:27" ht="15" customHeight="1" x14ac:dyDescent="0.25">
      <c r="B1099">
        <v>607</v>
      </c>
      <c r="C1099" s="1">
        <v>-12363.010573</v>
      </c>
      <c r="D1099" s="2">
        <v>-12364.527448000001</v>
      </c>
      <c r="F1099" s="3">
        <v>0.99657899999999999</v>
      </c>
      <c r="G1099" s="2">
        <v>0.19386999999999999</v>
      </c>
      <c r="H1099">
        <v>7</v>
      </c>
      <c r="I1099">
        <v>6</v>
      </c>
      <c r="K1099" s="8">
        <f t="shared" si="119"/>
        <v>-0.56790376923163421</v>
      </c>
      <c r="L1099" s="8">
        <f t="shared" si="120"/>
        <v>-4.3684905325510323E-2</v>
      </c>
      <c r="M1099" s="8">
        <f t="shared" si="121"/>
        <v>-0.65865615384609555</v>
      </c>
      <c r="N1099" s="8">
        <f t="shared" si="122"/>
        <v>-5.0665857988161193E-2</v>
      </c>
      <c r="O1099" s="8"/>
      <c r="P1099" t="s">
        <v>1386</v>
      </c>
      <c r="Q1099">
        <v>34</v>
      </c>
      <c r="R1099" s="8">
        <v>2.8180399999999999</v>
      </c>
      <c r="S1099">
        <v>10</v>
      </c>
      <c r="T1099" s="8">
        <f t="shared" si="123"/>
        <v>0.29411764705882354</v>
      </c>
      <c r="U1099" s="8">
        <v>2.8103500000000001</v>
      </c>
      <c r="V1099">
        <v>11</v>
      </c>
      <c r="W1099" s="8">
        <f t="shared" si="124"/>
        <v>0.3235294117647059</v>
      </c>
      <c r="X1099" s="8">
        <v>2.8157199999999998</v>
      </c>
      <c r="Y1099">
        <v>13</v>
      </c>
      <c r="Z1099" s="8">
        <f t="shared" si="125"/>
        <v>0.38235294117647056</v>
      </c>
      <c r="AA1099" s="8">
        <v>2.82592</v>
      </c>
    </row>
    <row r="1100" spans="2:27" ht="15" customHeight="1" x14ac:dyDescent="0.25">
      <c r="B1100" s="32">
        <v>365</v>
      </c>
      <c r="C1100" s="1">
        <v>-12363.1474</v>
      </c>
      <c r="D1100" s="2">
        <v>-12364.526981000001</v>
      </c>
      <c r="F1100" s="3">
        <v>0.992197</v>
      </c>
      <c r="G1100" s="2">
        <v>0.16628000000000001</v>
      </c>
      <c r="H1100">
        <v>7</v>
      </c>
      <c r="I1100">
        <v>6</v>
      </c>
      <c r="K1100" s="8">
        <f t="shared" si="119"/>
        <v>-0.70473076923190092</v>
      </c>
      <c r="L1100" s="8">
        <f t="shared" si="120"/>
        <v>-5.4210059171684685E-2</v>
      </c>
      <c r="M1100" s="8">
        <f t="shared" si="121"/>
        <v>-0.65818915384625143</v>
      </c>
      <c r="N1100" s="8">
        <f t="shared" si="122"/>
        <v>-5.0629934911250112E-2</v>
      </c>
      <c r="O1100" s="8"/>
      <c r="P1100" t="s">
        <v>1387</v>
      </c>
      <c r="Q1100">
        <v>35</v>
      </c>
      <c r="R1100" s="8">
        <v>2.8269500000000001</v>
      </c>
      <c r="S1100">
        <v>9</v>
      </c>
      <c r="T1100" s="8">
        <f t="shared" si="123"/>
        <v>0.25714285714285712</v>
      </c>
      <c r="U1100" s="8">
        <v>2.8439899999999998</v>
      </c>
      <c r="V1100">
        <v>16</v>
      </c>
      <c r="W1100" s="8">
        <f t="shared" si="124"/>
        <v>0.45714285714285713</v>
      </c>
      <c r="X1100" s="8">
        <v>2.8214100000000002</v>
      </c>
      <c r="Y1100">
        <v>10</v>
      </c>
      <c r="Z1100" s="8">
        <f t="shared" si="125"/>
        <v>0.2857142857142857</v>
      </c>
      <c r="AA1100" s="8">
        <v>2.8204899999999999</v>
      </c>
    </row>
    <row r="1101" spans="2:27" ht="15" customHeight="1" x14ac:dyDescent="0.25">
      <c r="B1101" s="32">
        <v>448</v>
      </c>
      <c r="C1101" s="8">
        <v>-12363.168170000001</v>
      </c>
      <c r="D1101" s="2">
        <v>-12364.526881</v>
      </c>
      <c r="F1101" s="3">
        <v>0.99596799999999996</v>
      </c>
      <c r="G1101" s="2">
        <v>0.18634000000000001</v>
      </c>
      <c r="H1101">
        <v>7</v>
      </c>
      <c r="I1101">
        <v>6</v>
      </c>
      <c r="K1101" s="8">
        <f t="shared" si="119"/>
        <v>-0.72550076923289453</v>
      </c>
      <c r="L1101" s="8">
        <f t="shared" si="120"/>
        <v>-5.5807751479453424E-2</v>
      </c>
      <c r="M1101" s="8">
        <f t="shared" si="121"/>
        <v>-0.65808915384513966</v>
      </c>
      <c r="N1101" s="8">
        <f t="shared" si="122"/>
        <v>-5.0622242603472284E-2</v>
      </c>
      <c r="O1101" s="8"/>
      <c r="P1101" t="s">
        <v>1388</v>
      </c>
      <c r="Q1101">
        <v>35</v>
      </c>
      <c r="R1101" s="8">
        <v>2.8288600000000002</v>
      </c>
      <c r="S1101">
        <v>9</v>
      </c>
      <c r="T1101" s="8">
        <f t="shared" si="123"/>
        <v>0.25714285714285712</v>
      </c>
      <c r="U1101" s="8">
        <v>2.87025</v>
      </c>
      <c r="V1101">
        <v>17</v>
      </c>
      <c r="W1101" s="8">
        <f t="shared" si="124"/>
        <v>0.48571428571428571</v>
      </c>
      <c r="X1101" s="8">
        <v>2.8238300000000001</v>
      </c>
      <c r="Y1101">
        <v>9</v>
      </c>
      <c r="Z1101" s="8">
        <f t="shared" si="125"/>
        <v>0.25714285714285712</v>
      </c>
      <c r="AA1101" s="8">
        <v>2.7969900000000001</v>
      </c>
    </row>
    <row r="1102" spans="2:27" ht="15" customHeight="1" x14ac:dyDescent="0.25">
      <c r="B1102" s="32">
        <v>754</v>
      </c>
      <c r="C1102" s="1">
        <v>-12363.0815</v>
      </c>
      <c r="D1102" s="2">
        <v>-12364.517753</v>
      </c>
      <c r="F1102" s="3">
        <v>0.995282</v>
      </c>
      <c r="G1102" s="2">
        <v>0.18135999999999899</v>
      </c>
      <c r="H1102">
        <v>7</v>
      </c>
      <c r="I1102">
        <v>6</v>
      </c>
      <c r="K1102" s="8">
        <f t="shared" si="119"/>
        <v>-0.63883076923229964</v>
      </c>
      <c r="L1102" s="8">
        <f t="shared" si="120"/>
        <v>-4.9140828402484585E-2</v>
      </c>
      <c r="M1102" s="8">
        <f t="shared" si="121"/>
        <v>-0.64896115384544828</v>
      </c>
      <c r="N1102" s="8">
        <f t="shared" si="122"/>
        <v>-4.9920088757342176E-2</v>
      </c>
      <c r="O1102" s="8"/>
      <c r="P1102" t="s">
        <v>1389</v>
      </c>
      <c r="Q1102">
        <v>36</v>
      </c>
      <c r="R1102" s="8">
        <v>2.8340700000000001</v>
      </c>
      <c r="S1102">
        <v>8</v>
      </c>
      <c r="T1102" s="8">
        <f t="shared" si="123"/>
        <v>0.22222222222222221</v>
      </c>
      <c r="U1102" s="8">
        <v>2.7905000000000002</v>
      </c>
      <c r="V1102">
        <v>16</v>
      </c>
      <c r="W1102" s="8">
        <f t="shared" si="124"/>
        <v>0.44444444444444442</v>
      </c>
      <c r="X1102" s="8">
        <v>2.86185</v>
      </c>
      <c r="Y1102">
        <v>12</v>
      </c>
      <c r="Z1102" s="8">
        <f t="shared" si="125"/>
        <v>0.33333333333333331</v>
      </c>
      <c r="AA1102" s="8">
        <v>2.8260700000000001</v>
      </c>
    </row>
    <row r="1103" spans="2:27" ht="15" customHeight="1" x14ac:dyDescent="0.25">
      <c r="B1103" s="32">
        <v>338</v>
      </c>
      <c r="C1103" s="1">
        <v>-12363.1852</v>
      </c>
      <c r="D1103" s="2">
        <v>-12364.516093</v>
      </c>
      <c r="F1103" s="3">
        <v>0.99662200000000001</v>
      </c>
      <c r="G1103" s="2">
        <v>0.191519999999999</v>
      </c>
      <c r="H1103">
        <v>7</v>
      </c>
      <c r="I1103">
        <v>6</v>
      </c>
      <c r="K1103" s="8">
        <f t="shared" si="119"/>
        <v>-0.74253076923196204</v>
      </c>
      <c r="L1103" s="8">
        <f t="shared" si="120"/>
        <v>-5.7117751479381695E-2</v>
      </c>
      <c r="M1103" s="8">
        <f t="shared" si="121"/>
        <v>-0.64730115384554665</v>
      </c>
      <c r="N1103" s="8">
        <f t="shared" si="122"/>
        <v>-4.9792396449657432E-2</v>
      </c>
      <c r="O1103" s="8"/>
      <c r="P1103" t="s">
        <v>1390</v>
      </c>
      <c r="Q1103">
        <v>36</v>
      </c>
      <c r="R1103" s="8">
        <v>2.8370000000000002</v>
      </c>
      <c r="S1103">
        <v>9</v>
      </c>
      <c r="T1103" s="8">
        <f t="shared" si="123"/>
        <v>0.25</v>
      </c>
      <c r="U1103" s="8">
        <v>2.85046</v>
      </c>
      <c r="V1103">
        <v>16</v>
      </c>
      <c r="W1103" s="8">
        <f t="shared" si="124"/>
        <v>0.44444444444444442</v>
      </c>
      <c r="X1103" s="8">
        <v>2.8518500000000002</v>
      </c>
      <c r="Y1103">
        <v>11</v>
      </c>
      <c r="Z1103" s="8">
        <f t="shared" si="125"/>
        <v>0.30555555555555558</v>
      </c>
      <c r="AA1103" s="8">
        <v>2.8043900000000002</v>
      </c>
    </row>
    <row r="1104" spans="2:27" ht="15" customHeight="1" x14ac:dyDescent="0.25">
      <c r="B1104" s="32">
        <v>301</v>
      </c>
      <c r="C1104" s="1">
        <v>-12363.1985</v>
      </c>
      <c r="D1104" s="2">
        <v>-12364.513964</v>
      </c>
      <c r="F1104" s="3">
        <v>0.99597100000000005</v>
      </c>
      <c r="G1104" s="2">
        <v>0.18618000000000001</v>
      </c>
      <c r="H1104">
        <v>7</v>
      </c>
      <c r="I1104">
        <v>6</v>
      </c>
      <c r="K1104" s="8">
        <f t="shared" si="119"/>
        <v>-0.75583076923248882</v>
      </c>
      <c r="L1104" s="8">
        <f t="shared" si="120"/>
        <v>-5.8140828402499137E-2</v>
      </c>
      <c r="M1104" s="8">
        <f t="shared" si="121"/>
        <v>-0.64517215384512383</v>
      </c>
      <c r="N1104" s="8">
        <f t="shared" si="122"/>
        <v>-4.9628627218855678E-2</v>
      </c>
      <c r="O1104" s="8"/>
      <c r="P1104" t="s">
        <v>1391</v>
      </c>
      <c r="Q1104">
        <v>35</v>
      </c>
      <c r="R1104" s="8">
        <v>2.8304499999999999</v>
      </c>
      <c r="S1104">
        <v>9</v>
      </c>
      <c r="T1104" s="8">
        <f t="shared" si="123"/>
        <v>0.25714285714285712</v>
      </c>
      <c r="U1104" s="8">
        <v>2.8167200000000001</v>
      </c>
      <c r="V1104">
        <v>15</v>
      </c>
      <c r="W1104" s="8">
        <f t="shared" si="124"/>
        <v>0.42857142857142855</v>
      </c>
      <c r="X1104" s="8">
        <v>2.8365399999999998</v>
      </c>
      <c r="Y1104">
        <v>11</v>
      </c>
      <c r="Z1104" s="8">
        <f t="shared" si="125"/>
        <v>0.31428571428571428</v>
      </c>
      <c r="AA1104" s="8">
        <v>2.83338</v>
      </c>
    </row>
    <row r="1105" spans="1:27" ht="15" customHeight="1" x14ac:dyDescent="0.25">
      <c r="B1105" s="32">
        <v>335</v>
      </c>
      <c r="C1105" s="1">
        <v>-12363.1289</v>
      </c>
      <c r="D1105" s="2">
        <v>-12364.492645</v>
      </c>
      <c r="F1105" s="3">
        <v>0.99676900000000002</v>
      </c>
      <c r="G1105" s="2">
        <v>0.192769999999999</v>
      </c>
      <c r="H1105">
        <v>7</v>
      </c>
      <c r="I1105">
        <v>6</v>
      </c>
      <c r="K1105" s="8">
        <f t="shared" si="119"/>
        <v>-0.68623076923176995</v>
      </c>
      <c r="L1105" s="8">
        <f t="shared" si="120"/>
        <v>-5.2786982248597687E-2</v>
      </c>
      <c r="M1105" s="8">
        <f t="shared" si="121"/>
        <v>-0.62385315384563</v>
      </c>
      <c r="N1105" s="8">
        <f t="shared" si="122"/>
        <v>-4.7988704141971539E-2</v>
      </c>
      <c r="O1105" s="8"/>
      <c r="P1105" t="s">
        <v>1392</v>
      </c>
      <c r="Q1105">
        <v>35</v>
      </c>
      <c r="R1105" s="8">
        <v>2.8292000000000002</v>
      </c>
      <c r="S1105">
        <v>10</v>
      </c>
      <c r="T1105" s="8">
        <f t="shared" si="123"/>
        <v>0.2857142857142857</v>
      </c>
      <c r="U1105" s="8">
        <v>2.8514300000000001</v>
      </c>
      <c r="V1105">
        <v>15</v>
      </c>
      <c r="W1105" s="8">
        <f t="shared" si="124"/>
        <v>0.42857142857142855</v>
      </c>
      <c r="X1105" s="8">
        <v>2.82213</v>
      </c>
      <c r="Y1105">
        <v>10</v>
      </c>
      <c r="Z1105" s="8">
        <f t="shared" si="125"/>
        <v>0.2857142857142857</v>
      </c>
      <c r="AA1105" s="8">
        <v>2.8175699999999999</v>
      </c>
    </row>
    <row r="1106" spans="1:27" ht="15" customHeight="1" x14ac:dyDescent="0.25">
      <c r="B1106" s="32">
        <v>387</v>
      </c>
      <c r="C1106" s="1">
        <v>-12362.825500000001</v>
      </c>
      <c r="D1106" s="2">
        <v>-12364.48713</v>
      </c>
      <c r="F1106" s="3">
        <v>0.99556299999999998</v>
      </c>
      <c r="G1106" s="2">
        <v>0.18329000000000001</v>
      </c>
      <c r="H1106">
        <v>7</v>
      </c>
      <c r="I1106">
        <v>6</v>
      </c>
      <c r="K1106" s="8">
        <f t="shared" si="119"/>
        <v>-0.38283076923289627</v>
      </c>
      <c r="L1106" s="8">
        <f t="shared" si="120"/>
        <v>-2.9448520710222789E-2</v>
      </c>
      <c r="M1106" s="8">
        <f t="shared" si="121"/>
        <v>-0.61833815384488844</v>
      </c>
      <c r="N1106" s="8">
        <f t="shared" si="122"/>
        <v>-4.7564473372683727E-2</v>
      </c>
      <c r="O1106" s="8"/>
      <c r="P1106" t="s">
        <v>1393</v>
      </c>
      <c r="Q1106">
        <v>36</v>
      </c>
      <c r="R1106" s="8">
        <v>2.8363900000000002</v>
      </c>
      <c r="S1106">
        <v>11</v>
      </c>
      <c r="T1106" s="8">
        <f t="shared" si="123"/>
        <v>0.30555555555555558</v>
      </c>
      <c r="U1106" s="8">
        <v>2.8446199999999999</v>
      </c>
      <c r="V1106">
        <v>14</v>
      </c>
      <c r="W1106" s="8">
        <f t="shared" si="124"/>
        <v>0.3888888888888889</v>
      </c>
      <c r="X1106" s="8">
        <v>2.83752</v>
      </c>
      <c r="Y1106">
        <v>11</v>
      </c>
      <c r="Z1106" s="8">
        <f t="shared" si="125"/>
        <v>0.30555555555555558</v>
      </c>
      <c r="AA1106" s="8">
        <v>2.82673</v>
      </c>
    </row>
    <row r="1107" spans="1:27" ht="15" customHeight="1" x14ac:dyDescent="0.25">
      <c r="B1107" s="32">
        <v>385</v>
      </c>
      <c r="C1107" s="1">
        <v>-12362.772800000001</v>
      </c>
      <c r="D1107" s="2">
        <v>-12364.485707</v>
      </c>
      <c r="F1107" s="3">
        <v>0.99350899999999998</v>
      </c>
      <c r="G1107" s="2">
        <v>0.171819999999999</v>
      </c>
      <c r="H1107">
        <v>7</v>
      </c>
      <c r="I1107">
        <v>6</v>
      </c>
      <c r="K1107" s="8">
        <f t="shared" si="119"/>
        <v>-0.33013076923271001</v>
      </c>
      <c r="L1107" s="8">
        <f t="shared" si="120"/>
        <v>-2.5394674556362309E-2</v>
      </c>
      <c r="M1107" s="8">
        <f t="shared" si="121"/>
        <v>-0.61691515384518425</v>
      </c>
      <c r="N1107" s="8">
        <f t="shared" si="122"/>
        <v>-4.7455011834244942E-2</v>
      </c>
      <c r="O1107" s="8"/>
      <c r="P1107" t="s">
        <v>1394</v>
      </c>
      <c r="Q1107">
        <v>35</v>
      </c>
      <c r="R1107" s="8">
        <v>2.8251499999999998</v>
      </c>
      <c r="S1107">
        <v>9</v>
      </c>
      <c r="T1107" s="8">
        <f t="shared" si="123"/>
        <v>0.25714285714285712</v>
      </c>
      <c r="U1107" s="8">
        <v>2.8509500000000001</v>
      </c>
      <c r="V1107">
        <v>17</v>
      </c>
      <c r="W1107" s="8">
        <f t="shared" si="124"/>
        <v>0.48571428571428571</v>
      </c>
      <c r="X1107" s="8">
        <v>2.8031700000000002</v>
      </c>
      <c r="Y1107">
        <v>9</v>
      </c>
      <c r="Z1107" s="8">
        <f t="shared" si="125"/>
        <v>0.25714285714285712</v>
      </c>
      <c r="AA1107" s="8">
        <v>2.8408699999999998</v>
      </c>
    </row>
    <row r="1108" spans="1:27" ht="15" customHeight="1" x14ac:dyDescent="0.25">
      <c r="B1108" s="32">
        <v>330</v>
      </c>
      <c r="C1108" s="1">
        <v>-12363.140600000001</v>
      </c>
      <c r="D1108" s="2">
        <v>-12364.483784</v>
      </c>
      <c r="F1108" s="3">
        <v>0.99351</v>
      </c>
      <c r="G1108" s="2">
        <v>0.17177000000000001</v>
      </c>
      <c r="H1108">
        <v>7</v>
      </c>
      <c r="I1108">
        <v>6</v>
      </c>
      <c r="K1108" s="8">
        <f t="shared" si="119"/>
        <v>-0.69793076923269837</v>
      </c>
      <c r="L1108" s="8">
        <f t="shared" si="120"/>
        <v>-5.3686982248669107E-2</v>
      </c>
      <c r="M1108" s="8">
        <f t="shared" si="121"/>
        <v>-0.6149921538453782</v>
      </c>
      <c r="N1108" s="8">
        <f t="shared" si="122"/>
        <v>-4.7307088757336788E-2</v>
      </c>
      <c r="O1108" s="8"/>
      <c r="P1108" t="s">
        <v>1395</v>
      </c>
      <c r="Q1108">
        <v>36</v>
      </c>
      <c r="R1108" s="8">
        <v>2.8370700000000002</v>
      </c>
      <c r="S1108">
        <v>7</v>
      </c>
      <c r="T1108" s="8">
        <f t="shared" si="123"/>
        <v>0.19444444444444445</v>
      </c>
      <c r="U1108" s="8">
        <v>2.9025300000000001</v>
      </c>
      <c r="V1108">
        <v>22</v>
      </c>
      <c r="W1108" s="8">
        <f t="shared" si="124"/>
        <v>0.61111111111111116</v>
      </c>
      <c r="X1108" s="8">
        <v>2.8182900000000002</v>
      </c>
      <c r="Y1108">
        <v>7</v>
      </c>
      <c r="Z1108" s="8">
        <f t="shared" si="125"/>
        <v>0.19444444444444445</v>
      </c>
      <c r="AA1108" s="8">
        <v>2.8306200000000001</v>
      </c>
    </row>
    <row r="1109" spans="1:27" ht="15" customHeight="1" x14ac:dyDescent="0.25">
      <c r="B1109" s="32">
        <v>347</v>
      </c>
      <c r="C1109" s="1">
        <v>-12362.8765</v>
      </c>
      <c r="D1109" s="2">
        <v>-12364.476290000001</v>
      </c>
      <c r="F1109" s="3">
        <v>0.99544999999999995</v>
      </c>
      <c r="G1109" s="2">
        <v>0.18251999999999899</v>
      </c>
      <c r="H1109">
        <v>7</v>
      </c>
      <c r="I1109">
        <v>6</v>
      </c>
      <c r="K1109" s="8">
        <f t="shared" si="119"/>
        <v>-0.4338307692323724</v>
      </c>
      <c r="L1109" s="8">
        <f t="shared" si="120"/>
        <v>-3.3371597633259413E-2</v>
      </c>
      <c r="M1109" s="8">
        <f t="shared" si="121"/>
        <v>-0.60749815384588146</v>
      </c>
      <c r="N1109" s="8">
        <f t="shared" si="122"/>
        <v>-4.673062721891396E-2</v>
      </c>
      <c r="O1109" s="8"/>
      <c r="P1109" t="s">
        <v>1396</v>
      </c>
      <c r="Q1109">
        <v>36</v>
      </c>
      <c r="R1109" s="8">
        <v>2.8370000000000002</v>
      </c>
      <c r="S1109">
        <v>11</v>
      </c>
      <c r="T1109" s="8">
        <f t="shared" si="123"/>
        <v>0.30555555555555558</v>
      </c>
      <c r="U1109" s="8">
        <v>2.8763299999999998</v>
      </c>
      <c r="V1109">
        <v>15</v>
      </c>
      <c r="W1109" s="8">
        <f t="shared" si="124"/>
        <v>0.41666666666666669</v>
      </c>
      <c r="X1109" s="8">
        <v>2.8200099999999999</v>
      </c>
      <c r="Y1109">
        <v>10</v>
      </c>
      <c r="Z1109" s="8">
        <f t="shared" si="125"/>
        <v>0.27777777777777779</v>
      </c>
      <c r="AA1109" s="8">
        <v>2.8192400000000002</v>
      </c>
    </row>
    <row r="1110" spans="1:27" ht="15" customHeight="1" x14ac:dyDescent="0.25">
      <c r="B1110">
        <v>692</v>
      </c>
      <c r="C1110" s="1">
        <v>-12363.013155000001</v>
      </c>
      <c r="D1110" s="2">
        <v>-12364.473873000001</v>
      </c>
      <c r="F1110" s="3">
        <v>0.99599000000000004</v>
      </c>
      <c r="G1110" s="2">
        <v>0.17951</v>
      </c>
      <c r="H1110">
        <v>7</v>
      </c>
      <c r="I1110">
        <v>6</v>
      </c>
      <c r="K1110" s="8">
        <f t="shared" si="119"/>
        <v>-0.57048576923261862</v>
      </c>
      <c r="L1110" s="8">
        <f t="shared" si="120"/>
        <v>-4.3883520710201435E-2</v>
      </c>
      <c r="M1110" s="8">
        <f t="shared" si="121"/>
        <v>-0.60508115384618577</v>
      </c>
      <c r="N1110" s="8">
        <f t="shared" si="122"/>
        <v>-4.6544704142014288E-2</v>
      </c>
      <c r="O1110" s="8"/>
      <c r="P1110" t="s">
        <v>1397</v>
      </c>
      <c r="Q1110">
        <v>36</v>
      </c>
      <c r="R1110" s="8">
        <v>2.8344299999999998</v>
      </c>
      <c r="S1110">
        <v>8</v>
      </c>
      <c r="T1110" s="8">
        <f t="shared" si="123"/>
        <v>0.22222222222222221</v>
      </c>
      <c r="U1110" s="8">
        <v>2.8080500000000002</v>
      </c>
      <c r="V1110">
        <v>17</v>
      </c>
      <c r="W1110" s="8">
        <f t="shared" si="124"/>
        <v>0.47222222222222221</v>
      </c>
      <c r="X1110" s="8">
        <v>2.8437399999999999</v>
      </c>
      <c r="Y1110">
        <v>11</v>
      </c>
      <c r="Z1110" s="8">
        <f t="shared" si="125"/>
        <v>0.30555555555555558</v>
      </c>
      <c r="AA1110" s="8">
        <v>2.8392200000000001</v>
      </c>
    </row>
    <row r="1111" spans="1:27" ht="15" customHeight="1" x14ac:dyDescent="0.25">
      <c r="B1111" s="32">
        <v>306</v>
      </c>
      <c r="C1111" s="1">
        <v>-12363.0993</v>
      </c>
      <c r="D1111" s="2">
        <v>-12364.45422</v>
      </c>
      <c r="F1111" s="3">
        <v>0.99298299999999995</v>
      </c>
      <c r="G1111" s="2">
        <v>0.16949</v>
      </c>
      <c r="H1111">
        <v>7</v>
      </c>
      <c r="I1111">
        <v>6</v>
      </c>
      <c r="K1111" s="8">
        <f t="shared" si="119"/>
        <v>-0.65663076923192421</v>
      </c>
      <c r="L1111" s="8">
        <f t="shared" si="120"/>
        <v>-5.0510059171686481E-2</v>
      </c>
      <c r="M1111" s="8">
        <f t="shared" si="121"/>
        <v>-0.58542815384498681</v>
      </c>
      <c r="N1111" s="8">
        <f t="shared" si="122"/>
        <v>-4.503293491115283E-2</v>
      </c>
      <c r="O1111" s="8"/>
      <c r="P1111" t="s">
        <v>1398</v>
      </c>
      <c r="Q1111">
        <v>35</v>
      </c>
      <c r="R1111" s="8">
        <v>2.8287399999999998</v>
      </c>
      <c r="S1111">
        <v>8</v>
      </c>
      <c r="T1111" s="8">
        <f t="shared" si="123"/>
        <v>0.22857142857142856</v>
      </c>
      <c r="U1111" s="8">
        <v>2.8351099999999998</v>
      </c>
      <c r="V1111">
        <v>19</v>
      </c>
      <c r="W1111" s="8">
        <f t="shared" si="124"/>
        <v>0.54285714285714282</v>
      </c>
      <c r="X1111" s="8">
        <v>2.8259799999999999</v>
      </c>
      <c r="Y1111">
        <v>8</v>
      </c>
      <c r="Z1111" s="8">
        <f t="shared" si="125"/>
        <v>0.22857142857142856</v>
      </c>
      <c r="AA1111" s="8">
        <v>2.8289300000000002</v>
      </c>
    </row>
    <row r="1112" spans="1:27" ht="15" customHeight="1" x14ac:dyDescent="0.25">
      <c r="B1112">
        <v>563</v>
      </c>
      <c r="C1112" s="1">
        <v>-12362.999559</v>
      </c>
      <c r="D1112" s="2">
        <v>-12364.441475</v>
      </c>
      <c r="F1112" s="3">
        <v>0.99356500000000003</v>
      </c>
      <c r="G1112" s="2">
        <v>0.17125000000000001</v>
      </c>
      <c r="H1112">
        <v>7</v>
      </c>
      <c r="I1112">
        <v>6</v>
      </c>
      <c r="K1112" s="8">
        <f t="shared" si="119"/>
        <v>-0.55688976923192968</v>
      </c>
      <c r="L1112" s="8">
        <f t="shared" si="120"/>
        <v>-4.2837674556302281E-2</v>
      </c>
      <c r="M1112" s="8">
        <f t="shared" si="121"/>
        <v>-0.57268315384499147</v>
      </c>
      <c r="N1112" s="8">
        <f t="shared" si="122"/>
        <v>-4.4052550295768572E-2</v>
      </c>
      <c r="O1112" s="8"/>
      <c r="P1112" t="s">
        <v>1399</v>
      </c>
      <c r="Q1112">
        <v>36</v>
      </c>
      <c r="R1112" s="8">
        <v>2.8354300000000001</v>
      </c>
      <c r="S1112">
        <v>8</v>
      </c>
      <c r="T1112" s="8">
        <f t="shared" si="123"/>
        <v>0.22222222222222221</v>
      </c>
      <c r="U1112" s="8">
        <v>2.85819</v>
      </c>
      <c r="V1112">
        <v>18</v>
      </c>
      <c r="W1112" s="8">
        <f t="shared" si="124"/>
        <v>0.5</v>
      </c>
      <c r="X1112" s="8">
        <v>2.80904</v>
      </c>
      <c r="Y1112">
        <v>10</v>
      </c>
      <c r="Z1112" s="8">
        <f t="shared" si="125"/>
        <v>0.27777777777777779</v>
      </c>
      <c r="AA1112" s="8">
        <v>2.8647300000000002</v>
      </c>
    </row>
    <row r="1113" spans="1:27" ht="15" customHeight="1" x14ac:dyDescent="0.25">
      <c r="B1113" s="32">
        <v>364</v>
      </c>
      <c r="C1113" s="1">
        <v>-12363.0265</v>
      </c>
      <c r="D1113" s="2">
        <v>-12364.404683999999</v>
      </c>
      <c r="F1113" s="3">
        <v>0.99309199999999997</v>
      </c>
      <c r="G1113" s="2">
        <v>0.16989000000000001</v>
      </c>
      <c r="H1113">
        <v>7</v>
      </c>
      <c r="I1113">
        <v>6</v>
      </c>
      <c r="K1113" s="8">
        <f t="shared" si="119"/>
        <v>-0.58383076923200861</v>
      </c>
      <c r="L1113" s="8">
        <f t="shared" si="120"/>
        <v>-4.4910059171692968E-2</v>
      </c>
      <c r="M1113" s="8">
        <f t="shared" si="121"/>
        <v>-0.53589215384454292</v>
      </c>
      <c r="N1113" s="8">
        <f t="shared" si="122"/>
        <v>-4.1222473372657151E-2</v>
      </c>
      <c r="O1113" s="8"/>
      <c r="P1113" t="s">
        <v>1400</v>
      </c>
      <c r="Q1113">
        <v>35</v>
      </c>
      <c r="R1113" s="8">
        <v>2.8273000000000001</v>
      </c>
      <c r="S1113">
        <v>10</v>
      </c>
      <c r="T1113" s="8">
        <f t="shared" si="123"/>
        <v>0.2857142857142857</v>
      </c>
      <c r="U1113" s="8">
        <v>2.8368699999999998</v>
      </c>
      <c r="V1113">
        <v>15</v>
      </c>
      <c r="W1113" s="8">
        <f t="shared" si="124"/>
        <v>0.42857142857142855</v>
      </c>
      <c r="X1113" s="8">
        <v>2.8473700000000002</v>
      </c>
      <c r="Y1113">
        <v>10</v>
      </c>
      <c r="Z1113" s="8">
        <f t="shared" si="125"/>
        <v>0.2857142857142857</v>
      </c>
      <c r="AA1113" s="8">
        <v>2.7876400000000001</v>
      </c>
    </row>
    <row r="1114" spans="1:27" ht="15" customHeight="1" x14ac:dyDescent="0.25">
      <c r="A1114" s="1"/>
      <c r="B1114" s="32">
        <v>304</v>
      </c>
      <c r="C1114" s="1">
        <v>-12363.0309</v>
      </c>
      <c r="D1114" s="2">
        <v>-12364.334092999999</v>
      </c>
      <c r="F1114" s="3">
        <v>0.99646100000000004</v>
      </c>
      <c r="G1114" s="2">
        <v>0.19005999999999901</v>
      </c>
      <c r="H1114">
        <v>7</v>
      </c>
      <c r="I1114">
        <v>6</v>
      </c>
      <c r="K1114" s="8">
        <f t="shared" si="119"/>
        <v>-0.58823076923181361</v>
      </c>
      <c r="L1114" s="8">
        <f t="shared" si="120"/>
        <v>-4.524852071013951E-2</v>
      </c>
      <c r="M1114" s="8">
        <f t="shared" si="121"/>
        <v>-0.46530115384484816</v>
      </c>
      <c r="N1114" s="8">
        <f t="shared" si="122"/>
        <v>-3.5792396449603706E-2</v>
      </c>
      <c r="O1114" s="8"/>
      <c r="P1114" t="s">
        <v>1401</v>
      </c>
      <c r="Q1114">
        <v>36</v>
      </c>
      <c r="R1114" s="8">
        <v>2.8382499999999999</v>
      </c>
      <c r="S1114">
        <v>9</v>
      </c>
      <c r="T1114" s="8">
        <f t="shared" si="123"/>
        <v>0.25</v>
      </c>
      <c r="U1114" s="8">
        <v>2.8427099999999998</v>
      </c>
      <c r="V1114">
        <v>16</v>
      </c>
      <c r="W1114" s="8">
        <f t="shared" si="124"/>
        <v>0.44444444444444442</v>
      </c>
      <c r="X1114" s="8">
        <v>2.8548399999999998</v>
      </c>
      <c r="Y1114">
        <v>11</v>
      </c>
      <c r="Z1114" s="8">
        <f t="shared" si="125"/>
        <v>0.30555555555555558</v>
      </c>
      <c r="AA1114" s="8">
        <v>2.8104800000000001</v>
      </c>
    </row>
    <row r="1115" spans="1:27" ht="15" customHeight="1" x14ac:dyDescent="0.25">
      <c r="A1115" s="1"/>
      <c r="B1115" s="32">
        <v>507</v>
      </c>
      <c r="C1115" s="1">
        <v>-12362.901</v>
      </c>
      <c r="D1115" s="2">
        <v>-12364.332001000001</v>
      </c>
      <c r="F1115" s="3">
        <v>0.99469799999999997</v>
      </c>
      <c r="G1115" s="2">
        <v>0.17699999999999999</v>
      </c>
      <c r="H1115">
        <v>7</v>
      </c>
      <c r="I1115">
        <v>6</v>
      </c>
      <c r="K1115" s="8">
        <f t="shared" si="119"/>
        <v>-0.45833076923190674</v>
      </c>
      <c r="L1115" s="8">
        <f t="shared" si="120"/>
        <v>-3.5256213017838982E-2</v>
      </c>
      <c r="M1115" s="8">
        <f t="shared" si="121"/>
        <v>-0.46320915384603722</v>
      </c>
      <c r="N1115" s="8">
        <f t="shared" si="122"/>
        <v>-3.5631473372772095E-2</v>
      </c>
      <c r="O1115" s="8"/>
      <c r="P1115" t="s">
        <v>1402</v>
      </c>
      <c r="Q1115">
        <v>36</v>
      </c>
      <c r="R1115" s="8">
        <v>2.8354900000000001</v>
      </c>
      <c r="S1115">
        <v>10</v>
      </c>
      <c r="T1115" s="8">
        <f t="shared" si="123"/>
        <v>0.27777777777777779</v>
      </c>
      <c r="U1115" s="8">
        <v>2.8970500000000001</v>
      </c>
      <c r="V1115">
        <v>18</v>
      </c>
      <c r="W1115" s="8">
        <f t="shared" si="124"/>
        <v>0.5</v>
      </c>
      <c r="X1115" s="8">
        <v>2.80593</v>
      </c>
      <c r="Y1115">
        <v>8</v>
      </c>
      <c r="Z1115" s="8">
        <f t="shared" si="125"/>
        <v>0.22222222222222221</v>
      </c>
      <c r="AA1115" s="8">
        <v>2.82504</v>
      </c>
    </row>
    <row r="1116" spans="1:27" ht="15" customHeight="1" x14ac:dyDescent="0.25">
      <c r="A1116" s="1"/>
      <c r="B1116" s="32">
        <v>361</v>
      </c>
      <c r="C1116" s="1">
        <v>-12362.8174</v>
      </c>
      <c r="D1116" s="2">
        <v>-12364.232619</v>
      </c>
      <c r="F1116" s="3">
        <v>0.99295199999999995</v>
      </c>
      <c r="G1116" s="2">
        <v>0.16933999999999999</v>
      </c>
      <c r="H1116">
        <v>7</v>
      </c>
      <c r="I1116">
        <v>6</v>
      </c>
      <c r="K1116" s="8">
        <f t="shared" si="119"/>
        <v>-0.37473076923197368</v>
      </c>
      <c r="L1116" s="8">
        <f t="shared" si="120"/>
        <v>-2.8825443787074898E-2</v>
      </c>
      <c r="M1116" s="8">
        <f t="shared" si="121"/>
        <v>-0.36382715384570474</v>
      </c>
      <c r="N1116" s="8">
        <f t="shared" si="122"/>
        <v>-2.7986704141977289E-2</v>
      </c>
      <c r="O1116" s="8"/>
      <c r="P1116" t="s">
        <v>1403</v>
      </c>
      <c r="Q1116">
        <v>36</v>
      </c>
      <c r="R1116" s="8">
        <v>2.83725</v>
      </c>
      <c r="S1116">
        <v>12</v>
      </c>
      <c r="T1116" s="8">
        <f t="shared" si="123"/>
        <v>0.33333333333333331</v>
      </c>
      <c r="U1116" s="8">
        <v>2.85812</v>
      </c>
      <c r="V1116">
        <v>13</v>
      </c>
      <c r="W1116" s="8">
        <f t="shared" si="124"/>
        <v>0.3611111111111111</v>
      </c>
      <c r="X1116" s="8">
        <v>2.83081</v>
      </c>
      <c r="Y1116">
        <v>11</v>
      </c>
      <c r="Z1116" s="8">
        <f t="shared" si="125"/>
        <v>0.30555555555555558</v>
      </c>
      <c r="AA1116" s="8">
        <v>2.8220999999999998</v>
      </c>
    </row>
    <row r="1117" spans="1:27" ht="15" customHeight="1" x14ac:dyDescent="0.25">
      <c r="A1117" s="1"/>
      <c r="B1117" s="32">
        <v>434</v>
      </c>
      <c r="C1117" s="1">
        <v>-12362.721600000001</v>
      </c>
      <c r="D1117" s="2">
        <v>-12364.173210000001</v>
      </c>
      <c r="F1117" s="3">
        <v>0.99352700000000005</v>
      </c>
      <c r="G1117" s="2">
        <v>0.17191000000000001</v>
      </c>
      <c r="H1117">
        <v>7</v>
      </c>
      <c r="I1117">
        <v>6</v>
      </c>
      <c r="K1117" s="8">
        <f t="shared" si="119"/>
        <v>-0.27893076923282933</v>
      </c>
      <c r="L1117" s="8">
        <f t="shared" si="120"/>
        <v>-2.145621301790995E-2</v>
      </c>
      <c r="M1117" s="8">
        <f t="shared" si="121"/>
        <v>-0.30441815384619986</v>
      </c>
      <c r="N1117" s="8">
        <f t="shared" si="122"/>
        <v>-2.3416781065092297E-2</v>
      </c>
      <c r="O1117" s="8"/>
      <c r="P1117" t="s">
        <v>1404</v>
      </c>
      <c r="Q1117">
        <v>36</v>
      </c>
      <c r="R1117" s="8">
        <v>2.8370099999999998</v>
      </c>
      <c r="S1117">
        <v>11</v>
      </c>
      <c r="T1117" s="8">
        <f t="shared" si="123"/>
        <v>0.30555555555555558</v>
      </c>
      <c r="U1117" s="8">
        <v>2.8950499999999999</v>
      </c>
      <c r="V1117">
        <v>17</v>
      </c>
      <c r="W1117" s="8">
        <f t="shared" si="124"/>
        <v>0.47222222222222221</v>
      </c>
      <c r="X1117" s="8">
        <v>2.8014899999999998</v>
      </c>
      <c r="Y1117">
        <v>8</v>
      </c>
      <c r="Z1117" s="8">
        <f t="shared" si="125"/>
        <v>0.22222222222222221</v>
      </c>
      <c r="AA1117" s="8">
        <v>2.8326899999999999</v>
      </c>
    </row>
    <row r="1118" spans="1:27" ht="15" customHeight="1" x14ac:dyDescent="0.25">
      <c r="A1118" s="1"/>
      <c r="B1118" s="32">
        <v>464</v>
      </c>
      <c r="C1118" s="1">
        <v>-12362.77</v>
      </c>
      <c r="D1118" s="2">
        <v>-12364.154028999999</v>
      </c>
      <c r="F1118" s="3">
        <v>0.99503399999999997</v>
      </c>
      <c r="G1118" s="2">
        <v>0.17910999999999999</v>
      </c>
      <c r="H1118">
        <v>7</v>
      </c>
      <c r="I1118">
        <v>6</v>
      </c>
      <c r="K1118" s="8">
        <f t="shared" si="119"/>
        <v>-0.32733076923250337</v>
      </c>
      <c r="L1118" s="8">
        <f t="shared" si="120"/>
        <v>-2.5179289940961799E-2</v>
      </c>
      <c r="M1118" s="8">
        <f t="shared" si="121"/>
        <v>-0.2852371538447187</v>
      </c>
      <c r="N1118" s="8">
        <f t="shared" si="122"/>
        <v>-2.1941319526516824E-2</v>
      </c>
      <c r="O1118" s="8"/>
      <c r="P1118" t="s">
        <v>1405</v>
      </c>
      <c r="Q1118">
        <v>36</v>
      </c>
      <c r="R1118" s="8">
        <v>2.8374100000000002</v>
      </c>
      <c r="S1118">
        <v>12</v>
      </c>
      <c r="T1118" s="8">
        <f t="shared" si="123"/>
        <v>0.33333333333333331</v>
      </c>
      <c r="U1118" s="8">
        <v>2.86192</v>
      </c>
      <c r="V1118">
        <v>12</v>
      </c>
      <c r="W1118" s="8">
        <f t="shared" si="124"/>
        <v>0.33333333333333331</v>
      </c>
      <c r="X1118" s="8">
        <v>2.8273000000000001</v>
      </c>
      <c r="Y1118">
        <v>12</v>
      </c>
      <c r="Z1118" s="8">
        <f t="shared" si="125"/>
        <v>0.33333333333333331</v>
      </c>
      <c r="AA1118" s="8">
        <v>2.8230200000000001</v>
      </c>
    </row>
    <row r="1119" spans="1:27" ht="15" customHeight="1" x14ac:dyDescent="0.25">
      <c r="C1119" s="4"/>
      <c r="D1119"/>
      <c r="F1119"/>
      <c r="G1119"/>
      <c r="K1119" s="8" t="str">
        <f t="shared" si="119"/>
        <v/>
      </c>
      <c r="L1119" s="8" t="str">
        <f t="shared" si="120"/>
        <v/>
      </c>
      <c r="M1119" s="8" t="str">
        <f t="shared" si="121"/>
        <v/>
      </c>
      <c r="N1119" s="8" t="str">
        <f t="shared" si="122"/>
        <v/>
      </c>
      <c r="O1119" s="8"/>
      <c r="T1119" s="8" t="str">
        <f t="shared" si="123"/>
        <v/>
      </c>
      <c r="W1119" s="8" t="str">
        <f t="shared" si="124"/>
        <v/>
      </c>
      <c r="Z1119" s="8" t="str">
        <f t="shared" si="125"/>
        <v/>
      </c>
    </row>
    <row r="1120" spans="1:27" ht="15" customHeight="1" x14ac:dyDescent="0.25">
      <c r="A1120" s="7" t="s">
        <v>1406</v>
      </c>
      <c r="B1120" s="35" t="s">
        <v>1407</v>
      </c>
      <c r="C1120" s="5" t="s">
        <v>0</v>
      </c>
      <c r="D1120" s="6" t="s">
        <v>1</v>
      </c>
      <c r="E1120" s="7"/>
      <c r="F1120" s="7" t="s">
        <v>2</v>
      </c>
      <c r="G1120" s="7" t="s">
        <v>3</v>
      </c>
      <c r="H1120" s="7" t="s">
        <v>4</v>
      </c>
      <c r="I1120" s="7" t="s">
        <v>5</v>
      </c>
      <c r="K1120" s="8" t="str">
        <f t="shared" si="119"/>
        <v/>
      </c>
      <c r="L1120" s="8" t="str">
        <f t="shared" si="120"/>
        <v/>
      </c>
      <c r="M1120" s="8" t="str">
        <f t="shared" si="121"/>
        <v/>
      </c>
      <c r="N1120" s="8" t="str">
        <f t="shared" si="122"/>
        <v/>
      </c>
      <c r="O1120" s="8"/>
      <c r="T1120" s="8" t="str">
        <f t="shared" si="123"/>
        <v/>
      </c>
      <c r="W1120" s="8" t="str">
        <f t="shared" si="124"/>
        <v/>
      </c>
      <c r="Z1120" s="8" t="str">
        <f t="shared" si="125"/>
        <v/>
      </c>
    </row>
    <row r="1121" spans="1:27" ht="15" customHeight="1" x14ac:dyDescent="0.25">
      <c r="A1121" s="14">
        <v>301</v>
      </c>
      <c r="B1121" s="14">
        <v>301</v>
      </c>
      <c r="C1121" s="36">
        <v>-12269.987800000001</v>
      </c>
      <c r="D1121" s="16">
        <v>-12271.547028999999</v>
      </c>
      <c r="E1121" s="14"/>
      <c r="F1121" s="37">
        <v>0.99454600000000004</v>
      </c>
      <c r="G1121" s="16">
        <v>0.17707999999999999</v>
      </c>
      <c r="H1121" s="14">
        <v>6</v>
      </c>
      <c r="I1121" s="14">
        <v>7</v>
      </c>
      <c r="J1121" s="32"/>
      <c r="K1121" s="8">
        <f t="shared" si="119"/>
        <v>-0.83046923077017709</v>
      </c>
      <c r="L1121" s="8">
        <f t="shared" si="120"/>
        <v>-6.388224852078285E-2</v>
      </c>
      <c r="M1121" s="8">
        <f t="shared" si="121"/>
        <v>-0.91343684615276288</v>
      </c>
      <c r="N1121" s="8">
        <f t="shared" si="122"/>
        <v>-7.0264372780981757E-2</v>
      </c>
      <c r="O1121" s="8"/>
      <c r="P1121" t="s">
        <v>1408</v>
      </c>
      <c r="Q1121">
        <v>36</v>
      </c>
      <c r="R1121" s="8">
        <v>2.83358</v>
      </c>
      <c r="S1121">
        <v>10</v>
      </c>
      <c r="T1121" s="8">
        <f t="shared" si="123"/>
        <v>0.27777777777777779</v>
      </c>
      <c r="U1121" s="8">
        <v>2.7816700000000001</v>
      </c>
      <c r="V1121">
        <v>17</v>
      </c>
      <c r="W1121" s="8">
        <f t="shared" si="124"/>
        <v>0.47222222222222221</v>
      </c>
      <c r="X1121" s="8">
        <v>2.8696899999999999</v>
      </c>
      <c r="Y1121">
        <v>9</v>
      </c>
      <c r="Z1121" s="8">
        <f t="shared" si="125"/>
        <v>0.25</v>
      </c>
      <c r="AA1121" s="8">
        <v>2.8230499999999998</v>
      </c>
    </row>
    <row r="1122" spans="1:27" ht="15" customHeight="1" x14ac:dyDescent="0.25">
      <c r="A1122" s="14">
        <v>302</v>
      </c>
      <c r="B1122" s="14">
        <v>302</v>
      </c>
      <c r="C1122" s="36">
        <v>-12270.041499999999</v>
      </c>
      <c r="D1122" s="16">
        <v>-12271.755877</v>
      </c>
      <c r="E1122" s="14"/>
      <c r="F1122" s="37">
        <v>0.99523099999999998</v>
      </c>
      <c r="G1122" s="16">
        <v>0.17726</v>
      </c>
      <c r="H1122" s="14">
        <v>6</v>
      </c>
      <c r="I1122" s="14">
        <v>7</v>
      </c>
      <c r="J1122" s="32"/>
      <c r="K1122" s="8">
        <f t="shared" si="119"/>
        <v>-0.88416923076874809</v>
      </c>
      <c r="L1122" s="8">
        <f t="shared" si="120"/>
        <v>-6.8013017751442167E-2</v>
      </c>
      <c r="M1122" s="8">
        <f t="shared" si="121"/>
        <v>-1.1222848461529793</v>
      </c>
      <c r="N1122" s="8">
        <f t="shared" si="122"/>
        <v>-8.6329603550229173E-2</v>
      </c>
      <c r="O1122" s="8"/>
      <c r="P1122" t="s">
        <v>1409</v>
      </c>
      <c r="Q1122">
        <v>35</v>
      </c>
      <c r="R1122" s="8">
        <v>2.8305199999999999</v>
      </c>
      <c r="S1122">
        <v>11</v>
      </c>
      <c r="T1122" s="8">
        <f t="shared" si="123"/>
        <v>0.31428571428571428</v>
      </c>
      <c r="U1122" s="8">
        <v>2.8286799999999999</v>
      </c>
      <c r="V1122">
        <v>15</v>
      </c>
      <c r="W1122" s="8">
        <f t="shared" si="124"/>
        <v>0.42857142857142855</v>
      </c>
      <c r="X1122" s="8">
        <v>2.83432</v>
      </c>
      <c r="Y1122">
        <v>9</v>
      </c>
      <c r="Z1122" s="8">
        <f t="shared" si="125"/>
        <v>0.25714285714285712</v>
      </c>
      <c r="AA1122" s="8">
        <v>2.8264499999999999</v>
      </c>
    </row>
    <row r="1123" spans="1:27" ht="15" customHeight="1" x14ac:dyDescent="0.25">
      <c r="A1123" s="14">
        <v>303</v>
      </c>
      <c r="B1123" s="14">
        <v>303</v>
      </c>
      <c r="C1123" s="36">
        <v>-12270.245800000001</v>
      </c>
      <c r="D1123" s="16">
        <v>-12271.702569999999</v>
      </c>
      <c r="E1123" s="14"/>
      <c r="F1123" s="37">
        <v>0.99695</v>
      </c>
      <c r="G1123" s="16">
        <v>0.19466</v>
      </c>
      <c r="H1123" s="14">
        <v>6</v>
      </c>
      <c r="I1123" s="14">
        <v>7</v>
      </c>
      <c r="J1123" s="32"/>
      <c r="K1123" s="8">
        <f t="shared" si="119"/>
        <v>-1.0884692307699879</v>
      </c>
      <c r="L1123" s="8">
        <f t="shared" si="120"/>
        <v>-8.3728402366922153E-2</v>
      </c>
      <c r="M1123" s="8">
        <f t="shared" si="121"/>
        <v>-1.0689778461528476</v>
      </c>
      <c r="N1123" s="8">
        <f t="shared" si="122"/>
        <v>-8.2229065088680581E-2</v>
      </c>
      <c r="O1123" s="8"/>
      <c r="P1123" t="s">
        <v>1410</v>
      </c>
      <c r="Q1123">
        <v>34</v>
      </c>
      <c r="R1123" s="8">
        <v>2.8165499999999999</v>
      </c>
      <c r="S1123">
        <v>10</v>
      </c>
      <c r="T1123" s="8">
        <f t="shared" si="123"/>
        <v>0.29411764705882354</v>
      </c>
      <c r="U1123" s="8">
        <v>2.7934899999999998</v>
      </c>
      <c r="V1123">
        <v>16</v>
      </c>
      <c r="W1123" s="8">
        <f t="shared" si="124"/>
        <v>0.47058823529411764</v>
      </c>
      <c r="X1123" s="8">
        <v>2.83487</v>
      </c>
      <c r="Y1123">
        <v>8</v>
      </c>
      <c r="Z1123" s="8">
        <f t="shared" si="125"/>
        <v>0.23529411764705882</v>
      </c>
      <c r="AA1123" s="8">
        <v>2.80871</v>
      </c>
    </row>
    <row r="1124" spans="1:27" ht="15" customHeight="1" x14ac:dyDescent="0.25">
      <c r="A1124" s="14">
        <v>304</v>
      </c>
      <c r="B1124" s="14">
        <v>304</v>
      </c>
      <c r="C1124" s="36">
        <v>-12269.843500000001</v>
      </c>
      <c r="D1124" s="16">
        <v>-12271.331167</v>
      </c>
      <c r="E1124" s="14"/>
      <c r="F1124" s="37">
        <v>0.99416000000000004</v>
      </c>
      <c r="G1124" s="16">
        <v>0.17498</v>
      </c>
      <c r="H1124" s="14">
        <v>6</v>
      </c>
      <c r="I1124" s="14">
        <v>7</v>
      </c>
      <c r="J1124" s="32"/>
      <c r="K1124" s="8">
        <f t="shared" si="119"/>
        <v>-0.68616923077024694</v>
      </c>
      <c r="L1124" s="8">
        <f t="shared" si="120"/>
        <v>-5.2782248520788229E-2</v>
      </c>
      <c r="M1124" s="8">
        <f t="shared" si="121"/>
        <v>-0.69757484615365684</v>
      </c>
      <c r="N1124" s="8">
        <f t="shared" si="122"/>
        <v>-5.3659603550281293E-2</v>
      </c>
      <c r="O1124" s="8"/>
      <c r="P1124" t="s">
        <v>1411</v>
      </c>
      <c r="Q1124">
        <v>36</v>
      </c>
      <c r="R1124" s="8">
        <v>2.8367399999999998</v>
      </c>
      <c r="S1124">
        <v>11</v>
      </c>
      <c r="T1124" s="8">
        <f t="shared" si="123"/>
        <v>0.30555555555555558</v>
      </c>
      <c r="U1124" s="8">
        <v>2.7900499999999999</v>
      </c>
      <c r="V1124">
        <v>16</v>
      </c>
      <c r="W1124" s="8">
        <f t="shared" si="124"/>
        <v>0.44444444444444442</v>
      </c>
      <c r="X1124" s="8">
        <v>2.8813599999999999</v>
      </c>
      <c r="Y1124">
        <v>9</v>
      </c>
      <c r="Z1124" s="8">
        <f t="shared" si="125"/>
        <v>0.25</v>
      </c>
      <c r="AA1124" s="8">
        <v>2.8144900000000002</v>
      </c>
    </row>
    <row r="1125" spans="1:27" ht="15" customHeight="1" x14ac:dyDescent="0.25">
      <c r="A1125" s="14">
        <v>305</v>
      </c>
      <c r="B1125" s="14">
        <v>305</v>
      </c>
      <c r="C1125" s="36">
        <v>-12270.110500000001</v>
      </c>
      <c r="D1125" s="16">
        <v>-12271.567856</v>
      </c>
      <c r="E1125" s="14"/>
      <c r="F1125" s="37">
        <v>0.995147</v>
      </c>
      <c r="G1125" s="16">
        <v>0.18053</v>
      </c>
      <c r="H1125" s="14">
        <v>6</v>
      </c>
      <c r="I1125" s="14">
        <v>7</v>
      </c>
      <c r="J1125" s="32"/>
      <c r="K1125" s="8">
        <f t="shared" si="119"/>
        <v>-0.95316923077007232</v>
      </c>
      <c r="L1125" s="8">
        <f t="shared" si="120"/>
        <v>-7.3320710059236335E-2</v>
      </c>
      <c r="M1125" s="8">
        <f t="shared" si="121"/>
        <v>-0.93426384615304414</v>
      </c>
      <c r="N1125" s="8">
        <f t="shared" si="122"/>
        <v>-7.1866449704080321E-2</v>
      </c>
      <c r="O1125" s="8"/>
      <c r="P1125" t="s">
        <v>1412</v>
      </c>
      <c r="Q1125">
        <v>35</v>
      </c>
      <c r="R1125" s="8">
        <v>2.8296700000000001</v>
      </c>
      <c r="S1125">
        <v>9</v>
      </c>
      <c r="T1125" s="8">
        <f t="shared" si="123"/>
        <v>0.25714285714285712</v>
      </c>
      <c r="U1125" s="8">
        <v>2.7908499999999998</v>
      </c>
      <c r="V1125">
        <v>20</v>
      </c>
      <c r="W1125" s="8">
        <f t="shared" si="124"/>
        <v>0.5714285714285714</v>
      </c>
      <c r="X1125" s="8">
        <v>2.8494899999999999</v>
      </c>
      <c r="Y1125">
        <v>6</v>
      </c>
      <c r="Z1125" s="8">
        <f t="shared" si="125"/>
        <v>0.17142857142857143</v>
      </c>
      <c r="AA1125" s="8">
        <v>2.8218399999999999</v>
      </c>
    </row>
    <row r="1126" spans="1:27" ht="15" customHeight="1" x14ac:dyDescent="0.25">
      <c r="A1126" s="14">
        <v>306</v>
      </c>
      <c r="B1126" s="14">
        <v>306</v>
      </c>
      <c r="C1126" s="36">
        <v>-12270.198</v>
      </c>
      <c r="D1126" s="16">
        <v>-12272.037576000001</v>
      </c>
      <c r="E1126" s="14"/>
      <c r="F1126" s="37">
        <v>0.99652600000000002</v>
      </c>
      <c r="G1126" s="16">
        <v>0.190609999999999</v>
      </c>
      <c r="H1126" s="14">
        <v>6</v>
      </c>
      <c r="I1126" s="14">
        <v>7</v>
      </c>
      <c r="J1126" s="32"/>
      <c r="K1126" s="8">
        <f t="shared" si="119"/>
        <v>-1.0406692307697085</v>
      </c>
      <c r="L1126" s="8">
        <f t="shared" si="120"/>
        <v>-8.0051479289977578E-2</v>
      </c>
      <c r="M1126" s="8">
        <f t="shared" si="121"/>
        <v>-1.4039838461540057</v>
      </c>
      <c r="N1126" s="8">
        <f t="shared" si="122"/>
        <v>-0.10799875739646198</v>
      </c>
      <c r="O1126" s="8"/>
      <c r="P1126" t="s">
        <v>1413</v>
      </c>
      <c r="Q1126">
        <v>36</v>
      </c>
      <c r="R1126" s="8">
        <v>2.8390900000000001</v>
      </c>
      <c r="S1126">
        <v>9</v>
      </c>
      <c r="T1126" s="8">
        <f t="shared" si="123"/>
        <v>0.25</v>
      </c>
      <c r="U1126" s="8">
        <v>2.7858499999999999</v>
      </c>
      <c r="V1126">
        <v>18</v>
      </c>
      <c r="W1126" s="8">
        <f t="shared" si="124"/>
        <v>0.5</v>
      </c>
      <c r="X1126" s="8">
        <v>2.8613900000000001</v>
      </c>
      <c r="Y1126">
        <v>9</v>
      </c>
      <c r="Z1126" s="8">
        <f t="shared" si="125"/>
        <v>0.25</v>
      </c>
      <c r="AA1126" s="8">
        <v>2.8477399999999999</v>
      </c>
    </row>
    <row r="1127" spans="1:27" ht="15" customHeight="1" x14ac:dyDescent="0.25">
      <c r="A1127" s="14">
        <v>307</v>
      </c>
      <c r="B1127" s="14">
        <v>307</v>
      </c>
      <c r="C1127" s="36">
        <v>-12270.3709</v>
      </c>
      <c r="D1127" s="16">
        <v>-12271.835416</v>
      </c>
      <c r="E1127" s="14"/>
      <c r="F1127" s="37">
        <v>0.99694199999999999</v>
      </c>
      <c r="G1127" s="16">
        <v>0.19444</v>
      </c>
      <c r="H1127" s="14">
        <v>6</v>
      </c>
      <c r="I1127" s="14">
        <v>7</v>
      </c>
      <c r="J1127" s="32"/>
      <c r="K1127" s="8">
        <f t="shared" si="119"/>
        <v>-1.2135692307692807</v>
      </c>
      <c r="L1127" s="8">
        <f t="shared" si="120"/>
        <v>-9.3351479289944667E-2</v>
      </c>
      <c r="M1127" s="8">
        <f t="shared" si="121"/>
        <v>-1.2018238461532746</v>
      </c>
      <c r="N1127" s="8">
        <f t="shared" si="122"/>
        <v>-9.2447988165636513E-2</v>
      </c>
      <c r="O1127" s="8"/>
      <c r="P1127" t="s">
        <v>1414</v>
      </c>
      <c r="Q1127">
        <v>35</v>
      </c>
      <c r="R1127" s="8">
        <v>2.8264100000000001</v>
      </c>
      <c r="S1127">
        <v>9</v>
      </c>
      <c r="T1127" s="8">
        <f t="shared" si="123"/>
        <v>0.25714285714285712</v>
      </c>
      <c r="U1127" s="8">
        <v>2.8115800000000002</v>
      </c>
      <c r="V1127">
        <v>19</v>
      </c>
      <c r="W1127" s="8">
        <f t="shared" si="124"/>
        <v>0.54285714285714282</v>
      </c>
      <c r="X1127" s="8">
        <v>2.83894</v>
      </c>
      <c r="Y1127">
        <v>7</v>
      </c>
      <c r="Z1127" s="8">
        <f t="shared" si="125"/>
        <v>0.2</v>
      </c>
      <c r="AA1127" s="8">
        <v>2.81148</v>
      </c>
    </row>
    <row r="1128" spans="1:27" ht="15" customHeight="1" x14ac:dyDescent="0.25">
      <c r="A1128" s="14">
        <v>308</v>
      </c>
      <c r="B1128" s="14">
        <v>308</v>
      </c>
      <c r="C1128" s="36">
        <v>-12270.0975</v>
      </c>
      <c r="D1128" s="16">
        <v>-12271.583545</v>
      </c>
      <c r="E1128" s="14"/>
      <c r="F1128" s="37">
        <v>0.99273299999999998</v>
      </c>
      <c r="G1128" s="16">
        <v>0.16841999999999899</v>
      </c>
      <c r="H1128" s="14">
        <v>6</v>
      </c>
      <c r="I1128" s="14">
        <v>7</v>
      </c>
      <c r="J1128" s="32"/>
      <c r="K1128" s="8">
        <f t="shared" si="119"/>
        <v>-0.94016923076924286</v>
      </c>
      <c r="L1128" s="8">
        <f t="shared" si="120"/>
        <v>-7.2320710059172524E-2</v>
      </c>
      <c r="M1128" s="8">
        <f t="shared" si="121"/>
        <v>-0.94995284615288256</v>
      </c>
      <c r="N1128" s="8">
        <f t="shared" si="122"/>
        <v>-7.3073295857914042E-2</v>
      </c>
      <c r="O1128" s="8"/>
      <c r="P1128" t="s">
        <v>1415</v>
      </c>
      <c r="Q1128">
        <v>35</v>
      </c>
      <c r="R1128" s="8">
        <v>2.8307099999999998</v>
      </c>
      <c r="S1128">
        <v>10</v>
      </c>
      <c r="T1128" s="8">
        <f t="shared" si="123"/>
        <v>0.2857142857142857</v>
      </c>
      <c r="U1128" s="8">
        <v>2.8178299999999998</v>
      </c>
      <c r="V1128">
        <v>18</v>
      </c>
      <c r="W1128" s="8">
        <f t="shared" si="124"/>
        <v>0.51428571428571423</v>
      </c>
      <c r="X1128" s="8">
        <v>2.83046</v>
      </c>
      <c r="Y1128">
        <v>7</v>
      </c>
      <c r="Z1128" s="8">
        <f t="shared" si="125"/>
        <v>0.2</v>
      </c>
      <c r="AA1128" s="8">
        <v>2.8497499999999998</v>
      </c>
    </row>
    <row r="1129" spans="1:27" ht="15" customHeight="1" x14ac:dyDescent="0.25">
      <c r="A1129" s="14">
        <v>309</v>
      </c>
      <c r="B1129" s="14">
        <v>309</v>
      </c>
      <c r="C1129" s="36">
        <v>-12270.1747</v>
      </c>
      <c r="D1129" s="16">
        <v>-12271.956215</v>
      </c>
      <c r="E1129" s="14"/>
      <c r="F1129" s="37">
        <v>0.99415399999999998</v>
      </c>
      <c r="G1129" s="16">
        <v>0.17496999999999999</v>
      </c>
      <c r="H1129" s="14">
        <v>6</v>
      </c>
      <c r="I1129" s="14">
        <v>7</v>
      </c>
      <c r="J1129" s="32"/>
      <c r="K1129" s="8">
        <f t="shared" si="119"/>
        <v>-1.0173692307689635</v>
      </c>
      <c r="L1129" s="8">
        <f t="shared" si="120"/>
        <v>-7.8259171597612573E-2</v>
      </c>
      <c r="M1129" s="8">
        <f t="shared" si="121"/>
        <v>-1.3226228461535356</v>
      </c>
      <c r="N1129" s="8">
        <f t="shared" si="122"/>
        <v>-0.10174021893488736</v>
      </c>
      <c r="O1129" s="8"/>
      <c r="P1129" t="s">
        <v>1416</v>
      </c>
      <c r="Q1129">
        <v>34</v>
      </c>
      <c r="R1129" s="8">
        <v>2.8179500000000002</v>
      </c>
      <c r="S1129">
        <v>10</v>
      </c>
      <c r="T1129" s="8">
        <f t="shared" si="123"/>
        <v>0.29411764705882354</v>
      </c>
      <c r="U1129" s="8">
        <v>2.8153600000000001</v>
      </c>
      <c r="V1129">
        <v>16</v>
      </c>
      <c r="W1129" s="8">
        <f t="shared" si="124"/>
        <v>0.47058823529411764</v>
      </c>
      <c r="X1129" s="8">
        <v>2.8214600000000001</v>
      </c>
      <c r="Y1129">
        <v>8</v>
      </c>
      <c r="Z1129" s="8">
        <f t="shared" si="125"/>
        <v>0.23529411764705882</v>
      </c>
      <c r="AA1129" s="8">
        <v>2.8141400000000001</v>
      </c>
    </row>
    <row r="1130" spans="1:27" ht="15" customHeight="1" x14ac:dyDescent="0.25">
      <c r="A1130" s="14">
        <v>310</v>
      </c>
      <c r="B1130" s="14">
        <v>310</v>
      </c>
      <c r="C1130" s="36">
        <v>-12270.2418</v>
      </c>
      <c r="D1130" s="16">
        <v>-12271.815360000001</v>
      </c>
      <c r="E1130" s="14"/>
      <c r="F1130" s="37">
        <v>0.99554600000000004</v>
      </c>
      <c r="G1130" s="16">
        <v>0.18315999999999999</v>
      </c>
      <c r="H1130" s="14">
        <v>6</v>
      </c>
      <c r="I1130" s="14">
        <v>7</v>
      </c>
      <c r="J1130" s="32"/>
      <c r="K1130" s="8">
        <f t="shared" si="119"/>
        <v>-1.084469230769173</v>
      </c>
      <c r="L1130" s="8">
        <f t="shared" si="120"/>
        <v>-8.3420710059167152E-2</v>
      </c>
      <c r="M1130" s="8">
        <f t="shared" si="121"/>
        <v>-1.181767846153889</v>
      </c>
      <c r="N1130" s="8">
        <f t="shared" si="122"/>
        <v>-9.0905218934914531E-2</v>
      </c>
      <c r="O1130" s="8"/>
      <c r="P1130" t="s">
        <v>1417</v>
      </c>
      <c r="Q1130">
        <v>34</v>
      </c>
      <c r="R1130" s="8">
        <v>2.81968</v>
      </c>
      <c r="S1130">
        <v>9</v>
      </c>
      <c r="T1130" s="8">
        <f t="shared" si="123"/>
        <v>0.26470588235294118</v>
      </c>
      <c r="U1130" s="8">
        <v>2.8056700000000001</v>
      </c>
      <c r="V1130">
        <v>18</v>
      </c>
      <c r="W1130" s="8">
        <f t="shared" si="124"/>
        <v>0.52941176470588236</v>
      </c>
      <c r="X1130" s="8">
        <v>2.8340000000000001</v>
      </c>
      <c r="Y1130">
        <v>7</v>
      </c>
      <c r="Z1130" s="8">
        <f t="shared" si="125"/>
        <v>0.20588235294117646</v>
      </c>
      <c r="AA1130" s="8">
        <v>2.8008600000000001</v>
      </c>
    </row>
    <row r="1131" spans="1:27" ht="15" customHeight="1" x14ac:dyDescent="0.25">
      <c r="A1131" s="14">
        <v>311</v>
      </c>
      <c r="B1131" s="14">
        <v>311</v>
      </c>
      <c r="C1131" s="36">
        <v>-12270.0391</v>
      </c>
      <c r="D1131" s="16">
        <v>-12271.531268999999</v>
      </c>
      <c r="E1131" s="14"/>
      <c r="F1131" s="37">
        <v>0.99705900000000003</v>
      </c>
      <c r="G1131" s="16">
        <v>0.19510999999999901</v>
      </c>
      <c r="H1131" s="14">
        <v>6</v>
      </c>
      <c r="I1131" s="14">
        <v>7</v>
      </c>
      <c r="J1131" s="32"/>
      <c r="K1131" s="8">
        <f t="shared" si="119"/>
        <v>-0.88176923076935054</v>
      </c>
      <c r="L1131" s="8">
        <f t="shared" si="120"/>
        <v>-6.7828402366873125E-2</v>
      </c>
      <c r="M1131" s="8">
        <f t="shared" si="121"/>
        <v>-0.89767684615253529</v>
      </c>
      <c r="N1131" s="8">
        <f t="shared" si="122"/>
        <v>-6.9052065088656564E-2</v>
      </c>
      <c r="O1131" s="8"/>
      <c r="P1131" t="s">
        <v>1418</v>
      </c>
      <c r="Q1131">
        <v>34</v>
      </c>
      <c r="R1131" s="8">
        <v>2.8177699999999999</v>
      </c>
      <c r="S1131">
        <v>10</v>
      </c>
      <c r="T1131" s="8">
        <f t="shared" si="123"/>
        <v>0.29411764705882354</v>
      </c>
      <c r="U1131" s="8">
        <v>2.81318</v>
      </c>
      <c r="V1131">
        <v>17</v>
      </c>
      <c r="W1131" s="8">
        <f t="shared" si="124"/>
        <v>0.5</v>
      </c>
      <c r="X1131" s="8">
        <v>2.8134700000000001</v>
      </c>
      <c r="Y1131">
        <v>7</v>
      </c>
      <c r="Z1131" s="8">
        <f t="shared" si="125"/>
        <v>0.20588235294117646</v>
      </c>
      <c r="AA1131" s="8">
        <v>2.8347799999999999</v>
      </c>
    </row>
    <row r="1132" spans="1:27" ht="15" customHeight="1" x14ac:dyDescent="0.25">
      <c r="A1132" s="14">
        <v>312</v>
      </c>
      <c r="B1132" s="14">
        <v>312</v>
      </c>
      <c r="C1132" s="36">
        <v>-12270.305399999999</v>
      </c>
      <c r="D1132" s="16">
        <v>-12271.710451000001</v>
      </c>
      <c r="E1132" s="14"/>
      <c r="F1132" s="37">
        <v>0.99726800000000004</v>
      </c>
      <c r="G1132" s="16">
        <v>0.19621999999999901</v>
      </c>
      <c r="H1132" s="14">
        <v>6</v>
      </c>
      <c r="I1132" s="14">
        <v>7</v>
      </c>
      <c r="J1132" s="32"/>
      <c r="K1132" s="8">
        <f t="shared" si="119"/>
        <v>-1.1480692307686695</v>
      </c>
      <c r="L1132" s="8">
        <f t="shared" si="120"/>
        <v>-8.8313017751436115E-2</v>
      </c>
      <c r="M1132" s="8">
        <f t="shared" si="121"/>
        <v>-1.0768588461542095</v>
      </c>
      <c r="N1132" s="8">
        <f t="shared" si="122"/>
        <v>-8.2835295858016106E-2</v>
      </c>
      <c r="O1132" s="8"/>
      <c r="P1132" t="s">
        <v>1419</v>
      </c>
      <c r="Q1132">
        <v>34</v>
      </c>
      <c r="R1132" s="8">
        <v>2.81664</v>
      </c>
      <c r="S1132">
        <v>9</v>
      </c>
      <c r="T1132" s="8">
        <f t="shared" si="123"/>
        <v>0.26470588235294118</v>
      </c>
      <c r="U1132" s="8">
        <v>2.7793399999999999</v>
      </c>
      <c r="V1132">
        <v>17</v>
      </c>
      <c r="W1132" s="8">
        <f t="shared" si="124"/>
        <v>0.5</v>
      </c>
      <c r="X1132" s="8">
        <v>2.8151799999999998</v>
      </c>
      <c r="Y1132">
        <v>8</v>
      </c>
      <c r="Z1132" s="8">
        <f t="shared" si="125"/>
        <v>0.23529411764705882</v>
      </c>
      <c r="AA1132" s="8">
        <v>2.8616999999999999</v>
      </c>
    </row>
    <row r="1133" spans="1:27" ht="15" customHeight="1" x14ac:dyDescent="0.25">
      <c r="A1133" s="14">
        <v>313</v>
      </c>
      <c r="B1133" s="14">
        <v>313</v>
      </c>
      <c r="C1133" s="36">
        <v>-12270.273999999999</v>
      </c>
      <c r="D1133" s="16">
        <v>-12271.827259</v>
      </c>
      <c r="E1133" s="14"/>
      <c r="F1133" s="37">
        <v>0.99703799999999998</v>
      </c>
      <c r="G1133" s="16">
        <v>0.195409999999999</v>
      </c>
      <c r="H1133" s="14">
        <v>6</v>
      </c>
      <c r="I1133" s="14">
        <v>7</v>
      </c>
      <c r="J1133" s="32"/>
      <c r="K1133" s="8">
        <f t="shared" si="119"/>
        <v>-1.1166692307688209</v>
      </c>
      <c r="L1133" s="8">
        <f t="shared" si="120"/>
        <v>-8.5897633136063148E-2</v>
      </c>
      <c r="M1133" s="8">
        <f t="shared" si="121"/>
        <v>-1.1936668461530644</v>
      </c>
      <c r="N1133" s="8">
        <f t="shared" si="122"/>
        <v>-9.1820526627158797E-2</v>
      </c>
      <c r="O1133" s="8"/>
      <c r="P1133" t="s">
        <v>1420</v>
      </c>
      <c r="Q1133">
        <v>35</v>
      </c>
      <c r="R1133" s="8">
        <v>2.8266</v>
      </c>
      <c r="S1133">
        <v>9</v>
      </c>
      <c r="T1133" s="8">
        <f t="shared" si="123"/>
        <v>0.25714285714285712</v>
      </c>
      <c r="U1133" s="8">
        <v>2.8027199999999999</v>
      </c>
      <c r="V1133">
        <v>18</v>
      </c>
      <c r="W1133" s="8">
        <f t="shared" si="124"/>
        <v>0.51428571428571423</v>
      </c>
      <c r="X1133" s="8">
        <v>2.8138100000000001</v>
      </c>
      <c r="Y1133">
        <v>8</v>
      </c>
      <c r="Z1133" s="8">
        <f t="shared" si="125"/>
        <v>0.22857142857142856</v>
      </c>
      <c r="AA1133" s="8">
        <v>2.88225</v>
      </c>
    </row>
    <row r="1134" spans="1:27" ht="15" customHeight="1" x14ac:dyDescent="0.25">
      <c r="A1134" s="14">
        <v>314</v>
      </c>
      <c r="B1134" s="14">
        <v>314</v>
      </c>
      <c r="C1134" s="36">
        <v>-12270.3657</v>
      </c>
      <c r="D1134" s="16">
        <v>-12271.814562</v>
      </c>
      <c r="E1134" s="14"/>
      <c r="F1134" s="37">
        <v>0.997004</v>
      </c>
      <c r="G1134" s="16">
        <v>0.19522999999999999</v>
      </c>
      <c r="H1134" s="14">
        <v>6</v>
      </c>
      <c r="I1134" s="14">
        <v>7</v>
      </c>
      <c r="J1134" s="32"/>
      <c r="K1134" s="8">
        <f t="shared" si="119"/>
        <v>-1.2083692307696765</v>
      </c>
      <c r="L1134" s="8">
        <f t="shared" si="120"/>
        <v>-9.2951479289975117E-2</v>
      </c>
      <c r="M1134" s="8">
        <f t="shared" si="121"/>
        <v>-1.1809698461529479</v>
      </c>
      <c r="N1134" s="8">
        <f t="shared" si="122"/>
        <v>-9.0843834319457528E-2</v>
      </c>
      <c r="O1134" s="8"/>
      <c r="P1134" t="s">
        <v>1421</v>
      </c>
      <c r="Q1134">
        <v>34</v>
      </c>
      <c r="R1134" s="8">
        <v>2.8190400000000002</v>
      </c>
      <c r="S1134">
        <v>9</v>
      </c>
      <c r="T1134" s="8">
        <f t="shared" si="123"/>
        <v>0.26470588235294118</v>
      </c>
      <c r="U1134" s="8">
        <v>2.8097599999999998</v>
      </c>
      <c r="V1134">
        <v>18</v>
      </c>
      <c r="W1134" s="8">
        <f t="shared" si="124"/>
        <v>0.52941176470588236</v>
      </c>
      <c r="X1134" s="8">
        <v>2.81603</v>
      </c>
      <c r="Y1134">
        <v>7</v>
      </c>
      <c r="Z1134" s="8">
        <f t="shared" si="125"/>
        <v>0.20588235294117646</v>
      </c>
      <c r="AA1134" s="8">
        <v>2.8386900000000002</v>
      </c>
    </row>
    <row r="1135" spans="1:27" ht="15" customHeight="1" x14ac:dyDescent="0.25">
      <c r="A1135" s="14">
        <v>315</v>
      </c>
      <c r="B1135" s="14">
        <v>315</v>
      </c>
      <c r="C1135" s="36">
        <v>-12270.038699999999</v>
      </c>
      <c r="D1135" s="16">
        <v>-12271.570831000001</v>
      </c>
      <c r="E1135" s="14"/>
      <c r="F1135" s="37">
        <v>0.99748499999999996</v>
      </c>
      <c r="G1135" s="16">
        <v>0.200269999999999</v>
      </c>
      <c r="H1135" s="14">
        <v>6</v>
      </c>
      <c r="I1135" s="14">
        <v>7</v>
      </c>
      <c r="J1135" s="32"/>
      <c r="K1135" s="8">
        <f t="shared" si="119"/>
        <v>-0.88136923076854146</v>
      </c>
      <c r="L1135" s="8">
        <f t="shared" si="120"/>
        <v>-6.7797633136041646E-2</v>
      </c>
      <c r="M1135" s="8">
        <f t="shared" si="121"/>
        <v>-0.93723884615428688</v>
      </c>
      <c r="N1135" s="8">
        <f t="shared" si="122"/>
        <v>-7.2095295858022074E-2</v>
      </c>
      <c r="O1135" s="8"/>
      <c r="P1135" t="s">
        <v>1422</v>
      </c>
      <c r="Q1135">
        <v>35</v>
      </c>
      <c r="R1135" s="8">
        <v>2.8393199999999998</v>
      </c>
      <c r="S1135">
        <v>10</v>
      </c>
      <c r="T1135" s="8">
        <f t="shared" si="123"/>
        <v>0.2857142857142857</v>
      </c>
      <c r="U1135" s="8">
        <v>2.85297</v>
      </c>
      <c r="V1135">
        <v>17</v>
      </c>
      <c r="W1135" s="8">
        <f t="shared" si="124"/>
        <v>0.48571428571428571</v>
      </c>
      <c r="X1135" s="8">
        <v>2.7969300000000001</v>
      </c>
      <c r="Y1135">
        <v>8</v>
      </c>
      <c r="Z1135" s="8">
        <f t="shared" si="125"/>
        <v>0.22857142857142856</v>
      </c>
      <c r="AA1135" s="8">
        <v>2.9123600000000001</v>
      </c>
    </row>
    <row r="1136" spans="1:27" ht="15" customHeight="1" x14ac:dyDescent="0.25">
      <c r="A1136" s="14">
        <v>316</v>
      </c>
      <c r="B1136" s="14">
        <v>316</v>
      </c>
      <c r="C1136" s="36">
        <v>-12270.2809</v>
      </c>
      <c r="D1136" s="16">
        <v>-12271.712079999999</v>
      </c>
      <c r="E1136" s="14"/>
      <c r="F1136" s="37">
        <v>0.99733499999999997</v>
      </c>
      <c r="G1136" s="16">
        <v>0.19838999999999901</v>
      </c>
      <c r="H1136" s="14">
        <v>6</v>
      </c>
      <c r="I1136" s="14">
        <v>7</v>
      </c>
      <c r="J1136" s="32"/>
      <c r="K1136" s="8">
        <f t="shared" si="119"/>
        <v>-1.1235692307691352</v>
      </c>
      <c r="L1136" s="8">
        <f t="shared" si="120"/>
        <v>-8.6428402366856547E-2</v>
      </c>
      <c r="M1136" s="8">
        <f t="shared" si="121"/>
        <v>-1.0784878461527114</v>
      </c>
      <c r="N1136" s="8">
        <f t="shared" si="122"/>
        <v>-8.2960603550208567E-2</v>
      </c>
      <c r="O1136" s="8"/>
      <c r="P1136" t="s">
        <v>1423</v>
      </c>
      <c r="Q1136">
        <v>35</v>
      </c>
      <c r="R1136" s="8">
        <v>2.8318099999999999</v>
      </c>
      <c r="S1136">
        <v>8</v>
      </c>
      <c r="T1136" s="8">
        <f t="shared" si="123"/>
        <v>0.22857142857142856</v>
      </c>
      <c r="U1136" s="8">
        <v>2.8231999999999999</v>
      </c>
      <c r="V1136">
        <v>20</v>
      </c>
      <c r="W1136" s="8">
        <f t="shared" si="124"/>
        <v>0.5714285714285714</v>
      </c>
      <c r="X1136" s="8">
        <v>2.8122600000000002</v>
      </c>
      <c r="Y1136">
        <v>7</v>
      </c>
      <c r="Z1136" s="8">
        <f t="shared" si="125"/>
        <v>0.2</v>
      </c>
      <c r="AA1136" s="8">
        <v>2.8975200000000001</v>
      </c>
    </row>
    <row r="1137" spans="1:27" ht="15" customHeight="1" x14ac:dyDescent="0.25">
      <c r="A1137" s="14">
        <v>317</v>
      </c>
      <c r="B1137" s="14">
        <v>317</v>
      </c>
      <c r="C1137" s="36">
        <v>-12270.409</v>
      </c>
      <c r="D1137" s="16">
        <v>-12271.853824</v>
      </c>
      <c r="E1137" s="14"/>
      <c r="F1137" s="37">
        <v>0.99697599999999997</v>
      </c>
      <c r="G1137" s="16">
        <v>0.19486999999999899</v>
      </c>
      <c r="H1137" s="14">
        <v>6</v>
      </c>
      <c r="I1137" s="14">
        <v>7</v>
      </c>
      <c r="J1137" s="32"/>
      <c r="K1137" s="8">
        <f t="shared" si="119"/>
        <v>-1.2516692307690391</v>
      </c>
      <c r="L1137" s="8">
        <f t="shared" si="120"/>
        <v>-9.6282248520695321E-2</v>
      </c>
      <c r="M1137" s="8">
        <f t="shared" si="121"/>
        <v>-1.2202318461531831</v>
      </c>
      <c r="N1137" s="8">
        <f t="shared" si="122"/>
        <v>-9.3863988165629478E-2</v>
      </c>
      <c r="O1137" s="8"/>
      <c r="P1137" t="s">
        <v>1424</v>
      </c>
      <c r="Q1137">
        <v>34</v>
      </c>
      <c r="R1137" s="8">
        <v>2.81935</v>
      </c>
      <c r="S1137">
        <v>8</v>
      </c>
      <c r="T1137" s="8">
        <f t="shared" si="123"/>
        <v>0.23529411764705882</v>
      </c>
      <c r="U1137" s="8">
        <v>2.81148</v>
      </c>
      <c r="V1137">
        <v>20</v>
      </c>
      <c r="W1137" s="8">
        <f t="shared" si="124"/>
        <v>0.58823529411764708</v>
      </c>
      <c r="X1137" s="8">
        <v>2.81013</v>
      </c>
      <c r="Y1137">
        <v>6</v>
      </c>
      <c r="Z1137" s="8">
        <f t="shared" si="125"/>
        <v>0.17647058823529413</v>
      </c>
      <c r="AA1137" s="8">
        <v>2.8606099999999999</v>
      </c>
    </row>
    <row r="1138" spans="1:27" ht="15" customHeight="1" x14ac:dyDescent="0.25">
      <c r="A1138" s="14">
        <v>318</v>
      </c>
      <c r="B1138" s="14">
        <v>318</v>
      </c>
      <c r="C1138" s="36">
        <v>-12270.442300000001</v>
      </c>
      <c r="D1138" s="16">
        <v>-12271.990793000001</v>
      </c>
      <c r="E1138" s="14"/>
      <c r="F1138" s="37">
        <v>0.99644600000000005</v>
      </c>
      <c r="G1138" s="16">
        <v>0.18992999999999899</v>
      </c>
      <c r="H1138" s="14">
        <v>6</v>
      </c>
      <c r="I1138" s="14">
        <v>7</v>
      </c>
      <c r="J1138" s="32"/>
      <c r="K1138" s="8">
        <f t="shared" si="119"/>
        <v>-1.2849692307700025</v>
      </c>
      <c r="L1138" s="8">
        <f t="shared" si="120"/>
        <v>-9.8843786982307877E-2</v>
      </c>
      <c r="M1138" s="8">
        <f t="shared" si="121"/>
        <v>-1.3572008461542282</v>
      </c>
      <c r="N1138" s="8">
        <f t="shared" si="122"/>
        <v>-0.10440006508878678</v>
      </c>
      <c r="O1138" s="8"/>
      <c r="P1138" t="s">
        <v>1425</v>
      </c>
      <c r="Q1138">
        <v>34</v>
      </c>
      <c r="R1138" s="8">
        <v>2.81738</v>
      </c>
      <c r="S1138">
        <v>8</v>
      </c>
      <c r="T1138" s="8">
        <f t="shared" si="123"/>
        <v>0.23529411764705882</v>
      </c>
      <c r="U1138" s="8">
        <v>2.7957800000000002</v>
      </c>
      <c r="V1138">
        <v>18</v>
      </c>
      <c r="W1138" s="8">
        <f t="shared" si="124"/>
        <v>0.52941176470588236</v>
      </c>
      <c r="X1138" s="8">
        <v>2.8121999999999998</v>
      </c>
      <c r="Y1138">
        <v>8</v>
      </c>
      <c r="Z1138" s="8">
        <f t="shared" si="125"/>
        <v>0.23529411764705882</v>
      </c>
      <c r="AA1138" s="8">
        <v>2.8506499999999999</v>
      </c>
    </row>
    <row r="1139" spans="1:27" ht="15" customHeight="1" x14ac:dyDescent="0.25">
      <c r="A1139" s="14">
        <v>319</v>
      </c>
      <c r="B1139" s="14">
        <v>319</v>
      </c>
      <c r="C1139" s="36">
        <v>-12270.251200000001</v>
      </c>
      <c r="D1139" s="16">
        <v>-12271.699006999999</v>
      </c>
      <c r="E1139" s="14"/>
      <c r="F1139" s="37">
        <v>0.99383299999999997</v>
      </c>
      <c r="G1139" s="16">
        <v>0.17349999999999899</v>
      </c>
      <c r="H1139" s="14">
        <v>6</v>
      </c>
      <c r="I1139" s="14">
        <v>7</v>
      </c>
      <c r="J1139" s="32"/>
      <c r="K1139" s="8">
        <f t="shared" si="119"/>
        <v>-1.0938692307699966</v>
      </c>
      <c r="L1139" s="8">
        <f t="shared" si="120"/>
        <v>-8.4143786982307428E-2</v>
      </c>
      <c r="M1139" s="8">
        <f t="shared" si="121"/>
        <v>-1.0654148461526347</v>
      </c>
      <c r="N1139" s="8">
        <f t="shared" si="122"/>
        <v>-8.1954988165587286E-2</v>
      </c>
      <c r="O1139" s="8"/>
      <c r="P1139" t="s">
        <v>1426</v>
      </c>
      <c r="Q1139">
        <v>35</v>
      </c>
      <c r="R1139" s="8">
        <v>2.8272300000000001</v>
      </c>
      <c r="S1139">
        <v>9</v>
      </c>
      <c r="T1139" s="8">
        <f t="shared" si="123"/>
        <v>0.25714285714285712</v>
      </c>
      <c r="U1139" s="8">
        <v>2.8326899999999999</v>
      </c>
      <c r="V1139">
        <v>20</v>
      </c>
      <c r="W1139" s="8">
        <f t="shared" si="124"/>
        <v>0.5714285714285714</v>
      </c>
      <c r="X1139" s="8">
        <v>2.80586</v>
      </c>
      <c r="Y1139">
        <v>6</v>
      </c>
      <c r="Z1139" s="8">
        <f t="shared" si="125"/>
        <v>0.17142857142857143</v>
      </c>
      <c r="AA1139" s="8">
        <v>2.8902600000000001</v>
      </c>
    </row>
    <row r="1140" spans="1:27" ht="15" customHeight="1" x14ac:dyDescent="0.25">
      <c r="A1140" s="14">
        <v>320</v>
      </c>
      <c r="B1140" s="14">
        <v>320</v>
      </c>
      <c r="C1140" s="36">
        <v>-12270.295814999999</v>
      </c>
      <c r="D1140" s="16">
        <v>-12271.84799</v>
      </c>
      <c r="E1140" s="14"/>
      <c r="F1140" s="37">
        <v>0.99532600000000004</v>
      </c>
      <c r="G1140" s="16">
        <v>0.18168000000000001</v>
      </c>
      <c r="H1140" s="14">
        <v>6</v>
      </c>
      <c r="I1140" s="14">
        <v>7</v>
      </c>
      <c r="J1140" s="32"/>
      <c r="K1140" s="8">
        <f t="shared" si="119"/>
        <v>-1.1384842307688814</v>
      </c>
      <c r="L1140" s="8">
        <f t="shared" si="120"/>
        <v>-8.7575710059144718E-2</v>
      </c>
      <c r="M1140" s="8">
        <f t="shared" si="121"/>
        <v>-1.214397846153588</v>
      </c>
      <c r="N1140" s="8">
        <f t="shared" si="122"/>
        <v>-9.3415218934891381E-2</v>
      </c>
      <c r="O1140" s="8"/>
      <c r="P1140" t="s">
        <v>1427</v>
      </c>
      <c r="Q1140">
        <v>34</v>
      </c>
      <c r="R1140" s="8">
        <v>2.81982</v>
      </c>
      <c r="S1140">
        <v>8</v>
      </c>
      <c r="T1140" s="8">
        <f t="shared" si="123"/>
        <v>0.23529411764705882</v>
      </c>
      <c r="U1140" s="8">
        <v>2.8167300000000002</v>
      </c>
      <c r="V1140">
        <v>19</v>
      </c>
      <c r="W1140" s="8">
        <f t="shared" si="124"/>
        <v>0.55882352941176472</v>
      </c>
      <c r="X1140" s="8">
        <v>2.8024</v>
      </c>
      <c r="Y1140">
        <v>7</v>
      </c>
      <c r="Z1140" s="8">
        <f t="shared" si="125"/>
        <v>0.20588235294117646</v>
      </c>
      <c r="AA1140" s="8">
        <v>2.8706200000000002</v>
      </c>
    </row>
    <row r="1141" spans="1:27" ht="15" customHeight="1" x14ac:dyDescent="0.25">
      <c r="A1141" s="14">
        <v>321</v>
      </c>
      <c r="B1141" s="14">
        <v>321</v>
      </c>
      <c r="C1141" s="36">
        <v>-12270.489100000001</v>
      </c>
      <c r="D1141" s="16">
        <v>-12271.908469</v>
      </c>
      <c r="E1141" s="14"/>
      <c r="F1141" s="37">
        <v>0.99645700000000004</v>
      </c>
      <c r="G1141" s="16">
        <v>0.18995999999999999</v>
      </c>
      <c r="H1141" s="14">
        <v>6</v>
      </c>
      <c r="I1141" s="14">
        <v>7</v>
      </c>
      <c r="J1141" s="32"/>
      <c r="K1141" s="8">
        <f t="shared" si="119"/>
        <v>-1.3317692307700781</v>
      </c>
      <c r="L1141" s="8">
        <f t="shared" si="120"/>
        <v>-0.1024437869823137</v>
      </c>
      <c r="M1141" s="8">
        <f t="shared" si="121"/>
        <v>-1.2748768461533473</v>
      </c>
      <c r="N1141" s="8">
        <f t="shared" si="122"/>
        <v>-9.8067449704103637E-2</v>
      </c>
      <c r="O1141" s="8"/>
      <c r="P1141" t="s">
        <v>1428</v>
      </c>
      <c r="Q1141">
        <v>34</v>
      </c>
      <c r="R1141" s="8">
        <v>2.81325</v>
      </c>
      <c r="S1141">
        <v>8</v>
      </c>
      <c r="T1141" s="8">
        <f t="shared" si="123"/>
        <v>0.23529411764705882</v>
      </c>
      <c r="U1141" s="8">
        <v>2.7821099999999999</v>
      </c>
      <c r="V1141">
        <v>19</v>
      </c>
      <c r="W1141" s="8">
        <f t="shared" si="124"/>
        <v>0.55882352941176472</v>
      </c>
      <c r="X1141" s="8">
        <v>2.81385</v>
      </c>
      <c r="Y1141">
        <v>7</v>
      </c>
      <c r="Z1141" s="8">
        <f t="shared" si="125"/>
        <v>0.20588235294117646</v>
      </c>
      <c r="AA1141" s="8">
        <v>2.8471899999999999</v>
      </c>
    </row>
    <row r="1142" spans="1:27" ht="15" customHeight="1" x14ac:dyDescent="0.25">
      <c r="A1142" s="14">
        <v>322</v>
      </c>
      <c r="B1142" s="14">
        <v>322</v>
      </c>
      <c r="C1142" s="36">
        <v>-12270.162399999999</v>
      </c>
      <c r="D1142" s="16">
        <v>-12271.703722</v>
      </c>
      <c r="E1142" s="14"/>
      <c r="F1142" s="37">
        <v>0.99692499999999995</v>
      </c>
      <c r="G1142" s="16">
        <v>0.19428999999999999</v>
      </c>
      <c r="H1142" s="14">
        <v>6</v>
      </c>
      <c r="I1142" s="14">
        <v>7</v>
      </c>
      <c r="J1142" s="32"/>
      <c r="K1142" s="8">
        <f t="shared" si="119"/>
        <v>-1.0050692307686404</v>
      </c>
      <c r="L1142" s="8">
        <f t="shared" si="120"/>
        <v>-7.7313017751433871E-2</v>
      </c>
      <c r="M1142" s="8">
        <f t="shared" si="121"/>
        <v>-1.0701298461535771</v>
      </c>
      <c r="N1142" s="8">
        <f t="shared" si="122"/>
        <v>-8.2317680473352084E-2</v>
      </c>
      <c r="O1142" s="8"/>
      <c r="P1142" t="s">
        <v>1429</v>
      </c>
      <c r="Q1142">
        <v>35</v>
      </c>
      <c r="R1142" s="8">
        <v>2.8302999999999998</v>
      </c>
      <c r="S1142">
        <v>11</v>
      </c>
      <c r="T1142" s="8">
        <f t="shared" si="123"/>
        <v>0.31428571428571428</v>
      </c>
      <c r="U1142" s="8">
        <v>2.8565299999999998</v>
      </c>
      <c r="V1142">
        <v>18</v>
      </c>
      <c r="W1142" s="8">
        <f t="shared" si="124"/>
        <v>0.51428571428571423</v>
      </c>
      <c r="X1142" s="8">
        <v>2.80742</v>
      </c>
      <c r="Y1142">
        <v>6</v>
      </c>
      <c r="Z1142" s="8">
        <f t="shared" si="125"/>
        <v>0.17142857142857143</v>
      </c>
      <c r="AA1142" s="8">
        <v>2.8508499999999999</v>
      </c>
    </row>
    <row r="1143" spans="1:27" ht="15" customHeight="1" x14ac:dyDescent="0.25">
      <c r="A1143" s="14">
        <v>323</v>
      </c>
      <c r="B1143" s="14">
        <v>323</v>
      </c>
      <c r="C1143" s="36">
        <v>-12270.379000000001</v>
      </c>
      <c r="D1143" s="16">
        <v>-12271.791922</v>
      </c>
      <c r="E1143" s="14"/>
      <c r="F1143" s="37">
        <v>0.994228</v>
      </c>
      <c r="G1143" s="16">
        <v>0.17538000000000001</v>
      </c>
      <c r="H1143" s="14">
        <v>6</v>
      </c>
      <c r="I1143" s="14">
        <v>7</v>
      </c>
      <c r="J1143" s="32"/>
      <c r="K1143" s="8">
        <f t="shared" si="119"/>
        <v>-1.2216692307702033</v>
      </c>
      <c r="L1143" s="8">
        <f t="shared" si="120"/>
        <v>-9.3974556213092558E-2</v>
      </c>
      <c r="M1143" s="8">
        <f t="shared" si="121"/>
        <v>-1.1583298461537197</v>
      </c>
      <c r="N1143" s="8">
        <f t="shared" si="122"/>
        <v>-8.9102295857978436E-2</v>
      </c>
      <c r="O1143" s="8"/>
      <c r="P1143" t="s">
        <v>1430</v>
      </c>
      <c r="Q1143">
        <v>35</v>
      </c>
      <c r="R1143" s="8">
        <v>2.8299799999999999</v>
      </c>
      <c r="S1143">
        <v>8</v>
      </c>
      <c r="T1143" s="8">
        <f t="shared" si="123"/>
        <v>0.22857142857142856</v>
      </c>
      <c r="U1143" s="8">
        <v>2.81534</v>
      </c>
      <c r="V1143">
        <v>22</v>
      </c>
      <c r="W1143" s="8">
        <f t="shared" si="124"/>
        <v>0.62857142857142856</v>
      </c>
      <c r="X1143" s="8">
        <v>2.8290600000000001</v>
      </c>
      <c r="Y1143">
        <v>5</v>
      </c>
      <c r="Z1143" s="8">
        <f t="shared" si="125"/>
        <v>0.14285714285714285</v>
      </c>
      <c r="AA1143" s="8">
        <v>2.8574600000000001</v>
      </c>
    </row>
    <row r="1144" spans="1:27" ht="15" customHeight="1" x14ac:dyDescent="0.25">
      <c r="A1144" s="14">
        <v>324</v>
      </c>
      <c r="B1144" s="14">
        <v>324</v>
      </c>
      <c r="C1144" s="36">
        <v>-12270.3285</v>
      </c>
      <c r="D1144" s="16">
        <v>-12271.77281</v>
      </c>
      <c r="E1144" s="14"/>
      <c r="F1144" s="37">
        <v>0.99789899999999998</v>
      </c>
      <c r="G1144" s="16">
        <v>0.20562</v>
      </c>
      <c r="H1144" s="14">
        <v>6</v>
      </c>
      <c r="I1144" s="14">
        <v>7</v>
      </c>
      <c r="J1144" s="32"/>
      <c r="K1144" s="8">
        <f t="shared" si="119"/>
        <v>-1.17116923076901</v>
      </c>
      <c r="L1144" s="8">
        <f t="shared" si="120"/>
        <v>-9.0089940828385381E-2</v>
      </c>
      <c r="M1144" s="8">
        <f t="shared" si="121"/>
        <v>-1.1392178461537696</v>
      </c>
      <c r="N1144" s="8">
        <f t="shared" si="122"/>
        <v>-8.7632142011828437E-2</v>
      </c>
      <c r="O1144" s="8"/>
      <c r="P1144" t="s">
        <v>1431</v>
      </c>
      <c r="Q1144">
        <v>34</v>
      </c>
      <c r="R1144" s="8">
        <v>2.8185600000000002</v>
      </c>
      <c r="S1144">
        <v>9</v>
      </c>
      <c r="T1144" s="8">
        <f t="shared" si="123"/>
        <v>0.26470588235294118</v>
      </c>
      <c r="U1144" s="8">
        <v>2.8425699999999998</v>
      </c>
      <c r="V1144">
        <v>20</v>
      </c>
      <c r="W1144" s="8">
        <f t="shared" si="124"/>
        <v>0.58823529411764708</v>
      </c>
      <c r="X1144" s="8">
        <v>2.7997899999999998</v>
      </c>
      <c r="Y1144">
        <v>5</v>
      </c>
      <c r="Z1144" s="8">
        <f t="shared" si="125"/>
        <v>0.14705882352941177</v>
      </c>
      <c r="AA1144" s="8">
        <v>2.8504100000000001</v>
      </c>
    </row>
    <row r="1145" spans="1:27" ht="15" customHeight="1" x14ac:dyDescent="0.25">
      <c r="A1145" s="14">
        <v>325</v>
      </c>
      <c r="B1145" s="14">
        <v>325</v>
      </c>
      <c r="C1145" s="36">
        <v>-12270.3763</v>
      </c>
      <c r="D1145" s="16">
        <v>-12271.816264999999</v>
      </c>
      <c r="E1145" s="14"/>
      <c r="F1145" s="37">
        <v>0.99712000000000001</v>
      </c>
      <c r="G1145" s="16">
        <v>0.19633999999999899</v>
      </c>
      <c r="H1145" s="14">
        <v>6</v>
      </c>
      <c r="I1145" s="14">
        <v>7</v>
      </c>
      <c r="J1145" s="32"/>
      <c r="K1145" s="8">
        <f t="shared" si="119"/>
        <v>-1.2189692307692894</v>
      </c>
      <c r="L1145" s="8">
        <f t="shared" si="120"/>
        <v>-9.3766863905329956E-2</v>
      </c>
      <c r="M1145" s="8">
        <f t="shared" si="121"/>
        <v>-1.1826728461528546</v>
      </c>
      <c r="N1145" s="8">
        <f t="shared" si="122"/>
        <v>-9.0974834319450359E-2</v>
      </c>
      <c r="O1145" s="8"/>
      <c r="P1145" t="s">
        <v>1432</v>
      </c>
      <c r="Q1145">
        <v>34</v>
      </c>
      <c r="R1145" s="8">
        <v>2.8182900000000002</v>
      </c>
      <c r="S1145">
        <v>8</v>
      </c>
      <c r="T1145" s="8">
        <f t="shared" si="123"/>
        <v>0.23529411764705882</v>
      </c>
      <c r="U1145" s="8">
        <v>2.7660300000000002</v>
      </c>
      <c r="V1145">
        <v>20</v>
      </c>
      <c r="W1145" s="8">
        <f t="shared" si="124"/>
        <v>0.58823529411764708</v>
      </c>
      <c r="X1145" s="8">
        <v>2.83222</v>
      </c>
      <c r="Y1145">
        <v>6</v>
      </c>
      <c r="Z1145" s="8">
        <f t="shared" si="125"/>
        <v>0.17647058823529413</v>
      </c>
      <c r="AA1145" s="8">
        <v>2.84151</v>
      </c>
    </row>
    <row r="1146" spans="1:27" ht="15" customHeight="1" x14ac:dyDescent="0.25">
      <c r="A1146" s="14">
        <v>326</v>
      </c>
      <c r="B1146" s="14">
        <v>326</v>
      </c>
      <c r="C1146" s="36">
        <v>-12270.129000000001</v>
      </c>
      <c r="D1146" s="16">
        <v>-12271.58634</v>
      </c>
      <c r="E1146" s="14"/>
      <c r="F1146" s="37">
        <v>0.99565300000000001</v>
      </c>
      <c r="G1146" s="16">
        <v>0.18385000000000001</v>
      </c>
      <c r="H1146" s="14">
        <v>6</v>
      </c>
      <c r="I1146" s="14">
        <v>7</v>
      </c>
      <c r="J1146" s="32"/>
      <c r="K1146" s="8">
        <f t="shared" si="119"/>
        <v>-0.97166923077020328</v>
      </c>
      <c r="L1146" s="8">
        <f t="shared" si="120"/>
        <v>-7.4743786982323326E-2</v>
      </c>
      <c r="M1146" s="8">
        <f t="shared" si="121"/>
        <v>-0.95274784615321551</v>
      </c>
      <c r="N1146" s="8">
        <f t="shared" si="122"/>
        <v>-7.3288295857939653E-2</v>
      </c>
      <c r="O1146" s="8"/>
      <c r="P1146" t="s">
        <v>1433</v>
      </c>
      <c r="Q1146">
        <v>35</v>
      </c>
      <c r="R1146" s="8">
        <v>2.8280699999999999</v>
      </c>
      <c r="S1146">
        <v>10</v>
      </c>
      <c r="T1146" s="8">
        <f t="shared" si="123"/>
        <v>0.2857142857142857</v>
      </c>
      <c r="U1146" s="8">
        <v>2.8297599999999998</v>
      </c>
      <c r="V1146">
        <v>21</v>
      </c>
      <c r="W1146" s="8">
        <f t="shared" si="124"/>
        <v>0.6</v>
      </c>
      <c r="X1146" s="8">
        <v>2.82178</v>
      </c>
      <c r="Y1146">
        <v>4</v>
      </c>
      <c r="Z1146" s="8">
        <f t="shared" si="125"/>
        <v>0.11428571428571428</v>
      </c>
      <c r="AA1146" s="8">
        <v>2.8568799999999999</v>
      </c>
    </row>
    <row r="1147" spans="1:27" ht="15" customHeight="1" x14ac:dyDescent="0.25">
      <c r="A1147" s="14">
        <v>327</v>
      </c>
      <c r="B1147" s="14">
        <v>327</v>
      </c>
      <c r="C1147" s="36">
        <v>-12270.4861</v>
      </c>
      <c r="D1147" s="16">
        <v>-12272.007611999999</v>
      </c>
      <c r="E1147" s="14"/>
      <c r="F1147" s="37">
        <v>0.99805900000000003</v>
      </c>
      <c r="G1147" s="16">
        <v>0.20813999999999899</v>
      </c>
      <c r="H1147" s="14">
        <v>6</v>
      </c>
      <c r="I1147" s="14">
        <v>7</v>
      </c>
      <c r="J1147" s="32"/>
      <c r="K1147" s="8">
        <f t="shared" si="119"/>
        <v>-1.328769230769467</v>
      </c>
      <c r="L1147" s="8">
        <f t="shared" si="120"/>
        <v>-0.10221301775149746</v>
      </c>
      <c r="M1147" s="8">
        <f t="shared" si="121"/>
        <v>-1.3740198461528053</v>
      </c>
      <c r="N1147" s="8">
        <f t="shared" si="122"/>
        <v>-0.10569383431944655</v>
      </c>
      <c r="O1147" s="8"/>
      <c r="P1147" t="s">
        <v>1434</v>
      </c>
      <c r="Q1147">
        <v>34</v>
      </c>
      <c r="R1147" s="8">
        <v>2.8167499999999999</v>
      </c>
      <c r="S1147">
        <v>8</v>
      </c>
      <c r="T1147" s="8">
        <f t="shared" si="123"/>
        <v>0.23529411764705882</v>
      </c>
      <c r="U1147" s="8">
        <v>2.7837800000000001</v>
      </c>
      <c r="V1147">
        <v>19</v>
      </c>
      <c r="W1147" s="8">
        <f t="shared" si="124"/>
        <v>0.55882352941176472</v>
      </c>
      <c r="X1147" s="8">
        <v>2.83</v>
      </c>
      <c r="Y1147">
        <v>7</v>
      </c>
      <c r="Z1147" s="8">
        <f t="shared" si="125"/>
        <v>0.20588235294117646</v>
      </c>
      <c r="AA1147" s="8">
        <v>2.8184499999999999</v>
      </c>
    </row>
    <row r="1148" spans="1:27" ht="15" customHeight="1" x14ac:dyDescent="0.25">
      <c r="A1148" s="14">
        <v>328</v>
      </c>
      <c r="B1148" s="14">
        <v>328</v>
      </c>
      <c r="C1148" s="36">
        <v>-12270.433999999999</v>
      </c>
      <c r="D1148" s="16">
        <v>-12271.814420000001</v>
      </c>
      <c r="E1148" s="14"/>
      <c r="F1148" s="37">
        <v>0.99662300000000004</v>
      </c>
      <c r="G1148" s="16">
        <v>0.191469999999999</v>
      </c>
      <c r="H1148" s="14">
        <v>6</v>
      </c>
      <c r="I1148" s="14">
        <v>7</v>
      </c>
      <c r="J1148" s="32"/>
      <c r="K1148" s="8">
        <f t="shared" si="119"/>
        <v>-1.2766692307686753</v>
      </c>
      <c r="L1148" s="8">
        <f t="shared" si="120"/>
        <v>-9.820532544374426E-2</v>
      </c>
      <c r="M1148" s="8">
        <f t="shared" si="121"/>
        <v>-1.1808278461539885</v>
      </c>
      <c r="N1148" s="8">
        <f t="shared" si="122"/>
        <v>-9.08329112426145E-2</v>
      </c>
      <c r="O1148" s="8"/>
      <c r="P1148" t="s">
        <v>1435</v>
      </c>
      <c r="Q1148">
        <v>34</v>
      </c>
      <c r="R1148" s="8">
        <v>2.8113000000000001</v>
      </c>
      <c r="S1148">
        <v>10</v>
      </c>
      <c r="T1148" s="8">
        <f t="shared" si="123"/>
        <v>0.29411764705882354</v>
      </c>
      <c r="U1148" s="8">
        <v>2.8384100000000001</v>
      </c>
      <c r="V1148">
        <v>19</v>
      </c>
      <c r="W1148" s="8">
        <f t="shared" si="124"/>
        <v>0.55882352941176472</v>
      </c>
      <c r="X1148" s="8">
        <v>2.7872300000000001</v>
      </c>
      <c r="Y1148">
        <v>5</v>
      </c>
      <c r="Z1148" s="8">
        <f t="shared" si="125"/>
        <v>0.14705882352941177</v>
      </c>
      <c r="AA1148" s="8">
        <v>2.8485399999999998</v>
      </c>
    </row>
    <row r="1149" spans="1:27" ht="15" customHeight="1" x14ac:dyDescent="0.25">
      <c r="A1149" s="14">
        <v>329</v>
      </c>
      <c r="B1149" s="14">
        <v>329</v>
      </c>
      <c r="C1149" s="36">
        <v>-12270.286599999999</v>
      </c>
      <c r="D1149" s="16">
        <v>-12271.669024000001</v>
      </c>
      <c r="E1149" s="14"/>
      <c r="F1149" s="37">
        <v>0.99703799999999998</v>
      </c>
      <c r="G1149" s="16">
        <v>0.195409999999999</v>
      </c>
      <c r="H1149" s="14">
        <v>6</v>
      </c>
      <c r="I1149" s="14">
        <v>7</v>
      </c>
      <c r="J1149" s="32"/>
      <c r="K1149" s="8">
        <f t="shared" si="119"/>
        <v>-1.1292692307688412</v>
      </c>
      <c r="L1149" s="8">
        <f t="shared" si="120"/>
        <v>-8.686686390529548E-2</v>
      </c>
      <c r="M1149" s="8">
        <f t="shared" si="121"/>
        <v>-1.035431846154097</v>
      </c>
      <c r="N1149" s="8">
        <f t="shared" si="122"/>
        <v>-7.9648603550315153E-2</v>
      </c>
      <c r="O1149" s="8"/>
      <c r="P1149" t="s">
        <v>1436</v>
      </c>
      <c r="Q1149">
        <v>34</v>
      </c>
      <c r="R1149" s="8">
        <v>2.8143099999999999</v>
      </c>
      <c r="S1149">
        <v>10</v>
      </c>
      <c r="T1149" s="8">
        <f t="shared" si="123"/>
        <v>0.29411764705882354</v>
      </c>
      <c r="U1149" s="8">
        <v>2.8336999999999999</v>
      </c>
      <c r="V1149">
        <v>18</v>
      </c>
      <c r="W1149" s="8">
        <f t="shared" si="124"/>
        <v>0.52941176470588236</v>
      </c>
      <c r="X1149" s="8">
        <v>2.80626</v>
      </c>
      <c r="Y1149">
        <v>6</v>
      </c>
      <c r="Z1149" s="8">
        <f t="shared" si="125"/>
        <v>0.17647058823529413</v>
      </c>
      <c r="AA1149" s="8">
        <v>2.8061799999999999</v>
      </c>
    </row>
    <row r="1150" spans="1:27" ht="15" customHeight="1" x14ac:dyDescent="0.25">
      <c r="A1150" s="14">
        <v>330</v>
      </c>
      <c r="B1150" s="14">
        <v>330</v>
      </c>
      <c r="C1150" s="36">
        <v>-12270.473900000001</v>
      </c>
      <c r="D1150" s="16">
        <v>-12271.840673000001</v>
      </c>
      <c r="E1150" s="14"/>
      <c r="F1150" s="37">
        <v>0.99413300000000004</v>
      </c>
      <c r="G1150" s="16">
        <v>0.17501</v>
      </c>
      <c r="H1150" s="14">
        <v>6</v>
      </c>
      <c r="I1150" s="14">
        <v>7</v>
      </c>
      <c r="J1150" s="32"/>
      <c r="K1150" s="8">
        <f t="shared" si="119"/>
        <v>-1.3165692307702557</v>
      </c>
      <c r="L1150" s="8">
        <f t="shared" si="120"/>
        <v>-0.10127455621309658</v>
      </c>
      <c r="M1150" s="8">
        <f t="shared" si="121"/>
        <v>-1.2070808461539855</v>
      </c>
      <c r="N1150" s="8">
        <f t="shared" si="122"/>
        <v>-9.2852372781075804E-2</v>
      </c>
      <c r="O1150" s="8"/>
      <c r="P1150" t="s">
        <v>1437</v>
      </c>
      <c r="Q1150">
        <v>34</v>
      </c>
      <c r="R1150" s="8">
        <v>2.8224900000000002</v>
      </c>
      <c r="S1150">
        <v>7</v>
      </c>
      <c r="T1150" s="8">
        <f t="shared" si="123"/>
        <v>0.20588235294117646</v>
      </c>
      <c r="U1150" s="8">
        <v>2.83318</v>
      </c>
      <c r="V1150">
        <v>22</v>
      </c>
      <c r="W1150" s="8">
        <f t="shared" si="124"/>
        <v>0.6470588235294118</v>
      </c>
      <c r="X1150" s="8">
        <v>2.8205499999999999</v>
      </c>
      <c r="Y1150">
        <v>5</v>
      </c>
      <c r="Z1150" s="8">
        <f t="shared" si="125"/>
        <v>0.14705882352941177</v>
      </c>
      <c r="AA1150" s="8">
        <v>2.8160500000000002</v>
      </c>
    </row>
    <row r="1151" spans="1:27" ht="15" customHeight="1" x14ac:dyDescent="0.25">
      <c r="A1151" s="14">
        <v>331</v>
      </c>
      <c r="B1151" s="14">
        <v>331</v>
      </c>
      <c r="C1151" s="36">
        <v>-12270.439899999999</v>
      </c>
      <c r="D1151" s="16">
        <v>-12271.851713</v>
      </c>
      <c r="E1151" s="14"/>
      <c r="F1151" s="37">
        <v>0.99693100000000001</v>
      </c>
      <c r="G1151" s="16">
        <v>0.19424</v>
      </c>
      <c r="H1151" s="14">
        <v>6</v>
      </c>
      <c r="I1151" s="14">
        <v>7</v>
      </c>
      <c r="J1151" s="32"/>
      <c r="K1151" s="8">
        <f t="shared" si="119"/>
        <v>-1.2825692307687859</v>
      </c>
      <c r="L1151" s="8">
        <f t="shared" si="120"/>
        <v>-9.8659171597598919E-2</v>
      </c>
      <c r="M1151" s="8">
        <f t="shared" si="121"/>
        <v>-1.218120846153397</v>
      </c>
      <c r="N1151" s="8">
        <f t="shared" si="122"/>
        <v>-9.3701603550261303E-2</v>
      </c>
      <c r="O1151" s="8"/>
      <c r="P1151" t="s">
        <v>1438</v>
      </c>
      <c r="Q1151">
        <v>34</v>
      </c>
      <c r="R1151" s="8">
        <v>2.8172899999999998</v>
      </c>
      <c r="S1151">
        <v>8</v>
      </c>
      <c r="T1151" s="8">
        <f t="shared" si="123"/>
        <v>0.23529411764705882</v>
      </c>
      <c r="U1151" s="8">
        <v>2.8086600000000002</v>
      </c>
      <c r="V1151">
        <v>21</v>
      </c>
      <c r="W1151" s="8">
        <f t="shared" si="124"/>
        <v>0.61764705882352944</v>
      </c>
      <c r="X1151" s="8">
        <v>2.8230300000000002</v>
      </c>
      <c r="Y1151">
        <v>5</v>
      </c>
      <c r="Z1151" s="8">
        <f t="shared" si="125"/>
        <v>0.14705882352941177</v>
      </c>
      <c r="AA1151" s="8">
        <v>2.8069700000000002</v>
      </c>
    </row>
    <row r="1152" spans="1:27" ht="15" customHeight="1" x14ac:dyDescent="0.25">
      <c r="A1152" s="14">
        <v>332</v>
      </c>
      <c r="B1152" s="14">
        <v>332</v>
      </c>
      <c r="C1152" s="36">
        <v>-12270.3375</v>
      </c>
      <c r="D1152" s="16">
        <v>-12271.873915</v>
      </c>
      <c r="E1152" s="14"/>
      <c r="F1152" s="37">
        <v>0.99855899999999997</v>
      </c>
      <c r="G1152" s="16">
        <v>0.21698999999999999</v>
      </c>
      <c r="H1152" s="14">
        <v>6</v>
      </c>
      <c r="I1152" s="14">
        <v>7</v>
      </c>
      <c r="J1152" s="32"/>
      <c r="K1152" s="8">
        <f t="shared" si="119"/>
        <v>-1.1801692307690246</v>
      </c>
      <c r="L1152" s="8">
        <f t="shared" si="120"/>
        <v>-9.0782248520694192E-2</v>
      </c>
      <c r="M1152" s="8">
        <f t="shared" si="121"/>
        <v>-1.2403228461535036</v>
      </c>
      <c r="N1152" s="8">
        <f t="shared" si="122"/>
        <v>-9.5409449704115662E-2</v>
      </c>
      <c r="O1152" s="8"/>
      <c r="P1152" t="s">
        <v>1439</v>
      </c>
      <c r="Q1152">
        <v>34</v>
      </c>
      <c r="R1152" s="8">
        <v>2.82098</v>
      </c>
      <c r="S1152">
        <v>8</v>
      </c>
      <c r="T1152" s="8">
        <f t="shared" si="123"/>
        <v>0.23529411764705882</v>
      </c>
      <c r="U1152" s="8">
        <v>2.8464399999999999</v>
      </c>
      <c r="V1152">
        <v>22</v>
      </c>
      <c r="W1152" s="8">
        <f t="shared" si="124"/>
        <v>0.6470588235294118</v>
      </c>
      <c r="X1152" s="8">
        <v>2.79759</v>
      </c>
      <c r="Y1152">
        <v>4</v>
      </c>
      <c r="Z1152" s="8">
        <f t="shared" si="125"/>
        <v>0.11764705882352941</v>
      </c>
      <c r="AA1152" s="8">
        <v>2.8986800000000001</v>
      </c>
    </row>
    <row r="1153" spans="1:27" ht="15" customHeight="1" x14ac:dyDescent="0.25">
      <c r="A1153" s="14">
        <v>333</v>
      </c>
      <c r="B1153" s="14">
        <v>333</v>
      </c>
      <c r="C1153" s="36">
        <v>-12269.7896</v>
      </c>
      <c r="D1153" s="16">
        <v>-12271.260869</v>
      </c>
      <c r="E1153" s="14"/>
      <c r="F1153" s="37">
        <v>0.99521899999999996</v>
      </c>
      <c r="G1153" s="16">
        <v>0.180889999999999</v>
      </c>
      <c r="H1153" s="14">
        <v>6</v>
      </c>
      <c r="I1153" s="14">
        <v>7</v>
      </c>
      <c r="J1153" s="32"/>
      <c r="K1153" s="8">
        <f t="shared" si="119"/>
        <v>-0.63226923076945241</v>
      </c>
      <c r="L1153" s="8">
        <f t="shared" si="120"/>
        <v>-4.8636094674573263E-2</v>
      </c>
      <c r="M1153" s="8">
        <f t="shared" si="121"/>
        <v>-0.62727684615310864</v>
      </c>
      <c r="N1153" s="8">
        <f t="shared" si="122"/>
        <v>-4.8252065088700662E-2</v>
      </c>
      <c r="O1153" s="8"/>
      <c r="P1153" t="s">
        <v>1440</v>
      </c>
      <c r="Q1153">
        <v>36</v>
      </c>
      <c r="R1153" s="8">
        <v>2.8370700000000002</v>
      </c>
      <c r="S1153">
        <v>10</v>
      </c>
      <c r="T1153" s="8">
        <f t="shared" si="123"/>
        <v>0.27777777777777779</v>
      </c>
      <c r="U1153" s="8">
        <v>2.81935</v>
      </c>
      <c r="V1153">
        <v>17</v>
      </c>
      <c r="W1153" s="8">
        <f t="shared" si="124"/>
        <v>0.47222222222222221</v>
      </c>
      <c r="X1153" s="8">
        <v>2.8430399999999998</v>
      </c>
      <c r="Y1153">
        <v>9</v>
      </c>
      <c r="Z1153" s="8">
        <f t="shared" si="125"/>
        <v>0.25</v>
      </c>
      <c r="AA1153" s="8">
        <v>2.8454999999999999</v>
      </c>
    </row>
    <row r="1154" spans="1:27" ht="15" customHeight="1" x14ac:dyDescent="0.25">
      <c r="A1154" s="14">
        <v>334</v>
      </c>
      <c r="B1154" s="14">
        <v>334</v>
      </c>
      <c r="C1154" s="36">
        <v>-12269.883900000001</v>
      </c>
      <c r="D1154" s="16">
        <v>-12271.569624</v>
      </c>
      <c r="E1154" s="14"/>
      <c r="F1154" s="37">
        <v>0.99339299999999997</v>
      </c>
      <c r="G1154" s="16">
        <v>0.171289999999999</v>
      </c>
      <c r="H1154" s="14">
        <v>6</v>
      </c>
      <c r="I1154" s="14">
        <v>7</v>
      </c>
      <c r="J1154" s="32"/>
      <c r="K1154" s="8">
        <f t="shared" si="119"/>
        <v>-0.72656923077011015</v>
      </c>
      <c r="L1154" s="8">
        <f t="shared" si="120"/>
        <v>-5.5889940828470014E-2</v>
      </c>
      <c r="M1154" s="8">
        <f t="shared" si="121"/>
        <v>-0.93603184615312784</v>
      </c>
      <c r="N1154" s="8">
        <f t="shared" si="122"/>
        <v>-7.2002449704086757E-2</v>
      </c>
      <c r="O1154" s="8"/>
      <c r="P1154" t="s">
        <v>1441</v>
      </c>
      <c r="Q1154">
        <v>35</v>
      </c>
      <c r="R1154" s="8">
        <v>2.8315999999999999</v>
      </c>
      <c r="S1154">
        <v>11</v>
      </c>
      <c r="T1154" s="8">
        <f t="shared" si="123"/>
        <v>0.31428571428571428</v>
      </c>
      <c r="U1154" s="8">
        <v>2.8424800000000001</v>
      </c>
      <c r="V1154">
        <v>15</v>
      </c>
      <c r="W1154" s="8">
        <f t="shared" si="124"/>
        <v>0.42857142857142855</v>
      </c>
      <c r="X1154" s="8">
        <v>2.8212100000000002</v>
      </c>
      <c r="Y1154">
        <v>9</v>
      </c>
      <c r="Z1154" s="8">
        <f t="shared" si="125"/>
        <v>0.25714285714285712</v>
      </c>
      <c r="AA1154" s="8">
        <v>2.83561</v>
      </c>
    </row>
    <row r="1155" spans="1:27" ht="15" customHeight="1" x14ac:dyDescent="0.25">
      <c r="A1155" s="14">
        <v>335</v>
      </c>
      <c r="B1155" s="14">
        <v>335</v>
      </c>
      <c r="C1155" s="36">
        <v>-12270.0051</v>
      </c>
      <c r="D1155" s="16">
        <v>-12271.560149000001</v>
      </c>
      <c r="E1155" s="14"/>
      <c r="F1155" s="37">
        <v>0.99472499999999997</v>
      </c>
      <c r="G1155" s="16">
        <v>0.17802999999999999</v>
      </c>
      <c r="H1155" s="14">
        <v>6</v>
      </c>
      <c r="I1155" s="14">
        <v>7</v>
      </c>
      <c r="J1155" s="32"/>
      <c r="K1155" s="8">
        <f t="shared" ref="K1155:K1218" si="126">IF(ISNUMBER(C1155),C1155-(($C$3-$C$2236)/($H$3-$H$2236)*H1155+$C$2236),"")</f>
        <v>-0.84776923076969979</v>
      </c>
      <c r="L1155" s="8">
        <f t="shared" ref="L1155:L1218" si="127">IF(ISNUMBER(C1155),K1155/(H1155+I1155),"")</f>
        <v>-6.5213017751515362E-2</v>
      </c>
      <c r="M1155" s="8">
        <f t="shared" ref="M1155:M1218" si="128">IF(ISNUMBER(D1155),D1155-(($D$3-$D$2236)/($H$3-$H$2236)*H1155+$D$2236),"")</f>
        <v>-0.92655684615419887</v>
      </c>
      <c r="N1155" s="8">
        <f t="shared" ref="N1155:N1218" si="129">IF(ISNUMBER(D1155),M1155/(H1155+I1155),"")</f>
        <v>-7.1273603550322986E-2</v>
      </c>
      <c r="O1155" s="8"/>
      <c r="P1155" t="s">
        <v>1442</v>
      </c>
      <c r="Q1155">
        <v>36</v>
      </c>
      <c r="R1155" s="8">
        <v>2.8403900000000002</v>
      </c>
      <c r="S1155">
        <v>10</v>
      </c>
      <c r="T1155" s="8">
        <f t="shared" ref="T1155:T1218" si="130">IF(ISNUMBER(S1155),S1155/(Q1155),"")</f>
        <v>0.27777777777777779</v>
      </c>
      <c r="U1155" s="8">
        <v>2.81494</v>
      </c>
      <c r="V1155">
        <v>16</v>
      </c>
      <c r="W1155" s="8">
        <f t="shared" ref="W1155:W1218" si="131">IF(ISNUMBER(V1155),V1155/($Q1155),"")</f>
        <v>0.44444444444444442</v>
      </c>
      <c r="X1155" s="8">
        <v>2.8314400000000002</v>
      </c>
      <c r="Y1155">
        <v>10</v>
      </c>
      <c r="Z1155" s="8">
        <f t="shared" ref="Z1155:Z1218" si="132">IF(ISNUMBER(Y1155),Y1155/($Q1155),"")</f>
        <v>0.27777777777777779</v>
      </c>
      <c r="AA1155" s="8">
        <v>2.8801600000000001</v>
      </c>
    </row>
    <row r="1156" spans="1:27" ht="15" customHeight="1" x14ac:dyDescent="0.25">
      <c r="A1156" s="14">
        <v>336</v>
      </c>
      <c r="B1156" s="14">
        <v>336</v>
      </c>
      <c r="C1156" s="36">
        <v>-12270.1302</v>
      </c>
      <c r="D1156" s="16">
        <v>-12271.567955</v>
      </c>
      <c r="E1156" s="14"/>
      <c r="F1156" s="37">
        <v>0.99456800000000001</v>
      </c>
      <c r="G1156" s="16">
        <v>0.177179999999999</v>
      </c>
      <c r="H1156" s="14">
        <v>6</v>
      </c>
      <c r="I1156" s="14">
        <v>7</v>
      </c>
      <c r="J1156" s="32"/>
      <c r="K1156" s="8">
        <f t="shared" si="126"/>
        <v>-0.97286923076899257</v>
      </c>
      <c r="L1156" s="8">
        <f t="shared" si="127"/>
        <v>-7.483609467453789E-2</v>
      </c>
      <c r="M1156" s="8">
        <f t="shared" si="128"/>
        <v>-0.93436284615381737</v>
      </c>
      <c r="N1156" s="8">
        <f t="shared" si="129"/>
        <v>-7.1874065088755185E-2</v>
      </c>
      <c r="O1156" s="8"/>
      <c r="P1156" t="s">
        <v>1443</v>
      </c>
      <c r="Q1156">
        <v>34</v>
      </c>
      <c r="R1156" s="8">
        <v>2.8194900000000001</v>
      </c>
      <c r="S1156">
        <v>10</v>
      </c>
      <c r="T1156" s="8">
        <f t="shared" si="130"/>
        <v>0.29411764705882354</v>
      </c>
      <c r="U1156" s="8">
        <v>2.8135400000000002</v>
      </c>
      <c r="V1156">
        <v>16</v>
      </c>
      <c r="W1156" s="8">
        <f t="shared" si="131"/>
        <v>0.47058823529411764</v>
      </c>
      <c r="X1156" s="8">
        <v>2.8119000000000001</v>
      </c>
      <c r="Y1156">
        <v>8</v>
      </c>
      <c r="Z1156" s="8">
        <f t="shared" si="132"/>
        <v>0.23529411764705882</v>
      </c>
      <c r="AA1156" s="8">
        <v>2.8420999999999998</v>
      </c>
    </row>
    <row r="1157" spans="1:27" ht="15" customHeight="1" x14ac:dyDescent="0.25">
      <c r="A1157" s="14">
        <v>337</v>
      </c>
      <c r="B1157" s="14">
        <v>337</v>
      </c>
      <c r="C1157" s="36">
        <v>-12270.2341</v>
      </c>
      <c r="D1157" s="16">
        <v>-12271.652988</v>
      </c>
      <c r="E1157" s="14"/>
      <c r="F1157" s="37">
        <v>0.99555800000000005</v>
      </c>
      <c r="G1157" s="16">
        <v>0.18328</v>
      </c>
      <c r="H1157" s="14">
        <v>6</v>
      </c>
      <c r="I1157" s="14">
        <v>7</v>
      </c>
      <c r="J1157" s="32"/>
      <c r="K1157" s="8">
        <f t="shared" si="126"/>
        <v>-1.0767692307690595</v>
      </c>
      <c r="L1157" s="8">
        <f t="shared" si="127"/>
        <v>-8.2828402366850726E-2</v>
      </c>
      <c r="M1157" s="8">
        <f t="shared" si="128"/>
        <v>-1.019395846153202</v>
      </c>
      <c r="N1157" s="8">
        <f t="shared" si="129"/>
        <v>-7.8415065088707853E-2</v>
      </c>
      <c r="O1157" s="8"/>
      <c r="P1157" t="s">
        <v>1444</v>
      </c>
      <c r="Q1157">
        <v>34</v>
      </c>
      <c r="R1157" s="8">
        <v>2.8178800000000002</v>
      </c>
      <c r="S1157">
        <v>9</v>
      </c>
      <c r="T1157" s="8">
        <f t="shared" si="130"/>
        <v>0.26470588235294118</v>
      </c>
      <c r="U1157" s="8">
        <v>2.80484</v>
      </c>
      <c r="V1157">
        <v>18</v>
      </c>
      <c r="W1157" s="8">
        <f t="shared" si="131"/>
        <v>0.52941176470588236</v>
      </c>
      <c r="X1157" s="8">
        <v>2.8125100000000001</v>
      </c>
      <c r="Y1157">
        <v>7</v>
      </c>
      <c r="Z1157" s="8">
        <f t="shared" si="132"/>
        <v>0.20588235294117646</v>
      </c>
      <c r="AA1157" s="8">
        <v>2.8484400000000001</v>
      </c>
    </row>
    <row r="1158" spans="1:27" ht="15" customHeight="1" x14ac:dyDescent="0.25">
      <c r="A1158" s="14">
        <v>338</v>
      </c>
      <c r="B1158" s="14">
        <v>338</v>
      </c>
      <c r="C1158" s="36">
        <v>-12269.7947</v>
      </c>
      <c r="D1158" s="16">
        <v>-12271.28714</v>
      </c>
      <c r="E1158" s="14"/>
      <c r="F1158" s="37">
        <v>0.99308700000000005</v>
      </c>
      <c r="G1158" s="16">
        <v>0.1699</v>
      </c>
      <c r="H1158" s="14">
        <v>6</v>
      </c>
      <c r="I1158" s="14">
        <v>7</v>
      </c>
      <c r="J1158" s="32"/>
      <c r="K1158" s="8">
        <f t="shared" si="126"/>
        <v>-0.63736923076976382</v>
      </c>
      <c r="L1158" s="8">
        <f t="shared" si="127"/>
        <v>-4.9028402366904908E-2</v>
      </c>
      <c r="M1158" s="8">
        <f t="shared" si="128"/>
        <v>-0.65354784615374228</v>
      </c>
      <c r="N1158" s="8">
        <f t="shared" si="129"/>
        <v>-5.0272911242595558E-2</v>
      </c>
      <c r="O1158" s="8"/>
      <c r="P1158" t="s">
        <v>1445</v>
      </c>
      <c r="Q1158">
        <v>36</v>
      </c>
      <c r="R1158" s="8">
        <v>2.8361000000000001</v>
      </c>
      <c r="S1158">
        <v>11</v>
      </c>
      <c r="T1158" s="8">
        <f t="shared" si="130"/>
        <v>0.30555555555555558</v>
      </c>
      <c r="U1158" s="8">
        <v>2.8049499999999998</v>
      </c>
      <c r="V1158">
        <v>16</v>
      </c>
      <c r="W1158" s="8">
        <f t="shared" si="131"/>
        <v>0.44444444444444442</v>
      </c>
      <c r="X1158" s="8">
        <v>2.8594200000000001</v>
      </c>
      <c r="Y1158">
        <v>9</v>
      </c>
      <c r="Z1158" s="8">
        <f t="shared" si="132"/>
        <v>0.25</v>
      </c>
      <c r="AA1158" s="8">
        <v>2.8327200000000001</v>
      </c>
    </row>
    <row r="1159" spans="1:27" ht="15" customHeight="1" x14ac:dyDescent="0.25">
      <c r="A1159" s="14">
        <v>339</v>
      </c>
      <c r="B1159" s="14">
        <v>339</v>
      </c>
      <c r="C1159" s="36">
        <v>-12269.915256</v>
      </c>
      <c r="D1159" s="16">
        <v>-12271.507263</v>
      </c>
      <c r="E1159" s="14"/>
      <c r="F1159" s="37">
        <v>-0.99739999999999995</v>
      </c>
      <c r="G1159" s="16">
        <v>0.19928999999999999</v>
      </c>
      <c r="H1159" s="14">
        <v>6</v>
      </c>
      <c r="I1159" s="14">
        <v>7</v>
      </c>
      <c r="J1159" s="32"/>
      <c r="K1159" s="8">
        <f t="shared" si="126"/>
        <v>-0.75792523076961515</v>
      </c>
      <c r="L1159" s="8">
        <f t="shared" si="127"/>
        <v>-5.8301940828431938E-2</v>
      </c>
      <c r="M1159" s="8">
        <f t="shared" si="128"/>
        <v>-0.87367084615289059</v>
      </c>
      <c r="N1159" s="8">
        <f t="shared" si="129"/>
        <v>-6.7205449704068512E-2</v>
      </c>
      <c r="O1159" s="8"/>
      <c r="P1159" t="s">
        <v>1446</v>
      </c>
      <c r="Q1159">
        <v>36</v>
      </c>
      <c r="R1159" s="8">
        <v>2.8355700000000001</v>
      </c>
      <c r="S1159">
        <v>10</v>
      </c>
      <c r="T1159" s="8">
        <f t="shared" si="130"/>
        <v>0.27777777777777779</v>
      </c>
      <c r="U1159" s="8">
        <v>2.8076500000000002</v>
      </c>
      <c r="V1159">
        <v>18</v>
      </c>
      <c r="W1159" s="8">
        <f t="shared" si="131"/>
        <v>0.5</v>
      </c>
      <c r="X1159" s="8">
        <v>2.8453400000000002</v>
      </c>
      <c r="Y1159">
        <v>8</v>
      </c>
      <c r="Z1159" s="8">
        <f t="shared" si="132"/>
        <v>0.22222222222222221</v>
      </c>
      <c r="AA1159" s="8">
        <v>2.8484699999999998</v>
      </c>
    </row>
    <row r="1160" spans="1:27" ht="15" customHeight="1" x14ac:dyDescent="0.25">
      <c r="A1160" s="14">
        <v>340</v>
      </c>
      <c r="B1160" s="14">
        <v>340</v>
      </c>
      <c r="C1160" s="36">
        <v>-12270.125700000001</v>
      </c>
      <c r="D1160" s="16">
        <v>-12271.988718000001</v>
      </c>
      <c r="E1160" s="14"/>
      <c r="F1160" s="37">
        <v>0.99683999999999995</v>
      </c>
      <c r="G1160" s="16">
        <v>0.19349999999999901</v>
      </c>
      <c r="H1160" s="14">
        <v>6</v>
      </c>
      <c r="I1160" s="14">
        <v>7</v>
      </c>
      <c r="J1160" s="32"/>
      <c r="K1160" s="8">
        <f t="shared" si="126"/>
        <v>-0.96836923076989478</v>
      </c>
      <c r="L1160" s="8">
        <f t="shared" si="127"/>
        <v>-7.4489940828453449E-2</v>
      </c>
      <c r="M1160" s="8">
        <f t="shared" si="128"/>
        <v>-1.3551258461538964</v>
      </c>
      <c r="N1160" s="8">
        <f t="shared" si="129"/>
        <v>-0.10424044970414588</v>
      </c>
      <c r="O1160" s="8"/>
      <c r="P1160" t="s">
        <v>1447</v>
      </c>
      <c r="Q1160">
        <v>34</v>
      </c>
      <c r="R1160" s="8">
        <v>2.81657</v>
      </c>
      <c r="S1160">
        <v>10</v>
      </c>
      <c r="T1160" s="8">
        <f t="shared" si="130"/>
        <v>0.29411764705882354</v>
      </c>
      <c r="U1160" s="8">
        <v>2.8225099999999999</v>
      </c>
      <c r="V1160">
        <v>16</v>
      </c>
      <c r="W1160" s="8">
        <f t="shared" si="131"/>
        <v>0.47058823529411764</v>
      </c>
      <c r="X1160" s="8">
        <v>2.8029600000000001</v>
      </c>
      <c r="Y1160">
        <v>8</v>
      </c>
      <c r="Z1160" s="8">
        <f t="shared" si="132"/>
        <v>0.23529411764705882</v>
      </c>
      <c r="AA1160" s="8">
        <v>2.83636</v>
      </c>
    </row>
    <row r="1161" spans="1:27" ht="15" customHeight="1" x14ac:dyDescent="0.25">
      <c r="A1161" s="14">
        <v>341</v>
      </c>
      <c r="B1161" s="14">
        <v>341</v>
      </c>
      <c r="C1161" s="36">
        <v>-12270.248799999999</v>
      </c>
      <c r="D1161" s="16">
        <v>-12271.742158999999</v>
      </c>
      <c r="E1161" s="14"/>
      <c r="F1161" s="37">
        <v>0.99514400000000003</v>
      </c>
      <c r="G1161" s="16">
        <v>0.18051</v>
      </c>
      <c r="H1161" s="14">
        <v>6</v>
      </c>
      <c r="I1161" s="14">
        <v>7</v>
      </c>
      <c r="J1161" s="32"/>
      <c r="K1161" s="8">
        <f t="shared" si="126"/>
        <v>-1.0914692307687801</v>
      </c>
      <c r="L1161" s="8">
        <f t="shared" si="127"/>
        <v>-8.395917159759847E-2</v>
      </c>
      <c r="M1161" s="8">
        <f t="shared" si="128"/>
        <v>-1.1085668461528257</v>
      </c>
      <c r="N1161" s="8">
        <f t="shared" si="129"/>
        <v>-8.5274372780986596E-2</v>
      </c>
      <c r="O1161" s="8"/>
      <c r="P1161" t="s">
        <v>1448</v>
      </c>
      <c r="Q1161">
        <v>35</v>
      </c>
      <c r="R1161" s="8">
        <v>2.8262399999999999</v>
      </c>
      <c r="S1161">
        <v>9</v>
      </c>
      <c r="T1161" s="8">
        <f t="shared" si="130"/>
        <v>0.25714285714285712</v>
      </c>
      <c r="U1161" s="8">
        <v>2.8281100000000001</v>
      </c>
      <c r="V1161">
        <v>19</v>
      </c>
      <c r="W1161" s="8">
        <f t="shared" si="131"/>
        <v>0.54285714285714282</v>
      </c>
      <c r="X1161" s="8">
        <v>2.8263400000000001</v>
      </c>
      <c r="Y1161">
        <v>7</v>
      </c>
      <c r="Z1161" s="8">
        <f t="shared" si="132"/>
        <v>0.2</v>
      </c>
      <c r="AA1161" s="8">
        <v>2.82355</v>
      </c>
    </row>
    <row r="1162" spans="1:27" ht="15" customHeight="1" x14ac:dyDescent="0.25">
      <c r="A1162" s="14">
        <v>342</v>
      </c>
      <c r="B1162" s="14">
        <v>342</v>
      </c>
      <c r="C1162" s="36">
        <v>-12270.082899999999</v>
      </c>
      <c r="D1162" s="16">
        <v>-12271.635786999999</v>
      </c>
      <c r="E1162" s="14"/>
      <c r="F1162" s="37">
        <v>0.99271500000000001</v>
      </c>
      <c r="G1162" s="16">
        <v>0.16833000000000001</v>
      </c>
      <c r="H1162" s="14">
        <v>6</v>
      </c>
      <c r="I1162" s="14">
        <v>7</v>
      </c>
      <c r="J1162" s="32"/>
      <c r="K1162" s="8">
        <f t="shared" si="126"/>
        <v>-0.92556923076881503</v>
      </c>
      <c r="L1162" s="8">
        <f t="shared" si="127"/>
        <v>-7.1197633136062699E-2</v>
      </c>
      <c r="M1162" s="8">
        <f t="shared" si="128"/>
        <v>-1.0021948461526335</v>
      </c>
      <c r="N1162" s="8">
        <f t="shared" si="129"/>
        <v>-7.7091911242510275E-2</v>
      </c>
      <c r="O1162" s="8"/>
      <c r="P1162" t="s">
        <v>1449</v>
      </c>
      <c r="Q1162">
        <v>35</v>
      </c>
      <c r="R1162" s="8">
        <v>2.8291599999999999</v>
      </c>
      <c r="S1162">
        <v>9</v>
      </c>
      <c r="T1162" s="8">
        <f t="shared" si="130"/>
        <v>0.25714285714285712</v>
      </c>
      <c r="U1162" s="8">
        <v>2.8391500000000001</v>
      </c>
      <c r="V1162">
        <v>19</v>
      </c>
      <c r="W1162" s="8">
        <f t="shared" si="131"/>
        <v>0.54285714285714282</v>
      </c>
      <c r="X1162" s="8">
        <v>2.8182700000000001</v>
      </c>
      <c r="Y1162">
        <v>7</v>
      </c>
      <c r="Z1162" s="8">
        <f t="shared" si="132"/>
        <v>0.2</v>
      </c>
      <c r="AA1162" s="8">
        <v>2.8458800000000002</v>
      </c>
    </row>
    <row r="1163" spans="1:27" ht="15" customHeight="1" x14ac:dyDescent="0.25">
      <c r="A1163" s="14">
        <v>343</v>
      </c>
      <c r="B1163" s="14">
        <v>343</v>
      </c>
      <c r="C1163" s="36">
        <v>-12270.2078</v>
      </c>
      <c r="D1163" s="16">
        <v>-12272.061662</v>
      </c>
      <c r="E1163" s="14"/>
      <c r="F1163" s="37">
        <v>0.99233300000000002</v>
      </c>
      <c r="G1163" s="16">
        <v>0.16682</v>
      </c>
      <c r="H1163" s="14">
        <v>6</v>
      </c>
      <c r="I1163" s="14">
        <v>7</v>
      </c>
      <c r="J1163" s="32"/>
      <c r="K1163" s="8">
        <f t="shared" si="126"/>
        <v>-1.0504692307695223</v>
      </c>
      <c r="L1163" s="8">
        <f t="shared" si="127"/>
        <v>-8.0805325443809403E-2</v>
      </c>
      <c r="M1163" s="8">
        <f t="shared" si="128"/>
        <v>-1.4280698461534485</v>
      </c>
      <c r="N1163" s="8">
        <f t="shared" si="129"/>
        <v>-0.10985152662718835</v>
      </c>
      <c r="O1163" s="8"/>
      <c r="P1163" t="s">
        <v>1450</v>
      </c>
      <c r="Q1163">
        <v>36</v>
      </c>
      <c r="R1163" s="8">
        <v>2.8403299999999998</v>
      </c>
      <c r="S1163">
        <v>8</v>
      </c>
      <c r="T1163" s="8">
        <f t="shared" si="130"/>
        <v>0.22222222222222221</v>
      </c>
      <c r="U1163" s="8">
        <v>2.8011699999999999</v>
      </c>
      <c r="V1163">
        <v>20</v>
      </c>
      <c r="W1163" s="8">
        <f t="shared" si="131"/>
        <v>0.55555555555555558</v>
      </c>
      <c r="X1163" s="8">
        <v>2.8404099999999999</v>
      </c>
      <c r="Y1163">
        <v>8</v>
      </c>
      <c r="Z1163" s="8">
        <f t="shared" si="132"/>
        <v>0.22222222222222221</v>
      </c>
      <c r="AA1163" s="8">
        <v>2.8792800000000001</v>
      </c>
    </row>
    <row r="1164" spans="1:27" ht="15" customHeight="1" x14ac:dyDescent="0.25">
      <c r="A1164" s="14">
        <v>344</v>
      </c>
      <c r="B1164" s="14">
        <v>344</v>
      </c>
      <c r="C1164" s="36">
        <v>-12269.897499999999</v>
      </c>
      <c r="D1164" s="16">
        <v>-12271.492871</v>
      </c>
      <c r="E1164" s="14"/>
      <c r="F1164" s="37">
        <v>0.99398900000000001</v>
      </c>
      <c r="G1164" s="16">
        <v>0.17412999999999901</v>
      </c>
      <c r="H1164" s="14">
        <v>6</v>
      </c>
      <c r="I1164" s="14">
        <v>7</v>
      </c>
      <c r="J1164" s="32"/>
      <c r="K1164" s="8">
        <f t="shared" si="126"/>
        <v>-0.74016923076851526</v>
      </c>
      <c r="L1164" s="8">
        <f t="shared" si="127"/>
        <v>-5.6936094674501177E-2</v>
      </c>
      <c r="M1164" s="8">
        <f t="shared" si="128"/>
        <v>-0.8592788461537566</v>
      </c>
      <c r="N1164" s="8">
        <f t="shared" si="129"/>
        <v>-6.6098372781058207E-2</v>
      </c>
      <c r="O1164" s="8"/>
      <c r="P1164" t="s">
        <v>1451</v>
      </c>
      <c r="Q1164">
        <v>35</v>
      </c>
      <c r="R1164" s="8">
        <v>2.8257400000000001</v>
      </c>
      <c r="S1164">
        <v>10</v>
      </c>
      <c r="T1164" s="8">
        <f t="shared" si="130"/>
        <v>0.2857142857142857</v>
      </c>
      <c r="U1164" s="8">
        <v>2.79359</v>
      </c>
      <c r="V1164">
        <v>17</v>
      </c>
      <c r="W1164" s="8">
        <f t="shared" si="131"/>
        <v>0.48571428571428571</v>
      </c>
      <c r="X1164" s="8">
        <v>2.84355</v>
      </c>
      <c r="Y1164">
        <v>8</v>
      </c>
      <c r="Z1164" s="8">
        <f t="shared" si="132"/>
        <v>0.22857142857142856</v>
      </c>
      <c r="AA1164" s="8">
        <v>2.82809</v>
      </c>
    </row>
    <row r="1165" spans="1:27" ht="15" customHeight="1" x14ac:dyDescent="0.25">
      <c r="A1165" s="14">
        <v>345</v>
      </c>
      <c r="B1165" s="14">
        <v>345</v>
      </c>
      <c r="C1165" s="36">
        <v>-12270.0054</v>
      </c>
      <c r="D1165" s="16">
        <v>-12271.568325</v>
      </c>
      <c r="E1165" s="14"/>
      <c r="F1165" s="37">
        <v>0.99700500000000003</v>
      </c>
      <c r="G1165" s="16">
        <v>0.19497999999999999</v>
      </c>
      <c r="H1165" s="14">
        <v>6</v>
      </c>
      <c r="I1165" s="14">
        <v>7</v>
      </c>
      <c r="J1165" s="32"/>
      <c r="K1165" s="8">
        <f t="shared" si="126"/>
        <v>-0.84806923076939711</v>
      </c>
      <c r="L1165" s="8">
        <f t="shared" si="127"/>
        <v>-6.5236094674569006E-2</v>
      </c>
      <c r="M1165" s="8">
        <f t="shared" si="128"/>
        <v>-0.93473284615356533</v>
      </c>
      <c r="N1165" s="8">
        <f t="shared" si="129"/>
        <v>-7.190252662719733E-2</v>
      </c>
      <c r="O1165" s="8"/>
      <c r="P1165" t="s">
        <v>1452</v>
      </c>
      <c r="Q1165">
        <v>36</v>
      </c>
      <c r="R1165" s="8">
        <v>2.8343699999999998</v>
      </c>
      <c r="S1165">
        <v>9</v>
      </c>
      <c r="T1165" s="8">
        <f t="shared" si="130"/>
        <v>0.25</v>
      </c>
      <c r="U1165" s="8">
        <v>2.8081100000000001</v>
      </c>
      <c r="V1165">
        <v>20</v>
      </c>
      <c r="W1165" s="8">
        <f t="shared" si="131"/>
        <v>0.55555555555555558</v>
      </c>
      <c r="X1165" s="8">
        <v>2.8390599999999999</v>
      </c>
      <c r="Y1165">
        <v>7</v>
      </c>
      <c r="Z1165" s="8">
        <f t="shared" si="132"/>
        <v>0.19444444444444445</v>
      </c>
      <c r="AA1165" s="8">
        <v>2.8547500000000001</v>
      </c>
    </row>
    <row r="1166" spans="1:27" ht="15" customHeight="1" x14ac:dyDescent="0.25">
      <c r="A1166" s="14">
        <v>346</v>
      </c>
      <c r="B1166" s="14">
        <v>346</v>
      </c>
      <c r="C1166" s="36">
        <v>-12270.1695</v>
      </c>
      <c r="D1166" s="16">
        <v>-12271.750432999999</v>
      </c>
      <c r="E1166" s="14"/>
      <c r="F1166" s="37">
        <v>0.99686200000000003</v>
      </c>
      <c r="G1166" s="16">
        <v>0.19364999999999899</v>
      </c>
      <c r="H1166" s="14">
        <v>6</v>
      </c>
      <c r="I1166" s="14">
        <v>7</v>
      </c>
      <c r="J1166" s="32"/>
      <c r="K1166" s="8">
        <f t="shared" si="126"/>
        <v>-1.0121692307693593</v>
      </c>
      <c r="L1166" s="8">
        <f t="shared" si="127"/>
        <v>-7.7859171597643023E-2</v>
      </c>
      <c r="M1166" s="8">
        <f t="shared" si="128"/>
        <v>-1.1168408461526269</v>
      </c>
      <c r="N1166" s="8">
        <f t="shared" si="129"/>
        <v>-8.5910834319432833E-2</v>
      </c>
      <c r="O1166" s="8"/>
      <c r="P1166" t="s">
        <v>1453</v>
      </c>
      <c r="Q1166">
        <v>34</v>
      </c>
      <c r="R1166" s="8">
        <v>2.8166199999999999</v>
      </c>
      <c r="S1166">
        <v>10</v>
      </c>
      <c r="T1166" s="8">
        <f t="shared" si="130"/>
        <v>0.29411764705882354</v>
      </c>
      <c r="U1166" s="8">
        <v>2.8092100000000002</v>
      </c>
      <c r="V1166">
        <v>15</v>
      </c>
      <c r="W1166" s="8">
        <f t="shared" si="131"/>
        <v>0.44117647058823528</v>
      </c>
      <c r="X1166" s="8">
        <v>2.8019099999999999</v>
      </c>
      <c r="Y1166">
        <v>9</v>
      </c>
      <c r="Z1166" s="8">
        <f t="shared" si="132"/>
        <v>0.26470588235294118</v>
      </c>
      <c r="AA1166" s="8">
        <v>2.84937</v>
      </c>
    </row>
    <row r="1167" spans="1:27" ht="15" customHeight="1" x14ac:dyDescent="0.25">
      <c r="A1167" s="14">
        <v>347</v>
      </c>
      <c r="B1167" s="14">
        <v>347</v>
      </c>
      <c r="C1167" s="36">
        <v>-12270.021699999999</v>
      </c>
      <c r="D1167" s="16">
        <v>-12271.433219</v>
      </c>
      <c r="E1167" s="14"/>
      <c r="F1167" s="37">
        <v>0.99608799999999997</v>
      </c>
      <c r="G1167" s="16">
        <v>0.18676999999999999</v>
      </c>
      <c r="H1167" s="14">
        <v>6</v>
      </c>
      <c r="I1167" s="14">
        <v>7</v>
      </c>
      <c r="J1167" s="32"/>
      <c r="K1167" s="8">
        <f t="shared" si="126"/>
        <v>-0.86436923076871608</v>
      </c>
      <c r="L1167" s="8">
        <f t="shared" si="127"/>
        <v>-6.6489940828362779E-2</v>
      </c>
      <c r="M1167" s="8">
        <f t="shared" si="128"/>
        <v>-0.79962684615384205</v>
      </c>
      <c r="N1167" s="8">
        <f t="shared" si="129"/>
        <v>-6.1509757396449385E-2</v>
      </c>
      <c r="O1167" s="8"/>
      <c r="P1167" t="s">
        <v>1454</v>
      </c>
      <c r="Q1167">
        <v>35</v>
      </c>
      <c r="R1167" s="8">
        <v>2.8274699999999999</v>
      </c>
      <c r="S1167">
        <v>10</v>
      </c>
      <c r="T1167" s="8">
        <f t="shared" si="130"/>
        <v>0.2857142857142857</v>
      </c>
      <c r="U1167" s="8">
        <v>2.81196</v>
      </c>
      <c r="V1167">
        <v>15</v>
      </c>
      <c r="W1167" s="8">
        <f t="shared" si="131"/>
        <v>0.42857142857142855</v>
      </c>
      <c r="X1167" s="8">
        <v>2.8096100000000002</v>
      </c>
      <c r="Y1167">
        <v>10</v>
      </c>
      <c r="Z1167" s="8">
        <f t="shared" si="132"/>
        <v>0.2857142857142857</v>
      </c>
      <c r="AA1167" s="8">
        <v>2.8697499999999998</v>
      </c>
    </row>
    <row r="1168" spans="1:27" ht="15" customHeight="1" x14ac:dyDescent="0.25">
      <c r="A1168" s="14">
        <v>348</v>
      </c>
      <c r="B1168" s="14">
        <v>348</v>
      </c>
      <c r="C1168" s="36">
        <v>-12270.217699999999</v>
      </c>
      <c r="D1168" s="16">
        <v>-12271.637658</v>
      </c>
      <c r="E1168" s="14"/>
      <c r="F1168" s="37">
        <v>0.99747300000000005</v>
      </c>
      <c r="G1168" s="16">
        <v>0.20016</v>
      </c>
      <c r="H1168" s="14">
        <v>6</v>
      </c>
      <c r="I1168" s="14">
        <v>7</v>
      </c>
      <c r="J1168" s="32"/>
      <c r="K1168" s="8">
        <f t="shared" si="126"/>
        <v>-1.0603692307686288</v>
      </c>
      <c r="L1168" s="8">
        <f t="shared" si="127"/>
        <v>-8.1566863905279133E-2</v>
      </c>
      <c r="M1168" s="8">
        <f t="shared" si="128"/>
        <v>-1.0040658461530256</v>
      </c>
      <c r="N1168" s="8">
        <f t="shared" si="129"/>
        <v>-7.7235834319463514E-2</v>
      </c>
      <c r="O1168" s="8"/>
      <c r="P1168" t="s">
        <v>1455</v>
      </c>
      <c r="Q1168">
        <v>34</v>
      </c>
      <c r="R1168" s="8">
        <v>2.82037</v>
      </c>
      <c r="S1168">
        <v>9</v>
      </c>
      <c r="T1168" s="8">
        <f t="shared" si="130"/>
        <v>0.26470588235294118</v>
      </c>
      <c r="U1168" s="8">
        <v>2.80253</v>
      </c>
      <c r="V1168">
        <v>18</v>
      </c>
      <c r="W1168" s="8">
        <f t="shared" si="131"/>
        <v>0.52941176470588236</v>
      </c>
      <c r="X1168" s="8">
        <v>2.8194699999999999</v>
      </c>
      <c r="Y1168">
        <v>7</v>
      </c>
      <c r="Z1168" s="8">
        <f t="shared" si="132"/>
        <v>0.20588235294117646</v>
      </c>
      <c r="AA1168" s="8">
        <v>2.8456299999999999</v>
      </c>
    </row>
    <row r="1169" spans="1:27" ht="15" customHeight="1" x14ac:dyDescent="0.25">
      <c r="A1169" s="14">
        <v>349</v>
      </c>
      <c r="B1169" s="14">
        <v>349</v>
      </c>
      <c r="C1169" s="36">
        <v>-12269.776690000001</v>
      </c>
      <c r="D1169" s="16">
        <v>-12271.455620000001</v>
      </c>
      <c r="E1169" s="14"/>
      <c r="F1169" s="37">
        <v>0.99398699999999995</v>
      </c>
      <c r="G1169" s="16">
        <v>0.174179999999999</v>
      </c>
      <c r="H1169" s="14">
        <v>6</v>
      </c>
      <c r="I1169" s="14">
        <v>7</v>
      </c>
      <c r="J1169" s="32"/>
      <c r="K1169" s="8">
        <f t="shared" si="126"/>
        <v>-0.61935923076998733</v>
      </c>
      <c r="L1169" s="8">
        <f t="shared" si="127"/>
        <v>-4.7643017751537488E-2</v>
      </c>
      <c r="M1169" s="8">
        <f t="shared" si="128"/>
        <v>-0.8220278461540147</v>
      </c>
      <c r="N1169" s="8">
        <f t="shared" si="129"/>
        <v>-6.3232911242616513E-2</v>
      </c>
      <c r="O1169" s="8"/>
      <c r="P1169" t="s">
        <v>1456</v>
      </c>
      <c r="Q1169">
        <v>37</v>
      </c>
      <c r="R1169" s="8">
        <v>2.8453400000000002</v>
      </c>
      <c r="S1169">
        <v>13</v>
      </c>
      <c r="T1169" s="8">
        <f t="shared" si="130"/>
        <v>0.35135135135135137</v>
      </c>
      <c r="U1169" s="8">
        <v>2.8247399999999998</v>
      </c>
      <c r="V1169">
        <v>15</v>
      </c>
      <c r="W1169" s="8">
        <f t="shared" si="131"/>
        <v>0.40540540540540543</v>
      </c>
      <c r="X1169" s="8">
        <v>2.8841999999999999</v>
      </c>
      <c r="Y1169">
        <v>9</v>
      </c>
      <c r="Z1169" s="8">
        <f t="shared" si="132"/>
        <v>0.24324324324324326</v>
      </c>
      <c r="AA1169" s="8">
        <v>2.81033</v>
      </c>
    </row>
    <row r="1170" spans="1:27" ht="15" customHeight="1" x14ac:dyDescent="0.25">
      <c r="A1170" s="14">
        <v>350</v>
      </c>
      <c r="B1170" s="14">
        <v>350</v>
      </c>
      <c r="C1170" s="36">
        <v>-12270.12</v>
      </c>
      <c r="D1170" s="16">
        <v>-12271.715437000001</v>
      </c>
      <c r="E1170" s="14"/>
      <c r="F1170" s="37">
        <v>0.99646299999999999</v>
      </c>
      <c r="G1170" s="16">
        <v>0.18994</v>
      </c>
      <c r="H1170" s="14">
        <v>6</v>
      </c>
      <c r="I1170" s="14">
        <v>7</v>
      </c>
      <c r="J1170" s="32"/>
      <c r="K1170" s="8">
        <f t="shared" si="126"/>
        <v>-0.96266923077018873</v>
      </c>
      <c r="L1170" s="8">
        <f t="shared" si="127"/>
        <v>-7.4051479290014516E-2</v>
      </c>
      <c r="M1170" s="8">
        <f t="shared" si="128"/>
        <v>-1.0818448461541266</v>
      </c>
      <c r="N1170" s="8">
        <f t="shared" si="129"/>
        <v>-8.3218834319548199E-2</v>
      </c>
      <c r="O1170" s="8"/>
      <c r="P1170" t="s">
        <v>1457</v>
      </c>
      <c r="Q1170">
        <v>34</v>
      </c>
      <c r="R1170" s="8">
        <v>2.8188</v>
      </c>
      <c r="S1170">
        <v>10</v>
      </c>
      <c r="T1170" s="8">
        <f t="shared" si="130"/>
        <v>0.29411764705882354</v>
      </c>
      <c r="U1170" s="8">
        <v>2.8457699999999999</v>
      </c>
      <c r="V1170">
        <v>17</v>
      </c>
      <c r="W1170" s="8">
        <f t="shared" si="131"/>
        <v>0.5</v>
      </c>
      <c r="X1170" s="8">
        <v>2.7864599999999999</v>
      </c>
      <c r="Y1170">
        <v>7</v>
      </c>
      <c r="Z1170" s="8">
        <f t="shared" si="132"/>
        <v>0.20588235294117646</v>
      </c>
      <c r="AA1170" s="8">
        <v>2.8588200000000001</v>
      </c>
    </row>
    <row r="1171" spans="1:27" ht="15" customHeight="1" x14ac:dyDescent="0.25">
      <c r="A1171" s="14">
        <v>351</v>
      </c>
      <c r="B1171" s="14">
        <v>351</v>
      </c>
      <c r="C1171" s="36">
        <v>-12270.2237</v>
      </c>
      <c r="D1171" s="16">
        <v>-12271.651951</v>
      </c>
      <c r="E1171" s="14"/>
      <c r="F1171" s="37">
        <v>0.99535899999999999</v>
      </c>
      <c r="G1171" s="16">
        <v>0.18190000000000001</v>
      </c>
      <c r="H1171" s="14">
        <v>6</v>
      </c>
      <c r="I1171" s="14">
        <v>7</v>
      </c>
      <c r="J1171" s="32"/>
      <c r="K1171" s="8">
        <f t="shared" si="126"/>
        <v>-1.0663692307698511</v>
      </c>
      <c r="L1171" s="8">
        <f t="shared" si="127"/>
        <v>-8.2028402366911626E-2</v>
      </c>
      <c r="M1171" s="8">
        <f t="shared" si="128"/>
        <v>-1.0183588461532054</v>
      </c>
      <c r="N1171" s="8">
        <f t="shared" si="129"/>
        <v>-7.8335295857938872E-2</v>
      </c>
      <c r="O1171" s="8"/>
      <c r="P1171" t="s">
        <v>1458</v>
      </c>
      <c r="Q1171">
        <v>35</v>
      </c>
      <c r="R1171" s="8">
        <v>2.83325</v>
      </c>
      <c r="S1171">
        <v>9</v>
      </c>
      <c r="T1171" s="8">
        <f t="shared" si="130"/>
        <v>0.25714285714285712</v>
      </c>
      <c r="U1171" s="8">
        <v>2.81386</v>
      </c>
      <c r="V1171">
        <v>19</v>
      </c>
      <c r="W1171" s="8">
        <f t="shared" si="131"/>
        <v>0.54285714285714282</v>
      </c>
      <c r="X1171" s="8">
        <v>2.8230400000000002</v>
      </c>
      <c r="Y1171">
        <v>7</v>
      </c>
      <c r="Z1171" s="8">
        <f t="shared" si="132"/>
        <v>0.2</v>
      </c>
      <c r="AA1171" s="8">
        <v>2.8858999999999999</v>
      </c>
    </row>
    <row r="1172" spans="1:27" ht="15" customHeight="1" x14ac:dyDescent="0.25">
      <c r="A1172" s="14">
        <v>352</v>
      </c>
      <c r="B1172" s="14">
        <v>352</v>
      </c>
      <c r="C1172" s="36">
        <v>-12270.3891</v>
      </c>
      <c r="D1172" s="16">
        <v>-12271.794512</v>
      </c>
      <c r="E1172" s="14"/>
      <c r="F1172" s="37">
        <v>0.996722</v>
      </c>
      <c r="G1172" s="16">
        <v>0.19234000000000001</v>
      </c>
      <c r="H1172" s="14">
        <v>6</v>
      </c>
      <c r="I1172" s="14">
        <v>7</v>
      </c>
      <c r="J1172" s="32"/>
      <c r="K1172" s="8">
        <f t="shared" si="126"/>
        <v>-1.2317692307697143</v>
      </c>
      <c r="L1172" s="8">
        <f t="shared" si="127"/>
        <v>-9.4751479289978027E-2</v>
      </c>
      <c r="M1172" s="8">
        <f t="shared" si="128"/>
        <v>-1.1609198461537744</v>
      </c>
      <c r="N1172" s="8">
        <f t="shared" si="129"/>
        <v>-8.9301526627213412E-2</v>
      </c>
      <c r="O1172" s="8"/>
      <c r="P1172" t="s">
        <v>1459</v>
      </c>
      <c r="Q1172">
        <v>34</v>
      </c>
      <c r="R1172" s="8">
        <v>2.8174000000000001</v>
      </c>
      <c r="S1172">
        <v>8</v>
      </c>
      <c r="T1172" s="8">
        <f t="shared" si="130"/>
        <v>0.23529411764705882</v>
      </c>
      <c r="U1172" s="8">
        <v>2.79779</v>
      </c>
      <c r="V1172">
        <v>18</v>
      </c>
      <c r="W1172" s="8">
        <f t="shared" si="131"/>
        <v>0.52941176470588236</v>
      </c>
      <c r="X1172" s="8">
        <v>2.8043499999999999</v>
      </c>
      <c r="Y1172">
        <v>8</v>
      </c>
      <c r="Z1172" s="8">
        <f t="shared" si="132"/>
        <v>0.23529411764705882</v>
      </c>
      <c r="AA1172" s="8">
        <v>2.8663599999999998</v>
      </c>
    </row>
    <row r="1173" spans="1:27" ht="15" customHeight="1" x14ac:dyDescent="0.25">
      <c r="A1173" s="14">
        <v>353</v>
      </c>
      <c r="B1173" s="14">
        <v>353</v>
      </c>
      <c r="C1173" s="36">
        <v>-12270.0499</v>
      </c>
      <c r="D1173" s="16">
        <v>-12271.599853</v>
      </c>
      <c r="E1173" s="14"/>
      <c r="F1173" s="37">
        <v>0.99666299999999997</v>
      </c>
      <c r="G1173" s="16">
        <v>0.19200999999999899</v>
      </c>
      <c r="H1173" s="14">
        <v>6</v>
      </c>
      <c r="I1173" s="14">
        <v>7</v>
      </c>
      <c r="J1173" s="32"/>
      <c r="K1173" s="8">
        <f t="shared" si="126"/>
        <v>-0.892569230769368</v>
      </c>
      <c r="L1173" s="8">
        <f t="shared" si="127"/>
        <v>-6.8659171597643689E-2</v>
      </c>
      <c r="M1173" s="8">
        <f t="shared" si="128"/>
        <v>-0.96626084615309082</v>
      </c>
      <c r="N1173" s="8">
        <f t="shared" si="129"/>
        <v>-7.4327757396391608E-2</v>
      </c>
      <c r="O1173" s="8"/>
      <c r="P1173" t="s">
        <v>1460</v>
      </c>
      <c r="Q1173">
        <v>34</v>
      </c>
      <c r="R1173" s="8">
        <v>2.8139400000000001</v>
      </c>
      <c r="S1173">
        <v>11</v>
      </c>
      <c r="T1173" s="8">
        <f t="shared" si="130"/>
        <v>0.3235294117647059</v>
      </c>
      <c r="U1173" s="8">
        <v>2.81656</v>
      </c>
      <c r="V1173">
        <v>16</v>
      </c>
      <c r="W1173" s="8">
        <f t="shared" si="131"/>
        <v>0.47058823529411764</v>
      </c>
      <c r="X1173" s="8">
        <v>2.8129400000000002</v>
      </c>
      <c r="Y1173">
        <v>7</v>
      </c>
      <c r="Z1173" s="8">
        <f t="shared" si="132"/>
        <v>0.20588235294117646</v>
      </c>
      <c r="AA1173" s="8">
        <v>2.8121200000000002</v>
      </c>
    </row>
    <row r="1174" spans="1:27" ht="15" customHeight="1" x14ac:dyDescent="0.25">
      <c r="A1174" s="14">
        <v>354</v>
      </c>
      <c r="B1174" s="14">
        <v>354</v>
      </c>
      <c r="C1174" s="36">
        <v>-12270.228300000001</v>
      </c>
      <c r="D1174" s="16">
        <v>-12271.798971</v>
      </c>
      <c r="E1174" s="14"/>
      <c r="F1174" s="37">
        <v>0.99683900000000003</v>
      </c>
      <c r="G1174" s="16">
        <v>0.19347</v>
      </c>
      <c r="H1174" s="14">
        <v>6</v>
      </c>
      <c r="I1174" s="14">
        <v>7</v>
      </c>
      <c r="J1174" s="32"/>
      <c r="K1174" s="8">
        <f t="shared" si="126"/>
        <v>-1.0709692307700607</v>
      </c>
      <c r="L1174" s="8">
        <f t="shared" si="127"/>
        <v>-8.2382248520773901E-2</v>
      </c>
      <c r="M1174" s="8">
        <f t="shared" si="128"/>
        <v>-1.1653788461535441</v>
      </c>
      <c r="N1174" s="8">
        <f t="shared" si="129"/>
        <v>-8.96445266271957E-2</v>
      </c>
      <c r="O1174" s="8"/>
      <c r="P1174" t="s">
        <v>1461</v>
      </c>
      <c r="Q1174">
        <v>34</v>
      </c>
      <c r="R1174" s="8">
        <v>2.8165499999999999</v>
      </c>
      <c r="S1174">
        <v>10</v>
      </c>
      <c r="T1174" s="8">
        <f t="shared" si="130"/>
        <v>0.29411764705882354</v>
      </c>
      <c r="U1174" s="8">
        <v>2.8188399999999998</v>
      </c>
      <c r="V1174">
        <v>17</v>
      </c>
      <c r="W1174" s="8">
        <f t="shared" si="131"/>
        <v>0.5</v>
      </c>
      <c r="X1174" s="8">
        <v>2.8139400000000001</v>
      </c>
      <c r="Y1174">
        <v>7</v>
      </c>
      <c r="Z1174" s="8">
        <f t="shared" si="132"/>
        <v>0.20588235294117646</v>
      </c>
      <c r="AA1174" s="8">
        <v>2.81962</v>
      </c>
    </row>
    <row r="1175" spans="1:27" ht="15" customHeight="1" x14ac:dyDescent="0.25">
      <c r="A1175" s="14">
        <v>355</v>
      </c>
      <c r="B1175" s="14">
        <v>355</v>
      </c>
      <c r="C1175" s="36">
        <v>-12270.3637</v>
      </c>
      <c r="D1175" s="16">
        <v>-12271.741738000001</v>
      </c>
      <c r="E1175" s="14"/>
      <c r="F1175" s="37">
        <v>0.99728099999999997</v>
      </c>
      <c r="G1175" s="16">
        <v>0.19796999999999901</v>
      </c>
      <c r="H1175" s="14">
        <v>6</v>
      </c>
      <c r="I1175" s="14">
        <v>7</v>
      </c>
      <c r="J1175" s="32"/>
      <c r="K1175" s="8">
        <f t="shared" si="126"/>
        <v>-1.2063692307692691</v>
      </c>
      <c r="L1175" s="8">
        <f t="shared" si="127"/>
        <v>-9.2797633136097624E-2</v>
      </c>
      <c r="M1175" s="8">
        <f t="shared" si="128"/>
        <v>-1.1081458461540024</v>
      </c>
      <c r="N1175" s="8">
        <f t="shared" si="129"/>
        <v>-8.5241988165692492E-2</v>
      </c>
      <c r="O1175" s="8"/>
      <c r="P1175" t="s">
        <v>1462</v>
      </c>
      <c r="Q1175">
        <v>34</v>
      </c>
      <c r="R1175" s="8">
        <v>2.8197100000000002</v>
      </c>
      <c r="S1175">
        <v>8</v>
      </c>
      <c r="T1175" s="8">
        <f t="shared" si="130"/>
        <v>0.23529411764705882</v>
      </c>
      <c r="U1175" s="8">
        <v>2.7835899999999998</v>
      </c>
      <c r="V1175">
        <v>19</v>
      </c>
      <c r="W1175" s="8">
        <f t="shared" si="131"/>
        <v>0.55882352941176472</v>
      </c>
      <c r="X1175" s="8">
        <v>2.8094600000000001</v>
      </c>
      <c r="Y1175">
        <v>7</v>
      </c>
      <c r="Z1175" s="8">
        <f t="shared" si="132"/>
        <v>0.20588235294117646</v>
      </c>
      <c r="AA1175" s="8">
        <v>2.8888199999999999</v>
      </c>
    </row>
    <row r="1176" spans="1:27" ht="15" customHeight="1" x14ac:dyDescent="0.25">
      <c r="A1176" s="14">
        <v>356</v>
      </c>
      <c r="B1176" s="14">
        <v>356</v>
      </c>
      <c r="C1176" s="36">
        <v>-12269.857900000001</v>
      </c>
      <c r="D1176" s="16">
        <v>-12271.292751000001</v>
      </c>
      <c r="E1176" s="14"/>
      <c r="F1176" s="37">
        <v>0.99587199999999998</v>
      </c>
      <c r="G1176" s="16">
        <v>0.18550999999999901</v>
      </c>
      <c r="H1176" s="14">
        <v>6</v>
      </c>
      <c r="I1176" s="14">
        <v>7</v>
      </c>
      <c r="J1176" s="32"/>
      <c r="K1176" s="8">
        <f t="shared" si="126"/>
        <v>-0.70056923077027022</v>
      </c>
      <c r="L1176" s="8">
        <f t="shared" si="127"/>
        <v>-5.3889940828482322E-2</v>
      </c>
      <c r="M1176" s="8">
        <f t="shared" si="128"/>
        <v>-0.65915884615424147</v>
      </c>
      <c r="N1176" s="8">
        <f t="shared" si="129"/>
        <v>-5.0704526627249343E-2</v>
      </c>
      <c r="O1176" s="8"/>
      <c r="P1176" t="s">
        <v>1463</v>
      </c>
      <c r="Q1176">
        <v>35</v>
      </c>
      <c r="R1176" s="8">
        <v>2.8281200000000002</v>
      </c>
      <c r="S1176">
        <v>12</v>
      </c>
      <c r="T1176" s="8">
        <f t="shared" si="130"/>
        <v>0.34285714285714286</v>
      </c>
      <c r="U1176" s="8">
        <v>2.8398500000000002</v>
      </c>
      <c r="V1176">
        <v>15</v>
      </c>
      <c r="W1176" s="8">
        <f t="shared" si="131"/>
        <v>0.42857142857142855</v>
      </c>
      <c r="X1176" s="8">
        <v>2.81745</v>
      </c>
      <c r="Y1176">
        <v>8</v>
      </c>
      <c r="Z1176" s="8">
        <f t="shared" si="132"/>
        <v>0.22857142857142856</v>
      </c>
      <c r="AA1176" s="8">
        <v>2.83053</v>
      </c>
    </row>
    <row r="1177" spans="1:27" ht="15" customHeight="1" x14ac:dyDescent="0.25">
      <c r="A1177" s="14">
        <v>357</v>
      </c>
      <c r="B1177" s="14">
        <v>357</v>
      </c>
      <c r="C1177" s="36">
        <v>-12270.2402</v>
      </c>
      <c r="D1177" s="16">
        <v>-12271.830857999999</v>
      </c>
      <c r="E1177" s="14"/>
      <c r="F1177" s="37">
        <v>0.99746800000000002</v>
      </c>
      <c r="G1177" s="16">
        <v>0.20013</v>
      </c>
      <c r="H1177" s="14">
        <v>6</v>
      </c>
      <c r="I1177" s="14">
        <v>7</v>
      </c>
      <c r="J1177" s="32"/>
      <c r="K1177" s="8">
        <f t="shared" si="126"/>
        <v>-1.0828692307695746</v>
      </c>
      <c r="L1177" s="8">
        <f t="shared" si="127"/>
        <v>-8.3297633136121124E-2</v>
      </c>
      <c r="M1177" s="8">
        <f t="shared" si="128"/>
        <v>-1.1972658461527317</v>
      </c>
      <c r="N1177" s="8">
        <f t="shared" si="129"/>
        <v>-9.2097372780979361E-2</v>
      </c>
      <c r="O1177" s="8"/>
      <c r="P1177" t="s">
        <v>1464</v>
      </c>
      <c r="Q1177">
        <v>36</v>
      </c>
      <c r="R1177" s="8">
        <v>2.8440500000000002</v>
      </c>
      <c r="S1177">
        <v>8</v>
      </c>
      <c r="T1177" s="8">
        <f t="shared" si="130"/>
        <v>0.22222222222222221</v>
      </c>
      <c r="U1177" s="8">
        <v>2.82619</v>
      </c>
      <c r="V1177">
        <v>21</v>
      </c>
      <c r="W1177" s="8">
        <f t="shared" si="131"/>
        <v>0.58333333333333337</v>
      </c>
      <c r="X1177" s="8">
        <v>2.8327900000000001</v>
      </c>
      <c r="Y1177">
        <v>7</v>
      </c>
      <c r="Z1177" s="8">
        <f t="shared" si="132"/>
        <v>0.19444444444444445</v>
      </c>
      <c r="AA1177" s="8">
        <v>2.8982600000000001</v>
      </c>
    </row>
    <row r="1178" spans="1:27" ht="15" customHeight="1" x14ac:dyDescent="0.25">
      <c r="A1178" s="14">
        <v>358</v>
      </c>
      <c r="B1178" s="14">
        <v>358</v>
      </c>
      <c r="C1178" s="36">
        <v>-12270.156800000001</v>
      </c>
      <c r="D1178" s="16">
        <v>-12271.606166</v>
      </c>
      <c r="E1178" s="14"/>
      <c r="F1178" s="37">
        <v>0.99556100000000003</v>
      </c>
      <c r="G1178" s="16">
        <v>0.18325</v>
      </c>
      <c r="H1178" s="14">
        <v>6</v>
      </c>
      <c r="I1178" s="14">
        <v>7</v>
      </c>
      <c r="J1178" s="32"/>
      <c r="K1178" s="8">
        <f t="shared" si="126"/>
        <v>-0.99946923077004612</v>
      </c>
      <c r="L1178" s="8">
        <f t="shared" si="127"/>
        <v>-7.6882248520772772E-2</v>
      </c>
      <c r="M1178" s="8">
        <f t="shared" si="128"/>
        <v>-0.9725738461529545</v>
      </c>
      <c r="N1178" s="8">
        <f t="shared" si="129"/>
        <v>-7.4813372780996507E-2</v>
      </c>
      <c r="O1178" s="8"/>
      <c r="P1178" t="s">
        <v>1465</v>
      </c>
      <c r="Q1178">
        <v>34</v>
      </c>
      <c r="R1178" s="8">
        <v>2.8149500000000001</v>
      </c>
      <c r="S1178">
        <v>9</v>
      </c>
      <c r="T1178" s="8">
        <f t="shared" si="130"/>
        <v>0.26470588235294118</v>
      </c>
      <c r="U1178" s="8">
        <v>2.79175</v>
      </c>
      <c r="V1178">
        <v>19</v>
      </c>
      <c r="W1178" s="8">
        <f t="shared" si="131"/>
        <v>0.55882352941176472</v>
      </c>
      <c r="X1178" s="8">
        <v>2.8292199999999998</v>
      </c>
      <c r="Y1178">
        <v>6</v>
      </c>
      <c r="Z1178" s="8">
        <f t="shared" si="132"/>
        <v>0.17647058823529413</v>
      </c>
      <c r="AA1178" s="8">
        <v>2.8045599999999999</v>
      </c>
    </row>
    <row r="1179" spans="1:27" ht="15" customHeight="1" x14ac:dyDescent="0.25">
      <c r="A1179" s="14">
        <v>359</v>
      </c>
      <c r="B1179" s="14">
        <v>359</v>
      </c>
      <c r="C1179" s="36">
        <v>-12270.3001</v>
      </c>
      <c r="D1179" s="16">
        <v>-12271.848690000001</v>
      </c>
      <c r="E1179" s="14"/>
      <c r="F1179" s="37">
        <v>0.99632200000000004</v>
      </c>
      <c r="G1179" s="16">
        <v>0.18887000000000001</v>
      </c>
      <c r="H1179" s="14">
        <v>6</v>
      </c>
      <c r="I1179" s="14">
        <v>7</v>
      </c>
      <c r="J1179" s="32"/>
      <c r="K1179" s="8">
        <f t="shared" si="126"/>
        <v>-1.1427692307697725</v>
      </c>
      <c r="L1179" s="8">
        <f t="shared" si="127"/>
        <v>-8.7905325443828661E-2</v>
      </c>
      <c r="M1179" s="8">
        <f t="shared" si="128"/>
        <v>-1.2150978461540944</v>
      </c>
      <c r="N1179" s="8">
        <f t="shared" si="129"/>
        <v>-9.346906508877649E-2</v>
      </c>
      <c r="O1179" s="8"/>
      <c r="P1179" t="s">
        <v>1466</v>
      </c>
      <c r="Q1179">
        <v>35</v>
      </c>
      <c r="R1179" s="8">
        <v>2.8255699999999999</v>
      </c>
      <c r="S1179">
        <v>8</v>
      </c>
      <c r="T1179" s="8">
        <f t="shared" si="130"/>
        <v>0.22857142857142856</v>
      </c>
      <c r="U1179" s="8">
        <v>2.79454</v>
      </c>
      <c r="V1179">
        <v>20</v>
      </c>
      <c r="W1179" s="8">
        <f t="shared" si="131"/>
        <v>0.5714285714285714</v>
      </c>
      <c r="X1179" s="8">
        <v>2.8136999999999999</v>
      </c>
      <c r="Y1179">
        <v>7</v>
      </c>
      <c r="Z1179" s="8">
        <f t="shared" si="132"/>
        <v>0.2</v>
      </c>
      <c r="AA1179" s="8">
        <v>2.8949699999999998</v>
      </c>
    </row>
    <row r="1180" spans="1:27" ht="15" customHeight="1" x14ac:dyDescent="0.25">
      <c r="A1180" s="14">
        <v>360</v>
      </c>
      <c r="B1180" s="14">
        <v>360</v>
      </c>
      <c r="C1180" s="36">
        <v>-12269.936299999999</v>
      </c>
      <c r="D1180" s="16">
        <v>-12271.42402</v>
      </c>
      <c r="E1180" s="14"/>
      <c r="F1180" s="37">
        <v>0.99433800000000006</v>
      </c>
      <c r="G1180" s="16">
        <v>0.17594000000000001</v>
      </c>
      <c r="H1180" s="14">
        <v>6</v>
      </c>
      <c r="I1180" s="14">
        <v>7</v>
      </c>
      <c r="J1180" s="32"/>
      <c r="K1180" s="8">
        <f t="shared" si="126"/>
        <v>-0.77896923076878011</v>
      </c>
      <c r="L1180" s="8">
        <f t="shared" si="127"/>
        <v>-5.9920710059136933E-2</v>
      </c>
      <c r="M1180" s="8">
        <f t="shared" si="128"/>
        <v>-0.79042784615376149</v>
      </c>
      <c r="N1180" s="8">
        <f t="shared" si="129"/>
        <v>-6.0802142011827806E-2</v>
      </c>
      <c r="O1180" s="8"/>
      <c r="P1180" t="s">
        <v>1467</v>
      </c>
      <c r="Q1180">
        <v>34</v>
      </c>
      <c r="R1180" s="8">
        <v>2.81372</v>
      </c>
      <c r="S1180">
        <v>11</v>
      </c>
      <c r="T1180" s="8">
        <f t="shared" si="130"/>
        <v>0.3235294117647059</v>
      </c>
      <c r="U1180" s="8">
        <v>2.8273299999999999</v>
      </c>
      <c r="V1180">
        <v>17</v>
      </c>
      <c r="W1180" s="8">
        <f t="shared" si="131"/>
        <v>0.5</v>
      </c>
      <c r="X1180" s="8">
        <v>2.8087499999999999</v>
      </c>
      <c r="Y1180">
        <v>6</v>
      </c>
      <c r="Z1180" s="8">
        <f t="shared" si="132"/>
        <v>0.17647058823529413</v>
      </c>
      <c r="AA1180" s="8">
        <v>2.8028300000000002</v>
      </c>
    </row>
    <row r="1181" spans="1:27" ht="15" customHeight="1" x14ac:dyDescent="0.25">
      <c r="A1181" s="14">
        <v>361</v>
      </c>
      <c r="B1181" s="14">
        <v>361</v>
      </c>
      <c r="C1181" s="36">
        <v>-12270.0119</v>
      </c>
      <c r="D1181" s="16">
        <v>-12271.457805</v>
      </c>
      <c r="E1181" s="14"/>
      <c r="F1181" s="37">
        <v>0.996502</v>
      </c>
      <c r="G1181" s="16">
        <v>0.19051000000000001</v>
      </c>
      <c r="H1181" s="14">
        <v>6</v>
      </c>
      <c r="I1181" s="14">
        <v>7</v>
      </c>
      <c r="J1181" s="32"/>
      <c r="K1181" s="8">
        <f t="shared" si="126"/>
        <v>-0.85456923076890234</v>
      </c>
      <c r="L1181" s="8">
        <f t="shared" si="127"/>
        <v>-6.5736094674530954E-2</v>
      </c>
      <c r="M1181" s="8">
        <f t="shared" si="128"/>
        <v>-0.82421284615338664</v>
      </c>
      <c r="N1181" s="8">
        <f t="shared" si="129"/>
        <v>-6.3400988165645128E-2</v>
      </c>
      <c r="O1181" s="8"/>
      <c r="P1181" t="s">
        <v>1468</v>
      </c>
      <c r="Q1181">
        <v>36</v>
      </c>
      <c r="R1181" s="8">
        <v>2.8385500000000001</v>
      </c>
      <c r="S1181">
        <v>11</v>
      </c>
      <c r="T1181" s="8">
        <f t="shared" si="130"/>
        <v>0.30555555555555558</v>
      </c>
      <c r="U1181" s="8">
        <v>2.8148</v>
      </c>
      <c r="V1181">
        <v>13</v>
      </c>
      <c r="W1181" s="8">
        <f t="shared" si="131"/>
        <v>0.3611111111111111</v>
      </c>
      <c r="X1181" s="8">
        <v>2.81894</v>
      </c>
      <c r="Y1181">
        <v>12</v>
      </c>
      <c r="Z1181" s="8">
        <f t="shared" si="132"/>
        <v>0.33333333333333331</v>
      </c>
      <c r="AA1181" s="8">
        <v>2.88157</v>
      </c>
    </row>
    <row r="1182" spans="1:27" ht="15" customHeight="1" x14ac:dyDescent="0.25">
      <c r="A1182" s="14">
        <v>362</v>
      </c>
      <c r="B1182" s="14">
        <v>362</v>
      </c>
      <c r="C1182" s="36">
        <v>-12270.259400000001</v>
      </c>
      <c r="D1182" s="16">
        <v>-12271.844035</v>
      </c>
      <c r="E1182" s="14"/>
      <c r="F1182" s="37">
        <v>0.99034500000000003</v>
      </c>
      <c r="G1182" s="16">
        <v>0.15986999999999901</v>
      </c>
      <c r="H1182" s="14">
        <v>6</v>
      </c>
      <c r="I1182" s="14">
        <v>7</v>
      </c>
      <c r="J1182" s="32"/>
      <c r="K1182" s="8">
        <f t="shared" si="126"/>
        <v>-1.102069230770212</v>
      </c>
      <c r="L1182" s="8">
        <f t="shared" si="127"/>
        <v>-8.4774556213093238E-2</v>
      </c>
      <c r="M1182" s="8">
        <f t="shared" si="128"/>
        <v>-1.2104428461534553</v>
      </c>
      <c r="N1182" s="8">
        <f t="shared" si="129"/>
        <v>-9.3110988165650416E-2</v>
      </c>
      <c r="O1182" s="8"/>
      <c r="P1182" t="s">
        <v>1469</v>
      </c>
      <c r="Q1182">
        <v>34</v>
      </c>
      <c r="R1182" s="8">
        <v>2.8197800000000002</v>
      </c>
      <c r="S1182">
        <v>9</v>
      </c>
      <c r="T1182" s="8">
        <f t="shared" si="130"/>
        <v>0.26470588235294118</v>
      </c>
      <c r="U1182" s="8">
        <v>2.7866900000000001</v>
      </c>
      <c r="V1182">
        <v>17</v>
      </c>
      <c r="W1182" s="8">
        <f t="shared" si="131"/>
        <v>0.5</v>
      </c>
      <c r="X1182" s="8">
        <v>2.8207300000000002</v>
      </c>
      <c r="Y1182">
        <v>8</v>
      </c>
      <c r="Z1182" s="8">
        <f t="shared" si="132"/>
        <v>0.23529411764705882</v>
      </c>
      <c r="AA1182" s="8">
        <v>2.8549899999999999</v>
      </c>
    </row>
    <row r="1183" spans="1:27" ht="15" customHeight="1" x14ac:dyDescent="0.25">
      <c r="A1183" s="14">
        <v>363</v>
      </c>
      <c r="B1183" s="14">
        <v>363</v>
      </c>
      <c r="C1183" s="36">
        <v>-12270.282800000001</v>
      </c>
      <c r="D1183" s="16">
        <v>-12271.702343000001</v>
      </c>
      <c r="E1183" s="14"/>
      <c r="F1183" s="37">
        <v>0.99711300000000003</v>
      </c>
      <c r="G1183" s="16">
        <v>0.19622999999999899</v>
      </c>
      <c r="H1183" s="14">
        <v>6</v>
      </c>
      <c r="I1183" s="14">
        <v>7</v>
      </c>
      <c r="J1183" s="32"/>
      <c r="K1183" s="8">
        <f t="shared" si="126"/>
        <v>-1.1254692307702499</v>
      </c>
      <c r="L1183" s="8">
        <f t="shared" si="127"/>
        <v>-8.6574556213096149E-2</v>
      </c>
      <c r="M1183" s="8">
        <f t="shared" si="128"/>
        <v>-1.0687508461542166</v>
      </c>
      <c r="N1183" s="8">
        <f t="shared" si="129"/>
        <v>-8.221160355032435E-2</v>
      </c>
      <c r="O1183" s="8"/>
      <c r="P1183" t="s">
        <v>1470</v>
      </c>
      <c r="Q1183">
        <v>34</v>
      </c>
      <c r="R1183" s="8">
        <v>2.82341</v>
      </c>
      <c r="S1183">
        <v>9</v>
      </c>
      <c r="T1183" s="8">
        <f t="shared" si="130"/>
        <v>0.26470588235294118</v>
      </c>
      <c r="U1183" s="8">
        <v>2.8006700000000002</v>
      </c>
      <c r="V1183">
        <v>18</v>
      </c>
      <c r="W1183" s="8">
        <f t="shared" si="131"/>
        <v>0.52941176470588236</v>
      </c>
      <c r="X1183" s="8">
        <v>2.81629</v>
      </c>
      <c r="Y1183">
        <v>7</v>
      </c>
      <c r="Z1183" s="8">
        <f t="shared" si="132"/>
        <v>0.20588235294117646</v>
      </c>
      <c r="AA1183" s="8">
        <v>2.87094</v>
      </c>
    </row>
    <row r="1184" spans="1:27" ht="15" customHeight="1" x14ac:dyDescent="0.25">
      <c r="A1184" s="14">
        <v>364</v>
      </c>
      <c r="B1184" s="14">
        <v>364</v>
      </c>
      <c r="C1184" s="36">
        <v>-12269.925300000001</v>
      </c>
      <c r="D1184" s="16">
        <v>-12271.539934</v>
      </c>
      <c r="E1184" s="14"/>
      <c r="F1184" s="37">
        <v>0.99607100000000004</v>
      </c>
      <c r="G1184" s="16">
        <v>0.17935999999999999</v>
      </c>
      <c r="H1184" s="14">
        <v>6</v>
      </c>
      <c r="I1184" s="14">
        <v>7</v>
      </c>
      <c r="J1184" s="32"/>
      <c r="K1184" s="8">
        <f t="shared" si="126"/>
        <v>-0.76796923077017709</v>
      </c>
      <c r="L1184" s="8">
        <f t="shared" si="127"/>
        <v>-5.9074556213090545E-2</v>
      </c>
      <c r="M1184" s="8">
        <f t="shared" si="128"/>
        <v>-0.9063418461537367</v>
      </c>
      <c r="N1184" s="8">
        <f t="shared" si="129"/>
        <v>-6.9718603550287445E-2</v>
      </c>
      <c r="O1184" s="8"/>
      <c r="P1184" t="s">
        <v>1471</v>
      </c>
      <c r="Q1184">
        <v>35</v>
      </c>
      <c r="R1184" s="8">
        <v>2.83466</v>
      </c>
      <c r="S1184">
        <v>11</v>
      </c>
      <c r="T1184" s="8">
        <f t="shared" si="130"/>
        <v>0.31428571428571428</v>
      </c>
      <c r="U1184" s="8">
        <v>2.8058200000000002</v>
      </c>
      <c r="V1184">
        <v>14</v>
      </c>
      <c r="W1184" s="8">
        <f t="shared" si="131"/>
        <v>0.4</v>
      </c>
      <c r="X1184" s="8">
        <v>2.8364500000000001</v>
      </c>
      <c r="Y1184">
        <v>10</v>
      </c>
      <c r="Z1184" s="8">
        <f t="shared" si="132"/>
        <v>0.2857142857142857</v>
      </c>
      <c r="AA1184" s="8">
        <v>2.8638699999999999</v>
      </c>
    </row>
    <row r="1185" spans="1:27" ht="15" customHeight="1" x14ac:dyDescent="0.25">
      <c r="A1185" s="14">
        <v>365</v>
      </c>
      <c r="B1185" s="14">
        <v>365</v>
      </c>
      <c r="C1185" s="36">
        <v>-12270.015299999999</v>
      </c>
      <c r="D1185" s="16">
        <v>-12271.584219</v>
      </c>
      <c r="E1185" s="14"/>
      <c r="F1185" s="37">
        <v>0.99294000000000004</v>
      </c>
      <c r="G1185" s="16">
        <v>0.16929999999999901</v>
      </c>
      <c r="H1185" s="14">
        <v>6</v>
      </c>
      <c r="I1185" s="14">
        <v>7</v>
      </c>
      <c r="J1185" s="32"/>
      <c r="K1185" s="8">
        <f t="shared" si="126"/>
        <v>-0.85796923076850362</v>
      </c>
      <c r="L1185" s="8">
        <f t="shared" si="127"/>
        <v>-6.5997633136038736E-2</v>
      </c>
      <c r="M1185" s="8">
        <f t="shared" si="128"/>
        <v>-0.95062684615368198</v>
      </c>
      <c r="N1185" s="8">
        <f t="shared" si="129"/>
        <v>-7.3125142011821687E-2</v>
      </c>
      <c r="O1185" s="8"/>
      <c r="P1185" t="s">
        <v>1472</v>
      </c>
      <c r="Q1185">
        <v>33</v>
      </c>
      <c r="R1185" s="8">
        <v>2.8100900000000002</v>
      </c>
      <c r="S1185">
        <v>10</v>
      </c>
      <c r="T1185" s="8">
        <f t="shared" si="130"/>
        <v>0.30303030303030304</v>
      </c>
      <c r="U1185" s="8">
        <v>2.8015500000000002</v>
      </c>
      <c r="V1185">
        <v>15</v>
      </c>
      <c r="W1185" s="8">
        <f t="shared" si="131"/>
        <v>0.45454545454545453</v>
      </c>
      <c r="X1185" s="8">
        <v>2.8004500000000001</v>
      </c>
      <c r="Y1185">
        <v>8</v>
      </c>
      <c r="Z1185" s="8">
        <f t="shared" si="132"/>
        <v>0.24242424242424243</v>
      </c>
      <c r="AA1185" s="8">
        <v>2.8388200000000001</v>
      </c>
    </row>
    <row r="1186" spans="1:27" ht="15" customHeight="1" x14ac:dyDescent="0.25">
      <c r="A1186" s="14">
        <v>366</v>
      </c>
      <c r="B1186" s="14">
        <v>366</v>
      </c>
      <c r="C1186" s="36">
        <v>-12270.5314</v>
      </c>
      <c r="D1186" s="16">
        <v>-12271.887962999999</v>
      </c>
      <c r="E1186" s="14"/>
      <c r="F1186" s="37">
        <v>0.99670899999999996</v>
      </c>
      <c r="G1186" s="16">
        <v>0.19217000000000001</v>
      </c>
      <c r="H1186" s="14">
        <v>6</v>
      </c>
      <c r="I1186" s="14">
        <v>7</v>
      </c>
      <c r="J1186" s="32"/>
      <c r="K1186" s="8">
        <f t="shared" si="126"/>
        <v>-1.374069230769237</v>
      </c>
      <c r="L1186" s="8">
        <f t="shared" si="127"/>
        <v>-0.10569763313609516</v>
      </c>
      <c r="M1186" s="8">
        <f t="shared" si="128"/>
        <v>-1.2543708461525966</v>
      </c>
      <c r="N1186" s="8">
        <f t="shared" si="129"/>
        <v>-9.6490065088661287E-2</v>
      </c>
      <c r="O1186" s="8"/>
      <c r="P1186" t="s">
        <v>1473</v>
      </c>
      <c r="Q1186">
        <v>32</v>
      </c>
      <c r="R1186" s="8">
        <v>2.7966299999999999</v>
      </c>
      <c r="S1186">
        <v>7</v>
      </c>
      <c r="T1186" s="8">
        <f t="shared" si="130"/>
        <v>0.21875</v>
      </c>
      <c r="U1186" s="8">
        <v>2.8018900000000002</v>
      </c>
      <c r="V1186">
        <v>19</v>
      </c>
      <c r="W1186" s="8">
        <f t="shared" si="131"/>
        <v>0.59375</v>
      </c>
      <c r="X1186" s="8">
        <v>2.7892999999999999</v>
      </c>
      <c r="Y1186">
        <v>6</v>
      </c>
      <c r="Z1186" s="8">
        <f t="shared" si="132"/>
        <v>0.1875</v>
      </c>
      <c r="AA1186" s="8">
        <v>2.81372</v>
      </c>
    </row>
    <row r="1187" spans="1:27" ht="15" customHeight="1" x14ac:dyDescent="0.25">
      <c r="A1187" s="14">
        <v>367</v>
      </c>
      <c r="B1187" s="14">
        <v>367</v>
      </c>
      <c r="C1187" s="36">
        <v>-12270.1991</v>
      </c>
      <c r="D1187" s="16">
        <v>-12271.741137999999</v>
      </c>
      <c r="E1187" s="14"/>
      <c r="F1187" s="37">
        <v>0.997336</v>
      </c>
      <c r="G1187" s="16">
        <v>0.19864999999999899</v>
      </c>
      <c r="H1187" s="14">
        <v>6</v>
      </c>
      <c r="I1187" s="14">
        <v>7</v>
      </c>
      <c r="J1187" s="32"/>
      <c r="K1187" s="8">
        <f t="shared" si="126"/>
        <v>-1.041769230769205</v>
      </c>
      <c r="L1187" s="8">
        <f t="shared" si="127"/>
        <v>-8.0136094674554237E-2</v>
      </c>
      <c r="M1187" s="8">
        <f t="shared" si="128"/>
        <v>-1.1075458461527887</v>
      </c>
      <c r="N1187" s="8">
        <f t="shared" si="129"/>
        <v>-8.5195834319445288E-2</v>
      </c>
      <c r="O1187" s="8"/>
      <c r="P1187" t="s">
        <v>1474</v>
      </c>
      <c r="Q1187">
        <v>34</v>
      </c>
      <c r="R1187" s="8">
        <v>2.8147799999999998</v>
      </c>
      <c r="S1187">
        <v>9</v>
      </c>
      <c r="T1187" s="8">
        <f t="shared" si="130"/>
        <v>0.26470588235294118</v>
      </c>
      <c r="U1187" s="8">
        <v>2.7902</v>
      </c>
      <c r="V1187">
        <v>18</v>
      </c>
      <c r="W1187" s="8">
        <f t="shared" si="131"/>
        <v>0.52941176470588236</v>
      </c>
      <c r="X1187" s="8">
        <v>2.8171300000000001</v>
      </c>
      <c r="Y1187">
        <v>7</v>
      </c>
      <c r="Z1187" s="8">
        <f t="shared" si="132"/>
        <v>0.20588235294117646</v>
      </c>
      <c r="AA1187" s="8">
        <v>2.84036</v>
      </c>
    </row>
    <row r="1188" spans="1:27" ht="15" customHeight="1" x14ac:dyDescent="0.25">
      <c r="A1188" s="14">
        <v>368</v>
      </c>
      <c r="B1188" s="14">
        <v>368</v>
      </c>
      <c r="C1188" s="36">
        <v>-12270.3105</v>
      </c>
      <c r="D1188" s="16">
        <v>-12271.879305</v>
      </c>
      <c r="E1188" s="14"/>
      <c r="F1188" s="37">
        <v>0.99787700000000001</v>
      </c>
      <c r="G1188" s="16">
        <v>0.20541000000000001</v>
      </c>
      <c r="H1188" s="14">
        <v>6</v>
      </c>
      <c r="I1188" s="14">
        <v>7</v>
      </c>
      <c r="J1188" s="32"/>
      <c r="K1188" s="8">
        <f t="shared" si="126"/>
        <v>-1.1531692307689809</v>
      </c>
      <c r="L1188" s="8">
        <f t="shared" si="127"/>
        <v>-8.870532544376776E-2</v>
      </c>
      <c r="M1188" s="8">
        <f t="shared" si="128"/>
        <v>-1.245712846153765</v>
      </c>
      <c r="N1188" s="8">
        <f t="shared" si="129"/>
        <v>-9.5824065088751159E-2</v>
      </c>
      <c r="O1188" s="8"/>
      <c r="P1188" t="s">
        <v>1475</v>
      </c>
      <c r="Q1188">
        <v>35</v>
      </c>
      <c r="R1188" s="8">
        <v>2.8294199999999998</v>
      </c>
      <c r="S1188">
        <v>9</v>
      </c>
      <c r="T1188" s="8">
        <f t="shared" si="130"/>
        <v>0.25714285714285712</v>
      </c>
      <c r="U1188" s="8">
        <v>2.8393999999999999</v>
      </c>
      <c r="V1188">
        <v>20</v>
      </c>
      <c r="W1188" s="8">
        <f t="shared" si="131"/>
        <v>0.5714285714285714</v>
      </c>
      <c r="X1188" s="8">
        <v>2.81813</v>
      </c>
      <c r="Y1188">
        <v>6</v>
      </c>
      <c r="Z1188" s="8">
        <f t="shared" si="132"/>
        <v>0.17142857142857143</v>
      </c>
      <c r="AA1188" s="8">
        <v>2.85209</v>
      </c>
    </row>
    <row r="1189" spans="1:27" ht="15" customHeight="1" x14ac:dyDescent="0.25">
      <c r="A1189" s="14">
        <v>369</v>
      </c>
      <c r="B1189" s="14">
        <v>369</v>
      </c>
      <c r="C1189" s="36">
        <v>-12269.959699999999</v>
      </c>
      <c r="D1189" s="16">
        <v>-12271.451145999999</v>
      </c>
      <c r="E1189" s="14"/>
      <c r="F1189" s="37">
        <v>0.99216000000000004</v>
      </c>
      <c r="G1189" s="16">
        <v>0.16611999999999899</v>
      </c>
      <c r="H1189" s="14">
        <v>6</v>
      </c>
      <c r="I1189" s="14">
        <v>7</v>
      </c>
      <c r="J1189" s="32"/>
      <c r="K1189" s="8">
        <f t="shared" si="126"/>
        <v>-0.80236923076881794</v>
      </c>
      <c r="L1189" s="8">
        <f t="shared" si="127"/>
        <v>-6.1720710059139844E-2</v>
      </c>
      <c r="M1189" s="8">
        <f t="shared" si="128"/>
        <v>-0.81755384615280491</v>
      </c>
      <c r="N1189" s="8">
        <f t="shared" si="129"/>
        <v>-6.2888757396369607E-2</v>
      </c>
      <c r="O1189" s="8"/>
      <c r="P1189" t="s">
        <v>1476</v>
      </c>
      <c r="Q1189">
        <v>32</v>
      </c>
      <c r="R1189" s="8">
        <v>2.7993700000000001</v>
      </c>
      <c r="S1189">
        <v>10</v>
      </c>
      <c r="T1189" s="8">
        <f t="shared" si="130"/>
        <v>0.3125</v>
      </c>
      <c r="U1189" s="8">
        <v>2.8026399999999998</v>
      </c>
      <c r="V1189">
        <v>15</v>
      </c>
      <c r="W1189" s="8">
        <f t="shared" si="131"/>
        <v>0.46875</v>
      </c>
      <c r="X1189" s="8">
        <v>2.7701500000000001</v>
      </c>
      <c r="Y1189">
        <v>7</v>
      </c>
      <c r="Z1189" s="8">
        <f t="shared" si="132"/>
        <v>0.21875</v>
      </c>
      <c r="AA1189" s="8">
        <v>2.8572899999999999</v>
      </c>
    </row>
    <row r="1190" spans="1:27" ht="15" customHeight="1" x14ac:dyDescent="0.25">
      <c r="A1190" s="14">
        <v>370</v>
      </c>
      <c r="B1190" s="14">
        <v>370</v>
      </c>
      <c r="C1190" s="36">
        <v>-12270.248799999999</v>
      </c>
      <c r="D1190" s="16">
        <v>-12271.98849</v>
      </c>
      <c r="E1190" s="14"/>
      <c r="F1190" s="37">
        <v>0.99790599999999996</v>
      </c>
      <c r="G1190" s="16">
        <v>0.20594999999999999</v>
      </c>
      <c r="H1190" s="14">
        <v>6</v>
      </c>
      <c r="I1190" s="14">
        <v>7</v>
      </c>
      <c r="J1190" s="32"/>
      <c r="K1190" s="8">
        <f t="shared" si="126"/>
        <v>-1.0914692307687801</v>
      </c>
      <c r="L1190" s="8">
        <f t="shared" si="127"/>
        <v>-8.395917159759847E-2</v>
      </c>
      <c r="M1190" s="8">
        <f t="shared" si="128"/>
        <v>-1.3548978461531078</v>
      </c>
      <c r="N1190" s="8">
        <f t="shared" si="129"/>
        <v>-0.10422291124254676</v>
      </c>
      <c r="O1190" s="8"/>
      <c r="P1190" t="s">
        <v>1477</v>
      </c>
      <c r="Q1190">
        <v>34</v>
      </c>
      <c r="R1190" s="8">
        <v>2.8128600000000001</v>
      </c>
      <c r="S1190">
        <v>9</v>
      </c>
      <c r="T1190" s="8">
        <f t="shared" si="130"/>
        <v>0.26470588235294118</v>
      </c>
      <c r="U1190" s="8">
        <v>2.80389</v>
      </c>
      <c r="V1190">
        <v>17</v>
      </c>
      <c r="W1190" s="8">
        <f t="shared" si="131"/>
        <v>0.5</v>
      </c>
      <c r="X1190" s="8">
        <v>2.8035000000000001</v>
      </c>
      <c r="Y1190">
        <v>8</v>
      </c>
      <c r="Z1190" s="8">
        <f t="shared" si="132"/>
        <v>0.23529411764705882</v>
      </c>
      <c r="AA1190" s="8">
        <v>2.8428399999999998</v>
      </c>
    </row>
    <row r="1191" spans="1:27" ht="15" customHeight="1" x14ac:dyDescent="0.25">
      <c r="A1191" s="14">
        <v>371</v>
      </c>
      <c r="B1191" s="14">
        <v>371</v>
      </c>
      <c r="C1191" s="36">
        <v>-12270.2739</v>
      </c>
      <c r="D1191" s="16">
        <v>-12271.833193</v>
      </c>
      <c r="E1191" s="14"/>
      <c r="F1191" s="37">
        <v>0.996479</v>
      </c>
      <c r="G1191" s="16">
        <v>0.19025999999999901</v>
      </c>
      <c r="H1191" s="14">
        <v>6</v>
      </c>
      <c r="I1191" s="14">
        <v>7</v>
      </c>
      <c r="J1191" s="32"/>
      <c r="K1191" s="8">
        <f t="shared" si="126"/>
        <v>-1.1165692307695281</v>
      </c>
      <c r="L1191" s="8">
        <f t="shared" si="127"/>
        <v>-8.5889940828425243E-2</v>
      </c>
      <c r="M1191" s="8">
        <f t="shared" si="128"/>
        <v>-1.1996008461537713</v>
      </c>
      <c r="N1191" s="8">
        <f t="shared" si="129"/>
        <v>-9.2276988165674714E-2</v>
      </c>
      <c r="O1191" s="8"/>
      <c r="P1191" t="s">
        <v>1478</v>
      </c>
      <c r="Q1191">
        <v>34</v>
      </c>
      <c r="R1191" s="8">
        <v>2.8153100000000002</v>
      </c>
      <c r="S1191">
        <v>8</v>
      </c>
      <c r="T1191" s="8">
        <f t="shared" si="130"/>
        <v>0.23529411764705882</v>
      </c>
      <c r="U1191" s="8">
        <v>2.7997700000000001</v>
      </c>
      <c r="V1191">
        <v>18</v>
      </c>
      <c r="W1191" s="8">
        <f t="shared" si="131"/>
        <v>0.52941176470588236</v>
      </c>
      <c r="X1191" s="8">
        <v>2.8019599999999998</v>
      </c>
      <c r="Y1191">
        <v>8</v>
      </c>
      <c r="Z1191" s="8">
        <f t="shared" si="132"/>
        <v>0.23529411764705882</v>
      </c>
      <c r="AA1191" s="8">
        <v>2.8609</v>
      </c>
    </row>
    <row r="1192" spans="1:27" ht="15" customHeight="1" x14ac:dyDescent="0.25">
      <c r="A1192" s="14">
        <v>372</v>
      </c>
      <c r="B1192" s="14">
        <v>372</v>
      </c>
      <c r="C1192" s="36">
        <v>-12270.251200000001</v>
      </c>
      <c r="D1192" s="16">
        <v>-12271.969712</v>
      </c>
      <c r="E1192" s="14"/>
      <c r="F1192" s="37">
        <v>0.99758400000000003</v>
      </c>
      <c r="G1192" s="16">
        <v>0.20127999999999999</v>
      </c>
      <c r="H1192" s="14">
        <v>6</v>
      </c>
      <c r="I1192" s="14">
        <v>7</v>
      </c>
      <c r="J1192" s="32"/>
      <c r="K1192" s="8">
        <f t="shared" si="126"/>
        <v>-1.0938692307699966</v>
      </c>
      <c r="L1192" s="8">
        <f t="shared" si="127"/>
        <v>-8.4143786982307428E-2</v>
      </c>
      <c r="M1192" s="8">
        <f t="shared" si="128"/>
        <v>-1.3361198461534514</v>
      </c>
      <c r="N1192" s="8">
        <f t="shared" si="129"/>
        <v>-0.10277844970411164</v>
      </c>
      <c r="O1192" s="8"/>
      <c r="P1192" t="s">
        <v>1479</v>
      </c>
      <c r="Q1192">
        <v>34</v>
      </c>
      <c r="R1192" s="8">
        <v>2.8270599999999999</v>
      </c>
      <c r="S1192">
        <v>9</v>
      </c>
      <c r="T1192" s="8">
        <f t="shared" si="130"/>
        <v>0.26470588235294118</v>
      </c>
      <c r="U1192" s="8">
        <v>2.8339099999999999</v>
      </c>
      <c r="V1192">
        <v>18</v>
      </c>
      <c r="W1192" s="8">
        <f t="shared" si="131"/>
        <v>0.52941176470588236</v>
      </c>
      <c r="X1192" s="8">
        <v>2.80077</v>
      </c>
      <c r="Y1192">
        <v>7</v>
      </c>
      <c r="Z1192" s="8">
        <f t="shared" si="132"/>
        <v>0.20588235294117646</v>
      </c>
      <c r="AA1192" s="8">
        <v>2.88584</v>
      </c>
    </row>
    <row r="1193" spans="1:27" ht="15" customHeight="1" x14ac:dyDescent="0.25">
      <c r="A1193" s="14">
        <v>373</v>
      </c>
      <c r="B1193" s="14">
        <v>373</v>
      </c>
      <c r="C1193" s="36">
        <v>-12270.0543</v>
      </c>
      <c r="D1193" s="16">
        <v>-12271.529349</v>
      </c>
      <c r="E1193" s="14"/>
      <c r="F1193" s="37">
        <v>0.99583900000000003</v>
      </c>
      <c r="G1193" s="16">
        <v>0.18517999999999901</v>
      </c>
      <c r="H1193" s="14">
        <v>6</v>
      </c>
      <c r="I1193" s="14">
        <v>7</v>
      </c>
      <c r="J1193" s="32"/>
      <c r="K1193" s="8">
        <f t="shared" si="126"/>
        <v>-0.89696923076917301</v>
      </c>
      <c r="L1193" s="8">
        <f t="shared" si="127"/>
        <v>-6.8997633136090225E-2</v>
      </c>
      <c r="M1193" s="8">
        <f t="shared" si="128"/>
        <v>-0.89575684615374485</v>
      </c>
      <c r="N1193" s="8">
        <f t="shared" si="129"/>
        <v>-6.8904372781057294E-2</v>
      </c>
      <c r="O1193" s="8"/>
      <c r="P1193" t="s">
        <v>1480</v>
      </c>
      <c r="Q1193">
        <v>34</v>
      </c>
      <c r="R1193" s="8">
        <v>2.8167399999999998</v>
      </c>
      <c r="S1193">
        <v>11</v>
      </c>
      <c r="T1193" s="8">
        <f t="shared" si="130"/>
        <v>0.3235294117647059</v>
      </c>
      <c r="U1193" s="8">
        <v>2.8160799999999999</v>
      </c>
      <c r="V1193">
        <v>15</v>
      </c>
      <c r="W1193" s="8">
        <f t="shared" si="131"/>
        <v>0.44117647058823528</v>
      </c>
      <c r="X1193" s="8">
        <v>2.8214899999999998</v>
      </c>
      <c r="Y1193">
        <v>8</v>
      </c>
      <c r="Z1193" s="8">
        <f t="shared" si="132"/>
        <v>0.23529411764705882</v>
      </c>
      <c r="AA1193" s="8">
        <v>2.8087399999999998</v>
      </c>
    </row>
    <row r="1194" spans="1:27" ht="15" customHeight="1" x14ac:dyDescent="0.25">
      <c r="A1194" s="14">
        <v>374</v>
      </c>
      <c r="B1194" s="14">
        <v>374</v>
      </c>
      <c r="C1194" s="36">
        <v>-12270.126099999999</v>
      </c>
      <c r="D1194" s="16">
        <v>-12271.564791000001</v>
      </c>
      <c r="E1194" s="14"/>
      <c r="F1194" s="37">
        <v>0.99741199999999997</v>
      </c>
      <c r="G1194" s="16">
        <v>0.19955999999999999</v>
      </c>
      <c r="H1194" s="14">
        <v>6</v>
      </c>
      <c r="I1194" s="14">
        <v>7</v>
      </c>
      <c r="J1194" s="32"/>
      <c r="K1194" s="8">
        <f t="shared" si="126"/>
        <v>-0.96876923076888488</v>
      </c>
      <c r="L1194" s="8">
        <f t="shared" si="127"/>
        <v>-7.4520710059144984E-2</v>
      </c>
      <c r="M1194" s="8">
        <f t="shared" si="128"/>
        <v>-0.931198846154075</v>
      </c>
      <c r="N1194" s="8">
        <f t="shared" si="129"/>
        <v>-7.1630680473390385E-2</v>
      </c>
      <c r="O1194" s="8"/>
      <c r="P1194" t="s">
        <v>1481</v>
      </c>
      <c r="Q1194">
        <v>34</v>
      </c>
      <c r="R1194" s="8">
        <v>2.8210999999999999</v>
      </c>
      <c r="S1194">
        <v>10</v>
      </c>
      <c r="T1194" s="8">
        <f t="shared" si="130"/>
        <v>0.29411764705882354</v>
      </c>
      <c r="U1194" s="8">
        <v>2.8426200000000001</v>
      </c>
      <c r="V1194">
        <v>17</v>
      </c>
      <c r="W1194" s="8">
        <f t="shared" si="131"/>
        <v>0.5</v>
      </c>
      <c r="X1194" s="8">
        <v>2.78518</v>
      </c>
      <c r="Y1194">
        <v>7</v>
      </c>
      <c r="Z1194" s="8">
        <f t="shared" si="132"/>
        <v>0.20588235294117646</v>
      </c>
      <c r="AA1194" s="8">
        <v>2.87757</v>
      </c>
    </row>
    <row r="1195" spans="1:27" ht="15" customHeight="1" x14ac:dyDescent="0.25">
      <c r="A1195" s="14">
        <v>375</v>
      </c>
      <c r="B1195" s="14">
        <v>375</v>
      </c>
      <c r="C1195" s="36">
        <v>-12270.2793</v>
      </c>
      <c r="D1195" s="16">
        <v>-12272.050203999999</v>
      </c>
      <c r="E1195" s="14"/>
      <c r="F1195" s="37">
        <v>0.99751599999999996</v>
      </c>
      <c r="G1195" s="16">
        <v>0.20072000000000001</v>
      </c>
      <c r="H1195" s="14">
        <v>6</v>
      </c>
      <c r="I1195" s="14">
        <v>7</v>
      </c>
      <c r="J1195" s="32"/>
      <c r="K1195" s="8">
        <f t="shared" si="126"/>
        <v>-1.1219692307695368</v>
      </c>
      <c r="L1195" s="8">
        <f t="shared" si="127"/>
        <v>-8.6305325443810518E-2</v>
      </c>
      <c r="M1195" s="8">
        <f t="shared" si="128"/>
        <v>-1.4166118461525912</v>
      </c>
      <c r="N1195" s="8">
        <f t="shared" si="129"/>
        <v>-0.10897014201173778</v>
      </c>
      <c r="O1195" s="8"/>
      <c r="P1195" t="s">
        <v>1482</v>
      </c>
      <c r="Q1195">
        <v>34</v>
      </c>
      <c r="R1195" s="8">
        <v>2.8239299999999998</v>
      </c>
      <c r="S1195">
        <v>7</v>
      </c>
      <c r="T1195" s="8">
        <f t="shared" si="130"/>
        <v>0.20588235294117646</v>
      </c>
      <c r="U1195" s="8">
        <v>2.8553799999999998</v>
      </c>
      <c r="V1195">
        <v>22</v>
      </c>
      <c r="W1195" s="8">
        <f t="shared" si="131"/>
        <v>0.6470588235294118</v>
      </c>
      <c r="X1195" s="8">
        <v>2.8035999999999999</v>
      </c>
      <c r="Y1195">
        <v>5</v>
      </c>
      <c r="Z1195" s="8">
        <f t="shared" si="132"/>
        <v>0.14705882352941177</v>
      </c>
      <c r="AA1195" s="8">
        <v>2.8693599999999999</v>
      </c>
    </row>
    <row r="1196" spans="1:27" ht="15" customHeight="1" x14ac:dyDescent="0.25">
      <c r="A1196" s="14">
        <v>376</v>
      </c>
      <c r="B1196" s="14">
        <v>376</v>
      </c>
      <c r="C1196" s="36">
        <v>-12270.2963</v>
      </c>
      <c r="D1196" s="16">
        <v>-12272.095749</v>
      </c>
      <c r="E1196" s="14"/>
      <c r="F1196" s="37">
        <v>0.99670999999999998</v>
      </c>
      <c r="G1196" s="16">
        <v>0.19227</v>
      </c>
      <c r="H1196" s="14">
        <v>6</v>
      </c>
      <c r="I1196" s="14">
        <v>7</v>
      </c>
      <c r="J1196" s="32"/>
      <c r="K1196" s="8">
        <f t="shared" si="126"/>
        <v>-1.1389692307693622</v>
      </c>
      <c r="L1196" s="8">
        <f t="shared" si="127"/>
        <v>-8.76130177514894E-2</v>
      </c>
      <c r="M1196" s="8">
        <f t="shared" si="128"/>
        <v>-1.462156846153448</v>
      </c>
      <c r="N1196" s="8">
        <f t="shared" si="129"/>
        <v>-0.11247360355026523</v>
      </c>
      <c r="O1196" s="8"/>
      <c r="P1196" t="s">
        <v>1483</v>
      </c>
      <c r="Q1196">
        <v>34</v>
      </c>
      <c r="R1196" s="8">
        <v>2.8169</v>
      </c>
      <c r="S1196">
        <v>8</v>
      </c>
      <c r="T1196" s="8">
        <f t="shared" si="130"/>
        <v>0.23529411764705882</v>
      </c>
      <c r="U1196" s="8">
        <v>2.8063600000000002</v>
      </c>
      <c r="V1196">
        <v>18</v>
      </c>
      <c r="W1196" s="8">
        <f t="shared" si="131"/>
        <v>0.52941176470588236</v>
      </c>
      <c r="X1196" s="8">
        <v>2.7951100000000002</v>
      </c>
      <c r="Y1196">
        <v>8</v>
      </c>
      <c r="Z1196" s="8">
        <f t="shared" si="132"/>
        <v>0.23529411764705882</v>
      </c>
      <c r="AA1196" s="8">
        <v>2.87649</v>
      </c>
    </row>
    <row r="1197" spans="1:27" ht="15" customHeight="1" x14ac:dyDescent="0.25">
      <c r="A1197" s="14">
        <v>377</v>
      </c>
      <c r="B1197" s="14">
        <v>377</v>
      </c>
      <c r="C1197" s="36">
        <v>-12270.183199999999</v>
      </c>
      <c r="D1197" s="16">
        <v>-12271.672008</v>
      </c>
      <c r="E1197" s="14"/>
      <c r="F1197" s="37">
        <v>0.99418700000000004</v>
      </c>
      <c r="G1197" s="16">
        <v>0.17513999999999999</v>
      </c>
      <c r="H1197" s="14">
        <v>6</v>
      </c>
      <c r="I1197" s="14">
        <v>7</v>
      </c>
      <c r="J1197" s="32"/>
      <c r="K1197" s="8">
        <f t="shared" si="126"/>
        <v>-1.0258692307688762</v>
      </c>
      <c r="L1197" s="8">
        <f t="shared" si="127"/>
        <v>-7.8913017751452014E-2</v>
      </c>
      <c r="M1197" s="8">
        <f t="shared" si="128"/>
        <v>-1.0384158461529296</v>
      </c>
      <c r="N1197" s="8">
        <f t="shared" si="129"/>
        <v>-7.9878142011763811E-2</v>
      </c>
      <c r="O1197" s="8"/>
      <c r="P1197" t="s">
        <v>1484</v>
      </c>
      <c r="Q1197">
        <v>34</v>
      </c>
      <c r="R1197" s="8">
        <v>2.8183799999999999</v>
      </c>
      <c r="S1197">
        <v>9</v>
      </c>
      <c r="T1197" s="8">
        <f t="shared" si="130"/>
        <v>0.26470588235294118</v>
      </c>
      <c r="U1197" s="8">
        <v>2.8282799999999999</v>
      </c>
      <c r="V1197">
        <v>19</v>
      </c>
      <c r="W1197" s="8">
        <f t="shared" si="131"/>
        <v>0.55882352941176472</v>
      </c>
      <c r="X1197" s="8">
        <v>2.8137699999999999</v>
      </c>
      <c r="Y1197">
        <v>6</v>
      </c>
      <c r="Z1197" s="8">
        <f t="shared" si="132"/>
        <v>0.17647058823529413</v>
      </c>
      <c r="AA1197" s="8">
        <v>2.81813</v>
      </c>
    </row>
    <row r="1198" spans="1:27" ht="15" customHeight="1" x14ac:dyDescent="0.25">
      <c r="A1198" s="14">
        <v>378</v>
      </c>
      <c r="B1198" s="14">
        <v>378</v>
      </c>
      <c r="C1198" s="36">
        <v>-12270.076800000001</v>
      </c>
      <c r="D1198" s="16">
        <v>-12271.734527000001</v>
      </c>
      <c r="E1198" s="14"/>
      <c r="F1198" s="37">
        <v>0.99348499999999995</v>
      </c>
      <c r="G1198" s="16">
        <v>0.17169999999999999</v>
      </c>
      <c r="H1198" s="14">
        <v>6</v>
      </c>
      <c r="I1198" s="14">
        <v>7</v>
      </c>
      <c r="J1198" s="32"/>
      <c r="K1198" s="8">
        <f t="shared" si="126"/>
        <v>-0.91946923077011888</v>
      </c>
      <c r="L1198" s="8">
        <f t="shared" si="127"/>
        <v>-7.0728402366932216E-2</v>
      </c>
      <c r="M1198" s="8">
        <f t="shared" si="128"/>
        <v>-1.1009348461539048</v>
      </c>
      <c r="N1198" s="8">
        <f t="shared" si="129"/>
        <v>-8.4687295857992673E-2</v>
      </c>
      <c r="O1198" s="8"/>
      <c r="P1198" t="s">
        <v>1485</v>
      </c>
      <c r="Q1198">
        <v>33</v>
      </c>
      <c r="R1198" s="8">
        <v>2.8107700000000002</v>
      </c>
      <c r="S1198">
        <v>9</v>
      </c>
      <c r="T1198" s="8">
        <f t="shared" si="130"/>
        <v>0.27272727272727271</v>
      </c>
      <c r="U1198" s="8">
        <v>2.8287900000000001</v>
      </c>
      <c r="V1198">
        <v>18</v>
      </c>
      <c r="W1198" s="8">
        <f t="shared" si="131"/>
        <v>0.54545454545454541</v>
      </c>
      <c r="X1198" s="8">
        <v>2.8029099999999998</v>
      </c>
      <c r="Y1198">
        <v>6</v>
      </c>
      <c r="Z1198" s="8">
        <f t="shared" si="132"/>
        <v>0.18181818181818182</v>
      </c>
      <c r="AA1198" s="8">
        <v>2.80735</v>
      </c>
    </row>
    <row r="1199" spans="1:27" ht="15" customHeight="1" x14ac:dyDescent="0.25">
      <c r="A1199" s="14">
        <v>379</v>
      </c>
      <c r="B1199" s="14">
        <v>379</v>
      </c>
      <c r="C1199" s="36">
        <v>-12270.4431</v>
      </c>
      <c r="D1199" s="16">
        <v>-12271.865518000001</v>
      </c>
      <c r="E1199" s="14"/>
      <c r="F1199" s="37">
        <v>0.99556299999999998</v>
      </c>
      <c r="G1199" s="16">
        <v>0.18326999999999899</v>
      </c>
      <c r="H1199" s="14">
        <v>6</v>
      </c>
      <c r="I1199" s="14">
        <v>7</v>
      </c>
      <c r="J1199" s="32"/>
      <c r="K1199" s="8">
        <f t="shared" si="126"/>
        <v>-1.2857692307698017</v>
      </c>
      <c r="L1199" s="8">
        <f t="shared" si="127"/>
        <v>-9.8905325443830891E-2</v>
      </c>
      <c r="M1199" s="8">
        <f t="shared" si="128"/>
        <v>-1.2319258461538993</v>
      </c>
      <c r="N1199" s="8">
        <f t="shared" si="129"/>
        <v>-9.4763526627223024E-2</v>
      </c>
      <c r="O1199" s="8"/>
      <c r="P1199" t="s">
        <v>1486</v>
      </c>
      <c r="Q1199">
        <v>34</v>
      </c>
      <c r="R1199" s="8">
        <v>2.8175699999999999</v>
      </c>
      <c r="S1199">
        <v>7</v>
      </c>
      <c r="T1199" s="8">
        <f t="shared" si="130"/>
        <v>0.20588235294117646</v>
      </c>
      <c r="U1199" s="8">
        <v>2.7858499999999999</v>
      </c>
      <c r="V1199">
        <v>21</v>
      </c>
      <c r="W1199" s="8">
        <f t="shared" si="131"/>
        <v>0.61764705882352944</v>
      </c>
      <c r="X1199" s="8">
        <v>2.8199000000000001</v>
      </c>
      <c r="Y1199">
        <v>6</v>
      </c>
      <c r="Z1199" s="8">
        <f t="shared" si="132"/>
        <v>0.17647058823529413</v>
      </c>
      <c r="AA1199" s="8">
        <v>2.8464399999999999</v>
      </c>
    </row>
    <row r="1200" spans="1:27" ht="15" customHeight="1" x14ac:dyDescent="0.25">
      <c r="A1200" s="14">
        <v>380</v>
      </c>
      <c r="B1200" s="14">
        <v>380</v>
      </c>
      <c r="C1200" s="36">
        <v>-12270.165199999999</v>
      </c>
      <c r="D1200" s="16">
        <v>-12271.688781999999</v>
      </c>
      <c r="E1200" s="14"/>
      <c r="F1200" s="37">
        <v>0.99687000000000003</v>
      </c>
      <c r="G1200" s="16">
        <v>0.19375999999999899</v>
      </c>
      <c r="H1200" s="14">
        <v>6</v>
      </c>
      <c r="I1200" s="14">
        <v>7</v>
      </c>
      <c r="J1200" s="32"/>
      <c r="K1200" s="8">
        <f t="shared" si="126"/>
        <v>-1.007869230768847</v>
      </c>
      <c r="L1200" s="8">
        <f t="shared" si="127"/>
        <v>-7.7528402366834392E-2</v>
      </c>
      <c r="M1200" s="8">
        <f t="shared" si="128"/>
        <v>-1.0551898461526434</v>
      </c>
      <c r="N1200" s="8">
        <f t="shared" si="129"/>
        <v>-8.1168449704049489E-2</v>
      </c>
      <c r="O1200" s="8"/>
      <c r="P1200" t="s">
        <v>1487</v>
      </c>
      <c r="Q1200">
        <v>32</v>
      </c>
      <c r="R1200" s="8">
        <v>2.79786</v>
      </c>
      <c r="S1200">
        <v>8</v>
      </c>
      <c r="T1200" s="8">
        <f t="shared" si="130"/>
        <v>0.25</v>
      </c>
      <c r="U1200" s="8">
        <v>2.8018800000000001</v>
      </c>
      <c r="V1200">
        <v>18</v>
      </c>
      <c r="W1200" s="8">
        <f t="shared" si="131"/>
        <v>0.5625</v>
      </c>
      <c r="X1200" s="8">
        <v>2.7849900000000001</v>
      </c>
      <c r="Y1200">
        <v>6</v>
      </c>
      <c r="Z1200" s="8">
        <f t="shared" si="132"/>
        <v>0.1875</v>
      </c>
      <c r="AA1200" s="8">
        <v>2.8311199999999999</v>
      </c>
    </row>
    <row r="1201" spans="1:27" ht="15" customHeight="1" x14ac:dyDescent="0.25">
      <c r="A1201" s="14">
        <v>381</v>
      </c>
      <c r="B1201" s="14">
        <v>381</v>
      </c>
      <c r="C1201" s="36">
        <v>-12270.281499999999</v>
      </c>
      <c r="D1201" s="16">
        <v>-12271.902271999999</v>
      </c>
      <c r="E1201" s="14"/>
      <c r="F1201" s="37">
        <v>0.99765300000000001</v>
      </c>
      <c r="G1201" s="16">
        <v>0.20241999999999999</v>
      </c>
      <c r="H1201" s="14">
        <v>6</v>
      </c>
      <c r="I1201" s="14">
        <v>7</v>
      </c>
      <c r="J1201" s="32"/>
      <c r="K1201" s="8">
        <f t="shared" si="126"/>
        <v>-1.1241692307685298</v>
      </c>
      <c r="L1201" s="8">
        <f t="shared" si="127"/>
        <v>-8.6474556212963835E-2</v>
      </c>
      <c r="M1201" s="8">
        <f t="shared" si="128"/>
        <v>-1.268679846152736</v>
      </c>
      <c r="N1201" s="8">
        <f t="shared" si="129"/>
        <v>-9.7590757396364303E-2</v>
      </c>
      <c r="O1201" s="8"/>
      <c r="P1201" t="s">
        <v>1488</v>
      </c>
      <c r="Q1201">
        <v>33</v>
      </c>
      <c r="R1201" s="8">
        <v>2.8082699999999998</v>
      </c>
      <c r="S1201">
        <v>7</v>
      </c>
      <c r="T1201" s="8">
        <f t="shared" si="130"/>
        <v>0.21212121212121213</v>
      </c>
      <c r="U1201" s="8">
        <v>2.82422</v>
      </c>
      <c r="V1201">
        <v>20</v>
      </c>
      <c r="W1201" s="8">
        <f t="shared" si="131"/>
        <v>0.60606060606060608</v>
      </c>
      <c r="X1201" s="8">
        <v>2.7824599999999999</v>
      </c>
      <c r="Y1201">
        <v>6</v>
      </c>
      <c r="Z1201" s="8">
        <f t="shared" si="132"/>
        <v>0.18181818181818182</v>
      </c>
      <c r="AA1201" s="8">
        <v>2.8757100000000002</v>
      </c>
    </row>
    <row r="1202" spans="1:27" ht="15" customHeight="1" x14ac:dyDescent="0.25">
      <c r="A1202" s="14">
        <v>382</v>
      </c>
      <c r="B1202" s="14">
        <v>382</v>
      </c>
      <c r="C1202" s="36">
        <v>-12270.259</v>
      </c>
      <c r="D1202" s="16">
        <v>-12271.711766</v>
      </c>
      <c r="E1202" s="14"/>
      <c r="F1202" s="37">
        <v>0.99697899999999995</v>
      </c>
      <c r="G1202" s="16">
        <v>0.19458999999999901</v>
      </c>
      <c r="H1202" s="14">
        <v>6</v>
      </c>
      <c r="I1202" s="14">
        <v>7</v>
      </c>
      <c r="J1202" s="32"/>
      <c r="K1202" s="8">
        <f t="shared" si="126"/>
        <v>-1.1016692307694029</v>
      </c>
      <c r="L1202" s="8">
        <f t="shared" si="127"/>
        <v>-8.474378698226176E-2</v>
      </c>
      <c r="M1202" s="8">
        <f t="shared" si="128"/>
        <v>-1.0781738461537316</v>
      </c>
      <c r="N1202" s="8">
        <f t="shared" si="129"/>
        <v>-8.2936449704133192E-2</v>
      </c>
      <c r="O1202" s="8"/>
      <c r="P1202" t="s">
        <v>1489</v>
      </c>
      <c r="Q1202">
        <v>34</v>
      </c>
      <c r="R1202" s="8">
        <v>2.81751</v>
      </c>
      <c r="S1202">
        <v>10</v>
      </c>
      <c r="T1202" s="8">
        <f t="shared" si="130"/>
        <v>0.29411764705882354</v>
      </c>
      <c r="U1202" s="8">
        <v>2.85914</v>
      </c>
      <c r="V1202">
        <v>19</v>
      </c>
      <c r="W1202" s="8">
        <f t="shared" si="131"/>
        <v>0.55882352941176472</v>
      </c>
      <c r="X1202" s="8">
        <v>2.7911999999999999</v>
      </c>
      <c r="Y1202">
        <v>5</v>
      </c>
      <c r="Z1202" s="8">
        <f t="shared" si="132"/>
        <v>0.14705882352941177</v>
      </c>
      <c r="AA1202" s="8">
        <v>2.8342200000000002</v>
      </c>
    </row>
    <row r="1203" spans="1:27" ht="15" customHeight="1" x14ac:dyDescent="0.25">
      <c r="A1203" s="14">
        <v>383</v>
      </c>
      <c r="B1203" s="14">
        <v>383</v>
      </c>
      <c r="C1203" s="36">
        <v>-12270.1281</v>
      </c>
      <c r="D1203" s="16">
        <v>-12271.563955</v>
      </c>
      <c r="E1203" s="14"/>
      <c r="F1203" s="37">
        <v>0.99635300000000004</v>
      </c>
      <c r="G1203" s="16">
        <v>0.18908999999999901</v>
      </c>
      <c r="H1203" s="14">
        <v>6</v>
      </c>
      <c r="I1203" s="14">
        <v>7</v>
      </c>
      <c r="J1203" s="32"/>
      <c r="K1203" s="8">
        <f t="shared" si="126"/>
        <v>-0.97076923076929234</v>
      </c>
      <c r="L1203" s="8">
        <f t="shared" si="127"/>
        <v>-7.4674556213022492E-2</v>
      </c>
      <c r="M1203" s="8">
        <f t="shared" si="128"/>
        <v>-0.93036284615300247</v>
      </c>
      <c r="N1203" s="8">
        <f t="shared" si="129"/>
        <v>-7.1566372781000184E-2</v>
      </c>
      <c r="O1203" s="8"/>
      <c r="P1203" t="s">
        <v>1490</v>
      </c>
      <c r="Q1203">
        <v>34</v>
      </c>
      <c r="R1203" s="8">
        <v>2.8174700000000001</v>
      </c>
      <c r="S1203">
        <v>10</v>
      </c>
      <c r="T1203" s="8">
        <f t="shared" si="130"/>
        <v>0.29411764705882354</v>
      </c>
      <c r="U1203" s="8">
        <v>2.7982399999999998</v>
      </c>
      <c r="V1203">
        <v>17</v>
      </c>
      <c r="W1203" s="8">
        <f t="shared" si="131"/>
        <v>0.5</v>
      </c>
      <c r="X1203" s="8">
        <v>2.8296399999999999</v>
      </c>
      <c r="Y1203">
        <v>7</v>
      </c>
      <c r="Z1203" s="8">
        <f t="shared" si="132"/>
        <v>0.20588235294117646</v>
      </c>
      <c r="AA1203" s="8">
        <v>2.8153899999999998</v>
      </c>
    </row>
    <row r="1204" spans="1:27" ht="15" customHeight="1" x14ac:dyDescent="0.25">
      <c r="A1204" s="14">
        <v>384</v>
      </c>
      <c r="B1204" s="14">
        <v>384</v>
      </c>
      <c r="C1204" s="36">
        <v>-12269.996300000001</v>
      </c>
      <c r="D1204" s="16">
        <v>-12271.492351000001</v>
      </c>
      <c r="E1204" s="14"/>
      <c r="F1204" s="37">
        <v>0.99617500000000003</v>
      </c>
      <c r="G1204" s="16">
        <v>0.187689999999999</v>
      </c>
      <c r="H1204" s="14">
        <v>6</v>
      </c>
      <c r="I1204" s="14">
        <v>7</v>
      </c>
      <c r="J1204" s="32"/>
      <c r="K1204" s="8">
        <f t="shared" si="126"/>
        <v>-0.83896923077008978</v>
      </c>
      <c r="L1204" s="8">
        <f t="shared" si="127"/>
        <v>-6.4536094674622291E-2</v>
      </c>
      <c r="M1204" s="8">
        <f t="shared" si="128"/>
        <v>-0.85875884615415998</v>
      </c>
      <c r="N1204" s="8">
        <f t="shared" si="129"/>
        <v>-6.6058372781089225E-2</v>
      </c>
      <c r="O1204" s="8"/>
      <c r="P1204" t="s">
        <v>1491</v>
      </c>
      <c r="Q1204">
        <v>34</v>
      </c>
      <c r="R1204" s="8">
        <v>2.8176899999999998</v>
      </c>
      <c r="S1204">
        <v>11</v>
      </c>
      <c r="T1204" s="8">
        <f t="shared" si="130"/>
        <v>0.3235294117647059</v>
      </c>
      <c r="U1204" s="8">
        <v>2.8464800000000001</v>
      </c>
      <c r="V1204">
        <v>18</v>
      </c>
      <c r="W1204" s="8">
        <f t="shared" si="131"/>
        <v>0.52941176470588236</v>
      </c>
      <c r="X1204" s="8">
        <v>2.80606</v>
      </c>
      <c r="Y1204">
        <v>5</v>
      </c>
      <c r="Z1204" s="8">
        <f t="shared" si="132"/>
        <v>0.14705882352941177</v>
      </c>
      <c r="AA1204" s="8">
        <v>2.7961999999999998</v>
      </c>
    </row>
    <row r="1205" spans="1:27" ht="15" customHeight="1" x14ac:dyDescent="0.25">
      <c r="A1205" s="14">
        <v>385</v>
      </c>
      <c r="B1205" s="14">
        <v>385</v>
      </c>
      <c r="C1205" s="36">
        <v>-12270.257600000001</v>
      </c>
      <c r="D1205" s="16">
        <v>-12271.793519000001</v>
      </c>
      <c r="E1205" s="14"/>
      <c r="F1205" s="37">
        <v>0.99723799999999996</v>
      </c>
      <c r="G1205" s="16">
        <v>0.19742000000000001</v>
      </c>
      <c r="H1205" s="14">
        <v>6</v>
      </c>
      <c r="I1205" s="14">
        <v>7</v>
      </c>
      <c r="J1205" s="32"/>
      <c r="K1205" s="8">
        <f t="shared" si="126"/>
        <v>-1.1002692307702091</v>
      </c>
      <c r="L1205" s="8">
        <f t="shared" si="127"/>
        <v>-8.4636094674631471E-2</v>
      </c>
      <c r="M1205" s="8">
        <f t="shared" si="128"/>
        <v>-1.1599268461541214</v>
      </c>
      <c r="N1205" s="8">
        <f t="shared" si="129"/>
        <v>-8.9225142011855496E-2</v>
      </c>
      <c r="O1205" s="8"/>
      <c r="P1205" t="s">
        <v>1492</v>
      </c>
      <c r="Q1205">
        <v>34</v>
      </c>
      <c r="R1205" s="8">
        <v>2.82639</v>
      </c>
      <c r="S1205">
        <v>9</v>
      </c>
      <c r="T1205" s="8">
        <f t="shared" si="130"/>
        <v>0.26470588235294118</v>
      </c>
      <c r="U1205" s="8">
        <v>2.8365100000000001</v>
      </c>
      <c r="V1205">
        <v>17</v>
      </c>
      <c r="W1205" s="8">
        <f t="shared" si="131"/>
        <v>0.5</v>
      </c>
      <c r="X1205" s="8">
        <v>2.80464</v>
      </c>
      <c r="Y1205">
        <v>8</v>
      </c>
      <c r="Z1205" s="8">
        <f t="shared" si="132"/>
        <v>0.23529411764705882</v>
      </c>
      <c r="AA1205" s="8">
        <v>2.86124</v>
      </c>
    </row>
    <row r="1206" spans="1:27" ht="15" customHeight="1" x14ac:dyDescent="0.25">
      <c r="A1206" s="14">
        <v>386</v>
      </c>
      <c r="B1206" s="14">
        <v>386</v>
      </c>
      <c r="C1206" s="36">
        <v>-12270.3212</v>
      </c>
      <c r="D1206" s="16">
        <v>-12271.882174</v>
      </c>
      <c r="E1206" s="14"/>
      <c r="F1206" s="37">
        <v>0.99692099999999995</v>
      </c>
      <c r="G1206" s="16">
        <v>0.19420999999999999</v>
      </c>
      <c r="H1206" s="14">
        <v>6</v>
      </c>
      <c r="I1206" s="14">
        <v>7</v>
      </c>
      <c r="J1206" s="32"/>
      <c r="K1206" s="8">
        <f t="shared" si="126"/>
        <v>-1.1638692307697056</v>
      </c>
      <c r="L1206" s="8">
        <f t="shared" si="127"/>
        <v>-8.9528402366900434E-2</v>
      </c>
      <c r="M1206" s="8">
        <f t="shared" si="128"/>
        <v>-1.2485818461536837</v>
      </c>
      <c r="N1206" s="8">
        <f t="shared" si="129"/>
        <v>-9.6044757396437211E-2</v>
      </c>
      <c r="O1206" s="8"/>
      <c r="P1206" t="s">
        <v>1493</v>
      </c>
      <c r="Q1206">
        <v>35</v>
      </c>
      <c r="R1206" s="8">
        <v>2.8326099999999999</v>
      </c>
      <c r="S1206">
        <v>9</v>
      </c>
      <c r="T1206" s="8">
        <f t="shared" si="130"/>
        <v>0.25714285714285712</v>
      </c>
      <c r="U1206" s="8">
        <v>2.8133400000000002</v>
      </c>
      <c r="V1206">
        <v>17</v>
      </c>
      <c r="W1206" s="8">
        <f t="shared" si="131"/>
        <v>0.48571428571428571</v>
      </c>
      <c r="X1206" s="8">
        <v>2.8170899999999999</v>
      </c>
      <c r="Y1206">
        <v>9</v>
      </c>
      <c r="Z1206" s="8">
        <f t="shared" si="132"/>
        <v>0.25714285714285712</v>
      </c>
      <c r="AA1206" s="8">
        <v>2.8812099999999998</v>
      </c>
    </row>
    <row r="1207" spans="1:27" ht="15" customHeight="1" x14ac:dyDescent="0.25">
      <c r="A1207" s="14">
        <v>387</v>
      </c>
      <c r="B1207" s="14">
        <v>387</v>
      </c>
      <c r="C1207" s="36">
        <v>-12270.0478</v>
      </c>
      <c r="D1207" s="16">
        <v>-12271.478209999999</v>
      </c>
      <c r="E1207" s="14"/>
      <c r="F1207" s="37">
        <v>0.99624400000000002</v>
      </c>
      <c r="G1207" s="16">
        <v>0.188299999999999</v>
      </c>
      <c r="H1207" s="14">
        <v>6</v>
      </c>
      <c r="I1207" s="14">
        <v>7</v>
      </c>
      <c r="J1207" s="32"/>
      <c r="K1207" s="8">
        <f t="shared" si="126"/>
        <v>-0.89046923076966777</v>
      </c>
      <c r="L1207" s="8">
        <f t="shared" si="127"/>
        <v>-6.8497633136128291E-2</v>
      </c>
      <c r="M1207" s="8">
        <f t="shared" si="128"/>
        <v>-0.84461784615268698</v>
      </c>
      <c r="N1207" s="8">
        <f t="shared" si="129"/>
        <v>-6.4970603550206688E-2</v>
      </c>
      <c r="O1207" s="8"/>
      <c r="P1207" t="s">
        <v>1494</v>
      </c>
      <c r="Q1207">
        <v>34</v>
      </c>
      <c r="R1207" s="8">
        <v>2.8207499999999999</v>
      </c>
      <c r="S1207">
        <v>11</v>
      </c>
      <c r="T1207" s="8">
        <f t="shared" si="130"/>
        <v>0.3235294117647059</v>
      </c>
      <c r="U1207" s="8">
        <v>2.81982</v>
      </c>
      <c r="V1207">
        <v>14</v>
      </c>
      <c r="W1207" s="8">
        <f t="shared" si="131"/>
        <v>0.41176470588235292</v>
      </c>
      <c r="X1207" s="8">
        <v>2.8120500000000002</v>
      </c>
      <c r="Y1207">
        <v>9</v>
      </c>
      <c r="Z1207" s="8">
        <f t="shared" si="132"/>
        <v>0.26470588235294118</v>
      </c>
      <c r="AA1207" s="8">
        <v>2.8354200000000001</v>
      </c>
    </row>
    <row r="1208" spans="1:27" ht="15" customHeight="1" x14ac:dyDescent="0.25">
      <c r="A1208" s="14">
        <v>388</v>
      </c>
      <c r="B1208" s="14">
        <v>388</v>
      </c>
      <c r="C1208" s="36">
        <v>-12270.1837</v>
      </c>
      <c r="D1208" s="16">
        <v>-12271.728034</v>
      </c>
      <c r="E1208" s="14"/>
      <c r="F1208" s="37">
        <v>0.99255400000000005</v>
      </c>
      <c r="G1208" s="16">
        <v>0.16769999999999999</v>
      </c>
      <c r="H1208" s="14">
        <v>6</v>
      </c>
      <c r="I1208" s="14">
        <v>7</v>
      </c>
      <c r="J1208" s="32"/>
      <c r="K1208" s="8">
        <f t="shared" si="126"/>
        <v>-1.026369230768978</v>
      </c>
      <c r="L1208" s="8">
        <f t="shared" si="127"/>
        <v>-7.8951479289921384E-2</v>
      </c>
      <c r="M1208" s="8">
        <f t="shared" si="128"/>
        <v>-1.0944418461531313</v>
      </c>
      <c r="N1208" s="8">
        <f t="shared" si="129"/>
        <v>-8.4187834319471647E-2</v>
      </c>
      <c r="O1208" s="8"/>
      <c r="P1208" t="s">
        <v>1495</v>
      </c>
      <c r="Q1208">
        <v>34</v>
      </c>
      <c r="R1208" s="8">
        <v>2.8239800000000002</v>
      </c>
      <c r="S1208">
        <v>10</v>
      </c>
      <c r="T1208" s="8">
        <f t="shared" si="130"/>
        <v>0.29411764705882354</v>
      </c>
      <c r="U1208" s="8">
        <v>2.8361200000000002</v>
      </c>
      <c r="V1208">
        <v>16</v>
      </c>
      <c r="W1208" s="8">
        <f t="shared" si="131"/>
        <v>0.47058823529411764</v>
      </c>
      <c r="X1208" s="8">
        <v>2.8060299999999998</v>
      </c>
      <c r="Y1208">
        <v>8</v>
      </c>
      <c r="Z1208" s="8">
        <f t="shared" si="132"/>
        <v>0.23529411764705882</v>
      </c>
      <c r="AA1208" s="8">
        <v>2.8446899999999999</v>
      </c>
    </row>
    <row r="1209" spans="1:27" ht="15" customHeight="1" x14ac:dyDescent="0.25">
      <c r="A1209" s="14">
        <v>389</v>
      </c>
      <c r="B1209" s="14">
        <v>389</v>
      </c>
      <c r="C1209" s="36">
        <v>-12270.436600000001</v>
      </c>
      <c r="D1209" s="16">
        <v>-12271.997383</v>
      </c>
      <c r="E1209" s="14"/>
      <c r="F1209" s="37">
        <v>0.99765400000000004</v>
      </c>
      <c r="G1209" s="16">
        <v>0.20244999999999999</v>
      </c>
      <c r="H1209" s="14">
        <v>6</v>
      </c>
      <c r="I1209" s="14">
        <v>7</v>
      </c>
      <c r="J1209" s="32"/>
      <c r="K1209" s="8">
        <f t="shared" si="126"/>
        <v>-1.2792692307702964</v>
      </c>
      <c r="L1209" s="8">
        <f t="shared" si="127"/>
        <v>-9.8405325443868957E-2</v>
      </c>
      <c r="M1209" s="8">
        <f t="shared" si="128"/>
        <v>-1.3637908461532788</v>
      </c>
      <c r="N1209" s="8">
        <f t="shared" si="129"/>
        <v>-0.10490698816563683</v>
      </c>
      <c r="O1209" s="8"/>
      <c r="P1209" t="s">
        <v>1496</v>
      </c>
      <c r="Q1209">
        <v>35</v>
      </c>
      <c r="R1209" s="8">
        <v>2.8253200000000001</v>
      </c>
      <c r="S1209">
        <v>9</v>
      </c>
      <c r="T1209" s="8">
        <f t="shared" si="130"/>
        <v>0.25714285714285712</v>
      </c>
      <c r="U1209" s="8">
        <v>2.79745</v>
      </c>
      <c r="V1209">
        <v>19</v>
      </c>
      <c r="W1209" s="8">
        <f t="shared" si="131"/>
        <v>0.54285714285714282</v>
      </c>
      <c r="X1209" s="8">
        <v>2.8336100000000002</v>
      </c>
      <c r="Y1209">
        <v>7</v>
      </c>
      <c r="Z1209" s="8">
        <f t="shared" si="132"/>
        <v>0.2</v>
      </c>
      <c r="AA1209" s="8">
        <v>2.8386800000000001</v>
      </c>
    </row>
    <row r="1210" spans="1:27" ht="15" customHeight="1" x14ac:dyDescent="0.25">
      <c r="A1210" s="14">
        <v>390</v>
      </c>
      <c r="B1210" s="14">
        <v>390</v>
      </c>
      <c r="C1210" s="36">
        <v>-12269.9972</v>
      </c>
      <c r="D1210" s="16">
        <v>-12271.544357999999</v>
      </c>
      <c r="E1210" s="14"/>
      <c r="F1210" s="37">
        <v>0.99726199999999998</v>
      </c>
      <c r="G1210" s="16">
        <v>0.19775999999999899</v>
      </c>
      <c r="H1210" s="14">
        <v>6</v>
      </c>
      <c r="I1210" s="14">
        <v>7</v>
      </c>
      <c r="J1210" s="32"/>
      <c r="K1210" s="8">
        <f t="shared" si="126"/>
        <v>-0.83986923076918174</v>
      </c>
      <c r="L1210" s="8">
        <f t="shared" si="127"/>
        <v>-6.460532544378321E-2</v>
      </c>
      <c r="M1210" s="8">
        <f t="shared" si="128"/>
        <v>-0.91076584615257161</v>
      </c>
      <c r="N1210" s="8">
        <f t="shared" si="129"/>
        <v>-7.0058911242505503E-2</v>
      </c>
      <c r="O1210" s="8"/>
      <c r="P1210" t="s">
        <v>1497</v>
      </c>
      <c r="Q1210">
        <v>34</v>
      </c>
      <c r="R1210" s="8">
        <v>2.8132700000000002</v>
      </c>
      <c r="S1210">
        <v>11</v>
      </c>
      <c r="T1210" s="8">
        <f t="shared" si="130"/>
        <v>0.3235294117647059</v>
      </c>
      <c r="U1210" s="8">
        <v>2.81589</v>
      </c>
      <c r="V1210">
        <v>15</v>
      </c>
      <c r="W1210" s="8">
        <f t="shared" si="131"/>
        <v>0.44117647058823528</v>
      </c>
      <c r="X1210" s="8">
        <v>2.79854</v>
      </c>
      <c r="Y1210">
        <v>8</v>
      </c>
      <c r="Z1210" s="8">
        <f t="shared" si="132"/>
        <v>0.23529411764705882</v>
      </c>
      <c r="AA1210" s="8">
        <v>2.8372999999999999</v>
      </c>
    </row>
    <row r="1211" spans="1:27" ht="15" customHeight="1" x14ac:dyDescent="0.25">
      <c r="A1211" s="14">
        <v>391</v>
      </c>
      <c r="B1211" s="14">
        <v>391</v>
      </c>
      <c r="C1211" s="36">
        <v>-12270.329599999999</v>
      </c>
      <c r="D1211" s="16">
        <v>-12271.706502000001</v>
      </c>
      <c r="E1211" s="14"/>
      <c r="F1211" s="37">
        <v>0.99336899999999995</v>
      </c>
      <c r="G1211" s="16">
        <v>0.17116999999999999</v>
      </c>
      <c r="H1211" s="14">
        <v>6</v>
      </c>
      <c r="I1211" s="14">
        <v>7</v>
      </c>
      <c r="J1211" s="32"/>
      <c r="K1211" s="8">
        <f t="shared" si="126"/>
        <v>-1.1722692307685065</v>
      </c>
      <c r="L1211" s="8">
        <f t="shared" si="127"/>
        <v>-9.017455621296204E-2</v>
      </c>
      <c r="M1211" s="8">
        <f t="shared" si="128"/>
        <v>-1.072909846154289</v>
      </c>
      <c r="N1211" s="8">
        <f t="shared" si="129"/>
        <v>-8.2531526627252993E-2</v>
      </c>
      <c r="O1211" s="8"/>
      <c r="P1211" t="s">
        <v>1498</v>
      </c>
      <c r="Q1211">
        <v>34</v>
      </c>
      <c r="R1211" s="8">
        <v>2.8143400000000001</v>
      </c>
      <c r="S1211">
        <v>8</v>
      </c>
      <c r="T1211" s="8">
        <f t="shared" si="130"/>
        <v>0.23529411764705882</v>
      </c>
      <c r="U1211" s="8">
        <v>2.8211900000000001</v>
      </c>
      <c r="V1211">
        <v>21</v>
      </c>
      <c r="W1211" s="8">
        <f t="shared" si="131"/>
        <v>0.61764705882352944</v>
      </c>
      <c r="X1211" s="8">
        <v>2.8067600000000001</v>
      </c>
      <c r="Y1211">
        <v>5</v>
      </c>
      <c r="Z1211" s="8">
        <f t="shared" si="132"/>
        <v>0.14705882352941177</v>
      </c>
      <c r="AA1211" s="8">
        <v>2.8352400000000002</v>
      </c>
    </row>
    <row r="1212" spans="1:27" ht="15" customHeight="1" x14ac:dyDescent="0.25">
      <c r="A1212" s="14">
        <v>392</v>
      </c>
      <c r="B1212" s="14">
        <v>392</v>
      </c>
      <c r="C1212" s="36">
        <v>-12270.2274</v>
      </c>
      <c r="D1212" s="16">
        <v>-12271.632036999999</v>
      </c>
      <c r="E1212" s="14"/>
      <c r="F1212" s="37">
        <v>0.99740399999999996</v>
      </c>
      <c r="G1212" s="16">
        <v>0.19936999999999999</v>
      </c>
      <c r="H1212" s="14">
        <v>6</v>
      </c>
      <c r="I1212" s="14">
        <v>7</v>
      </c>
      <c r="J1212" s="32"/>
      <c r="K1212" s="8">
        <f t="shared" si="126"/>
        <v>-1.0700692307691497</v>
      </c>
      <c r="L1212" s="8">
        <f t="shared" si="127"/>
        <v>-8.2313017751473053E-2</v>
      </c>
      <c r="M1212" s="8">
        <f t="shared" si="128"/>
        <v>-0.99844484615277906</v>
      </c>
      <c r="N1212" s="8">
        <f t="shared" si="129"/>
        <v>-7.6803449704059931E-2</v>
      </c>
      <c r="O1212" s="8"/>
      <c r="P1212" t="s">
        <v>1499</v>
      </c>
      <c r="Q1212">
        <v>35</v>
      </c>
      <c r="R1212" s="8">
        <v>2.8288700000000002</v>
      </c>
      <c r="S1212">
        <v>11</v>
      </c>
      <c r="T1212" s="8">
        <f t="shared" si="130"/>
        <v>0.31428571428571428</v>
      </c>
      <c r="U1212" s="8">
        <v>2.85114</v>
      </c>
      <c r="V1212">
        <v>18</v>
      </c>
      <c r="W1212" s="8">
        <f t="shared" si="131"/>
        <v>0.51428571428571423</v>
      </c>
      <c r="X1212" s="8">
        <v>2.8194599999999999</v>
      </c>
      <c r="Y1212">
        <v>6</v>
      </c>
      <c r="Z1212" s="8">
        <f t="shared" si="132"/>
        <v>0.17142857142857143</v>
      </c>
      <c r="AA1212" s="8">
        <v>2.8162400000000001</v>
      </c>
    </row>
    <row r="1213" spans="1:27" ht="15" customHeight="1" x14ac:dyDescent="0.25">
      <c r="A1213" s="14">
        <v>393</v>
      </c>
      <c r="B1213" s="14">
        <v>393</v>
      </c>
      <c r="C1213" s="36">
        <v>-12270.342000000001</v>
      </c>
      <c r="D1213" s="16">
        <v>-12271.743383000001</v>
      </c>
      <c r="E1213" s="14"/>
      <c r="F1213" s="37">
        <v>0.99661699999999998</v>
      </c>
      <c r="G1213" s="16">
        <v>0.19144</v>
      </c>
      <c r="H1213" s="14">
        <v>6</v>
      </c>
      <c r="I1213" s="14">
        <v>7</v>
      </c>
      <c r="J1213" s="32"/>
      <c r="K1213" s="8">
        <f t="shared" si="126"/>
        <v>-1.1846692307699414</v>
      </c>
      <c r="L1213" s="8">
        <f t="shared" si="127"/>
        <v>-9.1128402366918562E-2</v>
      </c>
      <c r="M1213" s="8">
        <f t="shared" si="128"/>
        <v>-1.1097908461542829</v>
      </c>
      <c r="N1213" s="8">
        <f t="shared" si="129"/>
        <v>-8.5368526627252528E-2</v>
      </c>
      <c r="O1213" s="8"/>
      <c r="P1213" t="s">
        <v>1500</v>
      </c>
      <c r="Q1213">
        <v>34</v>
      </c>
      <c r="R1213" s="8">
        <v>2.82</v>
      </c>
      <c r="S1213">
        <v>9</v>
      </c>
      <c r="T1213" s="8">
        <f t="shared" si="130"/>
        <v>0.26470588235294118</v>
      </c>
      <c r="U1213" s="8">
        <v>2.7989899999999999</v>
      </c>
      <c r="V1213">
        <v>19</v>
      </c>
      <c r="W1213" s="8">
        <f t="shared" si="131"/>
        <v>0.55882352941176472</v>
      </c>
      <c r="X1213" s="8">
        <v>2.8188599999999999</v>
      </c>
      <c r="Y1213">
        <v>6</v>
      </c>
      <c r="Z1213" s="8">
        <f t="shared" si="132"/>
        <v>0.17647058823529413</v>
      </c>
      <c r="AA1213" s="8">
        <v>2.8551099999999998</v>
      </c>
    </row>
    <row r="1214" spans="1:27" ht="15" customHeight="1" x14ac:dyDescent="0.25">
      <c r="A1214" s="14">
        <v>394</v>
      </c>
      <c r="B1214" s="14">
        <v>394</v>
      </c>
      <c r="C1214" s="36">
        <v>-12270.041800000001</v>
      </c>
      <c r="D1214" s="16">
        <v>-12271.587965999999</v>
      </c>
      <c r="E1214" s="14"/>
      <c r="F1214" s="37">
        <v>0.99808799999999998</v>
      </c>
      <c r="G1214" s="16">
        <v>0.20852000000000001</v>
      </c>
      <c r="H1214" s="14">
        <v>6</v>
      </c>
      <c r="I1214" s="14">
        <v>7</v>
      </c>
      <c r="J1214" s="32"/>
      <c r="K1214" s="8">
        <f t="shared" si="126"/>
        <v>-0.8844692307702644</v>
      </c>
      <c r="L1214" s="8">
        <f t="shared" si="127"/>
        <v>-6.8036094674635728E-2</v>
      </c>
      <c r="M1214" s="8">
        <f t="shared" si="128"/>
        <v>-0.95437384615252085</v>
      </c>
      <c r="N1214" s="8">
        <f t="shared" si="129"/>
        <v>-7.3413372780963146E-2</v>
      </c>
      <c r="O1214" s="8"/>
      <c r="P1214" t="s">
        <v>1501</v>
      </c>
      <c r="Q1214">
        <v>34</v>
      </c>
      <c r="R1214" s="8">
        <v>2.8156699999999999</v>
      </c>
      <c r="S1214">
        <v>10</v>
      </c>
      <c r="T1214" s="8">
        <f t="shared" si="130"/>
        <v>0.29411764705882354</v>
      </c>
      <c r="U1214" s="8">
        <v>2.8355000000000001</v>
      </c>
      <c r="V1214">
        <v>19</v>
      </c>
      <c r="W1214" s="8">
        <f t="shared" si="131"/>
        <v>0.55882352941176472</v>
      </c>
      <c r="X1214" s="8">
        <v>2.8071600000000001</v>
      </c>
      <c r="Y1214">
        <v>5</v>
      </c>
      <c r="Z1214" s="8">
        <f t="shared" si="132"/>
        <v>0.14705882352941177</v>
      </c>
      <c r="AA1214" s="8">
        <v>2.80837</v>
      </c>
    </row>
    <row r="1215" spans="1:27" ht="15" customHeight="1" x14ac:dyDescent="0.25">
      <c r="A1215" s="14">
        <v>395</v>
      </c>
      <c r="B1215" s="14">
        <v>395</v>
      </c>
      <c r="C1215" s="36">
        <v>-12270.5306</v>
      </c>
      <c r="D1215" s="16">
        <v>-12271.897657</v>
      </c>
      <c r="E1215" s="14"/>
      <c r="F1215" s="37">
        <v>0.99665000000000004</v>
      </c>
      <c r="G1215" s="16">
        <v>0.19161</v>
      </c>
      <c r="H1215" s="14">
        <v>6</v>
      </c>
      <c r="I1215" s="14">
        <v>7</v>
      </c>
      <c r="J1215" s="32"/>
      <c r="K1215" s="8">
        <f t="shared" si="126"/>
        <v>-1.3732692307694379</v>
      </c>
      <c r="L1215" s="8">
        <f t="shared" si="127"/>
        <v>-0.10563609467457215</v>
      </c>
      <c r="M1215" s="8">
        <f t="shared" si="128"/>
        <v>-1.2640648461529054</v>
      </c>
      <c r="N1215" s="8">
        <f t="shared" si="129"/>
        <v>-9.723575739637734E-2</v>
      </c>
      <c r="O1215" s="8"/>
      <c r="P1215" t="s">
        <v>1502</v>
      </c>
      <c r="Q1215">
        <v>34</v>
      </c>
      <c r="R1215" s="8">
        <v>2.81786</v>
      </c>
      <c r="S1215">
        <v>8</v>
      </c>
      <c r="T1215" s="8">
        <f t="shared" si="130"/>
        <v>0.23529411764705882</v>
      </c>
      <c r="U1215" s="8">
        <v>2.8178899999999998</v>
      </c>
      <c r="V1215">
        <v>21</v>
      </c>
      <c r="W1215" s="8">
        <f t="shared" si="131"/>
        <v>0.61764705882352944</v>
      </c>
      <c r="X1215" s="8">
        <v>2.8122199999999999</v>
      </c>
      <c r="Y1215">
        <v>5</v>
      </c>
      <c r="Z1215" s="8">
        <f t="shared" si="132"/>
        <v>0.14705882352941177</v>
      </c>
      <c r="AA1215" s="8">
        <v>2.84152</v>
      </c>
    </row>
    <row r="1216" spans="1:27" ht="15" customHeight="1" x14ac:dyDescent="0.25">
      <c r="A1216" s="14">
        <v>396</v>
      </c>
      <c r="B1216" s="14">
        <v>396</v>
      </c>
      <c r="C1216" s="36">
        <v>-12270.237499999999</v>
      </c>
      <c r="D1216" s="16">
        <v>-12271.644967</v>
      </c>
      <c r="E1216" s="14"/>
      <c r="F1216" s="37">
        <v>0.99467000000000005</v>
      </c>
      <c r="G1216" s="16">
        <v>0.17793</v>
      </c>
      <c r="H1216" s="14">
        <v>6</v>
      </c>
      <c r="I1216" s="14">
        <v>7</v>
      </c>
      <c r="J1216" s="32"/>
      <c r="K1216" s="8">
        <f t="shared" si="126"/>
        <v>-1.0801692307686608</v>
      </c>
      <c r="L1216" s="8">
        <f t="shared" si="127"/>
        <v>-8.3089940828358522E-2</v>
      </c>
      <c r="M1216" s="8">
        <f t="shared" si="128"/>
        <v>-1.0113748461535579</v>
      </c>
      <c r="N1216" s="8">
        <f t="shared" si="129"/>
        <v>-7.7798065088735227E-2</v>
      </c>
      <c r="O1216" s="8"/>
      <c r="P1216" t="s">
        <v>1503</v>
      </c>
      <c r="Q1216">
        <v>33</v>
      </c>
      <c r="R1216" s="8">
        <v>2.8085900000000001</v>
      </c>
      <c r="S1216">
        <v>10</v>
      </c>
      <c r="T1216" s="8">
        <f t="shared" si="130"/>
        <v>0.30303030303030304</v>
      </c>
      <c r="U1216" s="8">
        <v>2.8453499999999998</v>
      </c>
      <c r="V1216">
        <v>18</v>
      </c>
      <c r="W1216" s="8">
        <f t="shared" si="131"/>
        <v>0.54545454545454541</v>
      </c>
      <c r="X1216" s="8">
        <v>2.7890100000000002</v>
      </c>
      <c r="Y1216">
        <v>5</v>
      </c>
      <c r="Z1216" s="8">
        <f t="shared" si="132"/>
        <v>0.15151515151515152</v>
      </c>
      <c r="AA1216" s="8">
        <v>2.80558</v>
      </c>
    </row>
    <row r="1217" spans="1:27" ht="15" customHeight="1" x14ac:dyDescent="0.25">
      <c r="A1217" s="14">
        <v>397</v>
      </c>
      <c r="B1217" s="14">
        <v>397</v>
      </c>
      <c r="C1217" s="36">
        <v>-12270.395699999999</v>
      </c>
      <c r="D1217" s="16">
        <v>-12271.942335</v>
      </c>
      <c r="E1217" s="14"/>
      <c r="F1217" s="37">
        <v>0.99728600000000001</v>
      </c>
      <c r="G1217" s="16">
        <v>0.19803000000000001</v>
      </c>
      <c r="H1217" s="14">
        <v>6</v>
      </c>
      <c r="I1217" s="14">
        <v>7</v>
      </c>
      <c r="J1217" s="32"/>
      <c r="K1217" s="8">
        <f t="shared" si="126"/>
        <v>-1.2383692307685124</v>
      </c>
      <c r="L1217" s="8">
        <f t="shared" si="127"/>
        <v>-9.525917159757788E-2</v>
      </c>
      <c r="M1217" s="8">
        <f t="shared" si="128"/>
        <v>-1.308742846153109</v>
      </c>
      <c r="N1217" s="8">
        <f t="shared" si="129"/>
        <v>-0.10067252662716222</v>
      </c>
      <c r="O1217" s="8"/>
      <c r="P1217" t="s">
        <v>1504</v>
      </c>
      <c r="Q1217">
        <v>34</v>
      </c>
      <c r="R1217" s="8">
        <v>2.8244400000000001</v>
      </c>
      <c r="S1217">
        <v>9</v>
      </c>
      <c r="T1217" s="8">
        <f t="shared" si="130"/>
        <v>0.26470588235294118</v>
      </c>
      <c r="U1217" s="8">
        <v>2.86002</v>
      </c>
      <c r="V1217">
        <v>21</v>
      </c>
      <c r="W1217" s="8">
        <f t="shared" si="131"/>
        <v>0.61764705882352944</v>
      </c>
      <c r="X1217" s="8">
        <v>2.8180700000000001</v>
      </c>
      <c r="Y1217">
        <v>4</v>
      </c>
      <c r="Z1217" s="8">
        <f t="shared" si="132"/>
        <v>0.11764705882352941</v>
      </c>
      <c r="AA1217" s="8">
        <v>2.7778299999999998</v>
      </c>
    </row>
    <row r="1218" spans="1:27" ht="15" customHeight="1" x14ac:dyDescent="0.25">
      <c r="A1218" s="14">
        <v>398</v>
      </c>
      <c r="B1218" s="14">
        <v>398</v>
      </c>
      <c r="C1218" s="36">
        <v>-12270.3688</v>
      </c>
      <c r="D1218" s="16">
        <v>-12271.773356</v>
      </c>
      <c r="E1218" s="14"/>
      <c r="F1218" s="37">
        <v>0.99503600000000003</v>
      </c>
      <c r="G1218" s="16">
        <v>0.17987999999999901</v>
      </c>
      <c r="H1218" s="14">
        <v>6</v>
      </c>
      <c r="I1218" s="14">
        <v>7</v>
      </c>
      <c r="J1218" s="32"/>
      <c r="K1218" s="8">
        <f t="shared" si="126"/>
        <v>-1.2114692307695805</v>
      </c>
      <c r="L1218" s="8">
        <f t="shared" si="127"/>
        <v>-9.3189940828429269E-2</v>
      </c>
      <c r="M1218" s="8">
        <f t="shared" si="128"/>
        <v>-1.1397638461530732</v>
      </c>
      <c r="N1218" s="8">
        <f t="shared" si="129"/>
        <v>-8.7674142011774869E-2</v>
      </c>
      <c r="O1218" s="8"/>
      <c r="P1218" t="s">
        <v>1505</v>
      </c>
      <c r="Q1218">
        <v>35</v>
      </c>
      <c r="R1218" s="8">
        <v>2.8277100000000002</v>
      </c>
      <c r="S1218">
        <v>9</v>
      </c>
      <c r="T1218" s="8">
        <f t="shared" si="130"/>
        <v>0.25714285714285712</v>
      </c>
      <c r="U1218" s="8">
        <v>2.8334999999999999</v>
      </c>
      <c r="V1218">
        <v>20</v>
      </c>
      <c r="W1218" s="8">
        <f t="shared" si="131"/>
        <v>0.5714285714285714</v>
      </c>
      <c r="X1218" s="8">
        <v>2.80952</v>
      </c>
      <c r="Y1218">
        <v>6</v>
      </c>
      <c r="Z1218" s="8">
        <f t="shared" si="132"/>
        <v>0.17142857142857143</v>
      </c>
      <c r="AA1218" s="8">
        <v>2.8797000000000001</v>
      </c>
    </row>
    <row r="1219" spans="1:27" ht="15" customHeight="1" x14ac:dyDescent="0.25">
      <c r="A1219" s="14">
        <v>399</v>
      </c>
      <c r="B1219" s="14">
        <v>399</v>
      </c>
      <c r="C1219" s="36">
        <v>-12270.2943</v>
      </c>
      <c r="D1219" s="16">
        <v>-12271.874792000001</v>
      </c>
      <c r="E1219" s="14"/>
      <c r="F1219" s="37">
        <v>0.99609499999999995</v>
      </c>
      <c r="G1219" s="16">
        <v>0.18706</v>
      </c>
      <c r="H1219" s="14">
        <v>6</v>
      </c>
      <c r="I1219" s="14">
        <v>7</v>
      </c>
      <c r="J1219" s="32"/>
      <c r="K1219" s="8">
        <f t="shared" ref="K1219:K1282" si="133">IF(ISNUMBER(C1219),C1219-(($C$3-$C$2236)/($H$3-$H$2236)*H1219+$C$2236),"")</f>
        <v>-1.1369692307689547</v>
      </c>
      <c r="L1219" s="8">
        <f t="shared" ref="L1219:L1282" si="134">IF(ISNUMBER(C1219),K1219/(H1219+I1219),"")</f>
        <v>-8.7459171597611907E-2</v>
      </c>
      <c r="M1219" s="8">
        <f t="shared" ref="M1219:M1282" si="135">IF(ISNUMBER(D1219),D1219-(($D$3-$D$2236)/($H$3-$H$2236)*H1219+$D$2236),"")</f>
        <v>-1.2411998461539042</v>
      </c>
      <c r="N1219" s="8">
        <f t="shared" ref="N1219:N1282" si="136">IF(ISNUMBER(D1219),M1219/(H1219+I1219),"")</f>
        <v>-9.5476911242608015E-2</v>
      </c>
      <c r="O1219" s="8"/>
      <c r="P1219" t="s">
        <v>1506</v>
      </c>
      <c r="Q1219">
        <v>34</v>
      </c>
      <c r="R1219" s="8">
        <v>2.8183799999999999</v>
      </c>
      <c r="S1219">
        <v>9</v>
      </c>
      <c r="T1219" s="8">
        <f t="shared" ref="T1219:T1282" si="137">IF(ISNUMBER(S1219),S1219/(Q1219),"")</f>
        <v>0.26470588235294118</v>
      </c>
      <c r="U1219" s="8">
        <v>2.7995800000000002</v>
      </c>
      <c r="V1219">
        <v>17</v>
      </c>
      <c r="W1219" s="8">
        <f t="shared" ref="W1219:W1282" si="138">IF(ISNUMBER(V1219),V1219/($Q1219),"")</f>
        <v>0.5</v>
      </c>
      <c r="X1219" s="8">
        <v>2.7976200000000002</v>
      </c>
      <c r="Y1219">
        <v>8</v>
      </c>
      <c r="Z1219" s="8">
        <f t="shared" ref="Z1219:Z1282" si="139">IF(ISNUMBER(Y1219),Y1219/($Q1219),"")</f>
        <v>0.23529411764705882</v>
      </c>
      <c r="AA1219" s="8">
        <v>2.88367</v>
      </c>
    </row>
    <row r="1220" spans="1:27" ht="15" customHeight="1" x14ac:dyDescent="0.25">
      <c r="A1220" s="14">
        <v>400</v>
      </c>
      <c r="B1220" s="14">
        <v>400</v>
      </c>
      <c r="C1220" s="36">
        <v>-12270.1461</v>
      </c>
      <c r="D1220" s="16">
        <v>-12271.745886999999</v>
      </c>
      <c r="E1220" s="14"/>
      <c r="F1220" s="37">
        <v>0.994336</v>
      </c>
      <c r="G1220" s="16">
        <v>0.17591999999999999</v>
      </c>
      <c r="H1220" s="14">
        <v>6</v>
      </c>
      <c r="I1220" s="14">
        <v>7</v>
      </c>
      <c r="J1220" s="32"/>
      <c r="K1220" s="8">
        <f t="shared" si="133"/>
        <v>-0.98876923076932144</v>
      </c>
      <c r="L1220" s="8">
        <f t="shared" si="134"/>
        <v>-7.6059171597640113E-2</v>
      </c>
      <c r="M1220" s="8">
        <f t="shared" si="135"/>
        <v>-1.1122948461525084</v>
      </c>
      <c r="N1220" s="8">
        <f t="shared" si="136"/>
        <v>-8.5561142011731414E-2</v>
      </c>
      <c r="O1220" s="8"/>
      <c r="P1220" t="s">
        <v>1507</v>
      </c>
      <c r="Q1220">
        <v>35</v>
      </c>
      <c r="R1220" s="8">
        <v>2.82897</v>
      </c>
      <c r="S1220">
        <v>10</v>
      </c>
      <c r="T1220" s="8">
        <f t="shared" si="137"/>
        <v>0.2857142857142857</v>
      </c>
      <c r="U1220" s="8">
        <v>2.83596</v>
      </c>
      <c r="V1220">
        <v>19</v>
      </c>
      <c r="W1220" s="8">
        <f t="shared" si="138"/>
        <v>0.54285714285714282</v>
      </c>
      <c r="X1220" s="8">
        <v>2.8087800000000001</v>
      </c>
      <c r="Y1220">
        <v>6</v>
      </c>
      <c r="Z1220" s="8">
        <f t="shared" si="139"/>
        <v>0.17142857142857143</v>
      </c>
      <c r="AA1220" s="8">
        <v>2.8812600000000002</v>
      </c>
    </row>
    <row r="1221" spans="1:27" ht="15" customHeight="1" x14ac:dyDescent="0.25">
      <c r="A1221" s="14">
        <v>401</v>
      </c>
      <c r="B1221" s="14">
        <v>401</v>
      </c>
      <c r="C1221" s="36">
        <v>-12270.4136</v>
      </c>
      <c r="D1221" s="16">
        <v>-12271.783737</v>
      </c>
      <c r="E1221" s="14"/>
      <c r="F1221" s="37">
        <v>0.99654600000000004</v>
      </c>
      <c r="G1221" s="16">
        <v>0.19077999999999901</v>
      </c>
      <c r="H1221" s="14">
        <v>6</v>
      </c>
      <c r="I1221" s="14">
        <v>7</v>
      </c>
      <c r="J1221" s="32"/>
      <c r="K1221" s="8">
        <f t="shared" si="133"/>
        <v>-1.2562692307692487</v>
      </c>
      <c r="L1221" s="8">
        <f t="shared" si="134"/>
        <v>-9.6636094674557596E-2</v>
      </c>
      <c r="M1221" s="8">
        <f t="shared" si="135"/>
        <v>-1.1501448461531254</v>
      </c>
      <c r="N1221" s="8">
        <f t="shared" si="136"/>
        <v>-8.8472680473317342E-2</v>
      </c>
      <c r="O1221" s="8"/>
      <c r="P1221" t="s">
        <v>1508</v>
      </c>
      <c r="Q1221">
        <v>34</v>
      </c>
      <c r="R1221" s="8">
        <v>2.8152300000000001</v>
      </c>
      <c r="S1221">
        <v>8</v>
      </c>
      <c r="T1221" s="8">
        <f t="shared" si="137"/>
        <v>0.23529411764705882</v>
      </c>
      <c r="U1221" s="8">
        <v>2.7884899999999999</v>
      </c>
      <c r="V1221">
        <v>20</v>
      </c>
      <c r="W1221" s="8">
        <f t="shared" si="138"/>
        <v>0.58823529411764708</v>
      </c>
      <c r="X1221" s="8">
        <v>2.8201999999999998</v>
      </c>
      <c r="Y1221">
        <v>6</v>
      </c>
      <c r="Z1221" s="8">
        <f t="shared" si="139"/>
        <v>0.17647058823529413</v>
      </c>
      <c r="AA1221" s="8">
        <v>2.8343400000000001</v>
      </c>
    </row>
    <row r="1222" spans="1:27" ht="15" customHeight="1" x14ac:dyDescent="0.25">
      <c r="A1222" s="14">
        <v>402</v>
      </c>
      <c r="B1222" s="14">
        <v>402</v>
      </c>
      <c r="C1222" s="36">
        <v>-12270.536</v>
      </c>
      <c r="D1222" s="16">
        <v>-12271.896001999999</v>
      </c>
      <c r="E1222" s="14"/>
      <c r="F1222" s="37">
        <v>0.99415600000000004</v>
      </c>
      <c r="G1222" s="16">
        <v>0.17499999999999999</v>
      </c>
      <c r="H1222" s="14">
        <v>6</v>
      </c>
      <c r="I1222" s="14">
        <v>7</v>
      </c>
      <c r="J1222" s="32"/>
      <c r="K1222" s="8">
        <f t="shared" si="133"/>
        <v>-1.3786692307694466</v>
      </c>
      <c r="L1222" s="8">
        <f t="shared" si="134"/>
        <v>-0.10605147928995742</v>
      </c>
      <c r="M1222" s="8">
        <f t="shared" si="135"/>
        <v>-1.2624098461528774</v>
      </c>
      <c r="N1222" s="8">
        <f t="shared" si="136"/>
        <v>-9.7108449704067498E-2</v>
      </c>
      <c r="O1222" s="8"/>
      <c r="P1222" t="s">
        <v>1509</v>
      </c>
      <c r="Q1222">
        <v>34</v>
      </c>
      <c r="R1222" s="8">
        <v>2.8127800000000001</v>
      </c>
      <c r="S1222">
        <v>7</v>
      </c>
      <c r="T1222" s="8">
        <f t="shared" si="137"/>
        <v>0.20588235294117646</v>
      </c>
      <c r="U1222" s="8">
        <v>2.7529499999999998</v>
      </c>
      <c r="V1222">
        <v>22</v>
      </c>
      <c r="W1222" s="8">
        <f t="shared" si="138"/>
        <v>0.6470588235294118</v>
      </c>
      <c r="X1222" s="8">
        <v>2.8230900000000001</v>
      </c>
      <c r="Y1222">
        <v>5</v>
      </c>
      <c r="Z1222" s="8">
        <f t="shared" si="139"/>
        <v>0.14705882352941177</v>
      </c>
      <c r="AA1222" s="8">
        <v>2.85114</v>
      </c>
    </row>
    <row r="1223" spans="1:27" ht="15" customHeight="1" x14ac:dyDescent="0.25">
      <c r="A1223" s="14">
        <v>403</v>
      </c>
      <c r="B1223" s="14">
        <v>403</v>
      </c>
      <c r="C1223" s="36">
        <v>-12270.251899999999</v>
      </c>
      <c r="D1223" s="16">
        <v>-12271.844590999999</v>
      </c>
      <c r="E1223" s="14"/>
      <c r="F1223" s="37">
        <v>0.99721099999999996</v>
      </c>
      <c r="G1223" s="16">
        <v>0.19711000000000001</v>
      </c>
      <c r="H1223" s="14">
        <v>6</v>
      </c>
      <c r="I1223" s="14">
        <v>7</v>
      </c>
      <c r="J1223" s="32"/>
      <c r="K1223" s="8">
        <f t="shared" si="133"/>
        <v>-1.0945692307686841</v>
      </c>
      <c r="L1223" s="8">
        <f t="shared" si="134"/>
        <v>-8.4197633136052621E-2</v>
      </c>
      <c r="M1223" s="8">
        <f t="shared" si="135"/>
        <v>-1.2109988461525063</v>
      </c>
      <c r="N1223" s="8">
        <f t="shared" si="136"/>
        <v>-9.315375739634664E-2</v>
      </c>
      <c r="O1223" s="8"/>
      <c r="P1223" t="s">
        <v>1510</v>
      </c>
      <c r="Q1223">
        <v>35</v>
      </c>
      <c r="R1223" s="8">
        <v>2.8267000000000002</v>
      </c>
      <c r="S1223">
        <v>9</v>
      </c>
      <c r="T1223" s="8">
        <f t="shared" si="137"/>
        <v>0.25714285714285712</v>
      </c>
      <c r="U1223" s="8">
        <v>2.81968</v>
      </c>
      <c r="V1223">
        <v>22</v>
      </c>
      <c r="W1223" s="8">
        <f t="shared" si="138"/>
        <v>0.62857142857142856</v>
      </c>
      <c r="X1223" s="8">
        <v>2.8339599999999998</v>
      </c>
      <c r="Y1223">
        <v>4</v>
      </c>
      <c r="Z1223" s="8">
        <f t="shared" si="139"/>
        <v>0.11428571428571428</v>
      </c>
      <c r="AA1223" s="8">
        <v>2.8025699999999998</v>
      </c>
    </row>
    <row r="1224" spans="1:27" ht="15" customHeight="1" x14ac:dyDescent="0.25">
      <c r="A1224" s="14">
        <v>404</v>
      </c>
      <c r="B1224" s="14">
        <v>404</v>
      </c>
      <c r="C1224" s="36">
        <v>-12270.327600000001</v>
      </c>
      <c r="D1224" s="16">
        <v>-12271.761454</v>
      </c>
      <c r="E1224" s="14"/>
      <c r="F1224" s="37">
        <v>0.99751500000000004</v>
      </c>
      <c r="G1224" s="16">
        <v>0.20077999999999999</v>
      </c>
      <c r="H1224" s="14">
        <v>6</v>
      </c>
      <c r="I1224" s="14">
        <v>7</v>
      </c>
      <c r="J1224" s="32"/>
      <c r="K1224" s="8">
        <f t="shared" si="133"/>
        <v>-1.1702692307699181</v>
      </c>
      <c r="L1224" s="8">
        <f t="shared" si="134"/>
        <v>-9.0020710059224462E-2</v>
      </c>
      <c r="M1224" s="8">
        <f t="shared" si="135"/>
        <v>-1.1278618461528822</v>
      </c>
      <c r="N1224" s="8">
        <f t="shared" si="136"/>
        <v>-8.6758603550221705E-2</v>
      </c>
      <c r="O1224" s="8"/>
      <c r="P1224" t="s">
        <v>1511</v>
      </c>
      <c r="Q1224">
        <v>34</v>
      </c>
      <c r="R1224" s="8">
        <v>2.81236</v>
      </c>
      <c r="S1224">
        <v>10</v>
      </c>
      <c r="T1224" s="8">
        <f t="shared" si="137"/>
        <v>0.29411764705882354</v>
      </c>
      <c r="U1224" s="8">
        <v>2.8235299999999999</v>
      </c>
      <c r="V1224">
        <v>20</v>
      </c>
      <c r="W1224" s="8">
        <f t="shared" si="138"/>
        <v>0.58823529411764708</v>
      </c>
      <c r="X1224" s="8">
        <v>2.80436</v>
      </c>
      <c r="Y1224">
        <v>4</v>
      </c>
      <c r="Z1224" s="8">
        <f t="shared" si="139"/>
        <v>0.11764705882352941</v>
      </c>
      <c r="AA1224" s="8">
        <v>2.8244899999999999</v>
      </c>
    </row>
    <row r="1225" spans="1:27" ht="15" customHeight="1" x14ac:dyDescent="0.25">
      <c r="A1225" s="14">
        <v>405</v>
      </c>
      <c r="B1225" s="14">
        <v>405</v>
      </c>
      <c r="C1225" s="36">
        <v>-12270.541800000001</v>
      </c>
      <c r="D1225" s="16">
        <v>-12271.932521000001</v>
      </c>
      <c r="E1225" s="14"/>
      <c r="F1225" s="37">
        <v>0.99785400000000002</v>
      </c>
      <c r="G1225" s="16">
        <v>0.17710999999999899</v>
      </c>
      <c r="H1225" s="14">
        <v>6</v>
      </c>
      <c r="I1225" s="14">
        <v>7</v>
      </c>
      <c r="J1225" s="32"/>
      <c r="K1225" s="8">
        <f t="shared" si="133"/>
        <v>-1.3844692307702644</v>
      </c>
      <c r="L1225" s="8">
        <f t="shared" si="134"/>
        <v>-0.10649763313617419</v>
      </c>
      <c r="M1225" s="8">
        <f t="shared" si="135"/>
        <v>-1.2989288461540127</v>
      </c>
      <c r="N1225" s="8">
        <f t="shared" si="136"/>
        <v>-9.9917603550308667E-2</v>
      </c>
      <c r="O1225" s="8"/>
      <c r="P1225" t="s">
        <v>1512</v>
      </c>
      <c r="Q1225">
        <v>34</v>
      </c>
      <c r="R1225" s="8">
        <v>2.8199299999999998</v>
      </c>
      <c r="S1225">
        <v>7</v>
      </c>
      <c r="T1225" s="8">
        <f t="shared" si="137"/>
        <v>0.20588235294117646</v>
      </c>
      <c r="U1225" s="8">
        <v>2.80301</v>
      </c>
      <c r="V1225">
        <v>21</v>
      </c>
      <c r="W1225" s="8">
        <f t="shared" si="138"/>
        <v>0.61764705882352944</v>
      </c>
      <c r="X1225" s="8">
        <v>2.8255599999999998</v>
      </c>
      <c r="Y1225">
        <v>6</v>
      </c>
      <c r="Z1225" s="8">
        <f t="shared" si="139"/>
        <v>0.17647058823529413</v>
      </c>
      <c r="AA1225" s="8">
        <v>2.8199399999999999</v>
      </c>
    </row>
    <row r="1226" spans="1:27" ht="15" customHeight="1" x14ac:dyDescent="0.25">
      <c r="A1226" s="14">
        <v>406</v>
      </c>
      <c r="B1226" s="14">
        <v>406</v>
      </c>
      <c r="C1226" s="36">
        <v>-12270.474399999999</v>
      </c>
      <c r="D1226" s="16">
        <v>-12271.935073000001</v>
      </c>
      <c r="E1226" s="14"/>
      <c r="F1226" s="37">
        <v>0.99490400000000001</v>
      </c>
      <c r="G1226" s="16">
        <v>0.17910000000000001</v>
      </c>
      <c r="H1226" s="14">
        <v>6</v>
      </c>
      <c r="I1226" s="14">
        <v>7</v>
      </c>
      <c r="J1226" s="32"/>
      <c r="K1226" s="8">
        <f t="shared" si="133"/>
        <v>-1.3170692307685385</v>
      </c>
      <c r="L1226" s="8">
        <f t="shared" si="134"/>
        <v>-0.10131301775142604</v>
      </c>
      <c r="M1226" s="8">
        <f t="shared" si="135"/>
        <v>-1.301480846153936</v>
      </c>
      <c r="N1226" s="8">
        <f t="shared" si="136"/>
        <v>-0.10011391124261046</v>
      </c>
      <c r="O1226" s="8"/>
      <c r="P1226" t="s">
        <v>1513</v>
      </c>
      <c r="Q1226">
        <v>35</v>
      </c>
      <c r="R1226" s="8">
        <v>2.8288899999999999</v>
      </c>
      <c r="S1226">
        <v>7</v>
      </c>
      <c r="T1226" s="8">
        <f t="shared" si="137"/>
        <v>0.2</v>
      </c>
      <c r="U1226" s="8">
        <v>2.80586</v>
      </c>
      <c r="V1226">
        <v>21</v>
      </c>
      <c r="W1226" s="8">
        <f t="shared" si="138"/>
        <v>0.6</v>
      </c>
      <c r="X1226" s="8">
        <v>2.8191299999999999</v>
      </c>
      <c r="Y1226">
        <v>7</v>
      </c>
      <c r="Z1226" s="8">
        <f t="shared" si="139"/>
        <v>0.2</v>
      </c>
      <c r="AA1226" s="8">
        <v>2.8812099999999998</v>
      </c>
    </row>
    <row r="1227" spans="1:27" ht="15" customHeight="1" x14ac:dyDescent="0.25">
      <c r="A1227" s="14">
        <v>407</v>
      </c>
      <c r="B1227" s="14">
        <v>407</v>
      </c>
      <c r="C1227" s="36">
        <v>-12270.4941</v>
      </c>
      <c r="D1227" s="16">
        <v>-12271.930065</v>
      </c>
      <c r="E1227" s="14"/>
      <c r="F1227" s="37">
        <v>0.99668500000000004</v>
      </c>
      <c r="G1227" s="16">
        <v>0.19109999999999999</v>
      </c>
      <c r="H1227" s="14">
        <v>6</v>
      </c>
      <c r="I1227" s="14">
        <v>7</v>
      </c>
      <c r="J1227" s="32"/>
      <c r="K1227" s="8">
        <f t="shared" si="133"/>
        <v>-1.3367692307692778</v>
      </c>
      <c r="L1227" s="8">
        <f t="shared" si="134"/>
        <v>-0.10282840236686752</v>
      </c>
      <c r="M1227" s="8">
        <f t="shared" si="135"/>
        <v>-1.2964728461538471</v>
      </c>
      <c r="N1227" s="8">
        <f t="shared" si="136"/>
        <v>-9.9728680473372855E-2</v>
      </c>
      <c r="O1227" s="8"/>
      <c r="P1227" t="s">
        <v>1514</v>
      </c>
      <c r="Q1227">
        <v>34</v>
      </c>
      <c r="R1227" s="8">
        <v>2.8188800000000001</v>
      </c>
      <c r="S1227">
        <v>7</v>
      </c>
      <c r="T1227" s="8">
        <f t="shared" si="137"/>
        <v>0.20588235294117646</v>
      </c>
      <c r="U1227" s="8">
        <v>2.82836</v>
      </c>
      <c r="V1227">
        <v>22</v>
      </c>
      <c r="W1227" s="8">
        <f t="shared" si="138"/>
        <v>0.6470588235294118</v>
      </c>
      <c r="X1227" s="8">
        <v>2.80525</v>
      </c>
      <c r="Y1227">
        <v>5</v>
      </c>
      <c r="Z1227" s="8">
        <f t="shared" si="139"/>
        <v>0.14705882352941177</v>
      </c>
      <c r="AA1227" s="8">
        <v>2.86557</v>
      </c>
    </row>
    <row r="1228" spans="1:27" ht="15" customHeight="1" x14ac:dyDescent="0.25">
      <c r="A1228" s="14">
        <v>408</v>
      </c>
      <c r="B1228" s="14">
        <v>408</v>
      </c>
      <c r="C1228" s="36">
        <v>-12270.325800000001</v>
      </c>
      <c r="D1228" s="16">
        <v>-12271.905987</v>
      </c>
      <c r="E1228" s="14"/>
      <c r="F1228" s="37">
        <v>0.99654100000000001</v>
      </c>
      <c r="G1228" s="16">
        <v>0.19073999999999899</v>
      </c>
      <c r="H1228" s="14">
        <v>6</v>
      </c>
      <c r="I1228" s="14">
        <v>7</v>
      </c>
      <c r="J1228" s="32"/>
      <c r="K1228" s="8">
        <f t="shared" si="133"/>
        <v>-1.1684692307699152</v>
      </c>
      <c r="L1228" s="8">
        <f t="shared" si="134"/>
        <v>-8.9882248520762709E-2</v>
      </c>
      <c r="M1228" s="8">
        <f t="shared" si="135"/>
        <v>-1.2723948461534746</v>
      </c>
      <c r="N1228" s="8">
        <f t="shared" si="136"/>
        <v>-9.7876526627190361E-2</v>
      </c>
      <c r="O1228" s="8"/>
      <c r="P1228" t="s">
        <v>1515</v>
      </c>
      <c r="Q1228">
        <v>34</v>
      </c>
      <c r="R1228" s="8">
        <v>2.8180000000000001</v>
      </c>
      <c r="S1228">
        <v>8</v>
      </c>
      <c r="T1228" s="8">
        <f t="shared" si="137"/>
        <v>0.23529411764705882</v>
      </c>
      <c r="U1228" s="8">
        <v>2.8088199999999999</v>
      </c>
      <c r="V1228">
        <v>20</v>
      </c>
      <c r="W1228" s="8">
        <f t="shared" si="138"/>
        <v>0.58823529411764708</v>
      </c>
      <c r="X1228" s="8">
        <v>2.8102499999999999</v>
      </c>
      <c r="Y1228">
        <v>6</v>
      </c>
      <c r="Z1228" s="8">
        <f t="shared" si="139"/>
        <v>0.17647058823529413</v>
      </c>
      <c r="AA1228" s="8">
        <v>2.8560599999999998</v>
      </c>
    </row>
    <row r="1229" spans="1:27" ht="15" customHeight="1" x14ac:dyDescent="0.25">
      <c r="A1229" s="14">
        <v>409</v>
      </c>
      <c r="B1229" s="14">
        <v>409</v>
      </c>
      <c r="C1229" s="36">
        <v>-12270.395500000001</v>
      </c>
      <c r="D1229" s="16">
        <v>-12271.964532</v>
      </c>
      <c r="E1229" s="14"/>
      <c r="F1229" s="37">
        <v>0.99736599999999997</v>
      </c>
      <c r="G1229" s="16">
        <v>0.198929999999999</v>
      </c>
      <c r="H1229" s="14">
        <v>6</v>
      </c>
      <c r="I1229" s="14">
        <v>7</v>
      </c>
      <c r="J1229" s="32"/>
      <c r="K1229" s="8">
        <f t="shared" si="133"/>
        <v>-1.2381692307699268</v>
      </c>
      <c r="L1229" s="8">
        <f t="shared" si="134"/>
        <v>-9.5243786982302056E-2</v>
      </c>
      <c r="M1229" s="8">
        <f t="shared" si="135"/>
        <v>-1.3309398461533419</v>
      </c>
      <c r="N1229" s="8">
        <f t="shared" si="136"/>
        <v>-0.10237998816564169</v>
      </c>
      <c r="O1229" s="8"/>
      <c r="P1229" t="s">
        <v>1516</v>
      </c>
      <c r="Q1229">
        <v>35</v>
      </c>
      <c r="R1229" s="8">
        <v>2.8287399999999998</v>
      </c>
      <c r="S1229">
        <v>8</v>
      </c>
      <c r="T1229" s="8">
        <f t="shared" si="137"/>
        <v>0.22857142857142856</v>
      </c>
      <c r="U1229" s="8">
        <v>2.85005</v>
      </c>
      <c r="V1229">
        <v>22</v>
      </c>
      <c r="W1229" s="8">
        <f t="shared" si="138"/>
        <v>0.62857142857142856</v>
      </c>
      <c r="X1229" s="8">
        <v>2.8162799999999999</v>
      </c>
      <c r="Y1229">
        <v>5</v>
      </c>
      <c r="Z1229" s="8">
        <f t="shared" si="139"/>
        <v>0.14285714285714285</v>
      </c>
      <c r="AA1229" s="8">
        <v>2.8494700000000002</v>
      </c>
    </row>
    <row r="1230" spans="1:27" ht="15" customHeight="1" x14ac:dyDescent="0.25">
      <c r="A1230" s="14">
        <v>410</v>
      </c>
      <c r="B1230" s="14">
        <v>410</v>
      </c>
      <c r="C1230" s="36">
        <v>-12270.421399999999</v>
      </c>
      <c r="D1230" s="16">
        <v>-12271.877899999999</v>
      </c>
      <c r="E1230" s="14"/>
      <c r="F1230" s="37">
        <v>0.99606099999999997</v>
      </c>
      <c r="G1230" s="16">
        <v>0.18684999999999899</v>
      </c>
      <c r="H1230" s="14">
        <v>6</v>
      </c>
      <c r="I1230" s="14">
        <v>7</v>
      </c>
      <c r="J1230" s="32"/>
      <c r="K1230" s="8">
        <f t="shared" si="133"/>
        <v>-1.264069230768655</v>
      </c>
      <c r="L1230" s="8">
        <f t="shared" si="134"/>
        <v>-9.7236094674511914E-2</v>
      </c>
      <c r="M1230" s="8">
        <f t="shared" si="135"/>
        <v>-1.2443078461528785</v>
      </c>
      <c r="N1230" s="8">
        <f t="shared" si="136"/>
        <v>-9.5715988165606031E-2</v>
      </c>
      <c r="O1230" s="8"/>
      <c r="P1230" t="s">
        <v>1517</v>
      </c>
      <c r="Q1230">
        <v>34</v>
      </c>
      <c r="R1230" s="8">
        <v>2.8199800000000002</v>
      </c>
      <c r="S1230">
        <v>7</v>
      </c>
      <c r="T1230" s="8">
        <f t="shared" si="137"/>
        <v>0.20588235294117646</v>
      </c>
      <c r="U1230" s="8">
        <v>2.7823199999999999</v>
      </c>
      <c r="V1230">
        <v>19</v>
      </c>
      <c r="W1230" s="8">
        <f t="shared" si="138"/>
        <v>0.55882352941176472</v>
      </c>
      <c r="X1230" s="8">
        <v>2.8029299999999999</v>
      </c>
      <c r="Y1230">
        <v>8</v>
      </c>
      <c r="Z1230" s="8">
        <f t="shared" si="139"/>
        <v>0.23529411764705882</v>
      </c>
      <c r="AA1230" s="8">
        <v>2.8934299999999999</v>
      </c>
    </row>
    <row r="1231" spans="1:27" ht="15" customHeight="1" x14ac:dyDescent="0.25">
      <c r="A1231" s="14">
        <v>411</v>
      </c>
      <c r="B1231" s="14">
        <v>411</v>
      </c>
      <c r="C1231" s="36">
        <v>-12270.1998</v>
      </c>
      <c r="D1231" s="16">
        <v>-12271.754370000001</v>
      </c>
      <c r="E1231" s="14"/>
      <c r="F1231" s="37">
        <v>0.994753</v>
      </c>
      <c r="G1231" s="16">
        <v>0.17821999999999999</v>
      </c>
      <c r="H1231" s="14">
        <v>6</v>
      </c>
      <c r="I1231" s="14">
        <v>7</v>
      </c>
      <c r="J1231" s="32"/>
      <c r="K1231" s="8">
        <f t="shared" si="133"/>
        <v>-1.0424692307697114</v>
      </c>
      <c r="L1231" s="8">
        <f t="shared" si="134"/>
        <v>-8.0189940828439346E-2</v>
      </c>
      <c r="M1231" s="8">
        <f t="shared" si="135"/>
        <v>-1.1207778461539419</v>
      </c>
      <c r="N1231" s="8">
        <f t="shared" si="136"/>
        <v>-8.6213680473380155E-2</v>
      </c>
      <c r="O1231" s="8"/>
      <c r="P1231" t="s">
        <v>1518</v>
      </c>
      <c r="Q1231">
        <v>34</v>
      </c>
      <c r="R1231" s="8">
        <v>2.8225199999999999</v>
      </c>
      <c r="S1231">
        <v>8</v>
      </c>
      <c r="T1231" s="8">
        <f t="shared" si="137"/>
        <v>0.23529411764705882</v>
      </c>
      <c r="U1231" s="8">
        <v>2.7961399999999998</v>
      </c>
      <c r="V1231">
        <v>19</v>
      </c>
      <c r="W1231" s="8">
        <f t="shared" si="138"/>
        <v>0.55882352941176472</v>
      </c>
      <c r="X1231" s="8">
        <v>2.8131499999999998</v>
      </c>
      <c r="Y1231">
        <v>7</v>
      </c>
      <c r="Z1231" s="8">
        <f t="shared" si="139"/>
        <v>0.20588235294117646</v>
      </c>
      <c r="AA1231" s="8">
        <v>2.8780700000000001</v>
      </c>
    </row>
    <row r="1232" spans="1:27" ht="15" customHeight="1" x14ac:dyDescent="0.25">
      <c r="A1232" s="14">
        <v>412</v>
      </c>
      <c r="B1232" s="14">
        <v>412</v>
      </c>
      <c r="C1232" s="36">
        <v>-12270.3385</v>
      </c>
      <c r="D1232" s="16">
        <v>-12271.928532</v>
      </c>
      <c r="E1232" s="14"/>
      <c r="F1232" s="37">
        <v>0.99228799999999995</v>
      </c>
      <c r="G1232" s="16">
        <v>0.16661999999999999</v>
      </c>
      <c r="H1232" s="14">
        <v>6</v>
      </c>
      <c r="I1232" s="14">
        <v>7</v>
      </c>
      <c r="J1232" s="32"/>
      <c r="K1232" s="8">
        <f t="shared" si="133"/>
        <v>-1.1811692307692283</v>
      </c>
      <c r="L1232" s="8">
        <f t="shared" si="134"/>
        <v>-9.0859171597632946E-2</v>
      </c>
      <c r="M1232" s="8">
        <f t="shared" si="135"/>
        <v>-1.2949398461532837</v>
      </c>
      <c r="N1232" s="8">
        <f t="shared" si="136"/>
        <v>-9.9610757396406444E-2</v>
      </c>
      <c r="O1232" s="8"/>
      <c r="P1232" t="s">
        <v>1519</v>
      </c>
      <c r="Q1232">
        <v>34</v>
      </c>
      <c r="R1232" s="8">
        <v>2.81962</v>
      </c>
      <c r="S1232">
        <v>7</v>
      </c>
      <c r="T1232" s="8">
        <f t="shared" si="137"/>
        <v>0.20588235294117646</v>
      </c>
      <c r="U1232" s="8">
        <v>2.8042199999999999</v>
      </c>
      <c r="V1232">
        <v>21</v>
      </c>
      <c r="W1232" s="8">
        <f t="shared" si="138"/>
        <v>0.61764705882352944</v>
      </c>
      <c r="X1232" s="8">
        <v>2.8001399999999999</v>
      </c>
      <c r="Y1232">
        <v>6</v>
      </c>
      <c r="Z1232" s="8">
        <f t="shared" si="139"/>
        <v>0.17647058823529413</v>
      </c>
      <c r="AA1232" s="8">
        <v>2.9057400000000002</v>
      </c>
    </row>
    <row r="1233" spans="1:27" ht="15" customHeight="1" x14ac:dyDescent="0.25">
      <c r="A1233" s="14">
        <v>413</v>
      </c>
      <c r="B1233" s="14">
        <v>413</v>
      </c>
      <c r="C1233" s="36">
        <v>-12270.151900000001</v>
      </c>
      <c r="D1233" s="16">
        <v>-12271.640493999999</v>
      </c>
      <c r="E1233" s="14"/>
      <c r="F1233" s="37">
        <v>0.99213600000000002</v>
      </c>
      <c r="G1233" s="16">
        <v>0.16602</v>
      </c>
      <c r="H1233" s="14">
        <v>6</v>
      </c>
      <c r="I1233" s="14">
        <v>7</v>
      </c>
      <c r="J1233" s="32"/>
      <c r="K1233" s="8">
        <f t="shared" si="133"/>
        <v>-0.99456923077013926</v>
      </c>
      <c r="L1233" s="8">
        <f t="shared" si="134"/>
        <v>-7.6505325443856867E-2</v>
      </c>
      <c r="M1233" s="8">
        <f t="shared" si="135"/>
        <v>-1.0069018461526866</v>
      </c>
      <c r="N1233" s="8">
        <f t="shared" si="136"/>
        <v>-7.7453988165591278E-2</v>
      </c>
      <c r="O1233" s="8"/>
      <c r="P1233" t="s">
        <v>1520</v>
      </c>
      <c r="Q1233">
        <v>34</v>
      </c>
      <c r="R1233" s="8">
        <v>2.81907</v>
      </c>
      <c r="S1233">
        <v>8</v>
      </c>
      <c r="T1233" s="8">
        <f t="shared" si="137"/>
        <v>0.23529411764705882</v>
      </c>
      <c r="U1233" s="8">
        <v>2.8126500000000001</v>
      </c>
      <c r="V1233">
        <v>21</v>
      </c>
      <c r="W1233" s="8">
        <f t="shared" si="138"/>
        <v>0.61764705882352944</v>
      </c>
      <c r="X1233" s="8">
        <v>2.80897</v>
      </c>
      <c r="Y1233">
        <v>5</v>
      </c>
      <c r="Z1233" s="8">
        <f t="shared" si="139"/>
        <v>0.14705882352941177</v>
      </c>
      <c r="AA1233" s="8">
        <v>2.8717600000000001</v>
      </c>
    </row>
    <row r="1234" spans="1:27" ht="15" customHeight="1" x14ac:dyDescent="0.25">
      <c r="A1234" s="14">
        <v>414</v>
      </c>
      <c r="B1234" s="14">
        <v>414</v>
      </c>
      <c r="C1234" s="36">
        <v>-12270.4575</v>
      </c>
      <c r="D1234" s="16">
        <v>-12272.059025</v>
      </c>
      <c r="E1234" s="14"/>
      <c r="F1234" s="37">
        <v>0.99813600000000002</v>
      </c>
      <c r="G1234" s="16">
        <v>0.20948999999999901</v>
      </c>
      <c r="H1234" s="14">
        <v>6</v>
      </c>
      <c r="I1234" s="14">
        <v>7</v>
      </c>
      <c r="J1234" s="32"/>
      <c r="K1234" s="8">
        <f t="shared" si="133"/>
        <v>-1.3001692307698249</v>
      </c>
      <c r="L1234" s="8">
        <f t="shared" si="134"/>
        <v>-0.10001301775152499</v>
      </c>
      <c r="M1234" s="8">
        <f t="shared" si="135"/>
        <v>-1.4254328461538535</v>
      </c>
      <c r="N1234" s="8">
        <f t="shared" si="136"/>
        <v>-0.10964868047337334</v>
      </c>
      <c r="O1234" s="8"/>
      <c r="P1234" t="s">
        <v>1521</v>
      </c>
      <c r="Q1234">
        <v>34</v>
      </c>
      <c r="R1234" s="8">
        <v>2.81542</v>
      </c>
      <c r="S1234">
        <v>8</v>
      </c>
      <c r="T1234" s="8">
        <f t="shared" si="137"/>
        <v>0.23529411764705882</v>
      </c>
      <c r="U1234" s="8">
        <v>2.8037700000000001</v>
      </c>
      <c r="V1234">
        <v>19</v>
      </c>
      <c r="W1234" s="8">
        <f t="shared" si="138"/>
        <v>0.55882352941176472</v>
      </c>
      <c r="X1234" s="8">
        <v>2.8073999999999999</v>
      </c>
      <c r="Y1234">
        <v>7</v>
      </c>
      <c r="Z1234" s="8">
        <f t="shared" si="139"/>
        <v>0.20588235294117646</v>
      </c>
      <c r="AA1234" s="8">
        <v>2.8505099999999999</v>
      </c>
    </row>
    <row r="1235" spans="1:27" ht="15" customHeight="1" x14ac:dyDescent="0.25">
      <c r="A1235" s="14">
        <v>415</v>
      </c>
      <c r="B1235" s="14">
        <v>415</v>
      </c>
      <c r="C1235" s="36">
        <v>-12270.5375</v>
      </c>
      <c r="D1235" s="16">
        <v>-12271.934501</v>
      </c>
      <c r="E1235" s="14"/>
      <c r="F1235" s="37">
        <v>0.99758599999999997</v>
      </c>
      <c r="G1235" s="16">
        <v>0.20157999999999901</v>
      </c>
      <c r="H1235" s="14">
        <v>6</v>
      </c>
      <c r="I1235" s="14">
        <v>7</v>
      </c>
      <c r="J1235" s="32"/>
      <c r="K1235" s="8">
        <f t="shared" si="133"/>
        <v>-1.3801692307697522</v>
      </c>
      <c r="L1235" s="8">
        <f t="shared" si="134"/>
        <v>-0.10616686390536555</v>
      </c>
      <c r="M1235" s="8">
        <f t="shared" si="135"/>
        <v>-1.3009088461531064</v>
      </c>
      <c r="N1235" s="8">
        <f t="shared" si="136"/>
        <v>-0.10006991124254665</v>
      </c>
      <c r="O1235" s="8"/>
      <c r="P1235" t="s">
        <v>1522</v>
      </c>
      <c r="Q1235">
        <v>34</v>
      </c>
      <c r="R1235" s="8">
        <v>2.81732</v>
      </c>
      <c r="S1235">
        <v>7</v>
      </c>
      <c r="T1235" s="8">
        <f t="shared" si="137"/>
        <v>0.20588235294117646</v>
      </c>
      <c r="U1235" s="8">
        <v>2.8191000000000002</v>
      </c>
      <c r="V1235">
        <v>21</v>
      </c>
      <c r="W1235" s="8">
        <f t="shared" si="138"/>
        <v>0.61764705882352944</v>
      </c>
      <c r="X1235" s="8">
        <v>2.7985500000000001</v>
      </c>
      <c r="Y1235">
        <v>6</v>
      </c>
      <c r="Z1235" s="8">
        <f t="shared" si="139"/>
        <v>0.17647058823529413</v>
      </c>
      <c r="AA1235" s="8">
        <v>2.8809399999999998</v>
      </c>
    </row>
    <row r="1236" spans="1:27" ht="15" customHeight="1" x14ac:dyDescent="0.25">
      <c r="A1236" s="14">
        <v>416</v>
      </c>
      <c r="B1236" s="14">
        <v>416</v>
      </c>
      <c r="C1236" s="36">
        <v>-12270.3217</v>
      </c>
      <c r="D1236" s="16">
        <v>-12271.862005999999</v>
      </c>
      <c r="E1236" s="14"/>
      <c r="F1236" s="37">
        <v>0.99677700000000002</v>
      </c>
      <c r="G1236" s="16">
        <v>0.193079999999999</v>
      </c>
      <c r="H1236" s="14">
        <v>6</v>
      </c>
      <c r="I1236" s="14">
        <v>7</v>
      </c>
      <c r="J1236" s="32"/>
      <c r="K1236" s="8">
        <f t="shared" si="133"/>
        <v>-1.1643692307698075</v>
      </c>
      <c r="L1236" s="8">
        <f t="shared" si="134"/>
        <v>-8.9566863905369803E-2</v>
      </c>
      <c r="M1236" s="8">
        <f t="shared" si="135"/>
        <v>-1.2284138461527618</v>
      </c>
      <c r="N1236" s="8">
        <f t="shared" si="136"/>
        <v>-9.4493372780981674E-2</v>
      </c>
      <c r="O1236" s="8"/>
      <c r="P1236" t="s">
        <v>1523</v>
      </c>
      <c r="Q1236">
        <v>34</v>
      </c>
      <c r="R1236" s="8">
        <v>2.8165800000000001</v>
      </c>
      <c r="S1236">
        <v>9</v>
      </c>
      <c r="T1236" s="8">
        <f t="shared" si="137"/>
        <v>0.26470588235294118</v>
      </c>
      <c r="U1236" s="8">
        <v>2.7992599999999999</v>
      </c>
      <c r="V1236">
        <v>18</v>
      </c>
      <c r="W1236" s="8">
        <f t="shared" si="138"/>
        <v>0.52941176470588236</v>
      </c>
      <c r="X1236" s="8">
        <v>2.8048299999999999</v>
      </c>
      <c r="Y1236">
        <v>7</v>
      </c>
      <c r="Z1236" s="8">
        <f t="shared" si="139"/>
        <v>0.20588235294117646</v>
      </c>
      <c r="AA1236" s="8">
        <v>2.8690899999999999</v>
      </c>
    </row>
    <row r="1237" spans="1:27" ht="15" customHeight="1" x14ac:dyDescent="0.25">
      <c r="A1237" s="14">
        <v>417</v>
      </c>
      <c r="B1237" s="14">
        <v>417</v>
      </c>
      <c r="C1237" s="36">
        <v>-12270.4548</v>
      </c>
      <c r="D1237" s="16">
        <v>-12271.954013</v>
      </c>
      <c r="E1237" s="14"/>
      <c r="F1237" s="37">
        <v>0.99464799999999998</v>
      </c>
      <c r="G1237" s="16">
        <v>0.177619999999999</v>
      </c>
      <c r="H1237" s="14">
        <v>6</v>
      </c>
      <c r="I1237" s="14">
        <v>7</v>
      </c>
      <c r="J1237" s="32"/>
      <c r="K1237" s="8">
        <f t="shared" si="133"/>
        <v>-1.2974692307689111</v>
      </c>
      <c r="L1237" s="8">
        <f t="shared" si="134"/>
        <v>-9.9805325443762388E-2</v>
      </c>
      <c r="M1237" s="8">
        <f t="shared" si="135"/>
        <v>-1.3204208461538656</v>
      </c>
      <c r="N1237" s="8">
        <f t="shared" si="136"/>
        <v>-0.10157083431952812</v>
      </c>
      <c r="O1237" s="8"/>
      <c r="P1237" t="s">
        <v>1524</v>
      </c>
      <c r="Q1237">
        <v>34</v>
      </c>
      <c r="R1237" s="8">
        <v>2.8158599999999998</v>
      </c>
      <c r="S1237">
        <v>8</v>
      </c>
      <c r="T1237" s="8">
        <f t="shared" si="137"/>
        <v>0.23529411764705882</v>
      </c>
      <c r="U1237" s="8">
        <v>2.8045</v>
      </c>
      <c r="V1237">
        <v>20</v>
      </c>
      <c r="W1237" s="8">
        <f t="shared" si="138"/>
        <v>0.58823529411764708</v>
      </c>
      <c r="X1237" s="8">
        <v>2.8064900000000002</v>
      </c>
      <c r="Y1237">
        <v>6</v>
      </c>
      <c r="Z1237" s="8">
        <f t="shared" si="139"/>
        <v>0.17647058823529413</v>
      </c>
      <c r="AA1237" s="8">
        <v>2.8622700000000001</v>
      </c>
    </row>
    <row r="1238" spans="1:27" ht="15" customHeight="1" x14ac:dyDescent="0.25">
      <c r="A1238" s="14">
        <v>418</v>
      </c>
      <c r="B1238" s="14">
        <v>418</v>
      </c>
      <c r="C1238" s="36">
        <v>-12270.4717</v>
      </c>
      <c r="D1238" s="16">
        <v>-12272.044934</v>
      </c>
      <c r="E1238" s="14"/>
      <c r="F1238" s="37">
        <v>0.99795800000000001</v>
      </c>
      <c r="G1238" s="16">
        <v>0.20655999999999999</v>
      </c>
      <c r="H1238" s="14">
        <v>6</v>
      </c>
      <c r="I1238" s="14">
        <v>7</v>
      </c>
      <c r="J1238" s="32"/>
      <c r="K1238" s="8">
        <f t="shared" si="133"/>
        <v>-1.3143692307694437</v>
      </c>
      <c r="L1238" s="8">
        <f t="shared" si="134"/>
        <v>-0.10110532544380336</v>
      </c>
      <c r="M1238" s="8">
        <f t="shared" si="135"/>
        <v>-1.4113418461529363</v>
      </c>
      <c r="N1238" s="8">
        <f t="shared" si="136"/>
        <v>-0.10856475739637972</v>
      </c>
      <c r="O1238" s="8"/>
      <c r="P1238" t="s">
        <v>1525</v>
      </c>
      <c r="Q1238">
        <v>33</v>
      </c>
      <c r="R1238" s="8">
        <v>2.8134000000000001</v>
      </c>
      <c r="S1238">
        <v>7</v>
      </c>
      <c r="T1238" s="8">
        <f t="shared" si="137"/>
        <v>0.21212121212121213</v>
      </c>
      <c r="U1238" s="8">
        <v>2.8045900000000001</v>
      </c>
      <c r="V1238">
        <v>20</v>
      </c>
      <c r="W1238" s="8">
        <f t="shared" si="138"/>
        <v>0.60606060606060608</v>
      </c>
      <c r="X1238" s="8">
        <v>2.79474</v>
      </c>
      <c r="Y1238">
        <v>6</v>
      </c>
      <c r="Z1238" s="8">
        <f t="shared" si="139"/>
        <v>0.18181818181818182</v>
      </c>
      <c r="AA1238" s="8">
        <v>2.8858999999999999</v>
      </c>
    </row>
    <row r="1239" spans="1:27" ht="15" customHeight="1" x14ac:dyDescent="0.25">
      <c r="A1239" s="14">
        <v>419</v>
      </c>
      <c r="B1239" s="14">
        <v>419</v>
      </c>
      <c r="C1239" s="36">
        <v>-12270.096299999999</v>
      </c>
      <c r="D1239" s="16">
        <v>-12271.644313000001</v>
      </c>
      <c r="E1239" s="14"/>
      <c r="F1239" s="37">
        <v>0.99548599999999998</v>
      </c>
      <c r="G1239" s="16">
        <v>0.18276999999999999</v>
      </c>
      <c r="H1239" s="14">
        <v>6</v>
      </c>
      <c r="I1239" s="14">
        <v>7</v>
      </c>
      <c r="J1239" s="32"/>
      <c r="K1239" s="8">
        <f t="shared" si="133"/>
        <v>-0.93896923076863459</v>
      </c>
      <c r="L1239" s="8">
        <f t="shared" si="134"/>
        <v>-7.2228402366818045E-2</v>
      </c>
      <c r="M1239" s="8">
        <f t="shared" si="135"/>
        <v>-1.0107208461540722</v>
      </c>
      <c r="N1239" s="8">
        <f t="shared" si="136"/>
        <v>-7.7747757396467096E-2</v>
      </c>
      <c r="O1239" s="8"/>
      <c r="P1239" t="s">
        <v>1526</v>
      </c>
      <c r="Q1239">
        <v>35</v>
      </c>
      <c r="R1239" s="8">
        <v>2.8280500000000002</v>
      </c>
      <c r="S1239">
        <v>11</v>
      </c>
      <c r="T1239" s="8">
        <f t="shared" si="137"/>
        <v>0.31428571428571428</v>
      </c>
      <c r="U1239" s="8">
        <v>2.8428800000000001</v>
      </c>
      <c r="V1239">
        <v>17</v>
      </c>
      <c r="W1239" s="8">
        <f t="shared" si="138"/>
        <v>0.48571428571428571</v>
      </c>
      <c r="X1239" s="8">
        <v>2.8161100000000001</v>
      </c>
      <c r="Y1239">
        <v>7</v>
      </c>
      <c r="Z1239" s="8">
        <f t="shared" si="139"/>
        <v>0.2</v>
      </c>
      <c r="AA1239" s="8">
        <v>2.8337699999999999</v>
      </c>
    </row>
    <row r="1240" spans="1:27" ht="15" customHeight="1" x14ac:dyDescent="0.25">
      <c r="A1240" s="14">
        <v>420</v>
      </c>
      <c r="B1240" s="14">
        <v>420</v>
      </c>
      <c r="C1240" s="36">
        <v>-12270.4545</v>
      </c>
      <c r="D1240" s="16">
        <v>-12272.002146000001</v>
      </c>
      <c r="E1240" s="14"/>
      <c r="F1240" s="37">
        <v>0.99437399999999998</v>
      </c>
      <c r="G1240" s="16">
        <v>0.17612</v>
      </c>
      <c r="H1240" s="14">
        <v>6</v>
      </c>
      <c r="I1240" s="14">
        <v>7</v>
      </c>
      <c r="J1240" s="32"/>
      <c r="K1240" s="8">
        <f t="shared" si="133"/>
        <v>-1.2971692307692138</v>
      </c>
      <c r="L1240" s="8">
        <f t="shared" si="134"/>
        <v>-9.9782248520708744E-2</v>
      </c>
      <c r="M1240" s="8">
        <f t="shared" si="135"/>
        <v>-1.3685538461541</v>
      </c>
      <c r="N1240" s="8">
        <f t="shared" si="136"/>
        <v>-0.10527337278108462</v>
      </c>
      <c r="O1240" s="8"/>
      <c r="P1240" t="s">
        <v>1527</v>
      </c>
      <c r="Q1240">
        <v>34</v>
      </c>
      <c r="R1240" s="8">
        <v>2.8195299999999999</v>
      </c>
      <c r="S1240">
        <v>7</v>
      </c>
      <c r="T1240" s="8">
        <f t="shared" si="137"/>
        <v>0.20588235294117646</v>
      </c>
      <c r="U1240" s="8">
        <v>2.8184999999999998</v>
      </c>
      <c r="V1240">
        <v>21</v>
      </c>
      <c r="W1240" s="8">
        <f t="shared" si="138"/>
        <v>0.61764705882352944</v>
      </c>
      <c r="X1240" s="8">
        <v>2.7887400000000002</v>
      </c>
      <c r="Y1240">
        <v>6</v>
      </c>
      <c r="Z1240" s="8">
        <f t="shared" si="139"/>
        <v>0.17647058823529413</v>
      </c>
      <c r="AA1240" s="8">
        <v>2.92849</v>
      </c>
    </row>
    <row r="1241" spans="1:27" ht="15" customHeight="1" x14ac:dyDescent="0.25">
      <c r="A1241" s="14">
        <v>421</v>
      </c>
      <c r="B1241" s="14">
        <v>421</v>
      </c>
      <c r="C1241" s="36">
        <v>-12270.3639</v>
      </c>
      <c r="D1241" s="16">
        <v>-12271.789156999999</v>
      </c>
      <c r="E1241" s="14"/>
      <c r="F1241" s="37">
        <v>0.99614999999999998</v>
      </c>
      <c r="G1241" s="16">
        <v>0.18753999999999901</v>
      </c>
      <c r="H1241" s="14">
        <v>6</v>
      </c>
      <c r="I1241" s="14">
        <v>7</v>
      </c>
      <c r="J1241" s="32"/>
      <c r="K1241" s="8">
        <f t="shared" si="133"/>
        <v>-1.2065692307696736</v>
      </c>
      <c r="L1241" s="8">
        <f t="shared" si="134"/>
        <v>-9.2813017751513349E-2</v>
      </c>
      <c r="M1241" s="8">
        <f t="shared" si="135"/>
        <v>-1.1555648461526289</v>
      </c>
      <c r="N1241" s="8">
        <f t="shared" si="136"/>
        <v>-8.8889603550202229E-2</v>
      </c>
      <c r="O1241" s="8"/>
      <c r="P1241" t="s">
        <v>1528</v>
      </c>
      <c r="Q1241">
        <v>34</v>
      </c>
      <c r="R1241" s="8">
        <v>2.8251499999999998</v>
      </c>
      <c r="S1241">
        <v>8</v>
      </c>
      <c r="T1241" s="8">
        <f t="shared" si="137"/>
        <v>0.23529411764705882</v>
      </c>
      <c r="U1241" s="8">
        <v>2.8416700000000001</v>
      </c>
      <c r="V1241">
        <v>21</v>
      </c>
      <c r="W1241" s="8">
        <f t="shared" si="138"/>
        <v>0.61764705882352944</v>
      </c>
      <c r="X1241" s="8">
        <v>2.8002799999999999</v>
      </c>
      <c r="Y1241">
        <v>5</v>
      </c>
      <c r="Z1241" s="8">
        <f t="shared" si="139"/>
        <v>0.14705882352941177</v>
      </c>
      <c r="AA1241" s="8">
        <v>2.9031500000000001</v>
      </c>
    </row>
    <row r="1242" spans="1:27" ht="15" customHeight="1" x14ac:dyDescent="0.25">
      <c r="A1242" s="14">
        <v>422</v>
      </c>
      <c r="B1242" s="14">
        <v>422</v>
      </c>
      <c r="C1242" s="36">
        <v>-12270.4681</v>
      </c>
      <c r="D1242" s="16">
        <v>-12272.002063</v>
      </c>
      <c r="E1242" s="14"/>
      <c r="F1242" s="37">
        <v>0.99578900000000004</v>
      </c>
      <c r="G1242" s="16">
        <v>0.18486</v>
      </c>
      <c r="H1242" s="14">
        <v>6</v>
      </c>
      <c r="I1242" s="14">
        <v>7</v>
      </c>
      <c r="J1242" s="32"/>
      <c r="K1242" s="8">
        <f t="shared" si="133"/>
        <v>-1.3107692307694379</v>
      </c>
      <c r="L1242" s="8">
        <f t="shared" si="134"/>
        <v>-0.10082840236687983</v>
      </c>
      <c r="M1242" s="8">
        <f t="shared" si="135"/>
        <v>-1.3684708461532864</v>
      </c>
      <c r="N1242" s="8">
        <f t="shared" si="136"/>
        <v>-0.10526698816563741</v>
      </c>
      <c r="O1242" s="8"/>
      <c r="P1242" t="s">
        <v>1529</v>
      </c>
      <c r="Q1242">
        <v>34</v>
      </c>
      <c r="R1242" s="8">
        <v>2.8174399999999999</v>
      </c>
      <c r="S1242">
        <v>7</v>
      </c>
      <c r="T1242" s="8">
        <f t="shared" si="137"/>
        <v>0.20588235294117646</v>
      </c>
      <c r="U1242" s="8">
        <v>2.82003</v>
      </c>
      <c r="V1242">
        <v>23</v>
      </c>
      <c r="W1242" s="8">
        <f t="shared" si="138"/>
        <v>0.67647058823529416</v>
      </c>
      <c r="X1242" s="8">
        <v>2.80369</v>
      </c>
      <c r="Y1242">
        <v>4</v>
      </c>
      <c r="Z1242" s="8">
        <f t="shared" si="139"/>
        <v>0.11764705882352941</v>
      </c>
      <c r="AA1242" s="8">
        <v>2.8919800000000002</v>
      </c>
    </row>
    <row r="1243" spans="1:27" ht="15" customHeight="1" x14ac:dyDescent="0.25">
      <c r="A1243" s="14">
        <v>423</v>
      </c>
      <c r="B1243" s="14">
        <v>423</v>
      </c>
      <c r="C1243" s="36">
        <v>-12270.2557</v>
      </c>
      <c r="D1243" s="16">
        <v>-12271.852978000001</v>
      </c>
      <c r="E1243" s="14"/>
      <c r="F1243" s="37">
        <v>0.99583699999999997</v>
      </c>
      <c r="G1243" s="16">
        <v>0.18526999999999999</v>
      </c>
      <c r="H1243" s="14">
        <v>6</v>
      </c>
      <c r="I1243" s="14">
        <v>7</v>
      </c>
      <c r="J1243" s="32"/>
      <c r="K1243" s="8">
        <f t="shared" si="133"/>
        <v>-1.0983692307690944</v>
      </c>
      <c r="L1243" s="8">
        <f t="shared" si="134"/>
        <v>-8.4489940828391882E-2</v>
      </c>
      <c r="M1243" s="8">
        <f t="shared" si="135"/>
        <v>-1.2193858461541822</v>
      </c>
      <c r="N1243" s="8">
        <f t="shared" si="136"/>
        <v>-9.3798911242629401E-2</v>
      </c>
      <c r="O1243" s="8"/>
      <c r="P1243" t="s">
        <v>1530</v>
      </c>
      <c r="Q1243">
        <v>34</v>
      </c>
      <c r="R1243" s="8">
        <v>2.81576</v>
      </c>
      <c r="S1243">
        <v>9</v>
      </c>
      <c r="T1243" s="8">
        <f t="shared" si="137"/>
        <v>0.26470588235294118</v>
      </c>
      <c r="U1243" s="8">
        <v>2.8442799999999999</v>
      </c>
      <c r="V1243">
        <v>21</v>
      </c>
      <c r="W1243" s="8">
        <f t="shared" si="138"/>
        <v>0.61764705882352944</v>
      </c>
      <c r="X1243" s="8">
        <v>2.8025500000000001</v>
      </c>
      <c r="Y1243">
        <v>4</v>
      </c>
      <c r="Z1243" s="8">
        <f t="shared" si="139"/>
        <v>0.11764705882352941</v>
      </c>
      <c r="AA1243" s="8">
        <v>2.8209599999999999</v>
      </c>
    </row>
    <row r="1244" spans="1:27" ht="15" customHeight="1" x14ac:dyDescent="0.25">
      <c r="A1244" s="14">
        <v>424</v>
      </c>
      <c r="B1244" s="14">
        <v>424</v>
      </c>
      <c r="C1244" s="36">
        <v>-12270.5309</v>
      </c>
      <c r="D1244" s="16">
        <v>-12272.118428</v>
      </c>
      <c r="E1244" s="14"/>
      <c r="F1244" s="37">
        <v>0.99838300000000002</v>
      </c>
      <c r="G1244" s="16">
        <v>0.21340999999999999</v>
      </c>
      <c r="H1244" s="14">
        <v>6</v>
      </c>
      <c r="I1244" s="14">
        <v>7</v>
      </c>
      <c r="J1244" s="32"/>
      <c r="K1244" s="8">
        <f t="shared" si="133"/>
        <v>-1.3735692307691352</v>
      </c>
      <c r="L1244" s="8">
        <f t="shared" si="134"/>
        <v>-0.10565917159762578</v>
      </c>
      <c r="M1244" s="8">
        <f t="shared" si="135"/>
        <v>-1.4848358461531461</v>
      </c>
      <c r="N1244" s="8">
        <f t="shared" si="136"/>
        <v>-0.11421814201178047</v>
      </c>
      <c r="O1244" s="8"/>
      <c r="P1244" t="s">
        <v>1531</v>
      </c>
      <c r="Q1244">
        <v>34</v>
      </c>
      <c r="R1244" s="8">
        <v>2.81969</v>
      </c>
      <c r="S1244">
        <v>7</v>
      </c>
      <c r="T1244" s="8">
        <f t="shared" si="137"/>
        <v>0.20588235294117646</v>
      </c>
      <c r="U1244" s="8">
        <v>2.7990699999999999</v>
      </c>
      <c r="V1244">
        <v>20</v>
      </c>
      <c r="W1244" s="8">
        <f t="shared" si="138"/>
        <v>0.58823529411764708</v>
      </c>
      <c r="X1244" s="8">
        <v>2.8016100000000002</v>
      </c>
      <c r="Y1244">
        <v>7</v>
      </c>
      <c r="Z1244" s="8">
        <f t="shared" si="139"/>
        <v>0.20588235294117646</v>
      </c>
      <c r="AA1244" s="8">
        <v>2.89195</v>
      </c>
    </row>
    <row r="1245" spans="1:27" ht="15" customHeight="1" x14ac:dyDescent="0.25">
      <c r="A1245" s="14">
        <v>425</v>
      </c>
      <c r="B1245" s="14">
        <v>425</v>
      </c>
      <c r="C1245" s="36">
        <v>-12270.2996</v>
      </c>
      <c r="D1245" s="16">
        <v>-12271.719542999999</v>
      </c>
      <c r="E1245" s="14"/>
      <c r="F1245" s="37">
        <v>0.99760099999999996</v>
      </c>
      <c r="G1245" s="16">
        <v>0.20151999999999901</v>
      </c>
      <c r="H1245" s="14">
        <v>6</v>
      </c>
      <c r="I1245" s="14">
        <v>7</v>
      </c>
      <c r="J1245" s="32"/>
      <c r="K1245" s="8">
        <f t="shared" si="133"/>
        <v>-1.1422692307696707</v>
      </c>
      <c r="L1245" s="8">
        <f t="shared" si="134"/>
        <v>-8.7866863905359277E-2</v>
      </c>
      <c r="M1245" s="8">
        <f t="shared" si="135"/>
        <v>-1.0859508461526275</v>
      </c>
      <c r="N1245" s="8">
        <f t="shared" si="136"/>
        <v>-8.3534680473279041E-2</v>
      </c>
      <c r="O1245" s="8"/>
      <c r="P1245" t="s">
        <v>1532</v>
      </c>
      <c r="Q1245">
        <v>34</v>
      </c>
      <c r="R1245" s="8">
        <v>2.8166600000000002</v>
      </c>
      <c r="S1245">
        <v>9</v>
      </c>
      <c r="T1245" s="8">
        <f t="shared" si="137"/>
        <v>0.26470588235294118</v>
      </c>
      <c r="U1245" s="8">
        <v>2.8200799999999999</v>
      </c>
      <c r="V1245">
        <v>19</v>
      </c>
      <c r="W1245" s="8">
        <f t="shared" si="138"/>
        <v>0.55882352941176472</v>
      </c>
      <c r="X1245" s="8">
        <v>2.8052100000000002</v>
      </c>
      <c r="Y1245">
        <v>6</v>
      </c>
      <c r="Z1245" s="8">
        <f t="shared" si="139"/>
        <v>0.17647058823529413</v>
      </c>
      <c r="AA1245" s="8">
        <v>2.8477800000000002</v>
      </c>
    </row>
    <row r="1246" spans="1:27" ht="15" customHeight="1" x14ac:dyDescent="0.25">
      <c r="A1246" s="14">
        <v>426</v>
      </c>
      <c r="B1246" s="14">
        <v>426</v>
      </c>
      <c r="C1246" s="36">
        <v>-12270.49</v>
      </c>
      <c r="D1246" s="16">
        <v>-12271.928633</v>
      </c>
      <c r="E1246" s="14"/>
      <c r="F1246" s="37">
        <v>0.99669700000000006</v>
      </c>
      <c r="G1246" s="16">
        <v>0.19209000000000001</v>
      </c>
      <c r="H1246" s="14">
        <v>6</v>
      </c>
      <c r="I1246" s="14">
        <v>7</v>
      </c>
      <c r="J1246" s="32"/>
      <c r="K1246" s="8">
        <f t="shared" si="133"/>
        <v>-1.3326692307691701</v>
      </c>
      <c r="L1246" s="8">
        <f t="shared" si="134"/>
        <v>-0.10251301775147462</v>
      </c>
      <c r="M1246" s="8">
        <f t="shared" si="135"/>
        <v>-1.295040846152915</v>
      </c>
      <c r="N1246" s="8">
        <f t="shared" si="136"/>
        <v>-9.9618526627147305E-2</v>
      </c>
      <c r="O1246" s="8"/>
      <c r="P1246" t="s">
        <v>1533</v>
      </c>
      <c r="Q1246">
        <v>34</v>
      </c>
      <c r="R1246" s="8">
        <v>2.8172199999999998</v>
      </c>
      <c r="S1246">
        <v>8</v>
      </c>
      <c r="T1246" s="8">
        <f t="shared" si="137"/>
        <v>0.23529411764705882</v>
      </c>
      <c r="U1246" s="8">
        <v>2.8276400000000002</v>
      </c>
      <c r="V1246">
        <v>21</v>
      </c>
      <c r="W1246" s="8">
        <f t="shared" si="138"/>
        <v>0.61764705882352944</v>
      </c>
      <c r="X1246" s="8">
        <v>2.8024399999999998</v>
      </c>
      <c r="Y1246">
        <v>5</v>
      </c>
      <c r="Z1246" s="8">
        <f t="shared" si="139"/>
        <v>0.14705882352941177</v>
      </c>
      <c r="AA1246" s="8">
        <v>2.8626100000000001</v>
      </c>
    </row>
    <row r="1247" spans="1:27" ht="15" customHeight="1" x14ac:dyDescent="0.25">
      <c r="A1247" s="14">
        <v>427</v>
      </c>
      <c r="B1247" s="14">
        <v>427</v>
      </c>
      <c r="C1247" s="36">
        <v>-12270.47</v>
      </c>
      <c r="D1247" s="16">
        <v>-12272.021578</v>
      </c>
      <c r="E1247" s="14"/>
      <c r="F1247" s="37">
        <v>0.996861</v>
      </c>
      <c r="G1247" s="16">
        <v>0.193719999999999</v>
      </c>
      <c r="H1247" s="14">
        <v>6</v>
      </c>
      <c r="I1247" s="14">
        <v>7</v>
      </c>
      <c r="J1247" s="32"/>
      <c r="K1247" s="8">
        <f t="shared" si="133"/>
        <v>-1.3126692307687335</v>
      </c>
      <c r="L1247" s="8">
        <f t="shared" si="134"/>
        <v>-0.1009745562129795</v>
      </c>
      <c r="M1247" s="8">
        <f t="shared" si="135"/>
        <v>-1.3879858461532422</v>
      </c>
      <c r="N1247" s="8">
        <f t="shared" si="136"/>
        <v>-0.10676814201178786</v>
      </c>
      <c r="O1247" s="8"/>
      <c r="P1247" t="s">
        <v>1534</v>
      </c>
      <c r="Q1247">
        <v>34</v>
      </c>
      <c r="R1247" s="8">
        <v>2.8147799999999998</v>
      </c>
      <c r="S1247">
        <v>8</v>
      </c>
      <c r="T1247" s="8">
        <f t="shared" si="137"/>
        <v>0.23529411764705882</v>
      </c>
      <c r="U1247" s="8">
        <v>2.8357299999999999</v>
      </c>
      <c r="V1247">
        <v>21</v>
      </c>
      <c r="W1247" s="8">
        <f t="shared" si="138"/>
        <v>0.61764705882352944</v>
      </c>
      <c r="X1247" s="8">
        <v>2.7906499999999999</v>
      </c>
      <c r="Y1247">
        <v>5</v>
      </c>
      <c r="Z1247" s="8">
        <f t="shared" si="139"/>
        <v>0.14705882352941177</v>
      </c>
      <c r="AA1247" s="8">
        <v>2.8826200000000002</v>
      </c>
    </row>
    <row r="1248" spans="1:27" ht="15" customHeight="1" x14ac:dyDescent="0.25">
      <c r="A1248" s="14">
        <v>428</v>
      </c>
      <c r="B1248" s="14">
        <v>428</v>
      </c>
      <c r="C1248" s="36">
        <v>-12270.3995</v>
      </c>
      <c r="D1248" s="16">
        <v>-12271.803093</v>
      </c>
      <c r="E1248" s="14"/>
      <c r="F1248" s="37">
        <v>0.99631199999999998</v>
      </c>
      <c r="G1248" s="16">
        <v>0.18886</v>
      </c>
      <c r="H1248" s="14">
        <v>6</v>
      </c>
      <c r="I1248" s="14">
        <v>7</v>
      </c>
      <c r="J1248" s="32"/>
      <c r="K1248" s="8">
        <f t="shared" si="133"/>
        <v>-1.2421692307689227</v>
      </c>
      <c r="L1248" s="8">
        <f t="shared" si="134"/>
        <v>-9.5551479289917127E-2</v>
      </c>
      <c r="M1248" s="8">
        <f t="shared" si="135"/>
        <v>-1.1695008461538237</v>
      </c>
      <c r="N1248" s="8">
        <f t="shared" si="136"/>
        <v>-8.9961603550294131E-2</v>
      </c>
      <c r="O1248" s="8"/>
      <c r="P1248" t="s">
        <v>1535</v>
      </c>
      <c r="Q1248">
        <v>34</v>
      </c>
      <c r="R1248" s="8">
        <v>2.8151199999999998</v>
      </c>
      <c r="S1248">
        <v>8</v>
      </c>
      <c r="T1248" s="8">
        <f t="shared" si="137"/>
        <v>0.23529411764705882</v>
      </c>
      <c r="U1248" s="8">
        <v>2.7872699999999999</v>
      </c>
      <c r="V1248">
        <v>19</v>
      </c>
      <c r="W1248" s="8">
        <f t="shared" si="138"/>
        <v>0.55882352941176472</v>
      </c>
      <c r="X1248" s="8">
        <v>2.8099799999999999</v>
      </c>
      <c r="Y1248">
        <v>7</v>
      </c>
      <c r="Z1248" s="8">
        <f t="shared" si="139"/>
        <v>0.20588235294117646</v>
      </c>
      <c r="AA1248" s="8">
        <v>2.8608799999999999</v>
      </c>
    </row>
    <row r="1249" spans="1:27" ht="15" customHeight="1" x14ac:dyDescent="0.25">
      <c r="A1249" s="14">
        <v>429</v>
      </c>
      <c r="B1249" s="14">
        <v>429</v>
      </c>
      <c r="C1249" s="36">
        <v>-12270.332399999999</v>
      </c>
      <c r="D1249" s="16">
        <v>-12271.845796</v>
      </c>
      <c r="E1249" s="14"/>
      <c r="F1249" s="37">
        <v>0.99817100000000003</v>
      </c>
      <c r="G1249" s="16">
        <v>0.20988999999999999</v>
      </c>
      <c r="H1249" s="14">
        <v>6</v>
      </c>
      <c r="I1249" s="14">
        <v>7</v>
      </c>
      <c r="J1249" s="32"/>
      <c r="K1249" s="8">
        <f t="shared" si="133"/>
        <v>-1.1750692307687132</v>
      </c>
      <c r="L1249" s="8">
        <f t="shared" si="134"/>
        <v>-9.0389940828362547E-2</v>
      </c>
      <c r="M1249" s="8">
        <f t="shared" si="135"/>
        <v>-1.2122038461529883</v>
      </c>
      <c r="N1249" s="8">
        <f t="shared" si="136"/>
        <v>-9.3246449704076015E-2</v>
      </c>
      <c r="O1249" s="8"/>
      <c r="P1249" t="s">
        <v>1536</v>
      </c>
      <c r="Q1249">
        <v>34</v>
      </c>
      <c r="R1249" s="8">
        <v>2.8161299999999998</v>
      </c>
      <c r="S1249">
        <v>9</v>
      </c>
      <c r="T1249" s="8">
        <f t="shared" si="137"/>
        <v>0.26470588235294118</v>
      </c>
      <c r="U1249" s="8">
        <v>2.83229</v>
      </c>
      <c r="V1249">
        <v>21</v>
      </c>
      <c r="W1249" s="8">
        <f t="shared" si="138"/>
        <v>0.61764705882352944</v>
      </c>
      <c r="X1249" s="8">
        <v>2.8036799999999999</v>
      </c>
      <c r="Y1249">
        <v>4</v>
      </c>
      <c r="Z1249" s="8">
        <f t="shared" si="139"/>
        <v>0.11764705882352941</v>
      </c>
      <c r="AA1249" s="8">
        <v>2.8451</v>
      </c>
    </row>
    <row r="1250" spans="1:27" ht="15" customHeight="1" x14ac:dyDescent="0.25">
      <c r="A1250" s="14">
        <v>430</v>
      </c>
      <c r="B1250" s="14">
        <v>430</v>
      </c>
      <c r="C1250" s="36">
        <v>-12270.338</v>
      </c>
      <c r="D1250" s="16">
        <v>-12271.718041</v>
      </c>
      <c r="E1250" s="14"/>
      <c r="F1250" s="37">
        <v>0.99568699999999999</v>
      </c>
      <c r="G1250" s="16">
        <v>0.18412999999999999</v>
      </c>
      <c r="H1250" s="14">
        <v>6</v>
      </c>
      <c r="I1250" s="14">
        <v>7</v>
      </c>
      <c r="J1250" s="32"/>
      <c r="K1250" s="8">
        <f t="shared" si="133"/>
        <v>-1.1806692307691264</v>
      </c>
      <c r="L1250" s="8">
        <f t="shared" si="134"/>
        <v>-9.0820710059163576E-2</v>
      </c>
      <c r="M1250" s="8">
        <f t="shared" si="135"/>
        <v>-1.0844488461534638</v>
      </c>
      <c r="N1250" s="8">
        <f t="shared" si="136"/>
        <v>-8.3419142011804906E-2</v>
      </c>
      <c r="O1250" s="8"/>
      <c r="P1250" t="s">
        <v>1537</v>
      </c>
      <c r="Q1250">
        <v>34</v>
      </c>
      <c r="R1250" s="8">
        <v>2.81629</v>
      </c>
      <c r="S1250">
        <v>8</v>
      </c>
      <c r="T1250" s="8">
        <f t="shared" si="137"/>
        <v>0.23529411764705882</v>
      </c>
      <c r="U1250" s="8">
        <v>2.8137799999999999</v>
      </c>
      <c r="V1250">
        <v>20</v>
      </c>
      <c r="W1250" s="8">
        <f t="shared" si="138"/>
        <v>0.58823529411764708</v>
      </c>
      <c r="X1250" s="8">
        <v>2.8075299999999999</v>
      </c>
      <c r="Y1250">
        <v>6</v>
      </c>
      <c r="Z1250" s="8">
        <f t="shared" si="139"/>
        <v>0.17647058823529413</v>
      </c>
      <c r="AA1250" s="8">
        <v>2.8488199999999999</v>
      </c>
    </row>
    <row r="1251" spans="1:27" ht="15" customHeight="1" x14ac:dyDescent="0.25">
      <c r="A1251" s="14">
        <v>431</v>
      </c>
      <c r="B1251" s="14">
        <v>431</v>
      </c>
      <c r="C1251" s="36">
        <v>-12270.4864</v>
      </c>
      <c r="D1251" s="16">
        <v>-12271.877210000001</v>
      </c>
      <c r="E1251" s="14"/>
      <c r="F1251" s="37">
        <v>0.99588399999999999</v>
      </c>
      <c r="G1251" s="16">
        <v>0.18551999999999899</v>
      </c>
      <c r="H1251" s="14">
        <v>6</v>
      </c>
      <c r="I1251" s="14">
        <v>7</v>
      </c>
      <c r="J1251" s="32"/>
      <c r="K1251" s="8">
        <f t="shared" si="133"/>
        <v>-1.3290692307691643</v>
      </c>
      <c r="L1251" s="8">
        <f t="shared" si="134"/>
        <v>-0.1022360946745511</v>
      </c>
      <c r="M1251" s="8">
        <f t="shared" si="135"/>
        <v>-1.2436178461539384</v>
      </c>
      <c r="N1251" s="8">
        <f t="shared" si="136"/>
        <v>-9.5662911242610643E-2</v>
      </c>
      <c r="O1251" s="8"/>
      <c r="P1251" t="s">
        <v>1538</v>
      </c>
      <c r="Q1251">
        <v>36</v>
      </c>
      <c r="R1251" s="8">
        <v>2.83081</v>
      </c>
      <c r="S1251">
        <v>10</v>
      </c>
      <c r="T1251" s="8">
        <f t="shared" si="137"/>
        <v>0.27777777777777779</v>
      </c>
      <c r="U1251" s="8">
        <v>2.8645299999999998</v>
      </c>
      <c r="V1251">
        <v>22</v>
      </c>
      <c r="W1251" s="8">
        <f t="shared" si="138"/>
        <v>0.61111111111111116</v>
      </c>
      <c r="X1251" s="8">
        <v>2.8059699999999999</v>
      </c>
      <c r="Y1251">
        <v>4</v>
      </c>
      <c r="Z1251" s="8">
        <f t="shared" si="139"/>
        <v>0.1111111111111111</v>
      </c>
      <c r="AA1251" s="8">
        <v>2.8831699999999998</v>
      </c>
    </row>
    <row r="1252" spans="1:27" ht="15" customHeight="1" x14ac:dyDescent="0.25">
      <c r="A1252" s="14">
        <v>432</v>
      </c>
      <c r="B1252" s="14">
        <v>432</v>
      </c>
      <c r="C1252" s="36">
        <v>-12270.237300000001</v>
      </c>
      <c r="D1252" s="16">
        <v>-12271.752644</v>
      </c>
      <c r="E1252" s="14"/>
      <c r="F1252" s="37">
        <v>0.99817699999999998</v>
      </c>
      <c r="G1252" s="16">
        <v>0.20985999999999899</v>
      </c>
      <c r="H1252" s="14">
        <v>6</v>
      </c>
      <c r="I1252" s="14">
        <v>7</v>
      </c>
      <c r="J1252" s="32"/>
      <c r="K1252" s="8">
        <f t="shared" si="133"/>
        <v>-1.0799692307700752</v>
      </c>
      <c r="L1252" s="8">
        <f t="shared" si="134"/>
        <v>-8.3074556213082712E-2</v>
      </c>
      <c r="M1252" s="8">
        <f t="shared" si="135"/>
        <v>-1.1190518461535248</v>
      </c>
      <c r="N1252" s="8">
        <f t="shared" si="136"/>
        <v>-8.6080911242578828E-2</v>
      </c>
      <c r="O1252" s="8"/>
      <c r="P1252" t="s">
        <v>1539</v>
      </c>
      <c r="Q1252">
        <v>33</v>
      </c>
      <c r="R1252" s="8">
        <v>2.8101400000000001</v>
      </c>
      <c r="S1252">
        <v>8</v>
      </c>
      <c r="T1252" s="8">
        <f t="shared" si="137"/>
        <v>0.24242424242424243</v>
      </c>
      <c r="U1252" s="8">
        <v>2.8032400000000002</v>
      </c>
      <c r="V1252">
        <v>20</v>
      </c>
      <c r="W1252" s="8">
        <f t="shared" si="138"/>
        <v>0.60606060606060608</v>
      </c>
      <c r="X1252" s="8">
        <v>2.7902999999999998</v>
      </c>
      <c r="Y1252">
        <v>5</v>
      </c>
      <c r="Z1252" s="8">
        <f t="shared" si="139"/>
        <v>0.15151515151515152</v>
      </c>
      <c r="AA1252" s="8">
        <v>2.90055</v>
      </c>
    </row>
    <row r="1253" spans="1:27" ht="15" customHeight="1" x14ac:dyDescent="0.25">
      <c r="A1253" s="14">
        <v>433</v>
      </c>
      <c r="B1253" s="14">
        <v>433</v>
      </c>
      <c r="C1253" s="36">
        <v>-12270.339457</v>
      </c>
      <c r="D1253" s="16">
        <v>-12271.761053</v>
      </c>
      <c r="E1253" s="14"/>
      <c r="F1253" s="37">
        <v>0.99482400000000004</v>
      </c>
      <c r="G1253" s="16">
        <v>0.17865</v>
      </c>
      <c r="H1253" s="14">
        <v>6</v>
      </c>
      <c r="I1253" s="14">
        <v>7</v>
      </c>
      <c r="J1253" s="32"/>
      <c r="K1253" s="8">
        <f t="shared" si="133"/>
        <v>-1.1821262307694269</v>
      </c>
      <c r="L1253" s="8">
        <f t="shared" si="134"/>
        <v>-9.0932786982263605E-2</v>
      </c>
      <c r="M1253" s="8">
        <f t="shared" si="135"/>
        <v>-1.1274608461535536</v>
      </c>
      <c r="N1253" s="8">
        <f t="shared" si="136"/>
        <v>-8.6727757396427199E-2</v>
      </c>
      <c r="O1253" s="8"/>
      <c r="P1253" t="s">
        <v>1540</v>
      </c>
      <c r="Q1253">
        <v>34</v>
      </c>
      <c r="R1253" s="8">
        <v>2.8125399999999998</v>
      </c>
      <c r="S1253">
        <v>8</v>
      </c>
      <c r="T1253" s="8">
        <f t="shared" si="137"/>
        <v>0.23529411764705882</v>
      </c>
      <c r="U1253" s="8">
        <v>2.8311600000000001</v>
      </c>
      <c r="V1253">
        <v>22</v>
      </c>
      <c r="W1253" s="8">
        <f t="shared" si="138"/>
        <v>0.6470588235294118</v>
      </c>
      <c r="X1253" s="8">
        <v>2.7942300000000002</v>
      </c>
      <c r="Y1253">
        <v>4</v>
      </c>
      <c r="Z1253" s="8">
        <f t="shared" si="139"/>
        <v>0.11764705882352941</v>
      </c>
      <c r="AA1253" s="8">
        <v>2.8760300000000001</v>
      </c>
    </row>
    <row r="1254" spans="1:27" ht="15" customHeight="1" x14ac:dyDescent="0.25">
      <c r="A1254" s="14">
        <v>434</v>
      </c>
      <c r="B1254" s="14">
        <v>434</v>
      </c>
      <c r="C1254" s="36">
        <v>-12270.5146</v>
      </c>
      <c r="D1254" s="16">
        <v>-12271.841234</v>
      </c>
      <c r="E1254" s="14"/>
      <c r="F1254" s="37">
        <v>0.99780100000000005</v>
      </c>
      <c r="G1254" s="16">
        <v>0.20432</v>
      </c>
      <c r="H1254" s="14">
        <v>6</v>
      </c>
      <c r="I1254" s="14">
        <v>7</v>
      </c>
      <c r="J1254" s="32"/>
      <c r="K1254" s="8">
        <f t="shared" si="133"/>
        <v>-1.3572692307698162</v>
      </c>
      <c r="L1254" s="8">
        <f t="shared" si="134"/>
        <v>-0.10440532544383202</v>
      </c>
      <c r="M1254" s="8">
        <f t="shared" si="135"/>
        <v>-1.2076418461529101</v>
      </c>
      <c r="N1254" s="8">
        <f t="shared" si="136"/>
        <v>-9.2895526627146938E-2</v>
      </c>
      <c r="O1254" s="8"/>
      <c r="P1254" t="s">
        <v>1541</v>
      </c>
      <c r="Q1254">
        <v>34</v>
      </c>
      <c r="R1254" s="8">
        <v>2.8223500000000001</v>
      </c>
      <c r="S1254">
        <v>8</v>
      </c>
      <c r="T1254" s="8">
        <f t="shared" si="137"/>
        <v>0.23529411764705882</v>
      </c>
      <c r="U1254" s="8">
        <v>2.8378700000000001</v>
      </c>
      <c r="V1254">
        <v>17</v>
      </c>
      <c r="W1254" s="8">
        <f t="shared" si="138"/>
        <v>0.5</v>
      </c>
      <c r="X1254" s="8">
        <v>2.7868599999999999</v>
      </c>
      <c r="Y1254">
        <v>9</v>
      </c>
      <c r="Z1254" s="8">
        <f t="shared" si="139"/>
        <v>0.26470588235294118</v>
      </c>
      <c r="AA1254" s="8">
        <v>2.87561</v>
      </c>
    </row>
    <row r="1255" spans="1:27" ht="15" customHeight="1" x14ac:dyDescent="0.25">
      <c r="A1255" s="14">
        <v>435</v>
      </c>
      <c r="B1255" s="14">
        <v>435</v>
      </c>
      <c r="C1255" s="36">
        <v>-12270.3475</v>
      </c>
      <c r="D1255" s="16">
        <v>-12271.865530999999</v>
      </c>
      <c r="E1255" s="14"/>
      <c r="F1255" s="37">
        <v>0.99658999999999998</v>
      </c>
      <c r="G1255" s="16">
        <v>0.191249999999999</v>
      </c>
      <c r="H1255" s="14">
        <v>6</v>
      </c>
      <c r="I1255" s="14">
        <v>7</v>
      </c>
      <c r="J1255" s="32"/>
      <c r="K1255" s="8">
        <f t="shared" si="133"/>
        <v>-1.1901692307692429</v>
      </c>
      <c r="L1255" s="8">
        <f t="shared" si="134"/>
        <v>-9.1551479289941756E-2</v>
      </c>
      <c r="M1255" s="8">
        <f t="shared" si="135"/>
        <v>-1.2319388461528433</v>
      </c>
      <c r="N1255" s="8">
        <f t="shared" si="136"/>
        <v>-9.4764526627141799E-2</v>
      </c>
      <c r="O1255" s="8"/>
      <c r="P1255" t="s">
        <v>1542</v>
      </c>
      <c r="Q1255">
        <v>34</v>
      </c>
      <c r="R1255" s="8">
        <v>2.8175400000000002</v>
      </c>
      <c r="S1255">
        <v>9</v>
      </c>
      <c r="T1255" s="8">
        <f t="shared" si="137"/>
        <v>0.26470588235294118</v>
      </c>
      <c r="U1255" s="8">
        <v>2.8119499999999999</v>
      </c>
      <c r="V1255">
        <v>18</v>
      </c>
      <c r="W1255" s="8">
        <f t="shared" si="138"/>
        <v>0.52941176470588236</v>
      </c>
      <c r="X1255" s="8">
        <v>2.8132000000000001</v>
      </c>
      <c r="Y1255">
        <v>7</v>
      </c>
      <c r="Z1255" s="8">
        <f t="shared" si="139"/>
        <v>0.20588235294117646</v>
      </c>
      <c r="AA1255" s="8">
        <v>2.8359000000000001</v>
      </c>
    </row>
    <row r="1256" spans="1:27" ht="15" customHeight="1" x14ac:dyDescent="0.25">
      <c r="A1256" s="14">
        <v>436</v>
      </c>
      <c r="B1256" s="14">
        <v>436</v>
      </c>
      <c r="C1256" s="36">
        <v>-12270.4676</v>
      </c>
      <c r="D1256" s="16">
        <v>-12271.832425000001</v>
      </c>
      <c r="E1256" s="14"/>
      <c r="F1256" s="37">
        <v>0.99591200000000002</v>
      </c>
      <c r="G1256" s="16">
        <v>0.18568999999999999</v>
      </c>
      <c r="H1256" s="14">
        <v>6</v>
      </c>
      <c r="I1256" s="14">
        <v>7</v>
      </c>
      <c r="J1256" s="32"/>
      <c r="K1256" s="8">
        <f t="shared" si="133"/>
        <v>-1.310269230769336</v>
      </c>
      <c r="L1256" s="8">
        <f t="shared" si="134"/>
        <v>-0.10078994082841046</v>
      </c>
      <c r="M1256" s="8">
        <f t="shared" si="135"/>
        <v>-1.1988328461538913</v>
      </c>
      <c r="N1256" s="8">
        <f t="shared" si="136"/>
        <v>-9.2217911242607017E-2</v>
      </c>
      <c r="O1256" s="8"/>
      <c r="P1256" t="s">
        <v>1543</v>
      </c>
      <c r="Q1256">
        <v>34</v>
      </c>
      <c r="R1256" s="8">
        <v>2.81759</v>
      </c>
      <c r="S1256">
        <v>8</v>
      </c>
      <c r="T1256" s="8">
        <f t="shared" si="137"/>
        <v>0.23529411764705882</v>
      </c>
      <c r="U1256" s="8">
        <v>2.8220499999999999</v>
      </c>
      <c r="V1256">
        <v>20</v>
      </c>
      <c r="W1256" s="8">
        <f t="shared" si="138"/>
        <v>0.58823529411764708</v>
      </c>
      <c r="X1256" s="8">
        <v>2.8083900000000002</v>
      </c>
      <c r="Y1256">
        <v>6</v>
      </c>
      <c r="Z1256" s="8">
        <f t="shared" si="139"/>
        <v>0.17647058823529413</v>
      </c>
      <c r="AA1256" s="8">
        <v>2.8422800000000001</v>
      </c>
    </row>
    <row r="1257" spans="1:27" ht="15" customHeight="1" x14ac:dyDescent="0.25">
      <c r="A1257" s="14">
        <v>437</v>
      </c>
      <c r="B1257" s="14">
        <v>437</v>
      </c>
      <c r="C1257" s="36">
        <v>-12270.324500000001</v>
      </c>
      <c r="D1257" s="16">
        <v>-12271.70955</v>
      </c>
      <c r="E1257" s="14"/>
      <c r="F1257" s="37">
        <v>0.99564399999999997</v>
      </c>
      <c r="G1257" s="16">
        <v>0.18387999999999999</v>
      </c>
      <c r="H1257" s="14">
        <v>6</v>
      </c>
      <c r="I1257" s="14">
        <v>7</v>
      </c>
      <c r="J1257" s="32"/>
      <c r="K1257" s="8">
        <f t="shared" si="133"/>
        <v>-1.1671692307700141</v>
      </c>
      <c r="L1257" s="8">
        <f t="shared" si="134"/>
        <v>-8.9782248520770311E-2</v>
      </c>
      <c r="M1257" s="8">
        <f t="shared" si="135"/>
        <v>-1.07595784615296</v>
      </c>
      <c r="N1257" s="8">
        <f t="shared" si="136"/>
        <v>-8.27659881656123E-2</v>
      </c>
      <c r="O1257" s="8"/>
      <c r="P1257" t="s">
        <v>1544</v>
      </c>
      <c r="Q1257">
        <v>34</v>
      </c>
      <c r="R1257" s="8">
        <v>2.8230499999999998</v>
      </c>
      <c r="S1257">
        <v>9</v>
      </c>
      <c r="T1257" s="8">
        <f t="shared" si="137"/>
        <v>0.26470588235294118</v>
      </c>
      <c r="U1257" s="8">
        <v>2.8096899999999998</v>
      </c>
      <c r="V1257">
        <v>19</v>
      </c>
      <c r="W1257" s="8">
        <f t="shared" si="138"/>
        <v>0.55882352941176472</v>
      </c>
      <c r="X1257" s="8">
        <v>2.8456000000000001</v>
      </c>
      <c r="Y1257">
        <v>6</v>
      </c>
      <c r="Z1257" s="8">
        <f t="shared" si="139"/>
        <v>0.17647058823529413</v>
      </c>
      <c r="AA1257" s="8">
        <v>2.7716699999999999</v>
      </c>
    </row>
    <row r="1258" spans="1:27" ht="15" customHeight="1" x14ac:dyDescent="0.25">
      <c r="A1258" s="14">
        <v>438</v>
      </c>
      <c r="B1258" s="14">
        <v>438</v>
      </c>
      <c r="C1258" s="36">
        <v>-12270.456700000001</v>
      </c>
      <c r="D1258" s="16">
        <v>-12271.811067000001</v>
      </c>
      <c r="E1258" s="14"/>
      <c r="F1258" s="37">
        <v>0.99674600000000002</v>
      </c>
      <c r="G1258" s="16">
        <v>0.19259000000000001</v>
      </c>
      <c r="H1258" s="14">
        <v>6</v>
      </c>
      <c r="I1258" s="14">
        <v>7</v>
      </c>
      <c r="J1258" s="32"/>
      <c r="K1258" s="8">
        <f t="shared" si="133"/>
        <v>-1.2993692307700258</v>
      </c>
      <c r="L1258" s="8">
        <f t="shared" si="134"/>
        <v>-9.9951479290001977E-2</v>
      </c>
      <c r="M1258" s="8">
        <f t="shared" si="135"/>
        <v>-1.1774748461539275</v>
      </c>
      <c r="N1258" s="8">
        <f t="shared" si="136"/>
        <v>-9.0574988165686737E-2</v>
      </c>
      <c r="O1258" s="8"/>
      <c r="P1258" t="s">
        <v>1545</v>
      </c>
      <c r="Q1258">
        <v>35</v>
      </c>
      <c r="R1258" s="8">
        <v>2.8281700000000001</v>
      </c>
      <c r="S1258">
        <v>9</v>
      </c>
      <c r="T1258" s="8">
        <f t="shared" si="137"/>
        <v>0.25714285714285712</v>
      </c>
      <c r="U1258" s="8">
        <v>2.8174600000000001</v>
      </c>
      <c r="V1258">
        <v>20</v>
      </c>
      <c r="W1258" s="8">
        <f t="shared" si="138"/>
        <v>0.5714285714285714</v>
      </c>
      <c r="X1258" s="8">
        <v>2.8382000000000001</v>
      </c>
      <c r="Y1258">
        <v>6</v>
      </c>
      <c r="Z1258" s="8">
        <f t="shared" si="139"/>
        <v>0.17142857142857143</v>
      </c>
      <c r="AA1258" s="8">
        <v>2.8108200000000001</v>
      </c>
    </row>
    <row r="1259" spans="1:27" ht="15" customHeight="1" x14ac:dyDescent="0.25">
      <c r="A1259" s="14">
        <v>439</v>
      </c>
      <c r="B1259" s="14">
        <v>439</v>
      </c>
      <c r="C1259" s="36">
        <v>-12270.5488</v>
      </c>
      <c r="D1259" s="16">
        <v>-12271.892503999999</v>
      </c>
      <c r="E1259" s="14"/>
      <c r="F1259" s="37">
        <v>0.99509800000000004</v>
      </c>
      <c r="G1259" s="16">
        <v>0.18024000000000001</v>
      </c>
      <c r="H1259" s="14">
        <v>6</v>
      </c>
      <c r="I1259" s="14">
        <v>7</v>
      </c>
      <c r="J1259" s="32"/>
      <c r="K1259" s="8">
        <f t="shared" si="133"/>
        <v>-1.3914692307698715</v>
      </c>
      <c r="L1259" s="8">
        <f t="shared" si="134"/>
        <v>-0.10703609467460549</v>
      </c>
      <c r="M1259" s="8">
        <f t="shared" si="135"/>
        <v>-1.2589118461528415</v>
      </c>
      <c r="N1259" s="8">
        <f t="shared" si="136"/>
        <v>-9.6839372780987809E-2</v>
      </c>
      <c r="O1259" s="8"/>
      <c r="P1259" t="s">
        <v>1546</v>
      </c>
      <c r="Q1259">
        <v>33</v>
      </c>
      <c r="R1259" s="8">
        <v>2.81216</v>
      </c>
      <c r="S1259">
        <v>7</v>
      </c>
      <c r="T1259" s="8">
        <f t="shared" si="137"/>
        <v>0.21212121212121213</v>
      </c>
      <c r="U1259" s="8">
        <v>2.78999</v>
      </c>
      <c r="V1259">
        <v>21</v>
      </c>
      <c r="W1259" s="8">
        <f t="shared" si="138"/>
        <v>0.63636363636363635</v>
      </c>
      <c r="X1259" s="8">
        <v>2.81636</v>
      </c>
      <c r="Y1259">
        <v>5</v>
      </c>
      <c r="Z1259" s="8">
        <f t="shared" si="139"/>
        <v>0.15151515151515152</v>
      </c>
      <c r="AA1259" s="8">
        <v>2.8255300000000001</v>
      </c>
    </row>
    <row r="1260" spans="1:27" ht="15" customHeight="1" x14ac:dyDescent="0.25">
      <c r="A1260" s="14">
        <v>440</v>
      </c>
      <c r="B1260" s="14">
        <v>440</v>
      </c>
      <c r="C1260" s="36">
        <v>-12270.357099999999</v>
      </c>
      <c r="D1260" s="16">
        <v>-12271.870359</v>
      </c>
      <c r="E1260" s="14"/>
      <c r="F1260" s="37">
        <v>0.99698299999999995</v>
      </c>
      <c r="G1260" s="16">
        <v>0.19492000000000001</v>
      </c>
      <c r="H1260" s="14">
        <v>6</v>
      </c>
      <c r="I1260" s="14">
        <v>7</v>
      </c>
      <c r="J1260" s="32"/>
      <c r="K1260" s="8">
        <f t="shared" si="133"/>
        <v>-1.1997692307686521</v>
      </c>
      <c r="L1260" s="8">
        <f t="shared" si="134"/>
        <v>-9.2289940828357855E-2</v>
      </c>
      <c r="M1260" s="8">
        <f t="shared" si="135"/>
        <v>-1.2367668461538415</v>
      </c>
      <c r="N1260" s="8">
        <f t="shared" si="136"/>
        <v>-9.5135911242603191E-2</v>
      </c>
      <c r="O1260" s="8"/>
      <c r="P1260" t="s">
        <v>1547</v>
      </c>
      <c r="Q1260">
        <v>34</v>
      </c>
      <c r="R1260" s="8">
        <v>2.8210899999999999</v>
      </c>
      <c r="S1260">
        <v>8</v>
      </c>
      <c r="T1260" s="8">
        <f t="shared" si="137"/>
        <v>0.23529411764705882</v>
      </c>
      <c r="U1260" s="8">
        <v>2.8217099999999999</v>
      </c>
      <c r="V1260">
        <v>21</v>
      </c>
      <c r="W1260" s="8">
        <f t="shared" si="138"/>
        <v>0.61764705882352944</v>
      </c>
      <c r="X1260" s="8">
        <v>2.8174399999999999</v>
      </c>
      <c r="Y1260">
        <v>5</v>
      </c>
      <c r="Z1260" s="8">
        <f t="shared" si="139"/>
        <v>0.14705882352941177</v>
      </c>
      <c r="AA1260" s="8">
        <v>2.8353799999999998</v>
      </c>
    </row>
    <row r="1261" spans="1:27" ht="15" customHeight="1" x14ac:dyDescent="0.25">
      <c r="A1261" s="14">
        <v>441</v>
      </c>
      <c r="B1261" s="14">
        <v>441</v>
      </c>
      <c r="C1261" s="36">
        <v>-12270.443300000001</v>
      </c>
      <c r="D1261" s="16">
        <v>-12271.948683000001</v>
      </c>
      <c r="E1261" s="14"/>
      <c r="F1261" s="37">
        <v>0.99804800000000005</v>
      </c>
      <c r="G1261" s="16">
        <v>0.20799999999999899</v>
      </c>
      <c r="H1261" s="14">
        <v>6</v>
      </c>
      <c r="I1261" s="14">
        <v>7</v>
      </c>
      <c r="J1261" s="32"/>
      <c r="K1261" s="8">
        <f t="shared" si="133"/>
        <v>-1.2859692307702062</v>
      </c>
      <c r="L1261" s="8">
        <f t="shared" si="134"/>
        <v>-9.892071005924663E-2</v>
      </c>
      <c r="M1261" s="8">
        <f t="shared" si="135"/>
        <v>-1.3150908461539075</v>
      </c>
      <c r="N1261" s="8">
        <f t="shared" si="136"/>
        <v>-0.10116083431953135</v>
      </c>
      <c r="O1261" s="8"/>
      <c r="P1261" t="s">
        <v>1548</v>
      </c>
      <c r="Q1261">
        <v>34</v>
      </c>
      <c r="R1261" s="8">
        <v>2.81711</v>
      </c>
      <c r="S1261">
        <v>8</v>
      </c>
      <c r="T1261" s="8">
        <f t="shared" si="137"/>
        <v>0.23529411764705882</v>
      </c>
      <c r="U1261" s="8">
        <v>2.8128799999999998</v>
      </c>
      <c r="V1261">
        <v>22</v>
      </c>
      <c r="W1261" s="8">
        <f t="shared" si="138"/>
        <v>0.6470588235294118</v>
      </c>
      <c r="X1261" s="8">
        <v>2.8171300000000001</v>
      </c>
      <c r="Y1261">
        <v>4</v>
      </c>
      <c r="Z1261" s="8">
        <f t="shared" si="139"/>
        <v>0.11764705882352941</v>
      </c>
      <c r="AA1261" s="8">
        <v>2.8254100000000002</v>
      </c>
    </row>
    <row r="1262" spans="1:27" ht="15" customHeight="1" x14ac:dyDescent="0.25">
      <c r="A1262" s="14">
        <v>442</v>
      </c>
      <c r="B1262" s="14">
        <v>442</v>
      </c>
      <c r="C1262" s="36">
        <v>-12270.514999999999</v>
      </c>
      <c r="D1262" s="16">
        <v>-12271.854977999999</v>
      </c>
      <c r="E1262" s="14"/>
      <c r="F1262" s="37">
        <v>0.99598799999999998</v>
      </c>
      <c r="G1262" s="16">
        <v>0.18634999999999999</v>
      </c>
      <c r="H1262" s="14">
        <v>6</v>
      </c>
      <c r="I1262" s="14">
        <v>7</v>
      </c>
      <c r="J1262" s="32"/>
      <c r="K1262" s="8">
        <f t="shared" si="133"/>
        <v>-1.3576692307688063</v>
      </c>
      <c r="L1262" s="8">
        <f t="shared" si="134"/>
        <v>-0.10443609467452356</v>
      </c>
      <c r="M1262" s="8">
        <f t="shared" si="135"/>
        <v>-1.2213858461527707</v>
      </c>
      <c r="N1262" s="8">
        <f t="shared" si="136"/>
        <v>-9.3952757396366979E-2</v>
      </c>
      <c r="O1262" s="8"/>
      <c r="P1262" t="s">
        <v>1549</v>
      </c>
      <c r="Q1262">
        <v>32</v>
      </c>
      <c r="R1262" s="8">
        <v>2.7967900000000001</v>
      </c>
      <c r="S1262">
        <v>7</v>
      </c>
      <c r="T1262" s="8">
        <f t="shared" si="137"/>
        <v>0.21875</v>
      </c>
      <c r="U1262" s="8">
        <v>2.7648700000000002</v>
      </c>
      <c r="V1262">
        <v>21</v>
      </c>
      <c r="W1262" s="8">
        <f t="shared" si="138"/>
        <v>0.65625</v>
      </c>
      <c r="X1262" s="8">
        <v>2.81874</v>
      </c>
      <c r="Y1262">
        <v>4</v>
      </c>
      <c r="Z1262" s="8">
        <f t="shared" si="139"/>
        <v>0.125</v>
      </c>
      <c r="AA1262" s="8">
        <v>2.73739</v>
      </c>
    </row>
    <row r="1263" spans="1:27" ht="15" customHeight="1" x14ac:dyDescent="0.25">
      <c r="A1263" s="14">
        <v>443</v>
      </c>
      <c r="B1263" s="14">
        <v>443</v>
      </c>
      <c r="C1263" s="36">
        <v>-12270.0075</v>
      </c>
      <c r="D1263" s="16">
        <v>-12271.578030999999</v>
      </c>
      <c r="E1263" s="14"/>
      <c r="F1263" s="37">
        <v>0.99443899999999996</v>
      </c>
      <c r="G1263" s="16">
        <v>0.17649000000000001</v>
      </c>
      <c r="H1263" s="14">
        <v>6</v>
      </c>
      <c r="I1263" s="14">
        <v>7</v>
      </c>
      <c r="J1263" s="32"/>
      <c r="K1263" s="8">
        <f t="shared" si="133"/>
        <v>-0.85016923076909734</v>
      </c>
      <c r="L1263" s="8">
        <f t="shared" si="134"/>
        <v>-6.5397633136084404E-2</v>
      </c>
      <c r="M1263" s="8">
        <f t="shared" si="135"/>
        <v>-0.94443884615247953</v>
      </c>
      <c r="N1263" s="8">
        <f t="shared" si="136"/>
        <v>-7.2649142011729201E-2</v>
      </c>
      <c r="O1263" s="8"/>
      <c r="P1263" t="s">
        <v>1550</v>
      </c>
      <c r="Q1263">
        <v>34</v>
      </c>
      <c r="R1263" s="8">
        <v>2.8192200000000001</v>
      </c>
      <c r="S1263">
        <v>9</v>
      </c>
      <c r="T1263" s="8">
        <f t="shared" si="137"/>
        <v>0.26470588235294118</v>
      </c>
      <c r="U1263" s="8">
        <v>2.8457499999999998</v>
      </c>
      <c r="V1263">
        <v>18</v>
      </c>
      <c r="W1263" s="8">
        <f t="shared" si="138"/>
        <v>0.52941176470588236</v>
      </c>
      <c r="X1263" s="8">
        <v>2.78803</v>
      </c>
      <c r="Y1263">
        <v>7</v>
      </c>
      <c r="Z1263" s="8">
        <f t="shared" si="139"/>
        <v>0.20588235294117646</v>
      </c>
      <c r="AA1263" s="8">
        <v>2.8653300000000002</v>
      </c>
    </row>
    <row r="1264" spans="1:27" ht="15" customHeight="1" x14ac:dyDescent="0.25">
      <c r="A1264" s="14">
        <v>444</v>
      </c>
      <c r="B1264" s="14">
        <v>444</v>
      </c>
      <c r="C1264" s="36">
        <v>-12269.7618</v>
      </c>
      <c r="D1264" s="16">
        <v>-12271.212395</v>
      </c>
      <c r="E1264" s="14"/>
      <c r="F1264" s="37">
        <v>0.99402699999999999</v>
      </c>
      <c r="G1264" s="16">
        <v>0.17424000000000001</v>
      </c>
      <c r="H1264" s="14">
        <v>6</v>
      </c>
      <c r="I1264" s="14">
        <v>7</v>
      </c>
      <c r="J1264" s="32"/>
      <c r="K1264" s="8">
        <f t="shared" si="133"/>
        <v>-0.60446923076960957</v>
      </c>
      <c r="L1264" s="8">
        <f t="shared" si="134"/>
        <v>-4.649763313612381E-2</v>
      </c>
      <c r="M1264" s="8">
        <f t="shared" si="135"/>
        <v>-0.5788028461538488</v>
      </c>
      <c r="N1264" s="8">
        <f t="shared" si="136"/>
        <v>-4.4523295857988372E-2</v>
      </c>
      <c r="O1264" s="8"/>
      <c r="P1264" t="s">
        <v>1551</v>
      </c>
      <c r="Q1264">
        <v>36</v>
      </c>
      <c r="R1264" s="8">
        <v>2.8361299999999998</v>
      </c>
      <c r="S1264">
        <v>10</v>
      </c>
      <c r="T1264" s="8">
        <f t="shared" si="137"/>
        <v>0.27777777777777779</v>
      </c>
      <c r="U1264" s="8">
        <v>2.84979</v>
      </c>
      <c r="V1264">
        <v>18</v>
      </c>
      <c r="W1264" s="8">
        <f t="shared" si="138"/>
        <v>0.5</v>
      </c>
      <c r="X1264" s="8">
        <v>2.81101</v>
      </c>
      <c r="Y1264">
        <v>8</v>
      </c>
      <c r="Z1264" s="8">
        <f t="shared" si="139"/>
        <v>0.22222222222222221</v>
      </c>
      <c r="AA1264" s="8">
        <v>2.8755799999999998</v>
      </c>
    </row>
    <row r="1265" spans="1:27" ht="15" customHeight="1" x14ac:dyDescent="0.25">
      <c r="A1265" s="14">
        <v>445</v>
      </c>
      <c r="B1265" s="14">
        <v>445</v>
      </c>
      <c r="C1265" s="36">
        <v>-12270.1504</v>
      </c>
      <c r="D1265" s="16">
        <v>-12271.534979</v>
      </c>
      <c r="E1265" s="14"/>
      <c r="F1265" s="37">
        <v>0.99527100000000002</v>
      </c>
      <c r="G1265" s="16">
        <v>0.17446999999999899</v>
      </c>
      <c r="H1265" s="14">
        <v>6</v>
      </c>
      <c r="I1265" s="14">
        <v>7</v>
      </c>
      <c r="J1265" s="32"/>
      <c r="K1265" s="8">
        <f t="shared" si="133"/>
        <v>-0.99306923076983367</v>
      </c>
      <c r="L1265" s="8">
        <f t="shared" si="134"/>
        <v>-7.6389940828448744E-2</v>
      </c>
      <c r="M1265" s="8">
        <f t="shared" si="135"/>
        <v>-0.90138684615340026</v>
      </c>
      <c r="N1265" s="8">
        <f t="shared" si="136"/>
        <v>-6.9337449704107712E-2</v>
      </c>
      <c r="O1265" s="8"/>
      <c r="P1265" t="s">
        <v>1552</v>
      </c>
      <c r="Q1265">
        <v>34</v>
      </c>
      <c r="R1265" s="8">
        <v>2.8147500000000001</v>
      </c>
      <c r="S1265">
        <v>8</v>
      </c>
      <c r="T1265" s="8">
        <f t="shared" si="137"/>
        <v>0.23529411764705882</v>
      </c>
      <c r="U1265" s="8">
        <v>2.8083</v>
      </c>
      <c r="V1265">
        <v>19</v>
      </c>
      <c r="W1265" s="8">
        <f t="shared" si="138"/>
        <v>0.55882352941176472</v>
      </c>
      <c r="X1265" s="8">
        <v>2.8056700000000001</v>
      </c>
      <c r="Y1265">
        <v>7</v>
      </c>
      <c r="Z1265" s="8">
        <f t="shared" si="139"/>
        <v>0.20588235294117646</v>
      </c>
      <c r="AA1265" s="8">
        <v>2.84674</v>
      </c>
    </row>
    <row r="1266" spans="1:27" ht="15" customHeight="1" x14ac:dyDescent="0.25">
      <c r="A1266" s="14">
        <v>446</v>
      </c>
      <c r="B1266" s="14">
        <v>446</v>
      </c>
      <c r="C1266" s="36">
        <v>-12270.1559</v>
      </c>
      <c r="D1266" s="16">
        <v>-12271.872547999999</v>
      </c>
      <c r="E1266" s="14"/>
      <c r="F1266" s="37">
        <v>0.99355599999999999</v>
      </c>
      <c r="G1266" s="16">
        <v>0.17204</v>
      </c>
      <c r="H1266" s="14">
        <v>6</v>
      </c>
      <c r="I1266" s="14">
        <v>7</v>
      </c>
      <c r="J1266" s="32"/>
      <c r="K1266" s="8">
        <f t="shared" si="133"/>
        <v>-0.99856923076913517</v>
      </c>
      <c r="L1266" s="8">
        <f t="shared" si="134"/>
        <v>-7.6813017751471938E-2</v>
      </c>
      <c r="M1266" s="8">
        <f t="shared" si="135"/>
        <v>-1.2389558461527486</v>
      </c>
      <c r="N1266" s="8">
        <f t="shared" si="136"/>
        <v>-9.5304295857903731E-2</v>
      </c>
      <c r="O1266" s="8"/>
      <c r="P1266" t="s">
        <v>1553</v>
      </c>
      <c r="Q1266">
        <v>34</v>
      </c>
      <c r="R1266" s="8">
        <v>2.8218100000000002</v>
      </c>
      <c r="S1266">
        <v>8</v>
      </c>
      <c r="T1266" s="8">
        <f t="shared" si="137"/>
        <v>0.23529411764705882</v>
      </c>
      <c r="U1266" s="8">
        <v>2.7972299999999999</v>
      </c>
      <c r="V1266">
        <v>18</v>
      </c>
      <c r="W1266" s="8">
        <f t="shared" si="138"/>
        <v>0.52941176470588236</v>
      </c>
      <c r="X1266" s="8">
        <v>2.8048000000000002</v>
      </c>
      <c r="Y1266">
        <v>8</v>
      </c>
      <c r="Z1266" s="8">
        <f t="shared" si="139"/>
        <v>0.23529411764705882</v>
      </c>
      <c r="AA1266" s="8">
        <v>2.8846500000000002</v>
      </c>
    </row>
    <row r="1267" spans="1:27" ht="15" customHeight="1" x14ac:dyDescent="0.25">
      <c r="A1267" s="14">
        <v>447</v>
      </c>
      <c r="B1267" s="14">
        <v>447</v>
      </c>
      <c r="C1267" s="36">
        <v>-12270.256600000001</v>
      </c>
      <c r="D1267" s="16">
        <v>-12272.124646</v>
      </c>
      <c r="E1267" s="14"/>
      <c r="F1267" s="37">
        <v>0.99701700000000004</v>
      </c>
      <c r="G1267" s="16">
        <v>0.19522999999999999</v>
      </c>
      <c r="H1267" s="14">
        <v>6</v>
      </c>
      <c r="I1267" s="14">
        <v>7</v>
      </c>
      <c r="J1267" s="32"/>
      <c r="K1267" s="8">
        <f t="shared" si="133"/>
        <v>-1.0992692307700054</v>
      </c>
      <c r="L1267" s="8">
        <f t="shared" si="134"/>
        <v>-8.4559171597692717E-2</v>
      </c>
      <c r="M1267" s="8">
        <f t="shared" si="135"/>
        <v>-1.4910538461535907</v>
      </c>
      <c r="N1267" s="8">
        <f t="shared" si="136"/>
        <v>-0.11469644970412236</v>
      </c>
      <c r="O1267" s="8"/>
      <c r="P1267" t="s">
        <v>1554</v>
      </c>
      <c r="Q1267">
        <v>34</v>
      </c>
      <c r="R1267" s="8">
        <v>2.82348</v>
      </c>
      <c r="S1267">
        <v>7</v>
      </c>
      <c r="T1267" s="8">
        <f t="shared" si="137"/>
        <v>0.20588235294117646</v>
      </c>
      <c r="U1267" s="8">
        <v>2.85067</v>
      </c>
      <c r="V1267">
        <v>22</v>
      </c>
      <c r="W1267" s="8">
        <f t="shared" si="138"/>
        <v>0.6470588235294118</v>
      </c>
      <c r="X1267" s="8">
        <v>2.7925</v>
      </c>
      <c r="Y1267">
        <v>5</v>
      </c>
      <c r="Z1267" s="8">
        <f t="shared" si="139"/>
        <v>0.14705882352941177</v>
      </c>
      <c r="AA1267" s="8">
        <v>2.9217</v>
      </c>
    </row>
    <row r="1268" spans="1:27" ht="15" customHeight="1" x14ac:dyDescent="0.25">
      <c r="A1268" s="14">
        <v>448</v>
      </c>
      <c r="B1268" s="14">
        <v>448</v>
      </c>
      <c r="C1268" s="36">
        <v>-12269.8439</v>
      </c>
      <c r="D1268" s="16">
        <v>-12271.511868</v>
      </c>
      <c r="E1268" s="14"/>
      <c r="F1268" s="37">
        <v>0.99314199999999997</v>
      </c>
      <c r="G1268" s="16">
        <v>0.170129999999999</v>
      </c>
      <c r="H1268" s="14">
        <v>6</v>
      </c>
      <c r="I1268" s="14">
        <v>7</v>
      </c>
      <c r="J1268" s="32"/>
      <c r="K1268" s="8">
        <f t="shared" si="133"/>
        <v>-0.68656923076923704</v>
      </c>
      <c r="L1268" s="8">
        <f t="shared" si="134"/>
        <v>-5.2813017751479771E-2</v>
      </c>
      <c r="M1268" s="8">
        <f t="shared" si="135"/>
        <v>-0.87827584615297383</v>
      </c>
      <c r="N1268" s="8">
        <f t="shared" si="136"/>
        <v>-6.7559680473305683E-2</v>
      </c>
      <c r="O1268" s="8"/>
      <c r="P1268" t="s">
        <v>1555</v>
      </c>
      <c r="Q1268">
        <v>35</v>
      </c>
      <c r="R1268" s="8">
        <v>2.83107</v>
      </c>
      <c r="S1268">
        <v>10</v>
      </c>
      <c r="T1268" s="8">
        <f t="shared" si="137"/>
        <v>0.2857142857142857</v>
      </c>
      <c r="U1268" s="8">
        <v>2.8124500000000001</v>
      </c>
      <c r="V1268">
        <v>16</v>
      </c>
      <c r="W1268" s="8">
        <f t="shared" si="138"/>
        <v>0.45714285714285713</v>
      </c>
      <c r="X1268" s="8">
        <v>2.8262</v>
      </c>
      <c r="Y1268">
        <v>9</v>
      </c>
      <c r="Z1268" s="8">
        <f t="shared" si="139"/>
        <v>0.25714285714285712</v>
      </c>
      <c r="AA1268" s="8">
        <v>2.8603999999999998</v>
      </c>
    </row>
    <row r="1269" spans="1:27" ht="15" customHeight="1" x14ac:dyDescent="0.25">
      <c r="A1269" s="14">
        <v>449</v>
      </c>
      <c r="B1269" s="14">
        <v>449</v>
      </c>
      <c r="C1269" s="36">
        <v>-12270.084000000001</v>
      </c>
      <c r="D1269" s="16">
        <v>-12271.709332</v>
      </c>
      <c r="E1269" s="14"/>
      <c r="F1269" s="37">
        <v>0.99249100000000001</v>
      </c>
      <c r="G1269" s="16">
        <v>0.16733000000000001</v>
      </c>
      <c r="H1269" s="14">
        <v>6</v>
      </c>
      <c r="I1269" s="14">
        <v>7</v>
      </c>
      <c r="J1269" s="32"/>
      <c r="K1269" s="8">
        <f t="shared" si="133"/>
        <v>-0.92666923077013053</v>
      </c>
      <c r="L1269" s="8">
        <f t="shared" si="134"/>
        <v>-7.1282248520779273E-2</v>
      </c>
      <c r="M1269" s="8">
        <f t="shared" si="135"/>
        <v>-1.0757398461537377</v>
      </c>
      <c r="N1269" s="8">
        <f t="shared" si="136"/>
        <v>-8.2749218934902904E-2</v>
      </c>
      <c r="O1269" s="8"/>
      <c r="P1269" t="s">
        <v>1556</v>
      </c>
      <c r="Q1269">
        <v>35</v>
      </c>
      <c r="R1269" s="8">
        <v>2.8296199999999998</v>
      </c>
      <c r="S1269">
        <v>9</v>
      </c>
      <c r="T1269" s="8">
        <f t="shared" si="137"/>
        <v>0.25714285714285712</v>
      </c>
      <c r="U1269" s="8">
        <v>2.8479100000000002</v>
      </c>
      <c r="V1269">
        <v>20</v>
      </c>
      <c r="W1269" s="8">
        <f t="shared" si="138"/>
        <v>0.5714285714285714</v>
      </c>
      <c r="X1269" s="8">
        <v>2.8075100000000002</v>
      </c>
      <c r="Y1269">
        <v>6</v>
      </c>
      <c r="Z1269" s="8">
        <f t="shared" si="139"/>
        <v>0.17142857142857143</v>
      </c>
      <c r="AA1269" s="8">
        <v>2.8758699999999999</v>
      </c>
    </row>
    <row r="1270" spans="1:27" ht="15" customHeight="1" x14ac:dyDescent="0.25">
      <c r="A1270" s="14">
        <v>450</v>
      </c>
      <c r="B1270" s="14">
        <v>450</v>
      </c>
      <c r="C1270" s="36">
        <v>-12270.266600000001</v>
      </c>
      <c r="D1270" s="16">
        <v>-12271.870631</v>
      </c>
      <c r="E1270" s="14"/>
      <c r="F1270" s="37">
        <v>0.99653000000000003</v>
      </c>
      <c r="G1270" s="16">
        <v>0.19055</v>
      </c>
      <c r="H1270" s="14">
        <v>6</v>
      </c>
      <c r="I1270" s="14">
        <v>7</v>
      </c>
      <c r="J1270" s="32"/>
      <c r="K1270" s="8">
        <f t="shared" si="133"/>
        <v>-1.1092692307702237</v>
      </c>
      <c r="L1270" s="8">
        <f t="shared" si="134"/>
        <v>-8.5328402366940281E-2</v>
      </c>
      <c r="M1270" s="8">
        <f t="shared" si="135"/>
        <v>-1.2370388461531547</v>
      </c>
      <c r="N1270" s="8">
        <f t="shared" si="136"/>
        <v>-9.5156834319473443E-2</v>
      </c>
      <c r="O1270" s="8"/>
      <c r="P1270" t="s">
        <v>1557</v>
      </c>
      <c r="Q1270">
        <v>34</v>
      </c>
      <c r="R1270" s="8">
        <v>2.8225199999999999</v>
      </c>
      <c r="S1270">
        <v>8</v>
      </c>
      <c r="T1270" s="8">
        <f t="shared" si="137"/>
        <v>0.23529411764705882</v>
      </c>
      <c r="U1270" s="8">
        <v>2.8382000000000001</v>
      </c>
      <c r="V1270">
        <v>20</v>
      </c>
      <c r="W1270" s="8">
        <f t="shared" si="138"/>
        <v>0.58823529411764708</v>
      </c>
      <c r="X1270" s="8">
        <v>2.8036400000000001</v>
      </c>
      <c r="Y1270">
        <v>6</v>
      </c>
      <c r="Z1270" s="8">
        <f t="shared" si="139"/>
        <v>0.17647058823529413</v>
      </c>
      <c r="AA1270" s="8">
        <v>2.8645499999999999</v>
      </c>
    </row>
    <row r="1271" spans="1:27" ht="15" customHeight="1" x14ac:dyDescent="0.25">
      <c r="A1271" s="31">
        <v>451</v>
      </c>
      <c r="B1271" s="31">
        <v>451</v>
      </c>
      <c r="C1271" s="27">
        <v>-12270.36</v>
      </c>
      <c r="D1271" s="20">
        <v>-12272.269326</v>
      </c>
      <c r="E1271" s="31"/>
      <c r="F1271" s="29">
        <v>0.99762200000000001</v>
      </c>
      <c r="G1271" s="30">
        <v>0.20211999999999899</v>
      </c>
      <c r="H1271" s="31">
        <v>6</v>
      </c>
      <c r="I1271" s="31">
        <v>7</v>
      </c>
      <c r="J1271" s="32"/>
      <c r="K1271" s="8">
        <f t="shared" si="133"/>
        <v>-1.2026692307699705</v>
      </c>
      <c r="L1271" s="8">
        <f t="shared" si="134"/>
        <v>-9.2513017751536183E-2</v>
      </c>
      <c r="M1271" s="8">
        <f t="shared" si="135"/>
        <v>-1.6357338461530162</v>
      </c>
      <c r="N1271" s="8">
        <f t="shared" si="136"/>
        <v>-0.12582568047330894</v>
      </c>
      <c r="O1271" s="8"/>
      <c r="P1271" t="s">
        <v>1558</v>
      </c>
      <c r="Q1271">
        <v>35</v>
      </c>
      <c r="R1271" s="8">
        <v>2.8271600000000001</v>
      </c>
      <c r="S1271">
        <v>7</v>
      </c>
      <c r="T1271" s="8">
        <f t="shared" si="137"/>
        <v>0.2</v>
      </c>
      <c r="U1271" s="8">
        <v>2.80918</v>
      </c>
      <c r="V1271">
        <v>21</v>
      </c>
      <c r="W1271" s="8">
        <f t="shared" si="138"/>
        <v>0.6</v>
      </c>
      <c r="X1271" s="8">
        <v>2.81033</v>
      </c>
      <c r="Y1271">
        <v>7</v>
      </c>
      <c r="Z1271" s="8">
        <f t="shared" si="139"/>
        <v>0.2</v>
      </c>
      <c r="AA1271" s="8">
        <v>2.8956200000000001</v>
      </c>
    </row>
    <row r="1272" spans="1:27" ht="15" customHeight="1" x14ac:dyDescent="0.25">
      <c r="A1272" s="14">
        <v>452</v>
      </c>
      <c r="B1272" s="14">
        <v>452</v>
      </c>
      <c r="C1272" s="36">
        <v>-12270.069799999999</v>
      </c>
      <c r="D1272" s="16">
        <v>-12271.519225</v>
      </c>
      <c r="E1272" s="14"/>
      <c r="F1272" s="37">
        <v>0.99258199999999996</v>
      </c>
      <c r="G1272" s="16">
        <v>0.16778000000000001</v>
      </c>
      <c r="H1272" s="14">
        <v>6</v>
      </c>
      <c r="I1272" s="14">
        <v>7</v>
      </c>
      <c r="J1272" s="32"/>
      <c r="K1272" s="8">
        <f t="shared" si="133"/>
        <v>-0.9124692307686928</v>
      </c>
      <c r="L1272" s="8">
        <f t="shared" si="134"/>
        <v>-7.0189940828360983E-2</v>
      </c>
      <c r="M1272" s="8">
        <f t="shared" si="135"/>
        <v>-0.88563284615338489</v>
      </c>
      <c r="N1272" s="8">
        <f t="shared" si="136"/>
        <v>-6.8125603550260372E-2</v>
      </c>
      <c r="O1272" s="8"/>
      <c r="P1272" t="s">
        <v>1559</v>
      </c>
      <c r="Q1272">
        <v>36</v>
      </c>
      <c r="R1272" s="8">
        <v>2.8386399999999998</v>
      </c>
      <c r="S1272">
        <v>9</v>
      </c>
      <c r="T1272" s="8">
        <f t="shared" si="137"/>
        <v>0.25</v>
      </c>
      <c r="U1272" s="8">
        <v>2.8125800000000001</v>
      </c>
      <c r="V1272">
        <v>19</v>
      </c>
      <c r="W1272" s="8">
        <f t="shared" si="138"/>
        <v>0.52777777777777779</v>
      </c>
      <c r="X1272" s="8">
        <v>2.8260399999999999</v>
      </c>
      <c r="Y1272">
        <v>8</v>
      </c>
      <c r="Z1272" s="8">
        <f t="shared" si="139"/>
        <v>0.22222222222222221</v>
      </c>
      <c r="AA1272" s="8">
        <v>2.89791</v>
      </c>
    </row>
    <row r="1273" spans="1:27" ht="15" customHeight="1" x14ac:dyDescent="0.25">
      <c r="A1273" s="14">
        <v>453</v>
      </c>
      <c r="B1273" s="14">
        <v>453</v>
      </c>
      <c r="C1273" s="36">
        <v>-12270.0692</v>
      </c>
      <c r="D1273" s="16">
        <v>-12271.657617999999</v>
      </c>
      <c r="E1273" s="14"/>
      <c r="F1273" s="37">
        <v>0.99607800000000002</v>
      </c>
      <c r="G1273" s="16">
        <v>0.18698000000000001</v>
      </c>
      <c r="H1273" s="14">
        <v>6</v>
      </c>
      <c r="I1273" s="14">
        <v>7</v>
      </c>
      <c r="J1273" s="32"/>
      <c r="K1273" s="8">
        <f t="shared" si="133"/>
        <v>-0.91186923076929816</v>
      </c>
      <c r="L1273" s="8">
        <f t="shared" si="134"/>
        <v>-7.0143786982253709E-2</v>
      </c>
      <c r="M1273" s="8">
        <f t="shared" si="135"/>
        <v>-1.0240258461526537</v>
      </c>
      <c r="N1273" s="8">
        <f t="shared" si="136"/>
        <v>-7.8771218934819517E-2</v>
      </c>
      <c r="O1273" s="8"/>
      <c r="P1273" t="s">
        <v>1560</v>
      </c>
      <c r="Q1273">
        <v>36</v>
      </c>
      <c r="R1273" s="8">
        <v>2.8414999999999999</v>
      </c>
      <c r="S1273">
        <v>9</v>
      </c>
      <c r="T1273" s="8">
        <f t="shared" si="137"/>
        <v>0.25</v>
      </c>
      <c r="U1273" s="8">
        <v>2.81141</v>
      </c>
      <c r="V1273">
        <v>19</v>
      </c>
      <c r="W1273" s="8">
        <f t="shared" si="138"/>
        <v>0.52777777777777779</v>
      </c>
      <c r="X1273" s="8">
        <v>2.8288199999999999</v>
      </c>
      <c r="Y1273">
        <v>8</v>
      </c>
      <c r="Z1273" s="8">
        <f t="shared" si="139"/>
        <v>0.22222222222222221</v>
      </c>
      <c r="AA1273" s="8">
        <v>2.9054700000000002</v>
      </c>
    </row>
    <row r="1274" spans="1:27" ht="15" customHeight="1" x14ac:dyDescent="0.25">
      <c r="A1274" s="14">
        <v>454</v>
      </c>
      <c r="B1274" s="14">
        <v>454</v>
      </c>
      <c r="C1274" s="36">
        <v>-12270.409600000001</v>
      </c>
      <c r="D1274" s="16">
        <v>-12271.909153000001</v>
      </c>
      <c r="E1274" s="14"/>
      <c r="F1274" s="37">
        <v>0.99624299999999999</v>
      </c>
      <c r="G1274" s="16">
        <v>0.18814</v>
      </c>
      <c r="H1274" s="14">
        <v>6</v>
      </c>
      <c r="I1274" s="14">
        <v>7</v>
      </c>
      <c r="J1274" s="32"/>
      <c r="K1274" s="8">
        <f t="shared" si="133"/>
        <v>-1.2522692307702528</v>
      </c>
      <c r="L1274" s="8">
        <f t="shared" si="134"/>
        <v>-9.6328402366942525E-2</v>
      </c>
      <c r="M1274" s="8">
        <f t="shared" si="135"/>
        <v>-1.2755608461538941</v>
      </c>
      <c r="N1274" s="8">
        <f t="shared" si="136"/>
        <v>-9.8120065088761088E-2</v>
      </c>
      <c r="O1274" s="8"/>
      <c r="P1274" t="s">
        <v>1561</v>
      </c>
      <c r="Q1274">
        <v>34</v>
      </c>
      <c r="R1274" s="8">
        <v>2.8187600000000002</v>
      </c>
      <c r="S1274">
        <v>7</v>
      </c>
      <c r="T1274" s="8">
        <f t="shared" si="137"/>
        <v>0.20588235294117646</v>
      </c>
      <c r="U1274" s="8">
        <v>2.8103799999999999</v>
      </c>
      <c r="V1274">
        <v>21</v>
      </c>
      <c r="W1274" s="8">
        <f t="shared" si="138"/>
        <v>0.61764705882352944</v>
      </c>
      <c r="X1274" s="8">
        <v>2.8038799999999999</v>
      </c>
      <c r="Y1274">
        <v>6</v>
      </c>
      <c r="Z1274" s="8">
        <f t="shared" si="139"/>
        <v>0.17647058823529413</v>
      </c>
      <c r="AA1274" s="8">
        <v>2.88063</v>
      </c>
    </row>
    <row r="1275" spans="1:27" ht="15" customHeight="1" x14ac:dyDescent="0.25">
      <c r="A1275" s="14">
        <v>455</v>
      </c>
      <c r="B1275" s="14">
        <v>455</v>
      </c>
      <c r="C1275" s="36">
        <v>-12269.9917</v>
      </c>
      <c r="D1275" s="16">
        <v>-12271.569835</v>
      </c>
      <c r="E1275" s="14"/>
      <c r="F1275" s="37">
        <v>0.99544200000000005</v>
      </c>
      <c r="G1275" s="16">
        <v>0.18243999999999999</v>
      </c>
      <c r="H1275" s="14">
        <v>6</v>
      </c>
      <c r="I1275" s="14">
        <v>7</v>
      </c>
      <c r="J1275" s="32"/>
      <c r="K1275" s="8">
        <f t="shared" si="133"/>
        <v>-0.83436923076988023</v>
      </c>
      <c r="L1275" s="8">
        <f t="shared" si="134"/>
        <v>-6.4182248520760016E-2</v>
      </c>
      <c r="M1275" s="8">
        <f t="shared" si="135"/>
        <v>-0.9362428461536183</v>
      </c>
      <c r="N1275" s="8">
        <f t="shared" si="136"/>
        <v>-7.2018680473355259E-2</v>
      </c>
      <c r="O1275" s="8"/>
      <c r="P1275" t="s">
        <v>1562</v>
      </c>
      <c r="Q1275">
        <v>33</v>
      </c>
      <c r="R1275" s="8">
        <v>2.8101500000000001</v>
      </c>
      <c r="S1275">
        <v>10</v>
      </c>
      <c r="T1275" s="8">
        <f t="shared" si="137"/>
        <v>0.30303030303030304</v>
      </c>
      <c r="U1275" s="8">
        <v>2.7983899999999999</v>
      </c>
      <c r="V1275">
        <v>15</v>
      </c>
      <c r="W1275" s="8">
        <f t="shared" si="138"/>
        <v>0.45454545454545453</v>
      </c>
      <c r="X1275" s="8">
        <v>2.80613</v>
      </c>
      <c r="Y1275">
        <v>8</v>
      </c>
      <c r="Z1275" s="8">
        <f t="shared" si="139"/>
        <v>0.24242424242424243</v>
      </c>
      <c r="AA1275" s="8">
        <v>2.8324099999999999</v>
      </c>
    </row>
    <row r="1276" spans="1:27" ht="15" customHeight="1" x14ac:dyDescent="0.25">
      <c r="A1276" s="14">
        <v>456</v>
      </c>
      <c r="B1276" s="14">
        <v>456</v>
      </c>
      <c r="C1276" s="36">
        <v>-12270.2145</v>
      </c>
      <c r="D1276" s="16">
        <v>-12271.790634000001</v>
      </c>
      <c r="E1276" s="14"/>
      <c r="F1276" s="37">
        <v>0.99664900000000001</v>
      </c>
      <c r="G1276" s="16">
        <v>0.19170000000000001</v>
      </c>
      <c r="H1276" s="14">
        <v>6</v>
      </c>
      <c r="I1276" s="14">
        <v>7</v>
      </c>
      <c r="J1276" s="32"/>
      <c r="K1276" s="8">
        <f t="shared" si="133"/>
        <v>-1.057169230769432</v>
      </c>
      <c r="L1276" s="8">
        <f t="shared" si="134"/>
        <v>-8.1320710059187076E-2</v>
      </c>
      <c r="M1276" s="8">
        <f t="shared" si="135"/>
        <v>-1.1570418461542431</v>
      </c>
      <c r="N1276" s="8">
        <f t="shared" si="136"/>
        <v>-8.9003218934941772E-2</v>
      </c>
      <c r="O1276" s="8"/>
      <c r="P1276" t="s">
        <v>1563</v>
      </c>
      <c r="Q1276">
        <v>34</v>
      </c>
      <c r="R1276" s="8">
        <v>2.81887</v>
      </c>
      <c r="S1276">
        <v>9</v>
      </c>
      <c r="T1276" s="8">
        <f t="shared" si="137"/>
        <v>0.26470588235294118</v>
      </c>
      <c r="U1276" s="8">
        <v>2.8396499999999998</v>
      </c>
      <c r="V1276">
        <v>19</v>
      </c>
      <c r="W1276" s="8">
        <f t="shared" si="138"/>
        <v>0.55882352941176472</v>
      </c>
      <c r="X1276" s="8">
        <v>2.78396</v>
      </c>
      <c r="Y1276">
        <v>6</v>
      </c>
      <c r="Z1276" s="8">
        <f t="shared" si="139"/>
        <v>0.17647058823529413</v>
      </c>
      <c r="AA1276" s="8">
        <v>2.89825</v>
      </c>
    </row>
    <row r="1277" spans="1:27" ht="15" customHeight="1" x14ac:dyDescent="0.25">
      <c r="A1277" s="14">
        <v>457</v>
      </c>
      <c r="B1277" s="14">
        <v>457</v>
      </c>
      <c r="C1277" s="36">
        <v>-12270.196599999999</v>
      </c>
      <c r="D1277" s="16">
        <v>-12271.771443</v>
      </c>
      <c r="E1277" s="14"/>
      <c r="F1277" s="37">
        <v>0.99575000000000002</v>
      </c>
      <c r="G1277" s="16">
        <v>0.18454999999999899</v>
      </c>
      <c r="H1277" s="14">
        <v>6</v>
      </c>
      <c r="I1277" s="14">
        <v>7</v>
      </c>
      <c r="J1277" s="32"/>
      <c r="K1277" s="8">
        <f t="shared" si="133"/>
        <v>-1.0392692307686957</v>
      </c>
      <c r="L1277" s="8">
        <f t="shared" si="134"/>
        <v>-7.994378698220736E-2</v>
      </c>
      <c r="M1277" s="8">
        <f t="shared" si="135"/>
        <v>-1.1378508461530146</v>
      </c>
      <c r="N1277" s="8">
        <f t="shared" si="136"/>
        <v>-8.7526988165616507E-2</v>
      </c>
      <c r="O1277" s="8"/>
      <c r="P1277" t="s">
        <v>1564</v>
      </c>
      <c r="Q1277">
        <v>34</v>
      </c>
      <c r="R1277" s="8">
        <v>2.8157000000000001</v>
      </c>
      <c r="S1277">
        <v>9</v>
      </c>
      <c r="T1277" s="8">
        <f t="shared" si="137"/>
        <v>0.26470588235294118</v>
      </c>
      <c r="U1277" s="8">
        <v>2.8442099999999999</v>
      </c>
      <c r="V1277">
        <v>20</v>
      </c>
      <c r="W1277" s="8">
        <f t="shared" si="138"/>
        <v>0.58823529411764708</v>
      </c>
      <c r="X1277" s="8">
        <v>2.8022999999999998</v>
      </c>
      <c r="Y1277">
        <v>5</v>
      </c>
      <c r="Z1277" s="8">
        <f t="shared" si="139"/>
        <v>0.14705882352941177</v>
      </c>
      <c r="AA1277" s="8">
        <v>2.8180000000000001</v>
      </c>
    </row>
    <row r="1278" spans="1:27" ht="15" customHeight="1" x14ac:dyDescent="0.25">
      <c r="A1278" s="14">
        <v>458</v>
      </c>
      <c r="B1278" s="14">
        <v>458</v>
      </c>
      <c r="C1278" s="36">
        <v>-12270.2042</v>
      </c>
      <c r="D1278" s="16">
        <v>-12271.751488</v>
      </c>
      <c r="E1278" s="14"/>
      <c r="F1278" s="37">
        <v>0.99472899999999997</v>
      </c>
      <c r="G1278" s="16">
        <v>0.178039999999999</v>
      </c>
      <c r="H1278" s="14">
        <v>6</v>
      </c>
      <c r="I1278" s="14">
        <v>7</v>
      </c>
      <c r="J1278" s="32"/>
      <c r="K1278" s="8">
        <f t="shared" si="133"/>
        <v>-1.0468692307695164</v>
      </c>
      <c r="L1278" s="8">
        <f t="shared" si="134"/>
        <v>-8.0528402366885882E-2</v>
      </c>
      <c r="M1278" s="8">
        <f t="shared" si="135"/>
        <v>-1.1178958461532602</v>
      </c>
      <c r="N1278" s="8">
        <f t="shared" si="136"/>
        <v>-8.59919881656354E-2</v>
      </c>
      <c r="O1278" s="8"/>
      <c r="P1278" t="s">
        <v>1565</v>
      </c>
      <c r="Q1278">
        <v>34</v>
      </c>
      <c r="R1278" s="8">
        <v>2.8140499999999999</v>
      </c>
      <c r="S1278">
        <v>8</v>
      </c>
      <c r="T1278" s="8">
        <f t="shared" si="137"/>
        <v>0.23529411764705882</v>
      </c>
      <c r="U1278" s="8">
        <v>2.8149099999999998</v>
      </c>
      <c r="V1278">
        <v>20</v>
      </c>
      <c r="W1278" s="8">
        <f t="shared" si="138"/>
        <v>0.58823529411764708</v>
      </c>
      <c r="X1278" s="8">
        <v>2.7987000000000002</v>
      </c>
      <c r="Y1278">
        <v>6</v>
      </c>
      <c r="Z1278" s="8">
        <f t="shared" si="139"/>
        <v>0.17647058823529413</v>
      </c>
      <c r="AA1278" s="8">
        <v>2.86409</v>
      </c>
    </row>
    <row r="1279" spans="1:27" ht="15" customHeight="1" x14ac:dyDescent="0.25">
      <c r="A1279" s="14">
        <v>459</v>
      </c>
      <c r="B1279" s="14">
        <v>459</v>
      </c>
      <c r="C1279" s="36">
        <v>-12269.8953</v>
      </c>
      <c r="D1279" s="16">
        <v>-12271.470169</v>
      </c>
      <c r="E1279" s="14"/>
      <c r="F1279" s="37">
        <v>0.99588100000000002</v>
      </c>
      <c r="G1279" s="16">
        <v>0.18562999999999899</v>
      </c>
      <c r="H1279" s="14">
        <v>6</v>
      </c>
      <c r="I1279" s="14">
        <v>7</v>
      </c>
      <c r="J1279" s="32"/>
      <c r="K1279" s="8">
        <f t="shared" si="133"/>
        <v>-0.73796923076952226</v>
      </c>
      <c r="L1279" s="8">
        <f t="shared" si="134"/>
        <v>-5.6766863905347867E-2</v>
      </c>
      <c r="M1279" s="8">
        <f t="shared" si="135"/>
        <v>-0.8365768461535481</v>
      </c>
      <c r="N1279" s="8">
        <f t="shared" si="136"/>
        <v>-6.4352065088734464E-2</v>
      </c>
      <c r="O1279" s="8"/>
      <c r="P1279" t="s">
        <v>1566</v>
      </c>
      <c r="Q1279">
        <v>34</v>
      </c>
      <c r="R1279" s="8">
        <v>2.82158</v>
      </c>
      <c r="S1279">
        <v>10</v>
      </c>
      <c r="T1279" s="8">
        <f t="shared" si="137"/>
        <v>0.29411764705882354</v>
      </c>
      <c r="U1279" s="8">
        <v>2.8173599999999999</v>
      </c>
      <c r="V1279">
        <v>17</v>
      </c>
      <c r="W1279" s="8">
        <f t="shared" si="138"/>
        <v>0.5</v>
      </c>
      <c r="X1279" s="8">
        <v>2.7989199999999999</v>
      </c>
      <c r="Y1279">
        <v>7</v>
      </c>
      <c r="Z1279" s="8">
        <f t="shared" si="139"/>
        <v>0.20588235294117646</v>
      </c>
      <c r="AA1279" s="8">
        <v>2.8826499999999999</v>
      </c>
    </row>
    <row r="1280" spans="1:27" ht="15" customHeight="1" x14ac:dyDescent="0.25">
      <c r="A1280" s="14">
        <v>460</v>
      </c>
      <c r="B1280" s="14">
        <v>460</v>
      </c>
      <c r="C1280" s="36">
        <v>-12270.2577</v>
      </c>
      <c r="D1280" s="16">
        <v>-12271.835075000001</v>
      </c>
      <c r="E1280" s="14"/>
      <c r="F1280" s="37">
        <v>0.99782899999999997</v>
      </c>
      <c r="G1280" s="16">
        <v>0.20466000000000001</v>
      </c>
      <c r="H1280" s="14">
        <v>6</v>
      </c>
      <c r="I1280" s="14">
        <v>7</v>
      </c>
      <c r="J1280" s="32"/>
      <c r="K1280" s="8">
        <f t="shared" si="133"/>
        <v>-1.1003692307695019</v>
      </c>
      <c r="L1280" s="8">
        <f t="shared" si="134"/>
        <v>-8.4643786982269376E-2</v>
      </c>
      <c r="M1280" s="8">
        <f t="shared" si="135"/>
        <v>-1.2014828461542493</v>
      </c>
      <c r="N1280" s="8">
        <f t="shared" si="136"/>
        <v>-9.2421757396480717E-2</v>
      </c>
      <c r="O1280" s="8"/>
      <c r="P1280" t="s">
        <v>1567</v>
      </c>
      <c r="Q1280">
        <v>34</v>
      </c>
      <c r="R1280" s="8">
        <v>2.8167399999999998</v>
      </c>
      <c r="S1280">
        <v>8</v>
      </c>
      <c r="T1280" s="8">
        <f t="shared" si="137"/>
        <v>0.23529411764705882</v>
      </c>
      <c r="U1280" s="8">
        <v>2.80267</v>
      </c>
      <c r="V1280">
        <v>19</v>
      </c>
      <c r="W1280" s="8">
        <f t="shared" si="138"/>
        <v>0.55882352941176472</v>
      </c>
      <c r="X1280" s="8">
        <v>2.8111199999999998</v>
      </c>
      <c r="Y1280">
        <v>7</v>
      </c>
      <c r="Z1280" s="8">
        <f t="shared" si="139"/>
        <v>0.20588235294117646</v>
      </c>
      <c r="AA1280" s="8">
        <v>2.8480699999999999</v>
      </c>
    </row>
    <row r="1281" spans="1:27" ht="15" customHeight="1" x14ac:dyDescent="0.25">
      <c r="A1281" s="14">
        <v>461</v>
      </c>
      <c r="B1281" s="14">
        <v>461</v>
      </c>
      <c r="C1281" s="36">
        <v>-12270.429945</v>
      </c>
      <c r="D1281" s="16">
        <v>-12271.777402</v>
      </c>
      <c r="E1281" s="14"/>
      <c r="F1281" s="37">
        <v>0.99774099999999999</v>
      </c>
      <c r="G1281" s="16">
        <v>0.20352999999999999</v>
      </c>
      <c r="H1281" s="14">
        <v>6</v>
      </c>
      <c r="I1281" s="14">
        <v>7</v>
      </c>
      <c r="J1281" s="32"/>
      <c r="K1281" s="8">
        <f t="shared" si="133"/>
        <v>-1.2726142307692498</v>
      </c>
      <c r="L1281" s="8">
        <f t="shared" si="134"/>
        <v>-9.7893402366865376E-2</v>
      </c>
      <c r="M1281" s="8">
        <f t="shared" si="135"/>
        <v>-1.1438098461530899</v>
      </c>
      <c r="N1281" s="8">
        <f t="shared" si="136"/>
        <v>-8.7985372781006918E-2</v>
      </c>
      <c r="O1281" s="8"/>
      <c r="P1281" t="s">
        <v>1568</v>
      </c>
      <c r="Q1281">
        <v>34</v>
      </c>
      <c r="R1281" s="8">
        <v>2.8199700000000001</v>
      </c>
      <c r="S1281">
        <v>7</v>
      </c>
      <c r="T1281" s="8">
        <f t="shared" si="137"/>
        <v>0.20588235294117646</v>
      </c>
      <c r="U1281" s="8">
        <v>2.8129900000000001</v>
      </c>
      <c r="V1281">
        <v>21</v>
      </c>
      <c r="W1281" s="8">
        <f t="shared" si="138"/>
        <v>0.61764705882352944</v>
      </c>
      <c r="X1281" s="8">
        <v>2.7975599999999998</v>
      </c>
      <c r="Y1281">
        <v>6</v>
      </c>
      <c r="Z1281" s="8">
        <f t="shared" si="139"/>
        <v>0.17647058823529413</v>
      </c>
      <c r="AA1281" s="8">
        <v>2.9065300000000001</v>
      </c>
    </row>
    <row r="1282" spans="1:27" ht="15" customHeight="1" x14ac:dyDescent="0.25">
      <c r="A1282" s="14">
        <v>462</v>
      </c>
      <c r="B1282" s="14">
        <v>462</v>
      </c>
      <c r="C1282" s="36">
        <v>-12270.117</v>
      </c>
      <c r="D1282" s="16">
        <v>-12271.663737999999</v>
      </c>
      <c r="E1282" s="14"/>
      <c r="F1282" s="37">
        <v>0.996776</v>
      </c>
      <c r="G1282" s="16">
        <v>0.19288</v>
      </c>
      <c r="H1282" s="14">
        <v>6</v>
      </c>
      <c r="I1282" s="14">
        <v>7</v>
      </c>
      <c r="J1282" s="32"/>
      <c r="K1282" s="8">
        <f t="shared" si="133"/>
        <v>-0.95966923076957755</v>
      </c>
      <c r="L1282" s="8">
        <f t="shared" si="134"/>
        <v>-7.3820710059198269E-2</v>
      </c>
      <c r="M1282" s="8">
        <f t="shared" si="135"/>
        <v>-1.0301458461526636</v>
      </c>
      <c r="N1282" s="8">
        <f t="shared" si="136"/>
        <v>-7.92419881655895E-2</v>
      </c>
      <c r="O1282" s="8"/>
      <c r="P1282" t="s">
        <v>1569</v>
      </c>
      <c r="Q1282">
        <v>33</v>
      </c>
      <c r="R1282" s="8">
        <v>2.8073800000000002</v>
      </c>
      <c r="S1282">
        <v>10</v>
      </c>
      <c r="T1282" s="8">
        <f t="shared" si="137"/>
        <v>0.30303030303030304</v>
      </c>
      <c r="U1282" s="8">
        <v>2.8134000000000001</v>
      </c>
      <c r="V1282">
        <v>17</v>
      </c>
      <c r="W1282" s="8">
        <f t="shared" si="138"/>
        <v>0.51515151515151514</v>
      </c>
      <c r="X1282" s="8">
        <v>2.8113700000000001</v>
      </c>
      <c r="Y1282">
        <v>6</v>
      </c>
      <c r="Z1282" s="8">
        <f t="shared" si="139"/>
        <v>0.18181818181818182</v>
      </c>
      <c r="AA1282" s="8">
        <v>2.7860499999999999</v>
      </c>
    </row>
    <row r="1283" spans="1:27" ht="15" customHeight="1" x14ac:dyDescent="0.25">
      <c r="A1283" s="14">
        <v>463</v>
      </c>
      <c r="B1283" s="14">
        <v>463</v>
      </c>
      <c r="C1283" s="36">
        <v>-12270.3711</v>
      </c>
      <c r="D1283" s="16">
        <v>-12271.749922999999</v>
      </c>
      <c r="E1283" s="14"/>
      <c r="F1283" s="37">
        <v>0.995749</v>
      </c>
      <c r="G1283" s="16">
        <v>0.18446000000000001</v>
      </c>
      <c r="H1283" s="14">
        <v>6</v>
      </c>
      <c r="I1283" s="14">
        <v>7</v>
      </c>
      <c r="J1283" s="32"/>
      <c r="K1283" s="8">
        <f t="shared" ref="K1283:K1346" si="140">IF(ISNUMBER(C1283),C1283-(($C$3-$C$2236)/($H$3-$H$2236)*H1283+$C$2236),"")</f>
        <v>-1.2137692307696852</v>
      </c>
      <c r="L1283" s="8">
        <f t="shared" ref="L1283:L1346" si="141">IF(ISNUMBER(C1283),K1283/(H1283+I1283),"")</f>
        <v>-9.3366863905360406E-2</v>
      </c>
      <c r="M1283" s="8">
        <f t="shared" ref="M1283:M1346" si="142">IF(ISNUMBER(D1283),D1283-(($D$3-$D$2236)/($H$3-$H$2236)*H1283+$D$2236),"")</f>
        <v>-1.1163308461527777</v>
      </c>
      <c r="N1283" s="8">
        <f t="shared" ref="N1283:N1346" si="143">IF(ISNUMBER(D1283),M1283/(H1283+I1283),"")</f>
        <v>-8.5871603550213671E-2</v>
      </c>
      <c r="O1283" s="8"/>
      <c r="P1283" t="s">
        <v>1570</v>
      </c>
      <c r="Q1283">
        <v>32</v>
      </c>
      <c r="R1283" s="8">
        <v>2.7970600000000001</v>
      </c>
      <c r="S1283">
        <v>8</v>
      </c>
      <c r="T1283" s="8">
        <f t="shared" ref="T1283:T1346" si="144">IF(ISNUMBER(S1283),S1283/(Q1283),"")</f>
        <v>0.25</v>
      </c>
      <c r="U1283" s="8">
        <v>2.7926099999999998</v>
      </c>
      <c r="V1283">
        <v>18</v>
      </c>
      <c r="W1283" s="8">
        <f t="shared" ref="W1283:W1346" si="145">IF(ISNUMBER(V1283),V1283/($Q1283),"")</f>
        <v>0.5625</v>
      </c>
      <c r="X1283" s="8">
        <v>2.78634</v>
      </c>
      <c r="Y1283">
        <v>6</v>
      </c>
      <c r="Z1283" s="8">
        <f t="shared" ref="Z1283:Z1346" si="146">IF(ISNUMBER(Y1283),Y1283/($Q1283),"")</f>
        <v>0.1875</v>
      </c>
      <c r="AA1283" s="8">
        <v>2.8351199999999999</v>
      </c>
    </row>
    <row r="1284" spans="1:27" ht="15" customHeight="1" x14ac:dyDescent="0.25">
      <c r="A1284" s="14">
        <v>464</v>
      </c>
      <c r="B1284" s="14">
        <v>464</v>
      </c>
      <c r="C1284" s="36">
        <v>-12269.7745</v>
      </c>
      <c r="D1284" s="16">
        <v>-12271.175343999999</v>
      </c>
      <c r="E1284" s="14"/>
      <c r="F1284" s="37">
        <v>0.99521899999999996</v>
      </c>
      <c r="G1284" s="16">
        <v>0.18096999999999899</v>
      </c>
      <c r="H1284" s="14">
        <v>6</v>
      </c>
      <c r="I1284" s="14">
        <v>7</v>
      </c>
      <c r="J1284" s="32"/>
      <c r="K1284" s="8">
        <f t="shared" si="140"/>
        <v>-0.61716923076892272</v>
      </c>
      <c r="L1284" s="8">
        <f t="shared" si="141"/>
        <v>-4.7474556212994054E-2</v>
      </c>
      <c r="M1284" s="8">
        <f t="shared" si="142"/>
        <v>-0.54175184615269245</v>
      </c>
      <c r="N1284" s="8">
        <f t="shared" si="143"/>
        <v>-4.1673218934822495E-2</v>
      </c>
      <c r="O1284" s="8"/>
      <c r="P1284" t="s">
        <v>1571</v>
      </c>
      <c r="Q1284">
        <v>36</v>
      </c>
      <c r="R1284" s="8">
        <v>2.84274</v>
      </c>
      <c r="S1284">
        <v>12</v>
      </c>
      <c r="T1284" s="8">
        <f t="shared" si="144"/>
        <v>0.33333333333333331</v>
      </c>
      <c r="U1284" s="8">
        <v>2.8089900000000001</v>
      </c>
      <c r="V1284">
        <v>12</v>
      </c>
      <c r="W1284" s="8">
        <f t="shared" si="145"/>
        <v>0.33333333333333331</v>
      </c>
      <c r="X1284" s="8">
        <v>2.8372799999999998</v>
      </c>
      <c r="Y1284">
        <v>12</v>
      </c>
      <c r="Z1284" s="8">
        <f t="shared" si="146"/>
        <v>0.33333333333333331</v>
      </c>
      <c r="AA1284" s="8">
        <v>2.8819300000000001</v>
      </c>
    </row>
    <row r="1285" spans="1:27" ht="15" customHeight="1" x14ac:dyDescent="0.25">
      <c r="A1285" s="14">
        <v>465</v>
      </c>
      <c r="B1285" s="14">
        <v>465</v>
      </c>
      <c r="C1285" s="36">
        <v>-12270.2619</v>
      </c>
      <c r="D1285" s="16">
        <v>-12271.649563000001</v>
      </c>
      <c r="E1285" s="14"/>
      <c r="F1285" s="37">
        <v>0.99605600000000005</v>
      </c>
      <c r="G1285" s="16">
        <v>0.18678999999999901</v>
      </c>
      <c r="H1285" s="14">
        <v>6</v>
      </c>
      <c r="I1285" s="14">
        <v>7</v>
      </c>
      <c r="J1285" s="32"/>
      <c r="K1285" s="8">
        <f t="shared" si="140"/>
        <v>-1.1045692307689023</v>
      </c>
      <c r="L1285" s="8">
        <f t="shared" si="141"/>
        <v>-8.4966863905300186E-2</v>
      </c>
      <c r="M1285" s="8">
        <f t="shared" si="142"/>
        <v>-1.0159708461542323</v>
      </c>
      <c r="N1285" s="8">
        <f t="shared" si="143"/>
        <v>-7.8151603550325563E-2</v>
      </c>
      <c r="O1285" s="8"/>
      <c r="P1285" t="s">
        <v>1572</v>
      </c>
      <c r="Q1285">
        <v>36</v>
      </c>
      <c r="R1285" s="8">
        <v>2.8449800000000001</v>
      </c>
      <c r="S1285">
        <v>8</v>
      </c>
      <c r="T1285" s="8">
        <f t="shared" si="144"/>
        <v>0.22222222222222221</v>
      </c>
      <c r="U1285" s="8">
        <v>2.82714</v>
      </c>
      <c r="V1285">
        <v>20</v>
      </c>
      <c r="W1285" s="8">
        <f t="shared" si="145"/>
        <v>0.55555555555555558</v>
      </c>
      <c r="X1285" s="8">
        <v>2.8199299999999998</v>
      </c>
      <c r="Y1285">
        <v>8</v>
      </c>
      <c r="Z1285" s="8">
        <f t="shared" si="146"/>
        <v>0.22222222222222221</v>
      </c>
      <c r="AA1285" s="8">
        <v>2.9254500000000001</v>
      </c>
    </row>
    <row r="1286" spans="1:27" ht="15" customHeight="1" x14ac:dyDescent="0.25">
      <c r="A1286" s="14">
        <v>466</v>
      </c>
      <c r="B1286" s="14">
        <v>466</v>
      </c>
      <c r="C1286" s="36">
        <v>-12270.090899999999</v>
      </c>
      <c r="D1286" s="16">
        <v>-12271.492445</v>
      </c>
      <c r="E1286" s="14"/>
      <c r="F1286" s="37">
        <v>0.99423799999999996</v>
      </c>
      <c r="G1286" s="16">
        <v>0.17540999999999901</v>
      </c>
      <c r="H1286" s="14">
        <v>6</v>
      </c>
      <c r="I1286" s="14">
        <v>7</v>
      </c>
      <c r="J1286" s="32"/>
      <c r="K1286" s="8">
        <f t="shared" si="140"/>
        <v>-0.93356923076862586</v>
      </c>
      <c r="L1286" s="8">
        <f t="shared" si="141"/>
        <v>-7.1813017751432756E-2</v>
      </c>
      <c r="M1286" s="8">
        <f t="shared" si="142"/>
        <v>-0.85885284615324053</v>
      </c>
      <c r="N1286" s="8">
        <f t="shared" si="143"/>
        <v>-6.6065603550249277E-2</v>
      </c>
      <c r="O1286" s="8"/>
      <c r="P1286" t="s">
        <v>1573</v>
      </c>
      <c r="Q1286">
        <v>34</v>
      </c>
      <c r="R1286" s="8">
        <v>2.8170799999999998</v>
      </c>
      <c r="S1286">
        <v>10</v>
      </c>
      <c r="T1286" s="8">
        <f t="shared" si="144"/>
        <v>0.29411764705882354</v>
      </c>
      <c r="U1286" s="8">
        <v>2.8129599999999999</v>
      </c>
      <c r="V1286">
        <v>17</v>
      </c>
      <c r="W1286" s="8">
        <f t="shared" si="145"/>
        <v>0.5</v>
      </c>
      <c r="X1286" s="8">
        <v>2.8136299999999999</v>
      </c>
      <c r="Y1286">
        <v>7</v>
      </c>
      <c r="Z1286" s="8">
        <f t="shared" si="146"/>
        <v>0.20588235294117646</v>
      </c>
      <c r="AA1286" s="8">
        <v>2.8313600000000001</v>
      </c>
    </row>
    <row r="1287" spans="1:27" ht="15" customHeight="1" x14ac:dyDescent="0.25">
      <c r="A1287" s="14">
        <v>467</v>
      </c>
      <c r="B1287" s="14">
        <v>467</v>
      </c>
      <c r="C1287" s="36">
        <v>-12270.3603</v>
      </c>
      <c r="D1287" s="16">
        <v>-12271.898021999999</v>
      </c>
      <c r="E1287" s="14"/>
      <c r="F1287" s="37">
        <v>0.99586699999999995</v>
      </c>
      <c r="G1287" s="16">
        <v>0.18540000000000001</v>
      </c>
      <c r="H1287" s="14">
        <v>6</v>
      </c>
      <c r="I1287" s="14">
        <v>7</v>
      </c>
      <c r="J1287" s="32"/>
      <c r="K1287" s="8">
        <f t="shared" si="140"/>
        <v>-1.2029692307696678</v>
      </c>
      <c r="L1287" s="8">
        <f t="shared" si="141"/>
        <v>-9.2536094674589828E-2</v>
      </c>
      <c r="M1287" s="8">
        <f t="shared" si="142"/>
        <v>-1.2644298461527796</v>
      </c>
      <c r="N1287" s="8">
        <f t="shared" si="143"/>
        <v>-9.7263834319444589E-2</v>
      </c>
      <c r="O1287" s="8"/>
      <c r="P1287" t="s">
        <v>1574</v>
      </c>
      <c r="Q1287">
        <v>34</v>
      </c>
      <c r="R1287" s="8">
        <v>2.8222299999999998</v>
      </c>
      <c r="S1287">
        <v>8</v>
      </c>
      <c r="T1287" s="8">
        <f t="shared" si="144"/>
        <v>0.23529411764705882</v>
      </c>
      <c r="U1287" s="8">
        <v>2.8117700000000001</v>
      </c>
      <c r="V1287">
        <v>22</v>
      </c>
      <c r="W1287" s="8">
        <f t="shared" si="145"/>
        <v>0.6470588235294118</v>
      </c>
      <c r="X1287" s="8">
        <v>2.8164799999999999</v>
      </c>
      <c r="Y1287">
        <v>4</v>
      </c>
      <c r="Z1287" s="8">
        <f t="shared" si="146"/>
        <v>0.11764705882352941</v>
      </c>
      <c r="AA1287" s="8">
        <v>2.87479</v>
      </c>
    </row>
    <row r="1288" spans="1:27" ht="15" customHeight="1" x14ac:dyDescent="0.25">
      <c r="A1288" s="14">
        <v>468</v>
      </c>
      <c r="B1288" s="14">
        <v>468</v>
      </c>
      <c r="C1288" s="36">
        <v>-12270.0237</v>
      </c>
      <c r="D1288" s="16">
        <v>-12271.626243999999</v>
      </c>
      <c r="E1288" s="14"/>
      <c r="F1288" s="37">
        <v>0.99595900000000004</v>
      </c>
      <c r="G1288" s="16">
        <v>0.18612999999999899</v>
      </c>
      <c r="H1288" s="14">
        <v>6</v>
      </c>
      <c r="I1288" s="14">
        <v>7</v>
      </c>
      <c r="J1288" s="32"/>
      <c r="K1288" s="8">
        <f t="shared" si="140"/>
        <v>-0.86636923076912353</v>
      </c>
      <c r="L1288" s="8">
        <f t="shared" si="141"/>
        <v>-6.6643786982240272E-2</v>
      </c>
      <c r="M1288" s="8">
        <f t="shared" si="142"/>
        <v>-0.99265184615251201</v>
      </c>
      <c r="N1288" s="8">
        <f t="shared" si="143"/>
        <v>-7.6357834319424001E-2</v>
      </c>
      <c r="O1288" s="8"/>
      <c r="P1288" t="s">
        <v>1575</v>
      </c>
      <c r="Q1288">
        <v>34</v>
      </c>
      <c r="R1288" s="8">
        <v>2.81602</v>
      </c>
      <c r="S1288">
        <v>11</v>
      </c>
      <c r="T1288" s="8">
        <f t="shared" si="144"/>
        <v>0.3235294117647059</v>
      </c>
      <c r="U1288" s="8">
        <v>2.8534700000000002</v>
      </c>
      <c r="V1288">
        <v>18</v>
      </c>
      <c r="W1288" s="8">
        <f t="shared" si="145"/>
        <v>0.52941176470588236</v>
      </c>
      <c r="X1288" s="8">
        <v>2.7985199999999999</v>
      </c>
      <c r="Y1288">
        <v>5</v>
      </c>
      <c r="Z1288" s="8">
        <f t="shared" si="146"/>
        <v>0.14705882352941177</v>
      </c>
      <c r="AA1288" s="8">
        <v>2.7966000000000002</v>
      </c>
    </row>
    <row r="1289" spans="1:27" ht="15" customHeight="1" x14ac:dyDescent="0.25">
      <c r="A1289" s="14">
        <v>469</v>
      </c>
      <c r="B1289" s="14">
        <v>469</v>
      </c>
      <c r="C1289" s="36">
        <v>-12270.332899999999</v>
      </c>
      <c r="D1289" s="16">
        <v>-12271.697158000001</v>
      </c>
      <c r="E1289" s="14"/>
      <c r="F1289" s="37">
        <v>0.99619599999999997</v>
      </c>
      <c r="G1289" s="16">
        <v>0.18797</v>
      </c>
      <c r="H1289" s="14">
        <v>6</v>
      </c>
      <c r="I1289" s="14">
        <v>7</v>
      </c>
      <c r="J1289" s="32"/>
      <c r="K1289" s="8">
        <f t="shared" si="140"/>
        <v>-1.175569230768815</v>
      </c>
      <c r="L1289" s="8">
        <f t="shared" si="141"/>
        <v>-9.0428402366831931E-2</v>
      </c>
      <c r="M1289" s="8">
        <f t="shared" si="142"/>
        <v>-1.0635658461542334</v>
      </c>
      <c r="N1289" s="8">
        <f t="shared" si="143"/>
        <v>-8.1812757396479502E-2</v>
      </c>
      <c r="O1289" s="8"/>
      <c r="P1289" t="s">
        <v>1576</v>
      </c>
      <c r="Q1289">
        <v>32</v>
      </c>
      <c r="R1289" s="8">
        <v>2.7993600000000001</v>
      </c>
      <c r="S1289">
        <v>8</v>
      </c>
      <c r="T1289" s="8">
        <f t="shared" si="144"/>
        <v>0.25</v>
      </c>
      <c r="U1289" s="8">
        <v>2.8154499999999998</v>
      </c>
      <c r="V1289">
        <v>18</v>
      </c>
      <c r="W1289" s="8">
        <f t="shared" si="145"/>
        <v>0.5625</v>
      </c>
      <c r="X1289" s="8">
        <v>2.7721300000000002</v>
      </c>
      <c r="Y1289">
        <v>6</v>
      </c>
      <c r="Z1289" s="8">
        <f t="shared" si="146"/>
        <v>0.1875</v>
      </c>
      <c r="AA1289" s="8">
        <v>2.85961</v>
      </c>
    </row>
    <row r="1290" spans="1:27" ht="15" customHeight="1" x14ac:dyDescent="0.25">
      <c r="A1290" s="14">
        <v>470</v>
      </c>
      <c r="B1290" s="14">
        <v>470</v>
      </c>
      <c r="C1290" s="36">
        <v>-12270.3683</v>
      </c>
      <c r="D1290" s="16">
        <v>-12271.725662000001</v>
      </c>
      <c r="E1290" s="14"/>
      <c r="F1290" s="37">
        <v>0.99653599999999998</v>
      </c>
      <c r="G1290" s="16">
        <v>0.19062999999999899</v>
      </c>
      <c r="H1290" s="14">
        <v>6</v>
      </c>
      <c r="I1290" s="14">
        <v>7</v>
      </c>
      <c r="J1290" s="32"/>
      <c r="K1290" s="8">
        <f t="shared" si="140"/>
        <v>-1.2109692307694786</v>
      </c>
      <c r="L1290" s="8">
        <f t="shared" si="141"/>
        <v>-9.3151479289959899E-2</v>
      </c>
      <c r="M1290" s="8">
        <f t="shared" si="142"/>
        <v>-1.0920698461541178</v>
      </c>
      <c r="N1290" s="8">
        <f t="shared" si="143"/>
        <v>-8.4005372781085982E-2</v>
      </c>
      <c r="O1290" s="8"/>
      <c r="P1290" t="s">
        <v>1577</v>
      </c>
      <c r="Q1290">
        <v>32</v>
      </c>
      <c r="R1290" s="8">
        <v>2.7987500000000001</v>
      </c>
      <c r="S1290">
        <v>8</v>
      </c>
      <c r="T1290" s="8">
        <f t="shared" si="144"/>
        <v>0.25</v>
      </c>
      <c r="U1290" s="8">
        <v>2.79908</v>
      </c>
      <c r="V1290">
        <v>18</v>
      </c>
      <c r="W1290" s="8">
        <f t="shared" si="145"/>
        <v>0.5625</v>
      </c>
      <c r="X1290" s="8">
        <v>2.7806600000000001</v>
      </c>
      <c r="Y1290">
        <v>6</v>
      </c>
      <c r="Z1290" s="8">
        <f t="shared" si="146"/>
        <v>0.1875</v>
      </c>
      <c r="AA1290" s="8">
        <v>2.8525700000000001</v>
      </c>
    </row>
    <row r="1291" spans="1:27" ht="15" customHeight="1" x14ac:dyDescent="0.25">
      <c r="A1291" s="14">
        <v>471</v>
      </c>
      <c r="B1291" s="14">
        <v>471</v>
      </c>
      <c r="C1291" s="36">
        <v>-12270.1934</v>
      </c>
      <c r="D1291" s="16">
        <v>-12271.751861000001</v>
      </c>
      <c r="E1291" s="14"/>
      <c r="F1291" s="37">
        <v>0.99573599999999995</v>
      </c>
      <c r="G1291" s="16">
        <v>0.18446000000000001</v>
      </c>
      <c r="H1291" s="14">
        <v>6</v>
      </c>
      <c r="I1291" s="14">
        <v>7</v>
      </c>
      <c r="J1291" s="32"/>
      <c r="K1291" s="8">
        <f t="shared" si="140"/>
        <v>-1.036069230769499</v>
      </c>
      <c r="L1291" s="8">
        <f t="shared" si="141"/>
        <v>-7.9697633136115303E-2</v>
      </c>
      <c r="M1291" s="8">
        <f t="shared" si="142"/>
        <v>-1.1182688461540238</v>
      </c>
      <c r="N1291" s="8">
        <f t="shared" si="143"/>
        <v>-8.6020680473386443E-2</v>
      </c>
      <c r="O1291" s="8"/>
      <c r="P1291" t="s">
        <v>1578</v>
      </c>
      <c r="Q1291">
        <v>34</v>
      </c>
      <c r="R1291" s="8">
        <v>2.81073</v>
      </c>
      <c r="S1291">
        <v>10</v>
      </c>
      <c r="T1291" s="8">
        <f t="shared" si="144"/>
        <v>0.29411764705882354</v>
      </c>
      <c r="U1291" s="8">
        <v>2.8081800000000001</v>
      </c>
      <c r="V1291">
        <v>19</v>
      </c>
      <c r="W1291" s="8">
        <f t="shared" si="145"/>
        <v>0.55882352941176472</v>
      </c>
      <c r="X1291" s="8">
        <v>2.81074</v>
      </c>
      <c r="Y1291">
        <v>5</v>
      </c>
      <c r="Z1291" s="8">
        <f t="shared" si="146"/>
        <v>0.14705882352941177</v>
      </c>
      <c r="AA1291" s="8">
        <v>2.8157700000000001</v>
      </c>
    </row>
    <row r="1292" spans="1:27" ht="15" customHeight="1" x14ac:dyDescent="0.25">
      <c r="A1292" s="14">
        <v>472</v>
      </c>
      <c r="B1292" s="14">
        <v>472</v>
      </c>
      <c r="C1292" s="36">
        <v>-12270.4211</v>
      </c>
      <c r="D1292" s="16">
        <v>-12272.017879000001</v>
      </c>
      <c r="E1292" s="14"/>
      <c r="F1292" s="37">
        <v>0.99592400000000003</v>
      </c>
      <c r="G1292" s="16">
        <v>0.18582000000000001</v>
      </c>
      <c r="H1292" s="14">
        <v>6</v>
      </c>
      <c r="I1292" s="14">
        <v>7</v>
      </c>
      <c r="J1292" s="32"/>
      <c r="K1292" s="8">
        <f t="shared" si="140"/>
        <v>-1.2637692307689576</v>
      </c>
      <c r="L1292" s="8">
        <f t="shared" si="141"/>
        <v>-9.7213017751458283E-2</v>
      </c>
      <c r="M1292" s="8">
        <f t="shared" si="142"/>
        <v>-1.3842868461542821</v>
      </c>
      <c r="N1292" s="8">
        <f t="shared" si="143"/>
        <v>-0.10648360355032939</v>
      </c>
      <c r="O1292" s="8"/>
      <c r="P1292" t="s">
        <v>1579</v>
      </c>
      <c r="Q1292">
        <v>35</v>
      </c>
      <c r="R1292" s="8">
        <v>2.8305199999999999</v>
      </c>
      <c r="S1292">
        <v>7</v>
      </c>
      <c r="T1292" s="8">
        <f t="shared" si="144"/>
        <v>0.2</v>
      </c>
      <c r="U1292" s="8">
        <v>2.79644</v>
      </c>
      <c r="V1292">
        <v>21</v>
      </c>
      <c r="W1292" s="8">
        <f t="shared" si="145"/>
        <v>0.6</v>
      </c>
      <c r="X1292" s="8">
        <v>2.8196400000000001</v>
      </c>
      <c r="Y1292">
        <v>7</v>
      </c>
      <c r="Z1292" s="8">
        <f t="shared" si="146"/>
        <v>0.2</v>
      </c>
      <c r="AA1292" s="8">
        <v>2.8972799999999999</v>
      </c>
    </row>
    <row r="1293" spans="1:27" ht="15" customHeight="1" x14ac:dyDescent="0.25">
      <c r="A1293" s="14">
        <v>473</v>
      </c>
      <c r="B1293" s="14">
        <v>473</v>
      </c>
      <c r="C1293" s="36">
        <v>-12270.169900000001</v>
      </c>
      <c r="D1293" s="16">
        <v>-12271.577669</v>
      </c>
      <c r="E1293" s="14"/>
      <c r="F1293" s="37">
        <v>0.99207800000000002</v>
      </c>
      <c r="G1293" s="16">
        <v>0.165849999999999</v>
      </c>
      <c r="H1293" s="14">
        <v>6</v>
      </c>
      <c r="I1293" s="14">
        <v>7</v>
      </c>
      <c r="J1293" s="32"/>
      <c r="K1293" s="8">
        <f t="shared" si="140"/>
        <v>-1.0125692307701684</v>
      </c>
      <c r="L1293" s="8">
        <f t="shared" si="141"/>
        <v>-7.7889940828474488E-2</v>
      </c>
      <c r="M1293" s="8">
        <f t="shared" si="142"/>
        <v>-0.94407684615362086</v>
      </c>
      <c r="N1293" s="8">
        <f t="shared" si="143"/>
        <v>-7.2621295857970836E-2</v>
      </c>
      <c r="O1293" s="8"/>
      <c r="P1293" t="s">
        <v>1580</v>
      </c>
      <c r="Q1293">
        <v>34</v>
      </c>
      <c r="R1293" s="8">
        <v>2.8200599999999998</v>
      </c>
      <c r="S1293">
        <v>9</v>
      </c>
      <c r="T1293" s="8">
        <f t="shared" si="144"/>
        <v>0.26470588235294118</v>
      </c>
      <c r="U1293" s="8">
        <v>2.8104499999999999</v>
      </c>
      <c r="V1293">
        <v>17</v>
      </c>
      <c r="W1293" s="8">
        <f t="shared" si="145"/>
        <v>0.5</v>
      </c>
      <c r="X1293" s="8">
        <v>2.7977500000000002</v>
      </c>
      <c r="Y1293">
        <v>8</v>
      </c>
      <c r="Z1293" s="8">
        <f t="shared" si="146"/>
        <v>0.23529411764705882</v>
      </c>
      <c r="AA1293" s="8">
        <v>2.8783099999999999</v>
      </c>
    </row>
    <row r="1294" spans="1:27" ht="15" customHeight="1" x14ac:dyDescent="0.25">
      <c r="A1294" s="31">
        <v>474</v>
      </c>
      <c r="B1294" s="31">
        <v>474</v>
      </c>
      <c r="C1294" s="38">
        <v>-12270.582</v>
      </c>
      <c r="D1294" s="30">
        <v>-12272.129091000001</v>
      </c>
      <c r="E1294" s="31"/>
      <c r="F1294" s="29">
        <v>0.99611000000000005</v>
      </c>
      <c r="G1294" s="30">
        <v>0.18725999999999901</v>
      </c>
      <c r="H1294" s="31">
        <v>6</v>
      </c>
      <c r="I1294" s="31">
        <v>7</v>
      </c>
      <c r="J1294" s="32"/>
      <c r="K1294" s="8">
        <f t="shared" si="140"/>
        <v>-1.4246692307697231</v>
      </c>
      <c r="L1294" s="8">
        <f t="shared" si="141"/>
        <v>-0.10958994082844023</v>
      </c>
      <c r="M1294" s="8">
        <f t="shared" si="142"/>
        <v>-1.4954988461540779</v>
      </c>
      <c r="N1294" s="8">
        <f t="shared" si="143"/>
        <v>-0.11503837278108292</v>
      </c>
      <c r="O1294" s="8"/>
      <c r="P1294" t="s">
        <v>1581</v>
      </c>
      <c r="Q1294">
        <v>34</v>
      </c>
      <c r="R1294" s="8">
        <v>2.8170000000000002</v>
      </c>
      <c r="S1294">
        <v>6</v>
      </c>
      <c r="T1294" s="8">
        <f t="shared" si="144"/>
        <v>0.17647058823529413</v>
      </c>
      <c r="U1294" s="8">
        <v>2.7871899999999998</v>
      </c>
      <c r="V1294">
        <v>23</v>
      </c>
      <c r="W1294" s="8">
        <f t="shared" si="145"/>
        <v>0.67647058823529416</v>
      </c>
      <c r="X1294" s="8">
        <v>2.81019</v>
      </c>
      <c r="Y1294">
        <v>5</v>
      </c>
      <c r="Z1294" s="8">
        <f t="shared" si="146"/>
        <v>0.14705882352941177</v>
      </c>
      <c r="AA1294" s="8">
        <v>2.88408</v>
      </c>
    </row>
    <row r="1295" spans="1:27" ht="15" customHeight="1" x14ac:dyDescent="0.25">
      <c r="A1295" s="14">
        <v>475</v>
      </c>
      <c r="B1295" s="14">
        <v>475</v>
      </c>
      <c r="C1295" s="36">
        <v>-12270.205</v>
      </c>
      <c r="D1295" s="16">
        <v>-12271.707621</v>
      </c>
      <c r="E1295" s="14"/>
      <c r="F1295" s="37">
        <v>0.99525200000000003</v>
      </c>
      <c r="G1295" s="16">
        <v>0.18121999999999899</v>
      </c>
      <c r="H1295" s="14">
        <v>6</v>
      </c>
      <c r="I1295" s="14">
        <v>7</v>
      </c>
      <c r="J1295" s="32"/>
      <c r="K1295" s="8">
        <f t="shared" si="140"/>
        <v>-1.0476692307693156</v>
      </c>
      <c r="L1295" s="8">
        <f t="shared" si="141"/>
        <v>-8.0589940828408896E-2</v>
      </c>
      <c r="M1295" s="8">
        <f t="shared" si="142"/>
        <v>-1.0740288461529417</v>
      </c>
      <c r="N1295" s="8">
        <f t="shared" si="143"/>
        <v>-8.2617603550226279E-2</v>
      </c>
      <c r="O1295" s="8"/>
      <c r="P1295" t="s">
        <v>1582</v>
      </c>
      <c r="Q1295">
        <v>34</v>
      </c>
      <c r="R1295" s="8">
        <v>2.81738</v>
      </c>
      <c r="S1295">
        <v>9</v>
      </c>
      <c r="T1295" s="8">
        <f t="shared" si="144"/>
        <v>0.26470588235294118</v>
      </c>
      <c r="U1295" s="8">
        <v>2.78546</v>
      </c>
      <c r="V1295">
        <v>17</v>
      </c>
      <c r="W1295" s="8">
        <f t="shared" si="145"/>
        <v>0.5</v>
      </c>
      <c r="X1295" s="8">
        <v>2.7978200000000002</v>
      </c>
      <c r="Y1295">
        <v>8</v>
      </c>
      <c r="Z1295" s="8">
        <f t="shared" si="146"/>
        <v>0.23529411764705882</v>
      </c>
      <c r="AA1295" s="8">
        <v>2.8948499999999999</v>
      </c>
    </row>
    <row r="1296" spans="1:27" ht="15" customHeight="1" x14ac:dyDescent="0.25">
      <c r="A1296" s="14">
        <v>476</v>
      </c>
      <c r="B1296" s="14">
        <v>476</v>
      </c>
      <c r="C1296" s="36">
        <v>-12270.4305</v>
      </c>
      <c r="D1296" s="16">
        <v>-12272.003339000001</v>
      </c>
      <c r="E1296" s="14"/>
      <c r="F1296" s="37">
        <v>0.98997400000000002</v>
      </c>
      <c r="G1296" s="16">
        <v>0.158719999999999</v>
      </c>
      <c r="H1296" s="14">
        <v>6</v>
      </c>
      <c r="I1296" s="14">
        <v>7</v>
      </c>
      <c r="J1296" s="32"/>
      <c r="K1296" s="8">
        <f t="shared" si="140"/>
        <v>-1.2731692307697813</v>
      </c>
      <c r="L1296" s="8">
        <f t="shared" si="141"/>
        <v>-9.7936094674598559E-2</v>
      </c>
      <c r="M1296" s="8">
        <f t="shared" si="142"/>
        <v>-1.3697468461541575</v>
      </c>
      <c r="N1296" s="8">
        <f t="shared" si="143"/>
        <v>-0.10536514201185827</v>
      </c>
      <c r="O1296" s="8"/>
      <c r="P1296" t="s">
        <v>1583</v>
      </c>
      <c r="Q1296">
        <v>34</v>
      </c>
      <c r="R1296" s="8">
        <v>2.81793</v>
      </c>
      <c r="S1296">
        <v>7</v>
      </c>
      <c r="T1296" s="8">
        <f t="shared" si="144"/>
        <v>0.20588235294117646</v>
      </c>
      <c r="U1296" s="8">
        <v>2.8067000000000002</v>
      </c>
      <c r="V1296">
        <v>21</v>
      </c>
      <c r="W1296" s="8">
        <f t="shared" si="145"/>
        <v>0.61764705882352944</v>
      </c>
      <c r="X1296" s="8">
        <v>2.78579</v>
      </c>
      <c r="Y1296">
        <v>6</v>
      </c>
      <c r="Z1296" s="8">
        <f t="shared" si="146"/>
        <v>0.17647058823529413</v>
      </c>
      <c r="AA1296" s="8">
        <v>2.9435199999999999</v>
      </c>
    </row>
    <row r="1297" spans="1:27" ht="15" customHeight="1" x14ac:dyDescent="0.25">
      <c r="A1297" s="14">
        <v>477</v>
      </c>
      <c r="B1297" s="14">
        <v>477</v>
      </c>
      <c r="C1297" s="36">
        <v>-12270.356874999999</v>
      </c>
      <c r="D1297" s="16">
        <v>-12271.886091</v>
      </c>
      <c r="E1297" s="14"/>
      <c r="F1297" s="37">
        <v>0.996251</v>
      </c>
      <c r="G1297" s="16">
        <v>0.18833</v>
      </c>
      <c r="H1297" s="14">
        <v>6</v>
      </c>
      <c r="I1297" s="14">
        <v>7</v>
      </c>
      <c r="J1297" s="32"/>
      <c r="K1297" s="8">
        <f t="shared" si="140"/>
        <v>-1.1995442307688791</v>
      </c>
      <c r="L1297" s="8">
        <f t="shared" si="141"/>
        <v>-9.2272633136067622E-2</v>
      </c>
      <c r="M1297" s="8">
        <f t="shared" si="142"/>
        <v>-1.252498846153685</v>
      </c>
      <c r="N1297" s="8">
        <f t="shared" si="143"/>
        <v>-9.6346065088745006E-2</v>
      </c>
      <c r="O1297" s="8"/>
      <c r="P1297" t="s">
        <v>1584</v>
      </c>
      <c r="Q1297">
        <v>34</v>
      </c>
      <c r="R1297" s="8">
        <v>2.8184900000000002</v>
      </c>
      <c r="S1297">
        <v>8</v>
      </c>
      <c r="T1297" s="8">
        <f t="shared" si="144"/>
        <v>0.23529411764705882</v>
      </c>
      <c r="U1297" s="8">
        <v>2.8313600000000001</v>
      </c>
      <c r="V1297">
        <v>21</v>
      </c>
      <c r="W1297" s="8">
        <f t="shared" si="145"/>
        <v>0.61764705882352944</v>
      </c>
      <c r="X1297" s="8">
        <v>2.8008999999999999</v>
      </c>
      <c r="Y1297">
        <v>5</v>
      </c>
      <c r="Z1297" s="8">
        <f t="shared" si="146"/>
        <v>0.14705882352941177</v>
      </c>
      <c r="AA1297" s="8">
        <v>2.8717800000000002</v>
      </c>
    </row>
    <row r="1298" spans="1:27" ht="15" customHeight="1" x14ac:dyDescent="0.25">
      <c r="A1298" s="14">
        <v>478</v>
      </c>
      <c r="B1298" s="14">
        <v>478</v>
      </c>
      <c r="C1298" s="36">
        <v>-12270.3804</v>
      </c>
      <c r="D1298" s="16">
        <v>-12271.795466</v>
      </c>
      <c r="E1298" s="14"/>
      <c r="F1298" s="37">
        <v>0.99543300000000001</v>
      </c>
      <c r="G1298" s="16">
        <v>0.18237</v>
      </c>
      <c r="H1298" s="14">
        <v>6</v>
      </c>
      <c r="I1298" s="14">
        <v>7</v>
      </c>
      <c r="J1298" s="32"/>
      <c r="K1298" s="8">
        <f t="shared" si="140"/>
        <v>-1.2230692307693971</v>
      </c>
      <c r="L1298" s="8">
        <f t="shared" si="141"/>
        <v>-9.4082248520722861E-2</v>
      </c>
      <c r="M1298" s="8">
        <f t="shared" si="142"/>
        <v>-1.1618738461529574</v>
      </c>
      <c r="N1298" s="8">
        <f t="shared" si="143"/>
        <v>-8.9374911242535188E-2</v>
      </c>
      <c r="O1298" s="8"/>
      <c r="P1298" t="s">
        <v>1585</v>
      </c>
      <c r="Q1298">
        <v>34</v>
      </c>
      <c r="R1298" s="8">
        <v>2.82267</v>
      </c>
      <c r="S1298">
        <v>8</v>
      </c>
      <c r="T1298" s="8">
        <f t="shared" si="144"/>
        <v>0.23529411764705882</v>
      </c>
      <c r="U1298" s="8">
        <v>2.8137300000000001</v>
      </c>
      <c r="V1298">
        <v>21</v>
      </c>
      <c r="W1298" s="8">
        <f t="shared" si="145"/>
        <v>0.61764705882352944</v>
      </c>
      <c r="X1298" s="8">
        <v>2.80301</v>
      </c>
      <c r="Y1298">
        <v>5</v>
      </c>
      <c r="Z1298" s="8">
        <f t="shared" si="146"/>
        <v>0.14705882352941177</v>
      </c>
      <c r="AA1298" s="8">
        <v>2.9195799999999998</v>
      </c>
    </row>
    <row r="1299" spans="1:27" ht="15" customHeight="1" x14ac:dyDescent="0.25">
      <c r="A1299" s="14">
        <v>479</v>
      </c>
      <c r="B1299" s="14">
        <v>479</v>
      </c>
      <c r="C1299" s="36">
        <v>-12268.6304</v>
      </c>
      <c r="D1299" s="16">
        <v>-12271.741379999999</v>
      </c>
      <c r="E1299" s="14"/>
      <c r="F1299" s="37">
        <v>0.994197</v>
      </c>
      <c r="G1299" s="16">
        <v>0.175179999999999</v>
      </c>
      <c r="H1299" s="14">
        <v>6</v>
      </c>
      <c r="I1299" s="14">
        <v>7</v>
      </c>
      <c r="J1299" s="32"/>
      <c r="K1299" s="8">
        <f t="shared" si="140"/>
        <v>0.52693076923060289</v>
      </c>
      <c r="L1299" s="8">
        <f t="shared" si="141"/>
        <v>4.0533136094661762E-2</v>
      </c>
      <c r="M1299" s="8">
        <f t="shared" si="142"/>
        <v>-1.1077878461528599</v>
      </c>
      <c r="N1299" s="8">
        <f t="shared" si="143"/>
        <v>-8.5214449704066136E-2</v>
      </c>
      <c r="O1299" s="8"/>
      <c r="P1299" t="s">
        <v>1586</v>
      </c>
      <c r="Q1299">
        <v>34</v>
      </c>
      <c r="R1299" s="8">
        <v>2.8198599999999998</v>
      </c>
      <c r="S1299">
        <v>9</v>
      </c>
      <c r="T1299" s="8">
        <f t="shared" si="144"/>
        <v>0.26470588235294118</v>
      </c>
      <c r="U1299" s="8">
        <v>2.8171400000000002</v>
      </c>
      <c r="V1299">
        <v>18</v>
      </c>
      <c r="W1299" s="8">
        <f t="shared" si="145"/>
        <v>0.52941176470588236</v>
      </c>
      <c r="X1299" s="8">
        <v>2.7803399999999998</v>
      </c>
      <c r="Y1299">
        <v>7</v>
      </c>
      <c r="Z1299" s="8">
        <f t="shared" si="146"/>
        <v>0.20588235294117646</v>
      </c>
      <c r="AA1299" s="8">
        <v>2.9249900000000002</v>
      </c>
    </row>
    <row r="1300" spans="1:27" ht="15" customHeight="1" x14ac:dyDescent="0.25">
      <c r="A1300" s="14">
        <v>480</v>
      </c>
      <c r="B1300" s="14">
        <v>480</v>
      </c>
      <c r="C1300" s="36">
        <v>-12270.5064</v>
      </c>
      <c r="D1300" s="16">
        <v>-12272.016323</v>
      </c>
      <c r="E1300" s="14"/>
      <c r="F1300" s="37">
        <v>0.99485400000000002</v>
      </c>
      <c r="G1300" s="16">
        <v>0.17877999999999999</v>
      </c>
      <c r="H1300" s="14">
        <v>6</v>
      </c>
      <c r="I1300" s="14">
        <v>7</v>
      </c>
      <c r="J1300" s="32"/>
      <c r="K1300" s="8">
        <f t="shared" si="140"/>
        <v>-1.3490692307696008</v>
      </c>
      <c r="L1300" s="8">
        <f t="shared" si="141"/>
        <v>-0.10377455621304622</v>
      </c>
      <c r="M1300" s="8">
        <f t="shared" si="142"/>
        <v>-1.3827308461532084</v>
      </c>
      <c r="N1300" s="8">
        <f t="shared" si="143"/>
        <v>-0.1063639112425545</v>
      </c>
      <c r="O1300" s="8"/>
      <c r="P1300" t="s">
        <v>1587</v>
      </c>
      <c r="Q1300">
        <v>34</v>
      </c>
      <c r="R1300" s="8">
        <v>2.81595</v>
      </c>
      <c r="S1300">
        <v>7</v>
      </c>
      <c r="T1300" s="8">
        <f t="shared" si="144"/>
        <v>0.20588235294117646</v>
      </c>
      <c r="U1300" s="8">
        <v>2.7856100000000001</v>
      </c>
      <c r="V1300">
        <v>22</v>
      </c>
      <c r="W1300" s="8">
        <f t="shared" si="145"/>
        <v>0.6470588235294118</v>
      </c>
      <c r="X1300" s="8">
        <v>2.8153199999999998</v>
      </c>
      <c r="Y1300">
        <v>5</v>
      </c>
      <c r="Z1300" s="8">
        <f t="shared" si="146"/>
        <v>0.14705882352941177</v>
      </c>
      <c r="AA1300" s="8">
        <v>2.86124</v>
      </c>
    </row>
    <row r="1301" spans="1:27" ht="15" customHeight="1" x14ac:dyDescent="0.25">
      <c r="A1301" s="14">
        <v>481</v>
      </c>
      <c r="B1301" s="14">
        <v>481</v>
      </c>
      <c r="C1301" s="36">
        <v>-12270.3305</v>
      </c>
      <c r="D1301" s="16">
        <v>-12271.910243</v>
      </c>
      <c r="E1301" s="14"/>
      <c r="F1301" s="37">
        <v>0.99697000000000002</v>
      </c>
      <c r="G1301" s="16">
        <v>0.194719999999999</v>
      </c>
      <c r="H1301" s="14">
        <v>6</v>
      </c>
      <c r="I1301" s="14">
        <v>7</v>
      </c>
      <c r="J1301" s="32"/>
      <c r="K1301" s="8">
        <f t="shared" si="140"/>
        <v>-1.1731692307694175</v>
      </c>
      <c r="L1301" s="8">
        <f t="shared" si="141"/>
        <v>-9.0243786982262889E-2</v>
      </c>
      <c r="M1301" s="8">
        <f t="shared" si="142"/>
        <v>-1.2766508461536432</v>
      </c>
      <c r="N1301" s="8">
        <f t="shared" si="143"/>
        <v>-9.8203911242587941E-2</v>
      </c>
      <c r="O1301" s="8"/>
      <c r="P1301" t="s">
        <v>1588</v>
      </c>
      <c r="Q1301">
        <v>34</v>
      </c>
      <c r="R1301" s="8">
        <v>2.8164099999999999</v>
      </c>
      <c r="S1301">
        <v>8</v>
      </c>
      <c r="T1301" s="8">
        <f t="shared" si="144"/>
        <v>0.23529411764705882</v>
      </c>
      <c r="U1301" s="8">
        <v>2.8232400000000002</v>
      </c>
      <c r="V1301">
        <v>21</v>
      </c>
      <c r="W1301" s="8">
        <f t="shared" si="145"/>
        <v>0.61764705882352944</v>
      </c>
      <c r="X1301" s="8">
        <v>2.8001399999999999</v>
      </c>
      <c r="Y1301">
        <v>5</v>
      </c>
      <c r="Z1301" s="8">
        <f t="shared" si="146"/>
        <v>0.14705882352941177</v>
      </c>
      <c r="AA1301" s="8">
        <v>2.87384</v>
      </c>
    </row>
    <row r="1302" spans="1:27" ht="15" customHeight="1" x14ac:dyDescent="0.25">
      <c r="A1302" s="14">
        <v>482</v>
      </c>
      <c r="B1302" s="14">
        <v>482</v>
      </c>
      <c r="C1302" s="36">
        <v>-12270.4077</v>
      </c>
      <c r="D1302" s="16">
        <v>-12271.805138</v>
      </c>
      <c r="E1302" s="14"/>
      <c r="F1302" s="37">
        <v>0.99550300000000003</v>
      </c>
      <c r="G1302" s="16">
        <v>0.18285000000000001</v>
      </c>
      <c r="H1302" s="14">
        <v>6</v>
      </c>
      <c r="I1302" s="14">
        <v>7</v>
      </c>
      <c r="J1302" s="32"/>
      <c r="K1302" s="8">
        <f t="shared" si="140"/>
        <v>-1.2503692307691381</v>
      </c>
      <c r="L1302" s="8">
        <f t="shared" si="141"/>
        <v>-9.6182248520702923E-2</v>
      </c>
      <c r="M1302" s="8">
        <f t="shared" si="142"/>
        <v>-1.1715458461530943</v>
      </c>
      <c r="N1302" s="8">
        <f t="shared" si="143"/>
        <v>-9.0118911242545716E-2</v>
      </c>
      <c r="O1302" s="8"/>
      <c r="P1302" t="s">
        <v>1589</v>
      </c>
      <c r="Q1302">
        <v>35</v>
      </c>
      <c r="R1302" s="8">
        <v>2.8321000000000001</v>
      </c>
      <c r="S1302">
        <v>7</v>
      </c>
      <c r="T1302" s="8">
        <f t="shared" si="144"/>
        <v>0.2</v>
      </c>
      <c r="U1302" s="8">
        <v>2.8922599999999998</v>
      </c>
      <c r="V1302">
        <v>23</v>
      </c>
      <c r="W1302" s="8">
        <f t="shared" si="145"/>
        <v>0.65714285714285714</v>
      </c>
      <c r="X1302" s="8">
        <v>2.7899500000000002</v>
      </c>
      <c r="Y1302">
        <v>5</v>
      </c>
      <c r="Z1302" s="8">
        <f t="shared" si="146"/>
        <v>0.14285714285714285</v>
      </c>
      <c r="AA1302" s="8">
        <v>2.9418099999999998</v>
      </c>
    </row>
    <row r="1303" spans="1:27" ht="15" customHeight="1" x14ac:dyDescent="0.25">
      <c r="A1303" s="14">
        <v>483</v>
      </c>
      <c r="B1303" s="14">
        <v>483</v>
      </c>
      <c r="C1303" s="36">
        <v>-12270.427</v>
      </c>
      <c r="D1303" s="16">
        <v>-12272.093569000001</v>
      </c>
      <c r="E1303" s="14"/>
      <c r="F1303" s="37">
        <v>0.99666900000000003</v>
      </c>
      <c r="G1303" s="16">
        <v>0.19194999999999901</v>
      </c>
      <c r="H1303" s="14">
        <v>6</v>
      </c>
      <c r="I1303" s="14">
        <v>7</v>
      </c>
      <c r="J1303" s="32"/>
      <c r="K1303" s="8">
        <f t="shared" si="140"/>
        <v>-1.2696692307690682</v>
      </c>
      <c r="L1303" s="8">
        <f t="shared" si="141"/>
        <v>-9.7666863905312942E-2</v>
      </c>
      <c r="M1303" s="8">
        <f t="shared" si="142"/>
        <v>-1.4599768461539497</v>
      </c>
      <c r="N1303" s="8">
        <f t="shared" si="143"/>
        <v>-0.11230591124261152</v>
      </c>
      <c r="O1303" s="8"/>
      <c r="P1303" t="s">
        <v>1590</v>
      </c>
      <c r="Q1303">
        <v>34</v>
      </c>
      <c r="R1303" s="8">
        <v>2.8189099999999998</v>
      </c>
      <c r="S1303">
        <v>7</v>
      </c>
      <c r="T1303" s="8">
        <f t="shared" si="144"/>
        <v>0.20588235294117646</v>
      </c>
      <c r="U1303" s="8">
        <v>2.8117800000000002</v>
      </c>
      <c r="V1303">
        <v>21</v>
      </c>
      <c r="W1303" s="8">
        <f t="shared" si="145"/>
        <v>0.61764705882352944</v>
      </c>
      <c r="X1303" s="8">
        <v>2.8030400000000002</v>
      </c>
      <c r="Y1303">
        <v>6</v>
      </c>
      <c r="Z1303" s="8">
        <f t="shared" si="146"/>
        <v>0.17647058823529413</v>
      </c>
      <c r="AA1303" s="8">
        <v>2.8827699999999998</v>
      </c>
    </row>
    <row r="1304" spans="1:27" ht="15" customHeight="1" x14ac:dyDescent="0.25">
      <c r="A1304" s="14">
        <v>484</v>
      </c>
      <c r="B1304" s="14">
        <v>484</v>
      </c>
      <c r="C1304" s="36">
        <v>-12270.3243</v>
      </c>
      <c r="D1304" s="16">
        <v>-12271.729864000001</v>
      </c>
      <c r="E1304" s="14"/>
      <c r="F1304" s="37">
        <v>0.99531000000000003</v>
      </c>
      <c r="G1304" s="16">
        <v>0.18156999999999901</v>
      </c>
      <c r="H1304" s="14">
        <v>6</v>
      </c>
      <c r="I1304" s="14">
        <v>7</v>
      </c>
      <c r="J1304" s="32"/>
      <c r="K1304" s="8">
        <f t="shared" si="140"/>
        <v>-1.1669692307696096</v>
      </c>
      <c r="L1304" s="8">
        <f t="shared" si="141"/>
        <v>-8.9766863905354585E-2</v>
      </c>
      <c r="M1304" s="8">
        <f t="shared" si="142"/>
        <v>-1.0962718461541954</v>
      </c>
      <c r="N1304" s="8">
        <f t="shared" si="143"/>
        <v>-8.432860355032272E-2</v>
      </c>
      <c r="O1304" s="8"/>
      <c r="P1304" t="s">
        <v>1591</v>
      </c>
      <c r="Q1304">
        <v>34</v>
      </c>
      <c r="R1304" s="8">
        <v>2.8151099999999998</v>
      </c>
      <c r="S1304">
        <v>8</v>
      </c>
      <c r="T1304" s="8">
        <f t="shared" si="144"/>
        <v>0.23529411764705882</v>
      </c>
      <c r="U1304" s="8">
        <v>2.7954400000000001</v>
      </c>
      <c r="V1304">
        <v>20</v>
      </c>
      <c r="W1304" s="8">
        <f t="shared" si="145"/>
        <v>0.58823529411764708</v>
      </c>
      <c r="X1304" s="8">
        <v>2.8158599999999998</v>
      </c>
      <c r="Y1304">
        <v>6</v>
      </c>
      <c r="Z1304" s="8">
        <f t="shared" si="146"/>
        <v>0.17647058823529413</v>
      </c>
      <c r="AA1304" s="8">
        <v>2.8388100000000001</v>
      </c>
    </row>
    <row r="1305" spans="1:27" ht="15" customHeight="1" x14ac:dyDescent="0.25">
      <c r="A1305" s="14">
        <v>485</v>
      </c>
      <c r="B1305" s="14">
        <v>485</v>
      </c>
      <c r="C1305" s="36">
        <v>-12270.3238</v>
      </c>
      <c r="D1305" s="16">
        <v>-12271.870874</v>
      </c>
      <c r="E1305" s="14"/>
      <c r="F1305" s="37">
        <v>0.99701899999999999</v>
      </c>
      <c r="G1305" s="16">
        <v>0.19514000000000001</v>
      </c>
      <c r="H1305" s="14">
        <v>6</v>
      </c>
      <c r="I1305" s="14">
        <v>7</v>
      </c>
      <c r="J1305" s="32"/>
      <c r="K1305" s="8">
        <f t="shared" si="140"/>
        <v>-1.1664692307695077</v>
      </c>
      <c r="L1305" s="8">
        <f t="shared" si="141"/>
        <v>-8.9728402366885202E-2</v>
      </c>
      <c r="M1305" s="8">
        <f t="shared" si="142"/>
        <v>-1.2372818461535644</v>
      </c>
      <c r="N1305" s="8">
        <f t="shared" si="143"/>
        <v>-9.5175526627197263E-2</v>
      </c>
      <c r="O1305" s="8"/>
      <c r="P1305" t="s">
        <v>1592</v>
      </c>
      <c r="Q1305">
        <v>34</v>
      </c>
      <c r="R1305" s="8">
        <v>2.8182700000000001</v>
      </c>
      <c r="S1305">
        <v>8</v>
      </c>
      <c r="T1305" s="8">
        <f t="shared" si="144"/>
        <v>0.23529411764705882</v>
      </c>
      <c r="U1305" s="8">
        <v>2.8115199999999998</v>
      </c>
      <c r="V1305">
        <v>20</v>
      </c>
      <c r="W1305" s="8">
        <f t="shared" si="145"/>
        <v>0.58823529411764708</v>
      </c>
      <c r="X1305" s="8">
        <v>2.8068499999999998</v>
      </c>
      <c r="Y1305">
        <v>6</v>
      </c>
      <c r="Z1305" s="8">
        <f t="shared" si="146"/>
        <v>0.17647058823529413</v>
      </c>
      <c r="AA1305" s="8">
        <v>2.8653300000000002</v>
      </c>
    </row>
    <row r="1306" spans="1:27" ht="15" customHeight="1" x14ac:dyDescent="0.25">
      <c r="A1306" s="14">
        <v>486</v>
      </c>
      <c r="B1306" s="14">
        <v>486</v>
      </c>
      <c r="C1306" s="36">
        <v>-12270.145500000001</v>
      </c>
      <c r="D1306" s="16">
        <v>-12271.812254</v>
      </c>
      <c r="E1306" s="14"/>
      <c r="F1306" s="37">
        <v>0.99577400000000005</v>
      </c>
      <c r="G1306" s="16">
        <v>0.18473999999999999</v>
      </c>
      <c r="H1306" s="14">
        <v>6</v>
      </c>
      <c r="I1306" s="14">
        <v>7</v>
      </c>
      <c r="J1306" s="32"/>
      <c r="K1306" s="8">
        <f t="shared" si="140"/>
        <v>-0.9881692307699268</v>
      </c>
      <c r="L1306" s="8">
        <f t="shared" si="141"/>
        <v>-7.6013017751532824E-2</v>
      </c>
      <c r="M1306" s="8">
        <f t="shared" si="142"/>
        <v>-1.1786618461537728</v>
      </c>
      <c r="N1306" s="8">
        <f t="shared" si="143"/>
        <v>-9.0666295857982526E-2</v>
      </c>
      <c r="O1306" s="8"/>
      <c r="P1306" t="s">
        <v>1593</v>
      </c>
      <c r="Q1306">
        <v>34</v>
      </c>
      <c r="R1306" s="8">
        <v>2.8171599999999999</v>
      </c>
      <c r="S1306">
        <v>9</v>
      </c>
      <c r="T1306" s="8">
        <f t="shared" si="144"/>
        <v>0.26470588235294118</v>
      </c>
      <c r="U1306" s="8">
        <v>2.7940900000000002</v>
      </c>
      <c r="V1306">
        <v>17</v>
      </c>
      <c r="W1306" s="8">
        <f t="shared" si="145"/>
        <v>0.5</v>
      </c>
      <c r="X1306" s="8">
        <v>2.81297</v>
      </c>
      <c r="Y1306">
        <v>8</v>
      </c>
      <c r="Z1306" s="8">
        <f t="shared" si="146"/>
        <v>0.23529411764705882</v>
      </c>
      <c r="AA1306" s="8">
        <v>2.85202</v>
      </c>
    </row>
    <row r="1307" spans="1:27" ht="15" customHeight="1" x14ac:dyDescent="0.25">
      <c r="A1307" s="14">
        <v>487</v>
      </c>
      <c r="B1307" s="14">
        <v>487</v>
      </c>
      <c r="C1307" s="36">
        <v>-12270.3817</v>
      </c>
      <c r="D1307" s="16">
        <v>-12271.963465000001</v>
      </c>
      <c r="E1307" s="14"/>
      <c r="F1307" s="37">
        <v>0.99369700000000005</v>
      </c>
      <c r="G1307" s="16">
        <v>0.17268</v>
      </c>
      <c r="H1307" s="14">
        <v>6</v>
      </c>
      <c r="I1307" s="14">
        <v>7</v>
      </c>
      <c r="J1307" s="32"/>
      <c r="K1307" s="8">
        <f t="shared" si="140"/>
        <v>-1.2243692307692982</v>
      </c>
      <c r="L1307" s="8">
        <f t="shared" si="141"/>
        <v>-9.4182248520715245E-2</v>
      </c>
      <c r="M1307" s="8">
        <f t="shared" si="142"/>
        <v>-1.3298728461541032</v>
      </c>
      <c r="N1307" s="8">
        <f t="shared" si="143"/>
        <v>-0.10229791124262332</v>
      </c>
      <c r="O1307" s="8"/>
      <c r="P1307" t="s">
        <v>1594</v>
      </c>
      <c r="Q1307">
        <v>33</v>
      </c>
      <c r="R1307" s="8">
        <v>2.80985</v>
      </c>
      <c r="S1307">
        <v>7</v>
      </c>
      <c r="T1307" s="8">
        <f t="shared" si="144"/>
        <v>0.21212121212121213</v>
      </c>
      <c r="U1307" s="8">
        <v>2.82104</v>
      </c>
      <c r="V1307">
        <v>21</v>
      </c>
      <c r="W1307" s="8">
        <f t="shared" si="145"/>
        <v>0.63636363636363635</v>
      </c>
      <c r="X1307" s="8">
        <v>2.7878799999999999</v>
      </c>
      <c r="Y1307">
        <v>5</v>
      </c>
      <c r="Z1307" s="8">
        <f t="shared" si="146"/>
        <v>0.15151515151515152</v>
      </c>
      <c r="AA1307" s="8">
        <v>2.8864299999999998</v>
      </c>
    </row>
    <row r="1308" spans="1:27" ht="15" customHeight="1" x14ac:dyDescent="0.25">
      <c r="A1308" s="14">
        <v>488</v>
      </c>
      <c r="B1308" s="14">
        <v>488</v>
      </c>
      <c r="C1308" s="36">
        <v>-12270.273999999999</v>
      </c>
      <c r="D1308" s="16">
        <v>-12271.695261999999</v>
      </c>
      <c r="E1308" s="14"/>
      <c r="F1308" s="37">
        <v>0.99667399999999995</v>
      </c>
      <c r="G1308" s="16">
        <v>0.191749999999999</v>
      </c>
      <c r="H1308" s="14">
        <v>6</v>
      </c>
      <c r="I1308" s="14">
        <v>7</v>
      </c>
      <c r="J1308" s="32"/>
      <c r="K1308" s="8">
        <f t="shared" si="140"/>
        <v>-1.1166692307688209</v>
      </c>
      <c r="L1308" s="8">
        <f t="shared" si="141"/>
        <v>-8.5897633136063148E-2</v>
      </c>
      <c r="M1308" s="8">
        <f t="shared" si="142"/>
        <v>-1.0616698461526539</v>
      </c>
      <c r="N1308" s="8">
        <f t="shared" si="143"/>
        <v>-8.1666911242511839E-2</v>
      </c>
      <c r="O1308" s="8"/>
      <c r="P1308" t="s">
        <v>1595</v>
      </c>
      <c r="Q1308">
        <v>34</v>
      </c>
      <c r="R1308" s="8">
        <v>2.8187600000000002</v>
      </c>
      <c r="S1308">
        <v>9</v>
      </c>
      <c r="T1308" s="8">
        <f t="shared" si="144"/>
        <v>0.26470588235294118</v>
      </c>
      <c r="U1308" s="8">
        <v>2.8455499999999998</v>
      </c>
      <c r="V1308">
        <v>20</v>
      </c>
      <c r="W1308" s="8">
        <f t="shared" si="145"/>
        <v>0.58823529411764708</v>
      </c>
      <c r="X1308" s="8">
        <v>2.8053400000000002</v>
      </c>
      <c r="Y1308">
        <v>5</v>
      </c>
      <c r="Z1308" s="8">
        <f t="shared" si="146"/>
        <v>0.14705882352941177</v>
      </c>
      <c r="AA1308" s="8">
        <v>2.82422</v>
      </c>
    </row>
    <row r="1309" spans="1:27" ht="15" customHeight="1" x14ac:dyDescent="0.25">
      <c r="A1309" s="14">
        <v>489</v>
      </c>
      <c r="B1309" s="14">
        <v>489</v>
      </c>
      <c r="C1309" s="36">
        <v>-12270.1589</v>
      </c>
      <c r="D1309" s="16">
        <v>-12271.590753</v>
      </c>
      <c r="E1309" s="14"/>
      <c r="F1309" s="37">
        <v>0.99694499999999997</v>
      </c>
      <c r="G1309" s="16">
        <v>0.19445999999999899</v>
      </c>
      <c r="H1309" s="14">
        <v>6</v>
      </c>
      <c r="I1309" s="14">
        <v>7</v>
      </c>
      <c r="J1309" s="32"/>
      <c r="K1309" s="8">
        <f t="shared" si="140"/>
        <v>-1.0015692307697464</v>
      </c>
      <c r="L1309" s="8">
        <f t="shared" si="141"/>
        <v>-7.7043786982288184E-2</v>
      </c>
      <c r="M1309" s="8">
        <f t="shared" si="142"/>
        <v>-0.9571608461537835</v>
      </c>
      <c r="N1309" s="8">
        <f t="shared" si="143"/>
        <v>-7.3627757396444879E-2</v>
      </c>
      <c r="O1309" s="8"/>
      <c r="P1309" t="s">
        <v>1596</v>
      </c>
      <c r="Q1309">
        <v>34</v>
      </c>
      <c r="R1309" s="8">
        <v>2.81331</v>
      </c>
      <c r="S1309">
        <v>11</v>
      </c>
      <c r="T1309" s="8">
        <f t="shared" si="144"/>
        <v>0.3235294117647059</v>
      </c>
      <c r="U1309" s="8">
        <v>2.8338899999999998</v>
      </c>
      <c r="V1309">
        <v>18</v>
      </c>
      <c r="W1309" s="8">
        <f t="shared" si="145"/>
        <v>0.52941176470588236</v>
      </c>
      <c r="X1309" s="8">
        <v>2.8022100000000001</v>
      </c>
      <c r="Y1309">
        <v>5</v>
      </c>
      <c r="Z1309" s="8">
        <f t="shared" si="146"/>
        <v>0.14705882352941177</v>
      </c>
      <c r="AA1309" s="8">
        <v>2.8079999999999998</v>
      </c>
    </row>
    <row r="1310" spans="1:27" ht="15" customHeight="1" x14ac:dyDescent="0.25">
      <c r="A1310" s="14">
        <v>490</v>
      </c>
      <c r="B1310" s="14">
        <v>490</v>
      </c>
      <c r="C1310" s="36">
        <v>-12270.2901</v>
      </c>
      <c r="D1310" s="16">
        <v>-12271.888784999999</v>
      </c>
      <c r="E1310" s="14"/>
      <c r="F1310" s="37">
        <v>0.99522200000000005</v>
      </c>
      <c r="G1310" s="16">
        <v>0.18106</v>
      </c>
      <c r="H1310" s="14">
        <v>6</v>
      </c>
      <c r="I1310" s="14">
        <v>7</v>
      </c>
      <c r="J1310" s="32"/>
      <c r="K1310" s="8">
        <f t="shared" si="140"/>
        <v>-1.1327692307695543</v>
      </c>
      <c r="L1310" s="8">
        <f t="shared" si="141"/>
        <v>-8.7136094674581097E-2</v>
      </c>
      <c r="M1310" s="8">
        <f t="shared" si="142"/>
        <v>-1.2551928461525677</v>
      </c>
      <c r="N1310" s="8">
        <f t="shared" si="143"/>
        <v>-9.6553295857889826E-2</v>
      </c>
      <c r="O1310" s="8"/>
      <c r="P1310" t="s">
        <v>1597</v>
      </c>
      <c r="Q1310">
        <v>34</v>
      </c>
      <c r="R1310" s="8">
        <v>2.8267199999999999</v>
      </c>
      <c r="S1310">
        <v>7</v>
      </c>
      <c r="T1310" s="8">
        <f t="shared" si="144"/>
        <v>0.20588235294117646</v>
      </c>
      <c r="U1310" s="8">
        <v>2.8835000000000002</v>
      </c>
      <c r="V1310">
        <v>23</v>
      </c>
      <c r="W1310" s="8">
        <f t="shared" si="145"/>
        <v>0.67647058823529416</v>
      </c>
      <c r="X1310" s="8">
        <v>2.7943099999999998</v>
      </c>
      <c r="Y1310">
        <v>4</v>
      </c>
      <c r="Z1310" s="8">
        <f t="shared" si="146"/>
        <v>0.11764705882352941</v>
      </c>
      <c r="AA1310" s="8">
        <v>2.9137499999999998</v>
      </c>
    </row>
    <row r="1311" spans="1:27" ht="15" customHeight="1" x14ac:dyDescent="0.25">
      <c r="A1311" s="14">
        <v>491</v>
      </c>
      <c r="B1311" s="14">
        <v>491</v>
      </c>
      <c r="C1311" s="36">
        <v>-12270.188200000001</v>
      </c>
      <c r="D1311" s="16">
        <v>-12271.81194</v>
      </c>
      <c r="E1311" s="14"/>
      <c r="F1311" s="37">
        <v>0.995062</v>
      </c>
      <c r="G1311" s="16">
        <v>0.18023</v>
      </c>
      <c r="H1311" s="14">
        <v>6</v>
      </c>
      <c r="I1311" s="14">
        <v>7</v>
      </c>
      <c r="J1311" s="32"/>
      <c r="K1311" s="8">
        <f t="shared" si="140"/>
        <v>-1.0308692307698948</v>
      </c>
      <c r="L1311" s="8">
        <f t="shared" si="141"/>
        <v>-7.9297633136145754E-2</v>
      </c>
      <c r="M1311" s="8">
        <f t="shared" si="142"/>
        <v>-1.1783478461529739</v>
      </c>
      <c r="N1311" s="8">
        <f t="shared" si="143"/>
        <v>-9.0642142011767221E-2</v>
      </c>
      <c r="O1311" s="8"/>
      <c r="P1311" t="s">
        <v>1598</v>
      </c>
      <c r="Q1311">
        <v>34</v>
      </c>
      <c r="R1311" s="8">
        <v>2.81406</v>
      </c>
      <c r="S1311">
        <v>9</v>
      </c>
      <c r="T1311" s="8">
        <f t="shared" si="144"/>
        <v>0.26470588235294118</v>
      </c>
      <c r="U1311" s="8">
        <v>2.8326600000000002</v>
      </c>
      <c r="V1311">
        <v>21</v>
      </c>
      <c r="W1311" s="8">
        <f t="shared" si="145"/>
        <v>0.61764705882352944</v>
      </c>
      <c r="X1311" s="8">
        <v>2.8093300000000001</v>
      </c>
      <c r="Y1311">
        <v>4</v>
      </c>
      <c r="Z1311" s="8">
        <f t="shared" si="146"/>
        <v>0.11764705882352941</v>
      </c>
      <c r="AA1311" s="8">
        <v>2.79705</v>
      </c>
    </row>
    <row r="1312" spans="1:27" ht="15" customHeight="1" x14ac:dyDescent="0.25">
      <c r="A1312" s="14">
        <v>492</v>
      </c>
      <c r="B1312" s="14">
        <v>492</v>
      </c>
      <c r="C1312" s="36">
        <v>-12270.5301</v>
      </c>
      <c r="D1312" s="16">
        <v>-12271.878570999999</v>
      </c>
      <c r="E1312" s="14"/>
      <c r="F1312" s="37">
        <v>0.99788900000000003</v>
      </c>
      <c r="G1312" s="16">
        <v>0.205569999999999</v>
      </c>
      <c r="H1312" s="14">
        <v>6</v>
      </c>
      <c r="I1312" s="14">
        <v>7</v>
      </c>
      <c r="J1312" s="32"/>
      <c r="K1312" s="8">
        <f t="shared" si="140"/>
        <v>-1.372769230769336</v>
      </c>
      <c r="L1312" s="8">
        <f t="shared" si="141"/>
        <v>-0.10559763313610276</v>
      </c>
      <c r="M1312" s="8">
        <f t="shared" si="142"/>
        <v>-1.2449788461526623</v>
      </c>
      <c r="N1312" s="8">
        <f t="shared" si="143"/>
        <v>-9.5767603550204791E-2</v>
      </c>
      <c r="O1312" s="8"/>
      <c r="P1312" t="s">
        <v>1599</v>
      </c>
      <c r="Q1312">
        <v>34</v>
      </c>
      <c r="R1312" s="8">
        <v>2.8172799999999998</v>
      </c>
      <c r="S1312">
        <v>7</v>
      </c>
      <c r="T1312" s="8">
        <f t="shared" si="144"/>
        <v>0.20588235294117646</v>
      </c>
      <c r="U1312" s="8">
        <v>2.79101</v>
      </c>
      <c r="V1312">
        <v>19</v>
      </c>
      <c r="W1312" s="8">
        <f t="shared" si="145"/>
        <v>0.55882352941176472</v>
      </c>
      <c r="X1312" s="8">
        <v>2.7992900000000001</v>
      </c>
      <c r="Y1312">
        <v>8</v>
      </c>
      <c r="Z1312" s="8">
        <f t="shared" si="146"/>
        <v>0.23529411764705882</v>
      </c>
      <c r="AA1312" s="8">
        <v>2.8829699999999998</v>
      </c>
    </row>
    <row r="1313" spans="1:27" ht="15" customHeight="1" x14ac:dyDescent="0.25">
      <c r="A1313" s="14">
        <v>493</v>
      </c>
      <c r="B1313" s="14">
        <v>493</v>
      </c>
      <c r="C1313" s="36">
        <v>-12270.2237</v>
      </c>
      <c r="D1313" s="16">
        <v>-12271.581384999999</v>
      </c>
      <c r="E1313" s="14"/>
      <c r="F1313" s="37">
        <v>0.99543700000000002</v>
      </c>
      <c r="G1313" s="16">
        <v>0.182449999999999</v>
      </c>
      <c r="H1313" s="14">
        <v>6</v>
      </c>
      <c r="I1313" s="14">
        <v>7</v>
      </c>
      <c r="J1313" s="32"/>
      <c r="K1313" s="8">
        <f t="shared" si="140"/>
        <v>-1.0663692307698511</v>
      </c>
      <c r="L1313" s="8">
        <f t="shared" si="141"/>
        <v>-8.2028402366911626E-2</v>
      </c>
      <c r="M1313" s="8">
        <f t="shared" si="142"/>
        <v>-0.94779284615287906</v>
      </c>
      <c r="N1313" s="8">
        <f t="shared" si="143"/>
        <v>-7.2907142011759934E-2</v>
      </c>
      <c r="O1313" s="8"/>
      <c r="P1313" t="s">
        <v>1600</v>
      </c>
      <c r="Q1313">
        <v>34</v>
      </c>
      <c r="R1313" s="8">
        <v>2.8229299999999999</v>
      </c>
      <c r="S1313">
        <v>9</v>
      </c>
      <c r="T1313" s="8">
        <f t="shared" si="144"/>
        <v>0.26470588235294118</v>
      </c>
      <c r="U1313" s="8">
        <v>2.8166600000000002</v>
      </c>
      <c r="V1313">
        <v>17</v>
      </c>
      <c r="W1313" s="8">
        <f t="shared" si="145"/>
        <v>0.5</v>
      </c>
      <c r="X1313" s="8">
        <v>2.7985799999999998</v>
      </c>
      <c r="Y1313">
        <v>8</v>
      </c>
      <c r="Z1313" s="8">
        <f t="shared" si="146"/>
        <v>0.23529411764705882</v>
      </c>
      <c r="AA1313" s="8">
        <v>2.8817300000000001</v>
      </c>
    </row>
    <row r="1314" spans="1:27" ht="15" customHeight="1" x14ac:dyDescent="0.25">
      <c r="A1314" s="14">
        <v>494</v>
      </c>
      <c r="B1314" s="14">
        <v>494</v>
      </c>
      <c r="C1314" s="36">
        <v>-12270.481400000001</v>
      </c>
      <c r="D1314" s="16">
        <v>-12271.844902000001</v>
      </c>
      <c r="E1314" s="14"/>
      <c r="F1314" s="37">
        <v>0.99375500000000005</v>
      </c>
      <c r="G1314" s="16">
        <v>0.173039999999999</v>
      </c>
      <c r="H1314" s="14">
        <v>6</v>
      </c>
      <c r="I1314" s="14">
        <v>7</v>
      </c>
      <c r="J1314" s="32"/>
      <c r="K1314" s="8">
        <f t="shared" si="140"/>
        <v>-1.3240692307699646</v>
      </c>
      <c r="L1314" s="8">
        <f t="shared" si="141"/>
        <v>-0.10185147928999728</v>
      </c>
      <c r="M1314" s="8">
        <f t="shared" si="142"/>
        <v>-1.2113098461541085</v>
      </c>
      <c r="N1314" s="8">
        <f t="shared" si="143"/>
        <v>-9.3177680473392963E-2</v>
      </c>
      <c r="O1314" s="8"/>
      <c r="P1314" t="s">
        <v>1601</v>
      </c>
      <c r="Q1314">
        <v>33</v>
      </c>
      <c r="R1314" s="8">
        <v>2.8078400000000001</v>
      </c>
      <c r="S1314">
        <v>7</v>
      </c>
      <c r="T1314" s="8">
        <f t="shared" si="144"/>
        <v>0.21212121212121213</v>
      </c>
      <c r="U1314" s="8">
        <v>2.8101699999999998</v>
      </c>
      <c r="V1314">
        <v>21</v>
      </c>
      <c r="W1314" s="8">
        <f t="shared" si="145"/>
        <v>0.63636363636363635</v>
      </c>
      <c r="X1314" s="8">
        <v>2.8001499999999999</v>
      </c>
      <c r="Y1314">
        <v>5</v>
      </c>
      <c r="Z1314" s="8">
        <f t="shared" si="146"/>
        <v>0.15151515151515152</v>
      </c>
      <c r="AA1314" s="8">
        <v>2.8369200000000001</v>
      </c>
    </row>
    <row r="1315" spans="1:27" ht="15" customHeight="1" x14ac:dyDescent="0.25">
      <c r="A1315" s="14">
        <v>495</v>
      </c>
      <c r="B1315" s="14">
        <v>495</v>
      </c>
      <c r="C1315" s="36">
        <v>-12270.4002</v>
      </c>
      <c r="D1315" s="16">
        <v>-12271.929871</v>
      </c>
      <c r="E1315" s="14"/>
      <c r="F1315" s="37">
        <v>0.99688600000000005</v>
      </c>
      <c r="G1315" s="16">
        <v>0.19400000000000001</v>
      </c>
      <c r="H1315" s="14">
        <v>6</v>
      </c>
      <c r="I1315" s="14">
        <v>7</v>
      </c>
      <c r="J1315" s="32"/>
      <c r="K1315" s="8">
        <f t="shared" si="140"/>
        <v>-1.2428692307694291</v>
      </c>
      <c r="L1315" s="8">
        <f t="shared" si="141"/>
        <v>-9.5605325443802236E-2</v>
      </c>
      <c r="M1315" s="8">
        <f t="shared" si="142"/>
        <v>-1.2962788461536547</v>
      </c>
      <c r="N1315" s="8">
        <f t="shared" si="143"/>
        <v>-9.9713757396434982E-2</v>
      </c>
      <c r="O1315" s="8"/>
      <c r="P1315" t="s">
        <v>1602</v>
      </c>
      <c r="Q1315">
        <v>34</v>
      </c>
      <c r="R1315" s="8">
        <v>2.8192499999999998</v>
      </c>
      <c r="S1315">
        <v>8</v>
      </c>
      <c r="T1315" s="8">
        <f t="shared" si="144"/>
        <v>0.23529411764705882</v>
      </c>
      <c r="U1315" s="8">
        <v>2.8026800000000001</v>
      </c>
      <c r="V1315">
        <v>19</v>
      </c>
      <c r="W1315" s="8">
        <f t="shared" si="145"/>
        <v>0.55882352941176472</v>
      </c>
      <c r="X1315" s="8">
        <v>2.7990300000000001</v>
      </c>
      <c r="Y1315">
        <v>7</v>
      </c>
      <c r="Z1315" s="8">
        <f t="shared" si="146"/>
        <v>0.20588235294117646</v>
      </c>
      <c r="AA1315" s="8">
        <v>2.8930899999999999</v>
      </c>
    </row>
    <row r="1316" spans="1:27" ht="15" customHeight="1" x14ac:dyDescent="0.25">
      <c r="A1316" s="14">
        <v>496</v>
      </c>
      <c r="B1316" s="14">
        <v>496</v>
      </c>
      <c r="C1316" s="36">
        <v>-12270.4329</v>
      </c>
      <c r="D1316" s="16">
        <v>-12271.990239000001</v>
      </c>
      <c r="E1316" s="14"/>
      <c r="F1316" s="37">
        <v>0.99608099999999999</v>
      </c>
      <c r="G1316" s="16">
        <v>0.18709000000000001</v>
      </c>
      <c r="H1316" s="14">
        <v>6</v>
      </c>
      <c r="I1316" s="14">
        <v>7</v>
      </c>
      <c r="J1316" s="32"/>
      <c r="K1316" s="8">
        <f t="shared" si="140"/>
        <v>-1.2755692307691788</v>
      </c>
      <c r="L1316" s="8">
        <f t="shared" si="141"/>
        <v>-9.8120710059167601E-2</v>
      </c>
      <c r="M1316" s="8">
        <f t="shared" si="142"/>
        <v>-1.3566468461540353</v>
      </c>
      <c r="N1316" s="8">
        <f t="shared" si="143"/>
        <v>-0.10435744970415656</v>
      </c>
      <c r="O1316" s="8"/>
      <c r="P1316" t="s">
        <v>1603</v>
      </c>
      <c r="Q1316">
        <v>34</v>
      </c>
      <c r="R1316" s="8">
        <v>2.8185799999999999</v>
      </c>
      <c r="S1316">
        <v>8</v>
      </c>
      <c r="T1316" s="8">
        <f t="shared" si="144"/>
        <v>0.23529411764705882</v>
      </c>
      <c r="U1316" s="8">
        <v>2.7962699999999998</v>
      </c>
      <c r="V1316">
        <v>19</v>
      </c>
      <c r="W1316" s="8">
        <f t="shared" si="145"/>
        <v>0.55882352941176472</v>
      </c>
      <c r="X1316" s="8">
        <v>2.8013599999999999</v>
      </c>
      <c r="Y1316">
        <v>7</v>
      </c>
      <c r="Z1316" s="8">
        <f t="shared" si="146"/>
        <v>0.20588235294117646</v>
      </c>
      <c r="AA1316" s="8">
        <v>2.8908100000000001</v>
      </c>
    </row>
    <row r="1317" spans="1:27" ht="15" customHeight="1" x14ac:dyDescent="0.25">
      <c r="A1317" s="14">
        <v>497</v>
      </c>
      <c r="B1317" s="14">
        <v>497</v>
      </c>
      <c r="C1317" s="36">
        <v>-12270.283299999999</v>
      </c>
      <c r="D1317" s="16">
        <v>-12271.679396</v>
      </c>
      <c r="E1317" s="14"/>
      <c r="F1317" s="37">
        <v>0.99571299999999996</v>
      </c>
      <c r="G1317" s="16">
        <v>0.18426000000000001</v>
      </c>
      <c r="H1317" s="14">
        <v>6</v>
      </c>
      <c r="I1317" s="14">
        <v>7</v>
      </c>
      <c r="J1317" s="32"/>
      <c r="K1317" s="8">
        <f t="shared" si="140"/>
        <v>-1.1259692307685327</v>
      </c>
      <c r="L1317" s="8">
        <f t="shared" si="141"/>
        <v>-8.6613017751425589E-2</v>
      </c>
      <c r="M1317" s="8">
        <f t="shared" si="142"/>
        <v>-1.0458038461529213</v>
      </c>
      <c r="N1317" s="8">
        <f t="shared" si="143"/>
        <v>-8.0446449704070874E-2</v>
      </c>
      <c r="O1317" s="8"/>
      <c r="P1317" t="s">
        <v>1604</v>
      </c>
      <c r="Q1317">
        <v>34</v>
      </c>
      <c r="R1317" s="8">
        <v>2.81562</v>
      </c>
      <c r="S1317">
        <v>9</v>
      </c>
      <c r="T1317" s="8">
        <f t="shared" si="144"/>
        <v>0.26470588235294118</v>
      </c>
      <c r="U1317" s="8">
        <v>2.8217599999999998</v>
      </c>
      <c r="V1317">
        <v>19</v>
      </c>
      <c r="W1317" s="8">
        <f t="shared" si="145"/>
        <v>0.55882352941176472</v>
      </c>
      <c r="X1317" s="8">
        <v>2.8052700000000002</v>
      </c>
      <c r="Y1317">
        <v>6</v>
      </c>
      <c r="Z1317" s="8">
        <f t="shared" si="146"/>
        <v>0.17647058823529413</v>
      </c>
      <c r="AA1317" s="8">
        <v>2.8391799999999998</v>
      </c>
    </row>
    <row r="1318" spans="1:27" ht="15" customHeight="1" x14ac:dyDescent="0.25">
      <c r="A1318" s="14">
        <v>498</v>
      </c>
      <c r="B1318" s="14">
        <v>498</v>
      </c>
      <c r="C1318" s="36">
        <v>-12270.304899999999</v>
      </c>
      <c r="D1318" s="16">
        <v>-12271.835112999999</v>
      </c>
      <c r="E1318" s="14"/>
      <c r="F1318" s="37">
        <v>0.99639599999999995</v>
      </c>
      <c r="G1318" s="16">
        <v>0.18972</v>
      </c>
      <c r="H1318" s="14">
        <v>6</v>
      </c>
      <c r="I1318" s="14">
        <v>7</v>
      </c>
      <c r="J1318" s="32"/>
      <c r="K1318" s="8">
        <f t="shared" si="140"/>
        <v>-1.1475692307685676</v>
      </c>
      <c r="L1318" s="8">
        <f t="shared" si="141"/>
        <v>-8.8274556212966745E-2</v>
      </c>
      <c r="M1318" s="8">
        <f t="shared" si="142"/>
        <v>-1.2015208461525617</v>
      </c>
      <c r="N1318" s="8">
        <f t="shared" si="143"/>
        <v>-9.2424680473273985E-2</v>
      </c>
      <c r="O1318" s="8"/>
      <c r="P1318" t="s">
        <v>1605</v>
      </c>
      <c r="Q1318">
        <v>34</v>
      </c>
      <c r="R1318" s="8">
        <v>2.8159700000000001</v>
      </c>
      <c r="S1318">
        <v>9</v>
      </c>
      <c r="T1318" s="8">
        <f t="shared" si="144"/>
        <v>0.26470588235294118</v>
      </c>
      <c r="U1318" s="8">
        <v>2.7936100000000001</v>
      </c>
      <c r="V1318">
        <v>18</v>
      </c>
      <c r="W1318" s="8">
        <f t="shared" si="145"/>
        <v>0.52941176470588236</v>
      </c>
      <c r="X1318" s="8">
        <v>2.8147199999999999</v>
      </c>
      <c r="Y1318">
        <v>7</v>
      </c>
      <c r="Z1318" s="8">
        <f t="shared" si="146"/>
        <v>0.20588235294117646</v>
      </c>
      <c r="AA1318" s="8">
        <v>2.8479299999999999</v>
      </c>
    </row>
    <row r="1319" spans="1:27" ht="15" customHeight="1" x14ac:dyDescent="0.25">
      <c r="A1319" s="14">
        <v>499</v>
      </c>
      <c r="B1319" s="14">
        <v>499</v>
      </c>
      <c r="C1319" s="36">
        <v>-12270.5592</v>
      </c>
      <c r="D1319" s="16">
        <v>-12271.924150999999</v>
      </c>
      <c r="E1319" s="14"/>
      <c r="F1319" s="37">
        <v>0.99407100000000004</v>
      </c>
      <c r="G1319" s="16">
        <v>0.17455999999999999</v>
      </c>
      <c r="H1319" s="14">
        <v>6</v>
      </c>
      <c r="I1319" s="14">
        <v>7</v>
      </c>
      <c r="J1319" s="39"/>
      <c r="K1319" s="8">
        <f t="shared" si="140"/>
        <v>-1.4018692307690799</v>
      </c>
      <c r="L1319" s="8">
        <f t="shared" si="141"/>
        <v>-0.10783609467454461</v>
      </c>
      <c r="M1319" s="8">
        <f t="shared" si="142"/>
        <v>-1.2905588461526349</v>
      </c>
      <c r="N1319" s="8">
        <f t="shared" si="143"/>
        <v>-9.9273757396356535E-2</v>
      </c>
      <c r="O1319" s="8"/>
      <c r="P1319" t="s">
        <v>1606</v>
      </c>
      <c r="Q1319">
        <v>34</v>
      </c>
      <c r="R1319" s="8">
        <v>2.8152499999999998</v>
      </c>
      <c r="S1319">
        <v>7</v>
      </c>
      <c r="T1319" s="8">
        <f t="shared" si="144"/>
        <v>0.20588235294117646</v>
      </c>
      <c r="U1319" s="8">
        <v>2.7897400000000001</v>
      </c>
      <c r="V1319">
        <v>22</v>
      </c>
      <c r="W1319" s="8">
        <f t="shared" si="145"/>
        <v>0.6470588235294118</v>
      </c>
      <c r="X1319" s="8">
        <v>2.8116099999999999</v>
      </c>
      <c r="Y1319">
        <v>5</v>
      </c>
      <c r="Z1319" s="8">
        <f t="shared" si="146"/>
        <v>0.14705882352941177</v>
      </c>
      <c r="AA1319" s="8">
        <v>2.8670100000000001</v>
      </c>
    </row>
    <row r="1320" spans="1:27" ht="15" customHeight="1" x14ac:dyDescent="0.25">
      <c r="A1320" s="14">
        <v>500</v>
      </c>
      <c r="B1320" s="14">
        <v>500</v>
      </c>
      <c r="C1320" s="36">
        <v>-12270.238600000001</v>
      </c>
      <c r="D1320" s="16">
        <v>-12271.767228999999</v>
      </c>
      <c r="E1320" s="14"/>
      <c r="F1320" s="37">
        <v>0.99423399999999995</v>
      </c>
      <c r="G1320" s="16">
        <v>0.17540999999999901</v>
      </c>
      <c r="H1320" s="14">
        <v>6</v>
      </c>
      <c r="I1320" s="14">
        <v>7</v>
      </c>
      <c r="J1320" s="32"/>
      <c r="K1320" s="8">
        <f t="shared" si="140"/>
        <v>-1.0812692307699763</v>
      </c>
      <c r="L1320" s="8">
        <f t="shared" si="141"/>
        <v>-8.3174556213075096E-2</v>
      </c>
      <c r="M1320" s="8">
        <f t="shared" si="142"/>
        <v>-1.1336368461525126</v>
      </c>
      <c r="N1320" s="8">
        <f t="shared" si="143"/>
        <v>-8.720283431942405E-2</v>
      </c>
      <c r="O1320" s="8"/>
      <c r="P1320" t="s">
        <v>1607</v>
      </c>
      <c r="Q1320">
        <v>35</v>
      </c>
      <c r="R1320" s="8">
        <v>2.8314400000000002</v>
      </c>
      <c r="S1320">
        <v>10</v>
      </c>
      <c r="T1320" s="8">
        <f t="shared" si="144"/>
        <v>0.2857142857142857</v>
      </c>
      <c r="U1320" s="8">
        <v>2.8460100000000002</v>
      </c>
      <c r="V1320">
        <v>20</v>
      </c>
      <c r="W1320" s="8">
        <f t="shared" si="145"/>
        <v>0.5714285714285714</v>
      </c>
      <c r="X1320" s="8">
        <v>2.81779</v>
      </c>
      <c r="Y1320">
        <v>5</v>
      </c>
      <c r="Z1320" s="8">
        <f t="shared" si="146"/>
        <v>0.14285714285714285</v>
      </c>
      <c r="AA1320" s="8">
        <v>2.8568899999999999</v>
      </c>
    </row>
    <row r="1321" spans="1:27" ht="15" customHeight="1" x14ac:dyDescent="0.25">
      <c r="A1321" s="14">
        <v>501</v>
      </c>
      <c r="B1321" s="14">
        <v>501</v>
      </c>
      <c r="C1321" s="36">
        <v>-12270.3812</v>
      </c>
      <c r="D1321" s="16">
        <v>-12271.788124999999</v>
      </c>
      <c r="E1321" s="14"/>
      <c r="F1321" s="37">
        <v>0.99729699999999999</v>
      </c>
      <c r="G1321" s="16">
        <v>0.19814999999999999</v>
      </c>
      <c r="H1321" s="14">
        <v>6</v>
      </c>
      <c r="I1321" s="14">
        <v>7</v>
      </c>
      <c r="J1321" s="32"/>
      <c r="K1321" s="8">
        <f t="shared" si="140"/>
        <v>-1.2238692307691963</v>
      </c>
      <c r="L1321" s="8">
        <f t="shared" si="141"/>
        <v>-9.4143786982245875E-2</v>
      </c>
      <c r="M1321" s="8">
        <f t="shared" si="142"/>
        <v>-1.154532846152506</v>
      </c>
      <c r="N1321" s="8">
        <f t="shared" si="143"/>
        <v>-8.8810218934808144E-2</v>
      </c>
      <c r="O1321" s="8"/>
      <c r="P1321" t="s">
        <v>1608</v>
      </c>
      <c r="Q1321">
        <v>34</v>
      </c>
      <c r="R1321" s="8">
        <v>2.81609</v>
      </c>
      <c r="S1321">
        <v>9</v>
      </c>
      <c r="T1321" s="8">
        <f t="shared" si="144"/>
        <v>0.26470588235294118</v>
      </c>
      <c r="U1321" s="8">
        <v>2.83175</v>
      </c>
      <c r="V1321">
        <v>21</v>
      </c>
      <c r="W1321" s="8">
        <f t="shared" si="145"/>
        <v>0.61764705882352944</v>
      </c>
      <c r="X1321" s="8">
        <v>2.8029799999999998</v>
      </c>
      <c r="Y1321">
        <v>4</v>
      </c>
      <c r="Z1321" s="8">
        <f t="shared" si="146"/>
        <v>0.11764705882352941</v>
      </c>
      <c r="AA1321" s="8">
        <v>2.8496199999999998</v>
      </c>
    </row>
    <row r="1322" spans="1:27" ht="15" customHeight="1" x14ac:dyDescent="0.25">
      <c r="A1322" s="14">
        <v>502</v>
      </c>
      <c r="B1322" s="14">
        <v>502</v>
      </c>
      <c r="C1322" s="36">
        <v>-12270.503699999999</v>
      </c>
      <c r="D1322" s="16">
        <v>-12271.851643</v>
      </c>
      <c r="E1322" s="14"/>
      <c r="F1322" s="37">
        <v>0.99744200000000005</v>
      </c>
      <c r="G1322" s="16">
        <v>0.19975999999999899</v>
      </c>
      <c r="H1322" s="14">
        <v>6</v>
      </c>
      <c r="I1322" s="14">
        <v>7</v>
      </c>
      <c r="J1322" s="32"/>
      <c r="K1322" s="8">
        <f t="shared" si="140"/>
        <v>-1.346369230768687</v>
      </c>
      <c r="L1322" s="8">
        <f t="shared" si="141"/>
        <v>-0.10356686390528361</v>
      </c>
      <c r="M1322" s="8">
        <f t="shared" si="142"/>
        <v>-1.2180508461533464</v>
      </c>
      <c r="N1322" s="8">
        <f t="shared" si="143"/>
        <v>-9.3696218934872802E-2</v>
      </c>
      <c r="O1322" s="8"/>
      <c r="P1322" t="s">
        <v>1609</v>
      </c>
      <c r="Q1322">
        <v>35</v>
      </c>
      <c r="R1322" s="8">
        <v>2.8312499999999998</v>
      </c>
      <c r="S1322">
        <v>8</v>
      </c>
      <c r="T1322" s="8">
        <f t="shared" si="144"/>
        <v>0.22857142857142856</v>
      </c>
      <c r="U1322" s="8">
        <v>2.8445900000000002</v>
      </c>
      <c r="V1322">
        <v>22</v>
      </c>
      <c r="W1322" s="8">
        <f t="shared" si="145"/>
        <v>0.62857142857142856</v>
      </c>
      <c r="X1322" s="8">
        <v>2.8089200000000001</v>
      </c>
      <c r="Y1322">
        <v>5</v>
      </c>
      <c r="Z1322" s="8">
        <f t="shared" si="146"/>
        <v>0.14285714285714285</v>
      </c>
      <c r="AA1322" s="8">
        <v>2.9081600000000001</v>
      </c>
    </row>
    <row r="1323" spans="1:27" ht="15" customHeight="1" x14ac:dyDescent="0.25">
      <c r="A1323" s="14">
        <v>503</v>
      </c>
      <c r="B1323" s="14">
        <v>503</v>
      </c>
      <c r="C1323" s="36">
        <v>-12270.5178</v>
      </c>
      <c r="D1323" s="16">
        <v>-12271.976589</v>
      </c>
      <c r="E1323" s="14"/>
      <c r="F1323" s="37">
        <v>0.99448999999999999</v>
      </c>
      <c r="G1323" s="16">
        <v>0.17673</v>
      </c>
      <c r="H1323" s="14">
        <v>6</v>
      </c>
      <c r="I1323" s="14">
        <v>7</v>
      </c>
      <c r="J1323" s="32"/>
      <c r="K1323" s="8">
        <f t="shared" si="140"/>
        <v>-1.3604692307690129</v>
      </c>
      <c r="L1323" s="8">
        <f t="shared" si="141"/>
        <v>-0.10465147928992408</v>
      </c>
      <c r="M1323" s="8">
        <f t="shared" si="142"/>
        <v>-1.3429968461532553</v>
      </c>
      <c r="N1323" s="8">
        <f t="shared" si="143"/>
        <v>-0.10330744970409657</v>
      </c>
      <c r="O1323" s="8"/>
      <c r="P1323" t="s">
        <v>1610</v>
      </c>
      <c r="Q1323">
        <v>34</v>
      </c>
      <c r="R1323" s="8">
        <v>2.8178999999999998</v>
      </c>
      <c r="S1323">
        <v>7</v>
      </c>
      <c r="T1323" s="8">
        <f t="shared" si="144"/>
        <v>0.20588235294117646</v>
      </c>
      <c r="U1323" s="8">
        <v>2.7761800000000001</v>
      </c>
      <c r="V1323">
        <v>22</v>
      </c>
      <c r="W1323" s="8">
        <f t="shared" si="145"/>
        <v>0.6470588235294118</v>
      </c>
      <c r="X1323" s="8">
        <v>2.8162199999999999</v>
      </c>
      <c r="Y1323">
        <v>5</v>
      </c>
      <c r="Z1323" s="8">
        <f t="shared" si="146"/>
        <v>0.14705882352941177</v>
      </c>
      <c r="AA1323" s="8">
        <v>2.8836900000000001</v>
      </c>
    </row>
    <row r="1324" spans="1:27" ht="15" customHeight="1" x14ac:dyDescent="0.25">
      <c r="A1324" s="14">
        <v>504</v>
      </c>
      <c r="B1324" s="14">
        <v>504</v>
      </c>
      <c r="C1324" s="36">
        <v>-12270.404399999999</v>
      </c>
      <c r="D1324" s="16">
        <v>-12271.958906</v>
      </c>
      <c r="E1324" s="14"/>
      <c r="F1324" s="37">
        <v>0.99515500000000001</v>
      </c>
      <c r="G1324" s="16">
        <v>0.18065000000000001</v>
      </c>
      <c r="H1324" s="14">
        <v>6</v>
      </c>
      <c r="I1324" s="14">
        <v>7</v>
      </c>
      <c r="J1324" s="32"/>
      <c r="K1324" s="8">
        <f t="shared" si="140"/>
        <v>-1.2470692307688296</v>
      </c>
      <c r="L1324" s="8">
        <f t="shared" si="141"/>
        <v>-9.5928402366833046E-2</v>
      </c>
      <c r="M1324" s="8">
        <f t="shared" si="142"/>
        <v>-1.3253138461532217</v>
      </c>
      <c r="N1324" s="8">
        <f t="shared" si="143"/>
        <v>-0.10194721893486321</v>
      </c>
      <c r="O1324" s="8"/>
      <c r="P1324" t="s">
        <v>1611</v>
      </c>
      <c r="Q1324">
        <v>33</v>
      </c>
      <c r="R1324" s="8">
        <v>2.81182</v>
      </c>
      <c r="S1324">
        <v>8</v>
      </c>
      <c r="T1324" s="8">
        <f t="shared" si="144"/>
        <v>0.24242424242424243</v>
      </c>
      <c r="U1324" s="8">
        <v>2.82192</v>
      </c>
      <c r="V1324">
        <v>22</v>
      </c>
      <c r="W1324" s="8">
        <f t="shared" si="145"/>
        <v>0.66666666666666663</v>
      </c>
      <c r="X1324" s="8">
        <v>2.8113299999999999</v>
      </c>
      <c r="Y1324">
        <v>3</v>
      </c>
      <c r="Z1324" s="8">
        <f t="shared" si="146"/>
        <v>9.0909090909090912E-2</v>
      </c>
      <c r="AA1324" s="8">
        <v>2.7885399999999998</v>
      </c>
    </row>
    <row r="1325" spans="1:27" ht="15" customHeight="1" x14ac:dyDescent="0.25">
      <c r="A1325" s="14">
        <v>505</v>
      </c>
      <c r="B1325" s="14">
        <v>505</v>
      </c>
      <c r="C1325" s="36">
        <v>-12270.391900000001</v>
      </c>
      <c r="D1325" s="16">
        <v>-12271.925051</v>
      </c>
      <c r="E1325" s="14"/>
      <c r="F1325" s="37">
        <v>0.99631899999999995</v>
      </c>
      <c r="G1325" s="16">
        <v>0.18887999999999999</v>
      </c>
      <c r="H1325" s="14">
        <v>6</v>
      </c>
      <c r="I1325" s="14">
        <v>7</v>
      </c>
      <c r="J1325" s="32"/>
      <c r="K1325" s="8">
        <f t="shared" si="140"/>
        <v>-1.234569230769921</v>
      </c>
      <c r="L1325" s="8">
        <f t="shared" si="141"/>
        <v>-9.4966863905378535E-2</v>
      </c>
      <c r="M1325" s="8">
        <f t="shared" si="142"/>
        <v>-1.2914588461535459</v>
      </c>
      <c r="N1325" s="8">
        <f t="shared" si="143"/>
        <v>-9.934298816565737E-2</v>
      </c>
      <c r="O1325" s="8"/>
      <c r="P1325" t="s">
        <v>1612</v>
      </c>
      <c r="Q1325">
        <v>34</v>
      </c>
      <c r="R1325" s="8">
        <v>2.8150200000000001</v>
      </c>
      <c r="S1325">
        <v>9</v>
      </c>
      <c r="T1325" s="8">
        <f t="shared" si="144"/>
        <v>0.26470588235294118</v>
      </c>
      <c r="U1325" s="8">
        <v>2.8223400000000001</v>
      </c>
      <c r="V1325">
        <v>20</v>
      </c>
      <c r="W1325" s="8">
        <f t="shared" si="145"/>
        <v>0.58823529411764708</v>
      </c>
      <c r="X1325" s="8">
        <v>2.7956300000000001</v>
      </c>
      <c r="Y1325">
        <v>5</v>
      </c>
      <c r="Z1325" s="8">
        <f t="shared" si="146"/>
        <v>0.14705882352941177</v>
      </c>
      <c r="AA1325" s="8">
        <v>2.87941</v>
      </c>
    </row>
    <row r="1326" spans="1:27" ht="15" customHeight="1" x14ac:dyDescent="0.25">
      <c r="A1326" s="14">
        <v>506</v>
      </c>
      <c r="B1326" s="14">
        <v>506</v>
      </c>
      <c r="C1326" s="36">
        <v>-12270.4586</v>
      </c>
      <c r="D1326" s="16">
        <v>-12271.838322</v>
      </c>
      <c r="E1326" s="14"/>
      <c r="F1326" s="37">
        <v>0.99503799999999998</v>
      </c>
      <c r="G1326" s="16">
        <v>0.17989999999999901</v>
      </c>
      <c r="H1326" s="14">
        <v>6</v>
      </c>
      <c r="I1326" s="14">
        <v>7</v>
      </c>
      <c r="J1326" s="32"/>
      <c r="K1326" s="8">
        <f t="shared" si="140"/>
        <v>-1.3012692307693214</v>
      </c>
      <c r="L1326" s="8">
        <f t="shared" si="141"/>
        <v>-0.10009763313610165</v>
      </c>
      <c r="M1326" s="8">
        <f t="shared" si="142"/>
        <v>-1.2047298461529863</v>
      </c>
      <c r="N1326" s="8">
        <f t="shared" si="143"/>
        <v>-9.2671526627152792E-2</v>
      </c>
      <c r="O1326" s="8"/>
      <c r="P1326" t="s">
        <v>1613</v>
      </c>
      <c r="Q1326">
        <v>34</v>
      </c>
      <c r="R1326" s="8">
        <v>2.81603</v>
      </c>
      <c r="S1326">
        <v>8</v>
      </c>
      <c r="T1326" s="8">
        <f t="shared" si="144"/>
        <v>0.23529411764705882</v>
      </c>
      <c r="U1326" s="8">
        <v>2.79419</v>
      </c>
      <c r="V1326">
        <v>21</v>
      </c>
      <c r="W1326" s="8">
        <f t="shared" si="145"/>
        <v>0.61764705882352944</v>
      </c>
      <c r="X1326" s="8">
        <v>2.8131400000000002</v>
      </c>
      <c r="Y1326">
        <v>5</v>
      </c>
      <c r="Z1326" s="8">
        <f t="shared" si="146"/>
        <v>0.14705882352941177</v>
      </c>
      <c r="AA1326" s="8">
        <v>2.86314</v>
      </c>
    </row>
    <row r="1327" spans="1:27" ht="15" customHeight="1" x14ac:dyDescent="0.25">
      <c r="A1327" s="14">
        <v>507</v>
      </c>
      <c r="B1327" s="14">
        <v>507</v>
      </c>
      <c r="C1327" s="36">
        <v>-12270.518599999999</v>
      </c>
      <c r="D1327" s="16">
        <v>-12271.808813</v>
      </c>
      <c r="E1327" s="14"/>
      <c r="F1327" s="37">
        <v>0.99675999999999998</v>
      </c>
      <c r="G1327" s="16">
        <v>0.19263999999999901</v>
      </c>
      <c r="H1327" s="14">
        <v>6</v>
      </c>
      <c r="I1327" s="14">
        <v>7</v>
      </c>
      <c r="J1327" s="32"/>
      <c r="K1327" s="8">
        <f t="shared" si="140"/>
        <v>-1.3612692307688121</v>
      </c>
      <c r="L1327" s="8">
        <f t="shared" si="141"/>
        <v>-0.10471301775144709</v>
      </c>
      <c r="M1327" s="8">
        <f t="shared" si="142"/>
        <v>-1.1752208461530245</v>
      </c>
      <c r="N1327" s="8">
        <f t="shared" si="143"/>
        <v>-9.0401603550232648E-2</v>
      </c>
      <c r="O1327" s="8"/>
      <c r="P1327" t="s">
        <v>1614</v>
      </c>
      <c r="Q1327">
        <v>32</v>
      </c>
      <c r="R1327" s="8">
        <v>2.8023500000000001</v>
      </c>
      <c r="S1327">
        <v>8</v>
      </c>
      <c r="T1327" s="8">
        <f t="shared" si="144"/>
        <v>0.25</v>
      </c>
      <c r="U1327" s="8">
        <v>2.8371400000000002</v>
      </c>
      <c r="V1327">
        <v>18</v>
      </c>
      <c r="W1327" s="8">
        <f t="shared" si="145"/>
        <v>0.5625</v>
      </c>
      <c r="X1327" s="8">
        <v>2.7909199999999998</v>
      </c>
      <c r="Y1327">
        <v>6</v>
      </c>
      <c r="Z1327" s="8">
        <f t="shared" si="146"/>
        <v>0.1875</v>
      </c>
      <c r="AA1327" s="8">
        <v>2.7902399999999998</v>
      </c>
    </row>
    <row r="1328" spans="1:27" ht="15" customHeight="1" x14ac:dyDescent="0.25">
      <c r="A1328" s="14">
        <v>508</v>
      </c>
      <c r="B1328" s="14">
        <v>508</v>
      </c>
      <c r="C1328" s="36">
        <v>-12270.490400000001</v>
      </c>
      <c r="D1328" s="16">
        <v>-12271.830188</v>
      </c>
      <c r="E1328" s="14"/>
      <c r="F1328" s="37">
        <v>0.99639299999999997</v>
      </c>
      <c r="G1328" s="16">
        <v>0.18945999999999999</v>
      </c>
      <c r="H1328" s="14">
        <v>6</v>
      </c>
      <c r="I1328" s="14">
        <v>7</v>
      </c>
      <c r="J1328" s="32"/>
      <c r="K1328" s="8">
        <f t="shared" si="140"/>
        <v>-1.3330692307699792</v>
      </c>
      <c r="L1328" s="8">
        <f t="shared" si="141"/>
        <v>-0.1025437869823061</v>
      </c>
      <c r="M1328" s="8">
        <f t="shared" si="142"/>
        <v>-1.1965958461532864</v>
      </c>
      <c r="N1328" s="8">
        <f t="shared" si="143"/>
        <v>-9.2045834319483572E-2</v>
      </c>
      <c r="O1328" s="8"/>
      <c r="P1328" t="s">
        <v>1615</v>
      </c>
      <c r="Q1328">
        <v>34</v>
      </c>
      <c r="R1328" s="8">
        <v>2.8193899999999998</v>
      </c>
      <c r="S1328">
        <v>9</v>
      </c>
      <c r="T1328" s="8">
        <f t="shared" si="144"/>
        <v>0.26470588235294118</v>
      </c>
      <c r="U1328" s="8">
        <v>2.8137500000000002</v>
      </c>
      <c r="V1328">
        <v>20</v>
      </c>
      <c r="W1328" s="8">
        <f t="shared" si="145"/>
        <v>0.58823529411764708</v>
      </c>
      <c r="X1328" s="8">
        <v>2.8281200000000002</v>
      </c>
      <c r="Y1328">
        <v>5</v>
      </c>
      <c r="Z1328" s="8">
        <f t="shared" si="146"/>
        <v>0.14705882352941177</v>
      </c>
      <c r="AA1328" s="8">
        <v>2.7946200000000001</v>
      </c>
    </row>
    <row r="1329" spans="1:27" ht="15" customHeight="1" x14ac:dyDescent="0.25">
      <c r="A1329" s="14">
        <v>509</v>
      </c>
      <c r="B1329" s="14">
        <v>509</v>
      </c>
      <c r="C1329" s="36">
        <v>-12269.7081</v>
      </c>
      <c r="D1329" s="16">
        <v>-12271.153139</v>
      </c>
      <c r="E1329" s="14"/>
      <c r="F1329" s="37">
        <v>0.99559299999999995</v>
      </c>
      <c r="G1329" s="16">
        <v>9.44099999999998E-2</v>
      </c>
      <c r="H1329" s="14">
        <v>6</v>
      </c>
      <c r="I1329" s="14">
        <v>7</v>
      </c>
      <c r="J1329" s="32"/>
      <c r="K1329" s="8">
        <f t="shared" si="140"/>
        <v>-0.55076923076921958</v>
      </c>
      <c r="L1329" s="8">
        <f t="shared" si="141"/>
        <v>-4.2366863905324584E-2</v>
      </c>
      <c r="M1329" s="8">
        <f t="shared" si="142"/>
        <v>-0.5195468461533892</v>
      </c>
      <c r="N1329" s="8">
        <f t="shared" si="143"/>
        <v>-3.9965142011799168E-2</v>
      </c>
      <c r="O1329" s="8"/>
      <c r="P1329" t="s">
        <v>1616</v>
      </c>
      <c r="Q1329">
        <v>36</v>
      </c>
      <c r="R1329" s="8">
        <v>2.83283</v>
      </c>
      <c r="S1329">
        <v>12</v>
      </c>
      <c r="T1329" s="8">
        <f t="shared" si="144"/>
        <v>0.33333333333333331</v>
      </c>
      <c r="U1329" s="8">
        <v>2.87513</v>
      </c>
      <c r="V1329">
        <v>18</v>
      </c>
      <c r="W1329" s="8">
        <f t="shared" si="145"/>
        <v>0.5</v>
      </c>
      <c r="X1329" s="8">
        <v>2.8054100000000002</v>
      </c>
      <c r="Y1329">
        <v>6</v>
      </c>
      <c r="Z1329" s="8">
        <f t="shared" si="146"/>
        <v>0.16666666666666666</v>
      </c>
      <c r="AA1329" s="8">
        <v>2.8304800000000001</v>
      </c>
    </row>
    <row r="1330" spans="1:27" ht="15" customHeight="1" x14ac:dyDescent="0.25">
      <c r="A1330" s="14">
        <v>510</v>
      </c>
      <c r="B1330" s="14">
        <v>510</v>
      </c>
      <c r="C1330" s="36">
        <v>-12269.4985</v>
      </c>
      <c r="D1330" s="16">
        <v>-12272.166337000001</v>
      </c>
      <c r="E1330" s="14"/>
      <c r="F1330" s="37">
        <v>0.99570599999999998</v>
      </c>
      <c r="G1330" s="16">
        <v>0.184249999999999</v>
      </c>
      <c r="H1330" s="14">
        <v>6</v>
      </c>
      <c r="I1330" s="14">
        <v>7</v>
      </c>
      <c r="J1330" s="32"/>
      <c r="K1330" s="8">
        <f t="shared" si="140"/>
        <v>-0.34116923076908279</v>
      </c>
      <c r="L1330" s="8">
        <f t="shared" si="141"/>
        <v>-2.6243786982237137E-2</v>
      </c>
      <c r="M1330" s="8">
        <f t="shared" si="142"/>
        <v>-1.5327448461539461</v>
      </c>
      <c r="N1330" s="8">
        <f t="shared" si="143"/>
        <v>-0.1179034497041497</v>
      </c>
      <c r="O1330" s="8"/>
      <c r="P1330" t="s">
        <v>1617</v>
      </c>
      <c r="Q1330">
        <v>36</v>
      </c>
      <c r="R1330" s="8">
        <v>2.8349899999999999</v>
      </c>
      <c r="S1330">
        <v>11</v>
      </c>
      <c r="T1330" s="8">
        <f t="shared" si="144"/>
        <v>0.30555555555555558</v>
      </c>
      <c r="U1330" s="8">
        <v>2.8800699999999999</v>
      </c>
      <c r="V1330">
        <v>19</v>
      </c>
      <c r="W1330" s="8">
        <f t="shared" si="145"/>
        <v>0.52777777777777779</v>
      </c>
      <c r="X1330" s="8">
        <v>2.8056999999999999</v>
      </c>
      <c r="Y1330">
        <v>6</v>
      </c>
      <c r="Z1330" s="8">
        <f t="shared" si="146"/>
        <v>0.16666666666666666</v>
      </c>
      <c r="AA1330" s="8">
        <v>2.8450700000000002</v>
      </c>
    </row>
    <row r="1331" spans="1:27" ht="15" customHeight="1" x14ac:dyDescent="0.25">
      <c r="A1331" s="14">
        <v>511</v>
      </c>
      <c r="B1331" s="14">
        <v>511</v>
      </c>
      <c r="C1331" s="36">
        <v>-12269.9802</v>
      </c>
      <c r="D1331" s="16">
        <v>-12271.971202999999</v>
      </c>
      <c r="E1331" s="14"/>
      <c r="F1331" s="37">
        <v>0.99535200000000001</v>
      </c>
      <c r="G1331" s="16">
        <v>0.18185999999999999</v>
      </c>
      <c r="H1331" s="14">
        <v>6</v>
      </c>
      <c r="I1331" s="14">
        <v>7</v>
      </c>
      <c r="J1331" s="32"/>
      <c r="K1331" s="8">
        <f t="shared" si="140"/>
        <v>-0.82286923076935636</v>
      </c>
      <c r="L1331" s="8">
        <f t="shared" si="141"/>
        <v>-6.3297633136104342E-2</v>
      </c>
      <c r="M1331" s="8">
        <f t="shared" si="142"/>
        <v>-1.3376108461525291</v>
      </c>
      <c r="N1331" s="8">
        <f t="shared" si="143"/>
        <v>-0.10289314201173301</v>
      </c>
      <c r="O1331" s="8"/>
      <c r="P1331" t="s">
        <v>1618</v>
      </c>
      <c r="Q1331">
        <v>35</v>
      </c>
      <c r="R1331" s="8">
        <v>2.8228800000000001</v>
      </c>
      <c r="S1331">
        <v>9</v>
      </c>
      <c r="T1331" s="8">
        <f t="shared" si="144"/>
        <v>0.25714285714285712</v>
      </c>
      <c r="U1331" s="8">
        <v>2.8336700000000001</v>
      </c>
      <c r="V1331">
        <v>20</v>
      </c>
      <c r="W1331" s="8">
        <f t="shared" si="145"/>
        <v>0.5714285714285714</v>
      </c>
      <c r="X1331" s="8">
        <v>2.8043499999999999</v>
      </c>
      <c r="Y1331">
        <v>6</v>
      </c>
      <c r="Z1331" s="8">
        <f t="shared" si="146"/>
        <v>0.17142857142857143</v>
      </c>
      <c r="AA1331" s="8">
        <v>2.8684799999999999</v>
      </c>
    </row>
    <row r="1332" spans="1:27" ht="15" customHeight="1" x14ac:dyDescent="0.25">
      <c r="A1332" s="14">
        <v>512</v>
      </c>
      <c r="B1332" s="14">
        <v>512</v>
      </c>
      <c r="C1332" s="36">
        <v>-12270.0002</v>
      </c>
      <c r="D1332" s="16">
        <v>-12272.010166</v>
      </c>
      <c r="E1332" s="14"/>
      <c r="F1332" s="37">
        <v>0.99724000000000002</v>
      </c>
      <c r="G1332" s="16">
        <v>0.19758999999999899</v>
      </c>
      <c r="H1332" s="14">
        <v>6</v>
      </c>
      <c r="I1332" s="14">
        <v>7</v>
      </c>
      <c r="J1332" s="32"/>
      <c r="K1332" s="8">
        <f t="shared" si="140"/>
        <v>-0.84286923076979292</v>
      </c>
      <c r="L1332" s="8">
        <f t="shared" si="141"/>
        <v>-6.4836094674599457E-2</v>
      </c>
      <c r="M1332" s="8">
        <f t="shared" si="142"/>
        <v>-1.3765738461534056</v>
      </c>
      <c r="N1332" s="8">
        <f t="shared" si="143"/>
        <v>-0.10589029585795427</v>
      </c>
      <c r="O1332" s="8"/>
      <c r="P1332" t="s">
        <v>1619</v>
      </c>
      <c r="Q1332">
        <v>36</v>
      </c>
      <c r="R1332" s="8">
        <v>2.83236</v>
      </c>
      <c r="S1332">
        <v>11</v>
      </c>
      <c r="T1332" s="8">
        <f t="shared" si="144"/>
        <v>0.30555555555555558</v>
      </c>
      <c r="U1332" s="8">
        <v>2.8653900000000001</v>
      </c>
      <c r="V1332">
        <v>19</v>
      </c>
      <c r="W1332" s="8">
        <f t="shared" si="145"/>
        <v>0.52777777777777779</v>
      </c>
      <c r="X1332" s="8">
        <v>2.8040500000000002</v>
      </c>
      <c r="Y1332">
        <v>6</v>
      </c>
      <c r="Z1332" s="8">
        <f t="shared" si="146"/>
        <v>0.16666666666666666</v>
      </c>
      <c r="AA1332" s="8">
        <v>2.8614299999999999</v>
      </c>
    </row>
    <row r="1333" spans="1:27" ht="15" customHeight="1" x14ac:dyDescent="0.25">
      <c r="A1333" s="14">
        <v>513</v>
      </c>
      <c r="B1333" s="14">
        <v>513</v>
      </c>
      <c r="C1333" s="36">
        <v>-12270.1247</v>
      </c>
      <c r="D1333" s="16">
        <v>-12272.085084</v>
      </c>
      <c r="E1333" s="14"/>
      <c r="F1333" s="37">
        <v>0.99287599999999998</v>
      </c>
      <c r="G1333" s="16">
        <v>0.16899999999999901</v>
      </c>
      <c r="H1333" s="14">
        <v>6</v>
      </c>
      <c r="I1333" s="14">
        <v>7</v>
      </c>
      <c r="J1333" s="32"/>
      <c r="K1333" s="8">
        <f t="shared" si="140"/>
        <v>-0.96736923076969106</v>
      </c>
      <c r="L1333" s="8">
        <f t="shared" si="141"/>
        <v>-7.4413017751514696E-2</v>
      </c>
      <c r="M1333" s="8">
        <f t="shared" si="142"/>
        <v>-1.4514918461536581</v>
      </c>
      <c r="N1333" s="8">
        <f t="shared" si="143"/>
        <v>-0.11165321893489678</v>
      </c>
      <c r="O1333" s="8"/>
      <c r="P1333" t="s">
        <v>1620</v>
      </c>
      <c r="Q1333">
        <v>35</v>
      </c>
      <c r="R1333" s="8">
        <v>2.8221400000000001</v>
      </c>
      <c r="S1333">
        <v>10</v>
      </c>
      <c r="T1333" s="8">
        <f t="shared" si="144"/>
        <v>0.2857142857142857</v>
      </c>
      <c r="U1333" s="8">
        <v>2.8566099999999999</v>
      </c>
      <c r="V1333">
        <v>20</v>
      </c>
      <c r="W1333" s="8">
        <f t="shared" si="145"/>
        <v>0.5714285714285714</v>
      </c>
      <c r="X1333" s="8">
        <v>2.8050999999999999</v>
      </c>
      <c r="Y1333">
        <v>5</v>
      </c>
      <c r="Z1333" s="8">
        <f t="shared" si="146"/>
        <v>0.14285714285714285</v>
      </c>
      <c r="AA1333" s="8">
        <v>2.82138</v>
      </c>
    </row>
    <row r="1334" spans="1:27" ht="15" customHeight="1" x14ac:dyDescent="0.25">
      <c r="A1334" s="14">
        <v>514</v>
      </c>
      <c r="B1334" s="14">
        <v>514</v>
      </c>
      <c r="C1334" s="36">
        <v>-12269.707899999999</v>
      </c>
      <c r="D1334" s="16">
        <v>-12271.390036000001</v>
      </c>
      <c r="E1334" s="14"/>
      <c r="F1334" s="37">
        <v>0.99324999999999997</v>
      </c>
      <c r="G1334" s="16">
        <v>0.17069000000000001</v>
      </c>
      <c r="H1334" s="14">
        <v>6</v>
      </c>
      <c r="I1334" s="14">
        <v>7</v>
      </c>
      <c r="J1334" s="32"/>
      <c r="K1334" s="8">
        <f t="shared" si="140"/>
        <v>-0.55056923076881503</v>
      </c>
      <c r="L1334" s="8">
        <f t="shared" si="141"/>
        <v>-4.2351479289908851E-2</v>
      </c>
      <c r="M1334" s="8">
        <f t="shared" si="142"/>
        <v>-0.75644384615407034</v>
      </c>
      <c r="N1334" s="8">
        <f t="shared" si="143"/>
        <v>-5.8187988165697715E-2</v>
      </c>
      <c r="O1334" s="8"/>
      <c r="P1334" t="s">
        <v>1621</v>
      </c>
      <c r="Q1334">
        <v>36</v>
      </c>
      <c r="R1334" s="8">
        <v>2.8311999999999999</v>
      </c>
      <c r="S1334">
        <v>13</v>
      </c>
      <c r="T1334" s="8">
        <f t="shared" si="144"/>
        <v>0.3611111111111111</v>
      </c>
      <c r="U1334" s="8">
        <v>2.8627099999999999</v>
      </c>
      <c r="V1334">
        <v>17</v>
      </c>
      <c r="W1334" s="8">
        <f t="shared" si="145"/>
        <v>0.47222222222222221</v>
      </c>
      <c r="X1334" s="8">
        <v>2.8117100000000002</v>
      </c>
      <c r="Y1334">
        <v>6</v>
      </c>
      <c r="Z1334" s="8">
        <f t="shared" si="146"/>
        <v>0.16666666666666666</v>
      </c>
      <c r="AA1334" s="8">
        <v>2.81813</v>
      </c>
    </row>
    <row r="1335" spans="1:27" ht="15" customHeight="1" x14ac:dyDescent="0.25">
      <c r="A1335" s="14">
        <v>515</v>
      </c>
      <c r="B1335" s="14">
        <v>515</v>
      </c>
      <c r="C1335" s="36">
        <v>-12269.8339</v>
      </c>
      <c r="D1335" s="16">
        <v>-12271.497783999999</v>
      </c>
      <c r="E1335" s="14"/>
      <c r="F1335" s="37">
        <v>0.99649100000000002</v>
      </c>
      <c r="G1335" s="16">
        <v>0.19016999999999901</v>
      </c>
      <c r="H1335" s="14">
        <v>6</v>
      </c>
      <c r="I1335" s="14">
        <v>7</v>
      </c>
      <c r="J1335" s="32"/>
      <c r="K1335" s="8">
        <f t="shared" si="140"/>
        <v>-0.67656923076901876</v>
      </c>
      <c r="L1335" s="8">
        <f t="shared" si="141"/>
        <v>-5.2043786982232214E-2</v>
      </c>
      <c r="M1335" s="8">
        <f t="shared" si="142"/>
        <v>-0.86419184615260747</v>
      </c>
      <c r="N1335" s="8">
        <f t="shared" si="143"/>
        <v>-6.6476295857892886E-2</v>
      </c>
      <c r="O1335" s="8"/>
      <c r="P1335" t="s">
        <v>1622</v>
      </c>
      <c r="Q1335">
        <v>36</v>
      </c>
      <c r="R1335" s="8">
        <v>2.8338399999999999</v>
      </c>
      <c r="S1335">
        <v>12</v>
      </c>
      <c r="T1335" s="8">
        <f t="shared" si="144"/>
        <v>0.33333333333333331</v>
      </c>
      <c r="U1335" s="8">
        <v>2.8776199999999998</v>
      </c>
      <c r="V1335">
        <v>19</v>
      </c>
      <c r="W1335" s="8">
        <f t="shared" si="145"/>
        <v>0.52777777777777779</v>
      </c>
      <c r="X1335" s="8">
        <v>2.7964000000000002</v>
      </c>
      <c r="Y1335">
        <v>5</v>
      </c>
      <c r="Z1335" s="8">
        <f t="shared" si="146"/>
        <v>0.1388888888888889</v>
      </c>
      <c r="AA1335" s="8">
        <v>2.8710399999999998</v>
      </c>
    </row>
    <row r="1336" spans="1:27" ht="15" customHeight="1" x14ac:dyDescent="0.25">
      <c r="A1336" s="14">
        <v>516</v>
      </c>
      <c r="B1336" s="14">
        <v>516</v>
      </c>
      <c r="C1336" s="36">
        <v>-12270.0849</v>
      </c>
      <c r="D1336" s="16">
        <v>-12272.038993</v>
      </c>
      <c r="E1336" s="14"/>
      <c r="F1336" s="37">
        <v>0.98919699999999999</v>
      </c>
      <c r="G1336" s="16">
        <v>0.15650999999999901</v>
      </c>
      <c r="H1336" s="14">
        <v>6</v>
      </c>
      <c r="I1336" s="14">
        <v>7</v>
      </c>
      <c r="J1336" s="32"/>
      <c r="K1336" s="8">
        <f t="shared" si="140"/>
        <v>-0.92756923076922249</v>
      </c>
      <c r="L1336" s="8">
        <f t="shared" si="141"/>
        <v>-7.1351479289940192E-2</v>
      </c>
      <c r="M1336" s="8">
        <f t="shared" si="142"/>
        <v>-1.4054008461534977</v>
      </c>
      <c r="N1336" s="8">
        <f t="shared" si="143"/>
        <v>-0.10810775739642289</v>
      </c>
      <c r="O1336" s="8"/>
      <c r="P1336" t="s">
        <v>1623</v>
      </c>
      <c r="Q1336">
        <v>36</v>
      </c>
      <c r="R1336" s="8">
        <v>2.8336199999999998</v>
      </c>
      <c r="S1336">
        <v>11</v>
      </c>
      <c r="T1336" s="8">
        <f t="shared" si="144"/>
        <v>0.30555555555555558</v>
      </c>
      <c r="U1336" s="8">
        <v>2.8542100000000001</v>
      </c>
      <c r="V1336">
        <v>18</v>
      </c>
      <c r="W1336" s="8">
        <f t="shared" si="145"/>
        <v>0.5</v>
      </c>
      <c r="X1336" s="8">
        <v>2.8143600000000002</v>
      </c>
      <c r="Y1336">
        <v>7</v>
      </c>
      <c r="Z1336" s="8">
        <f t="shared" si="146"/>
        <v>0.19444444444444445</v>
      </c>
      <c r="AA1336" s="8">
        <v>2.8508100000000001</v>
      </c>
    </row>
    <row r="1337" spans="1:27" ht="15" customHeight="1" x14ac:dyDescent="0.25">
      <c r="A1337" s="14">
        <v>517</v>
      </c>
      <c r="B1337" s="14">
        <v>517</v>
      </c>
      <c r="C1337" s="36">
        <v>-12269.8061</v>
      </c>
      <c r="D1337" s="16">
        <v>-12271.670366</v>
      </c>
      <c r="E1337" s="14"/>
      <c r="F1337" s="37">
        <v>0.99590000000000001</v>
      </c>
      <c r="G1337" s="16">
        <v>0.18440000000000001</v>
      </c>
      <c r="H1337" s="14">
        <v>6</v>
      </c>
      <c r="I1337" s="14">
        <v>7</v>
      </c>
      <c r="J1337" s="32"/>
      <c r="K1337" s="8">
        <f t="shared" si="140"/>
        <v>-0.64876923076917592</v>
      </c>
      <c r="L1337" s="8">
        <f t="shared" si="141"/>
        <v>-4.9905325443782761E-2</v>
      </c>
      <c r="M1337" s="8">
        <f t="shared" si="142"/>
        <v>-1.0367738461536646</v>
      </c>
      <c r="N1337" s="8">
        <f t="shared" si="143"/>
        <v>-7.975183431951266E-2</v>
      </c>
      <c r="O1337" s="8"/>
      <c r="P1337" t="s">
        <v>1624</v>
      </c>
      <c r="Q1337">
        <v>36</v>
      </c>
      <c r="R1337" s="8">
        <v>2.8359100000000002</v>
      </c>
      <c r="S1337">
        <v>12</v>
      </c>
      <c r="T1337" s="8">
        <f t="shared" si="144"/>
        <v>0.33333333333333331</v>
      </c>
      <c r="U1337" s="8">
        <v>2.8608099999999999</v>
      </c>
      <c r="V1337">
        <v>16</v>
      </c>
      <c r="W1337" s="8">
        <f t="shared" si="145"/>
        <v>0.44444444444444442</v>
      </c>
      <c r="X1337" s="8">
        <v>2.81351</v>
      </c>
      <c r="Y1337">
        <v>8</v>
      </c>
      <c r="Z1337" s="8">
        <f t="shared" si="146"/>
        <v>0.22222222222222221</v>
      </c>
      <c r="AA1337" s="8">
        <v>2.8433600000000001</v>
      </c>
    </row>
    <row r="1338" spans="1:27" ht="15" customHeight="1" x14ac:dyDescent="0.25">
      <c r="A1338" s="14">
        <v>518</v>
      </c>
      <c r="B1338" s="14">
        <v>518</v>
      </c>
      <c r="C1338" s="36">
        <v>-12270.026</v>
      </c>
      <c r="D1338" s="16">
        <v>-12271.877710999999</v>
      </c>
      <c r="E1338" s="14"/>
      <c r="F1338" s="37">
        <v>0.989873</v>
      </c>
      <c r="G1338" s="16">
        <v>0.15831999999999899</v>
      </c>
      <c r="H1338" s="14">
        <v>6</v>
      </c>
      <c r="I1338" s="14">
        <v>7</v>
      </c>
      <c r="J1338" s="32"/>
      <c r="K1338" s="8">
        <f t="shared" si="140"/>
        <v>-0.86866923076922831</v>
      </c>
      <c r="L1338" s="8">
        <f t="shared" si="141"/>
        <v>-6.6820710059171409E-2</v>
      </c>
      <c r="M1338" s="8">
        <f t="shared" si="142"/>
        <v>-1.2441188461525599</v>
      </c>
      <c r="N1338" s="8">
        <f t="shared" si="143"/>
        <v>-9.5701449704043068E-2</v>
      </c>
      <c r="O1338" s="8"/>
      <c r="P1338" t="s">
        <v>1625</v>
      </c>
      <c r="Q1338">
        <v>35</v>
      </c>
      <c r="R1338" s="8">
        <v>2.82829</v>
      </c>
      <c r="S1338">
        <v>11</v>
      </c>
      <c r="T1338" s="8">
        <f t="shared" si="144"/>
        <v>0.31428571428571428</v>
      </c>
      <c r="U1338" s="8">
        <v>2.8809</v>
      </c>
      <c r="V1338">
        <v>18</v>
      </c>
      <c r="W1338" s="8">
        <f t="shared" si="145"/>
        <v>0.51428571428571423</v>
      </c>
      <c r="X1338" s="8">
        <v>2.79087</v>
      </c>
      <c r="Y1338">
        <v>6</v>
      </c>
      <c r="Z1338" s="8">
        <f t="shared" si="146"/>
        <v>0.17142857142857143</v>
      </c>
      <c r="AA1338" s="8">
        <v>2.8440799999999999</v>
      </c>
    </row>
    <row r="1339" spans="1:27" ht="15" customHeight="1" x14ac:dyDescent="0.25">
      <c r="A1339" s="14">
        <v>519</v>
      </c>
      <c r="B1339" s="14">
        <v>519</v>
      </c>
      <c r="C1339" s="36">
        <v>-12269.613499999999</v>
      </c>
      <c r="D1339" s="16">
        <v>-12271.482017</v>
      </c>
      <c r="E1339" s="14"/>
      <c r="F1339" s="37">
        <v>0.99586200000000002</v>
      </c>
      <c r="G1339" s="16">
        <v>0.17060999999999901</v>
      </c>
      <c r="H1339" s="14">
        <v>6</v>
      </c>
      <c r="I1339" s="14">
        <v>7</v>
      </c>
      <c r="J1339" s="32"/>
      <c r="K1339" s="8">
        <f t="shared" si="140"/>
        <v>-0.45616923076886451</v>
      </c>
      <c r="L1339" s="8">
        <f t="shared" si="141"/>
        <v>-3.5089940828374196E-2</v>
      </c>
      <c r="M1339" s="8">
        <f t="shared" si="142"/>
        <v>-0.8484248461536481</v>
      </c>
      <c r="N1339" s="8">
        <f t="shared" si="143"/>
        <v>-6.5263449704126772E-2</v>
      </c>
      <c r="O1339" s="8"/>
      <c r="P1339" t="s">
        <v>1626</v>
      </c>
      <c r="Q1339">
        <v>35</v>
      </c>
      <c r="R1339" s="8">
        <v>2.8252600000000001</v>
      </c>
      <c r="S1339">
        <v>12</v>
      </c>
      <c r="T1339" s="8">
        <f t="shared" si="144"/>
        <v>0.34285714285714286</v>
      </c>
      <c r="U1339" s="8">
        <v>2.83249</v>
      </c>
      <c r="V1339">
        <v>15</v>
      </c>
      <c r="W1339" s="8">
        <f t="shared" si="145"/>
        <v>0.42857142857142855</v>
      </c>
      <c r="X1339" s="8">
        <v>2.8096000000000001</v>
      </c>
      <c r="Y1339">
        <v>8</v>
      </c>
      <c r="Z1339" s="8">
        <f t="shared" si="146"/>
        <v>0.22857142857142856</v>
      </c>
      <c r="AA1339" s="8">
        <v>2.8437800000000002</v>
      </c>
    </row>
    <row r="1340" spans="1:27" ht="15" customHeight="1" x14ac:dyDescent="0.25">
      <c r="A1340" s="14">
        <v>520</v>
      </c>
      <c r="B1340" s="14">
        <v>520</v>
      </c>
      <c r="C1340" s="36">
        <v>-12269.986199999999</v>
      </c>
      <c r="D1340" s="16">
        <v>-12271.711557000001</v>
      </c>
      <c r="E1340" s="14"/>
      <c r="F1340" s="37">
        <v>0.99528099999999997</v>
      </c>
      <c r="G1340" s="16">
        <v>0.18140000000000001</v>
      </c>
      <c r="H1340" s="14">
        <v>6</v>
      </c>
      <c r="I1340" s="14">
        <v>7</v>
      </c>
      <c r="J1340" s="32"/>
      <c r="K1340" s="8">
        <f t="shared" si="140"/>
        <v>-0.82886923076875973</v>
      </c>
      <c r="L1340" s="8">
        <f t="shared" si="141"/>
        <v>-6.3759171597596906E-2</v>
      </c>
      <c r="M1340" s="8">
        <f t="shared" si="142"/>
        <v>-1.0779648461539182</v>
      </c>
      <c r="N1340" s="8">
        <f t="shared" si="143"/>
        <v>-8.2920372781070631E-2</v>
      </c>
      <c r="O1340" s="8"/>
      <c r="P1340" t="s">
        <v>1627</v>
      </c>
      <c r="Q1340">
        <v>35</v>
      </c>
      <c r="R1340" s="8">
        <v>2.82972</v>
      </c>
      <c r="S1340">
        <v>11</v>
      </c>
      <c r="T1340" s="8">
        <f t="shared" si="144"/>
        <v>0.31428571428571428</v>
      </c>
      <c r="U1340" s="8">
        <v>2.9081000000000001</v>
      </c>
      <c r="V1340">
        <v>20</v>
      </c>
      <c r="W1340" s="8">
        <f t="shared" si="145"/>
        <v>0.5714285714285714</v>
      </c>
      <c r="X1340" s="8">
        <v>2.78504</v>
      </c>
      <c r="Y1340">
        <v>4</v>
      </c>
      <c r="Z1340" s="8">
        <f t="shared" si="146"/>
        <v>0.11428571428571428</v>
      </c>
      <c r="AA1340" s="8">
        <v>2.8375900000000001</v>
      </c>
    </row>
    <row r="1341" spans="1:27" ht="15" customHeight="1" x14ac:dyDescent="0.25">
      <c r="A1341" s="14">
        <v>521</v>
      </c>
      <c r="B1341" s="14">
        <v>521</v>
      </c>
      <c r="C1341" s="36">
        <v>-12270.2147</v>
      </c>
      <c r="D1341" s="16">
        <v>-12271.617353</v>
      </c>
      <c r="E1341" s="14"/>
      <c r="F1341" s="37">
        <v>0.99753199999999997</v>
      </c>
      <c r="G1341" s="16">
        <v>0.19808999999999999</v>
      </c>
      <c r="H1341" s="14">
        <v>6</v>
      </c>
      <c r="I1341" s="14">
        <v>7</v>
      </c>
      <c r="J1341" s="32"/>
      <c r="K1341" s="8">
        <f t="shared" si="140"/>
        <v>-1.0573692307698366</v>
      </c>
      <c r="L1341" s="8">
        <f t="shared" si="141"/>
        <v>-8.1336094674602816E-2</v>
      </c>
      <c r="M1341" s="8">
        <f t="shared" si="142"/>
        <v>-0.98376084615301806</v>
      </c>
      <c r="N1341" s="8">
        <f t="shared" si="143"/>
        <v>-7.5673911242539846E-2</v>
      </c>
      <c r="O1341" s="8"/>
      <c r="P1341" t="s">
        <v>1628</v>
      </c>
      <c r="Q1341">
        <v>36</v>
      </c>
      <c r="R1341" s="8">
        <v>2.83311</v>
      </c>
      <c r="S1341">
        <v>10</v>
      </c>
      <c r="T1341" s="8">
        <f t="shared" si="144"/>
        <v>0.27777777777777779</v>
      </c>
      <c r="U1341" s="8">
        <v>2.8647499999999999</v>
      </c>
      <c r="V1341">
        <v>20</v>
      </c>
      <c r="W1341" s="8">
        <f t="shared" si="145"/>
        <v>0.55555555555555558</v>
      </c>
      <c r="X1341" s="8">
        <v>2.8161700000000001</v>
      </c>
      <c r="Y1341">
        <v>6</v>
      </c>
      <c r="Z1341" s="8">
        <f t="shared" si="146"/>
        <v>0.16666666666666666</v>
      </c>
      <c r="AA1341" s="8">
        <v>2.83684</v>
      </c>
    </row>
    <row r="1342" spans="1:27" ht="15" customHeight="1" x14ac:dyDescent="0.25">
      <c r="A1342" s="14">
        <v>522</v>
      </c>
      <c r="B1342" s="14">
        <v>522</v>
      </c>
      <c r="C1342" s="36">
        <v>-12269.9074</v>
      </c>
      <c r="D1342" s="16">
        <v>-12271.578341</v>
      </c>
      <c r="E1342" s="14"/>
      <c r="F1342" s="37">
        <v>0.99578500000000003</v>
      </c>
      <c r="G1342" s="16">
        <v>0.18467</v>
      </c>
      <c r="H1342" s="14">
        <v>6</v>
      </c>
      <c r="I1342" s="14">
        <v>7</v>
      </c>
      <c r="J1342" s="32"/>
      <c r="K1342" s="8">
        <f t="shared" si="140"/>
        <v>-0.75006923076944076</v>
      </c>
      <c r="L1342" s="8">
        <f t="shared" si="141"/>
        <v>-5.7697633136110829E-2</v>
      </c>
      <c r="M1342" s="8">
        <f t="shared" si="142"/>
        <v>-0.94474884615374322</v>
      </c>
      <c r="N1342" s="8">
        <f t="shared" si="143"/>
        <v>-7.2672988165672553E-2</v>
      </c>
      <c r="O1342" s="8"/>
      <c r="P1342" t="s">
        <v>1629</v>
      </c>
      <c r="Q1342">
        <v>36</v>
      </c>
      <c r="R1342" s="8">
        <v>2.8319200000000002</v>
      </c>
      <c r="S1342">
        <v>12</v>
      </c>
      <c r="T1342" s="8">
        <f t="shared" si="144"/>
        <v>0.33333333333333331</v>
      </c>
      <c r="U1342" s="8">
        <v>2.87256</v>
      </c>
      <c r="V1342">
        <v>18</v>
      </c>
      <c r="W1342" s="8">
        <f t="shared" si="145"/>
        <v>0.5</v>
      </c>
      <c r="X1342" s="8">
        <v>2.8036400000000001</v>
      </c>
      <c r="Y1342">
        <v>6</v>
      </c>
      <c r="Z1342" s="8">
        <f t="shared" si="146"/>
        <v>0.16666666666666666</v>
      </c>
      <c r="AA1342" s="8">
        <v>2.83548</v>
      </c>
    </row>
    <row r="1343" spans="1:27" ht="15" customHeight="1" x14ac:dyDescent="0.25">
      <c r="A1343" s="14">
        <v>523</v>
      </c>
      <c r="B1343" s="14">
        <v>523</v>
      </c>
      <c r="C1343" s="36">
        <v>-12270.095499999999</v>
      </c>
      <c r="D1343" s="16">
        <v>-12271.760122</v>
      </c>
      <c r="E1343" s="14"/>
      <c r="F1343" s="37">
        <v>0.99651599999999996</v>
      </c>
      <c r="G1343" s="16">
        <v>0.19052999999999901</v>
      </c>
      <c r="H1343" s="14">
        <v>6</v>
      </c>
      <c r="I1343" s="14">
        <v>7</v>
      </c>
      <c r="J1343" s="32"/>
      <c r="K1343" s="8">
        <f t="shared" si="140"/>
        <v>-0.9381692307688354</v>
      </c>
      <c r="L1343" s="8">
        <f t="shared" si="141"/>
        <v>-7.2166863905295031E-2</v>
      </c>
      <c r="M1343" s="8">
        <f t="shared" si="142"/>
        <v>-1.126529846153062</v>
      </c>
      <c r="N1343" s="8">
        <f t="shared" si="143"/>
        <v>-8.665614201177399E-2</v>
      </c>
      <c r="O1343" s="8"/>
      <c r="P1343" t="s">
        <v>1630</v>
      </c>
      <c r="Q1343">
        <v>34</v>
      </c>
      <c r="R1343" s="8">
        <v>2.8227500000000001</v>
      </c>
      <c r="S1343">
        <v>10</v>
      </c>
      <c r="T1343" s="8">
        <f t="shared" si="144"/>
        <v>0.29411764705882354</v>
      </c>
      <c r="U1343" s="8">
        <v>2.8765999999999998</v>
      </c>
      <c r="V1343">
        <v>19</v>
      </c>
      <c r="W1343" s="8">
        <f t="shared" si="145"/>
        <v>0.55882352941176472</v>
      </c>
      <c r="X1343" s="8">
        <v>2.79393</v>
      </c>
      <c r="Y1343">
        <v>5</v>
      </c>
      <c r="Z1343" s="8">
        <f t="shared" si="146"/>
        <v>0.14705882352941177</v>
      </c>
      <c r="AA1343" s="8">
        <v>2.8245499999999999</v>
      </c>
    </row>
    <row r="1344" spans="1:27" ht="15" customHeight="1" x14ac:dyDescent="0.25">
      <c r="A1344" s="14">
        <v>524</v>
      </c>
      <c r="B1344" s="14">
        <v>524</v>
      </c>
      <c r="C1344" s="36">
        <v>-12269.7318</v>
      </c>
      <c r="D1344" s="16">
        <v>-12271.208537</v>
      </c>
      <c r="E1344" s="14"/>
      <c r="F1344" s="37">
        <v>0.99448400000000003</v>
      </c>
      <c r="G1344" s="16">
        <v>0.17671999999999999</v>
      </c>
      <c r="H1344" s="14">
        <v>6</v>
      </c>
      <c r="I1344" s="14">
        <v>7</v>
      </c>
      <c r="J1344" s="32"/>
      <c r="K1344" s="8">
        <f t="shared" si="140"/>
        <v>-0.57446923076895473</v>
      </c>
      <c r="L1344" s="8">
        <f t="shared" si="141"/>
        <v>-4.4189940828381132E-2</v>
      </c>
      <c r="M1344" s="8">
        <f t="shared" si="142"/>
        <v>-0.57494484615381225</v>
      </c>
      <c r="N1344" s="8">
        <f t="shared" si="143"/>
        <v>-4.422652662721633E-2</v>
      </c>
      <c r="O1344" s="8"/>
      <c r="P1344" t="s">
        <v>1631</v>
      </c>
      <c r="Q1344">
        <v>34</v>
      </c>
      <c r="R1344" s="8">
        <v>2.8149299999999999</v>
      </c>
      <c r="S1344">
        <v>13</v>
      </c>
      <c r="T1344" s="8">
        <f t="shared" si="144"/>
        <v>0.38235294117647056</v>
      </c>
      <c r="U1344" s="8">
        <v>2.8609</v>
      </c>
      <c r="V1344">
        <v>17</v>
      </c>
      <c r="W1344" s="8">
        <f t="shared" si="145"/>
        <v>0.5</v>
      </c>
      <c r="X1344" s="8">
        <v>2.8028499999999998</v>
      </c>
      <c r="Y1344">
        <v>4</v>
      </c>
      <c r="Z1344" s="8">
        <f t="shared" si="146"/>
        <v>0.11764705882352941</v>
      </c>
      <c r="AA1344" s="8">
        <v>2.7168700000000001</v>
      </c>
    </row>
    <row r="1345" spans="1:27" ht="15" customHeight="1" x14ac:dyDescent="0.25">
      <c r="A1345" s="14">
        <v>525</v>
      </c>
      <c r="B1345" s="14">
        <v>525</v>
      </c>
      <c r="C1345" s="36">
        <v>-12270.0255</v>
      </c>
      <c r="D1345" s="16">
        <v>-12271.510391</v>
      </c>
      <c r="E1345" s="14"/>
      <c r="F1345" s="37">
        <v>0.99618499999999999</v>
      </c>
      <c r="G1345" s="16">
        <v>0.187829999999999</v>
      </c>
      <c r="H1345" s="14">
        <v>6</v>
      </c>
      <c r="I1345" s="14">
        <v>7</v>
      </c>
      <c r="J1345" s="32"/>
      <c r="K1345" s="8">
        <f t="shared" si="140"/>
        <v>-0.86816923076912644</v>
      </c>
      <c r="L1345" s="8">
        <f t="shared" si="141"/>
        <v>-6.6782248520702039E-2</v>
      </c>
      <c r="M1345" s="8">
        <f t="shared" si="142"/>
        <v>-0.8767988461531786</v>
      </c>
      <c r="N1345" s="8">
        <f t="shared" si="143"/>
        <v>-6.7446065088706042E-2</v>
      </c>
      <c r="O1345" s="8"/>
      <c r="P1345" t="s">
        <v>1632</v>
      </c>
      <c r="Q1345">
        <v>36</v>
      </c>
      <c r="R1345" s="8">
        <v>2.8324699999999998</v>
      </c>
      <c r="S1345">
        <v>11</v>
      </c>
      <c r="T1345" s="8">
        <f t="shared" si="144"/>
        <v>0.30555555555555558</v>
      </c>
      <c r="U1345" s="8">
        <v>2.85528</v>
      </c>
      <c r="V1345">
        <v>18</v>
      </c>
      <c r="W1345" s="8">
        <f t="shared" si="145"/>
        <v>0.5</v>
      </c>
      <c r="X1345" s="8">
        <v>2.8204500000000001</v>
      </c>
      <c r="Y1345">
        <v>7</v>
      </c>
      <c r="Z1345" s="8">
        <f t="shared" si="146"/>
        <v>0.19444444444444445</v>
      </c>
      <c r="AA1345" s="8">
        <v>2.8275299999999999</v>
      </c>
    </row>
    <row r="1346" spans="1:27" ht="15" customHeight="1" x14ac:dyDescent="0.25">
      <c r="A1346" s="14">
        <v>526</v>
      </c>
      <c r="B1346" s="14">
        <v>526</v>
      </c>
      <c r="C1346" s="36">
        <v>-12270.177299999999</v>
      </c>
      <c r="D1346" s="16">
        <v>-12272.144941</v>
      </c>
      <c r="E1346" s="14"/>
      <c r="F1346" s="37">
        <v>0.99599199999999999</v>
      </c>
      <c r="G1346" s="16">
        <v>0.18631</v>
      </c>
      <c r="H1346" s="14">
        <v>6</v>
      </c>
      <c r="I1346" s="14">
        <v>7</v>
      </c>
      <c r="J1346" s="32"/>
      <c r="K1346" s="8">
        <f t="shared" si="140"/>
        <v>-1.0199692307687656</v>
      </c>
      <c r="L1346" s="8">
        <f t="shared" si="141"/>
        <v>-7.8459171597597355E-2</v>
      </c>
      <c r="M1346" s="8">
        <f t="shared" si="142"/>
        <v>-1.5113488461538509</v>
      </c>
      <c r="N1346" s="8">
        <f t="shared" si="143"/>
        <v>-0.11625760355029623</v>
      </c>
      <c r="O1346" s="8"/>
      <c r="P1346" t="s">
        <v>1633</v>
      </c>
      <c r="Q1346">
        <v>35</v>
      </c>
      <c r="R1346" s="8">
        <v>2.81982</v>
      </c>
      <c r="S1346">
        <v>9</v>
      </c>
      <c r="T1346" s="8">
        <f t="shared" si="144"/>
        <v>0.25714285714285712</v>
      </c>
      <c r="U1346" s="8">
        <v>2.8235399999999999</v>
      </c>
      <c r="V1346">
        <v>20</v>
      </c>
      <c r="W1346" s="8">
        <f t="shared" si="145"/>
        <v>0.5714285714285714</v>
      </c>
      <c r="X1346" s="8">
        <v>2.8094100000000002</v>
      </c>
      <c r="Y1346">
        <v>6</v>
      </c>
      <c r="Z1346" s="8">
        <f t="shared" si="146"/>
        <v>0.17142857142857143</v>
      </c>
      <c r="AA1346" s="8">
        <v>2.8489300000000002</v>
      </c>
    </row>
    <row r="1347" spans="1:27" ht="15" customHeight="1" x14ac:dyDescent="0.25">
      <c r="A1347" s="14">
        <v>527</v>
      </c>
      <c r="B1347" s="14">
        <v>527</v>
      </c>
      <c r="C1347" s="36">
        <v>-12270.195</v>
      </c>
      <c r="D1347" s="16">
        <v>-12272.141419</v>
      </c>
      <c r="E1347" s="14"/>
      <c r="F1347" s="37">
        <v>0.99328399999999994</v>
      </c>
      <c r="G1347" s="16">
        <v>0.17079</v>
      </c>
      <c r="H1347" s="14">
        <v>6</v>
      </c>
      <c r="I1347" s="14">
        <v>7</v>
      </c>
      <c r="J1347" s="32"/>
      <c r="K1347" s="8">
        <f t="shared" ref="K1347:K1410" si="147">IF(ISNUMBER(C1347),C1347-(($C$3-$C$2236)/($H$3-$H$2236)*H1347+$C$2236),"")</f>
        <v>-1.0376692307690973</v>
      </c>
      <c r="L1347" s="8">
        <f t="shared" ref="L1347:L1410" si="148">IF(ISNUMBER(C1347),K1347/(H1347+I1347),"")</f>
        <v>-7.9820710059161332E-2</v>
      </c>
      <c r="M1347" s="8">
        <f t="shared" ref="M1347:M1410" si="149">IF(ISNUMBER(D1347),D1347-(($D$3-$D$2236)/($H$3-$H$2236)*H1347+$D$2236),"")</f>
        <v>-1.507826846152966</v>
      </c>
      <c r="N1347" s="8">
        <f t="shared" ref="N1347:N1410" si="150">IF(ISNUMBER(D1347),M1347/(H1347+I1347),"")</f>
        <v>-0.11598668047330508</v>
      </c>
      <c r="O1347" s="8"/>
      <c r="P1347" t="s">
        <v>1634</v>
      </c>
      <c r="Q1347">
        <v>35</v>
      </c>
      <c r="R1347" s="8">
        <v>2.8254700000000001</v>
      </c>
      <c r="S1347">
        <v>10</v>
      </c>
      <c r="T1347" s="8">
        <f t="shared" ref="T1347:T1410" si="151">IF(ISNUMBER(S1347),S1347/(Q1347),"")</f>
        <v>0.2857142857142857</v>
      </c>
      <c r="U1347" s="8">
        <v>2.87479</v>
      </c>
      <c r="V1347">
        <v>20</v>
      </c>
      <c r="W1347" s="8">
        <f t="shared" ref="W1347:W1410" si="152">IF(ISNUMBER(V1347),V1347/($Q1347),"")</f>
        <v>0.5714285714285714</v>
      </c>
      <c r="X1347" s="8">
        <v>2.7982900000000002</v>
      </c>
      <c r="Y1347">
        <v>5</v>
      </c>
      <c r="Z1347" s="8">
        <f t="shared" ref="Z1347:Z1410" si="153">IF(ISNUMBER(Y1347),Y1347/($Q1347),"")</f>
        <v>0.14285714285714285</v>
      </c>
      <c r="AA1347" s="8">
        <v>2.8355399999999999</v>
      </c>
    </row>
    <row r="1348" spans="1:27" ht="15" customHeight="1" x14ac:dyDescent="0.25">
      <c r="A1348" s="14">
        <v>528</v>
      </c>
      <c r="B1348" s="14">
        <v>528</v>
      </c>
      <c r="C1348" s="36">
        <v>-12269.8606</v>
      </c>
      <c r="D1348" s="16">
        <v>-12271.525884000001</v>
      </c>
      <c r="E1348" s="14"/>
      <c r="F1348" s="37">
        <v>0.994479</v>
      </c>
      <c r="G1348" s="16">
        <v>0.17680000000000001</v>
      </c>
      <c r="H1348" s="14">
        <v>6</v>
      </c>
      <c r="I1348" s="14">
        <v>7</v>
      </c>
      <c r="J1348" s="32"/>
      <c r="K1348" s="8">
        <f t="shared" si="147"/>
        <v>-0.70326923076936509</v>
      </c>
      <c r="L1348" s="8">
        <f t="shared" si="148"/>
        <v>-5.4097633136105008E-2</v>
      </c>
      <c r="M1348" s="8">
        <f t="shared" si="149"/>
        <v>-0.89229184615396662</v>
      </c>
      <c r="N1348" s="8">
        <f t="shared" si="150"/>
        <v>-6.8637834319535893E-2</v>
      </c>
      <c r="O1348" s="8"/>
      <c r="P1348" t="s">
        <v>1635</v>
      </c>
      <c r="Q1348">
        <v>36</v>
      </c>
      <c r="R1348" s="8">
        <v>2.83284</v>
      </c>
      <c r="S1348">
        <v>12</v>
      </c>
      <c r="T1348" s="8">
        <f t="shared" si="151"/>
        <v>0.33333333333333331</v>
      </c>
      <c r="U1348" s="8">
        <v>2.8645499999999999</v>
      </c>
      <c r="V1348">
        <v>18</v>
      </c>
      <c r="W1348" s="8">
        <f t="shared" si="152"/>
        <v>0.5</v>
      </c>
      <c r="X1348" s="8">
        <v>2.8157999999999999</v>
      </c>
      <c r="Y1348">
        <v>6</v>
      </c>
      <c r="Z1348" s="8">
        <f t="shared" si="153"/>
        <v>0.16666666666666666</v>
      </c>
      <c r="AA1348" s="8">
        <v>2.82056</v>
      </c>
    </row>
    <row r="1349" spans="1:27" ht="15" customHeight="1" x14ac:dyDescent="0.25">
      <c r="A1349" s="14">
        <v>529</v>
      </c>
      <c r="B1349" s="14">
        <v>529</v>
      </c>
      <c r="C1349" s="36">
        <v>-12269.9656</v>
      </c>
      <c r="D1349" s="16">
        <v>-12271.650712000001</v>
      </c>
      <c r="E1349" s="14"/>
      <c r="F1349" s="37">
        <v>0.99182800000000004</v>
      </c>
      <c r="G1349" s="16">
        <v>0.16481999999999999</v>
      </c>
      <c r="H1349" s="14">
        <v>6</v>
      </c>
      <c r="I1349" s="14">
        <v>7</v>
      </c>
      <c r="J1349" s="32"/>
      <c r="K1349" s="8">
        <f t="shared" si="147"/>
        <v>-0.80826923076892854</v>
      </c>
      <c r="L1349" s="8">
        <f t="shared" si="148"/>
        <v>-6.2174556212994503E-2</v>
      </c>
      <c r="M1349" s="8">
        <f t="shared" si="149"/>
        <v>-1.0171198461539461</v>
      </c>
      <c r="N1349" s="8">
        <f t="shared" si="150"/>
        <v>-7.8239988165688168E-2</v>
      </c>
      <c r="O1349" s="8"/>
      <c r="P1349" t="s">
        <v>1636</v>
      </c>
      <c r="Q1349">
        <v>35</v>
      </c>
      <c r="R1349" s="8">
        <v>2.8262200000000002</v>
      </c>
      <c r="S1349">
        <v>9</v>
      </c>
      <c r="T1349" s="8">
        <f t="shared" si="151"/>
        <v>0.25714285714285712</v>
      </c>
      <c r="U1349" s="8">
        <v>2.84944</v>
      </c>
      <c r="V1349">
        <v>21</v>
      </c>
      <c r="W1349" s="8">
        <f t="shared" si="152"/>
        <v>0.6</v>
      </c>
      <c r="X1349" s="8">
        <v>2.79949</v>
      </c>
      <c r="Y1349">
        <v>5</v>
      </c>
      <c r="Z1349" s="8">
        <f t="shared" si="153"/>
        <v>0.14285714285714285</v>
      </c>
      <c r="AA1349" s="8">
        <v>2.8966500000000002</v>
      </c>
    </row>
    <row r="1350" spans="1:27" ht="15" customHeight="1" x14ac:dyDescent="0.25">
      <c r="A1350" s="14">
        <v>530</v>
      </c>
      <c r="B1350" s="14">
        <v>530</v>
      </c>
      <c r="C1350" s="36">
        <v>-12270.3424</v>
      </c>
      <c r="D1350" s="16">
        <v>-12271.746300999999</v>
      </c>
      <c r="E1350" s="14"/>
      <c r="F1350" s="37">
        <v>0.99604000000000004</v>
      </c>
      <c r="G1350" s="16">
        <v>0.186529999999999</v>
      </c>
      <c r="H1350" s="14">
        <v>6</v>
      </c>
      <c r="I1350" s="14">
        <v>7</v>
      </c>
      <c r="J1350" s="32"/>
      <c r="K1350" s="8">
        <f t="shared" si="147"/>
        <v>-1.1850692307689314</v>
      </c>
      <c r="L1350" s="8">
        <f t="shared" si="148"/>
        <v>-9.1159171597610111E-2</v>
      </c>
      <c r="M1350" s="8">
        <f t="shared" si="149"/>
        <v>-1.1127088461526</v>
      </c>
      <c r="N1350" s="8">
        <f t="shared" si="150"/>
        <v>-8.559298816558461E-2</v>
      </c>
      <c r="O1350" s="8"/>
      <c r="P1350" t="s">
        <v>1637</v>
      </c>
      <c r="Q1350">
        <v>36</v>
      </c>
      <c r="R1350" s="8">
        <v>2.8296299999999999</v>
      </c>
      <c r="S1350">
        <v>9</v>
      </c>
      <c r="T1350" s="8">
        <f t="shared" si="151"/>
        <v>0.25</v>
      </c>
      <c r="U1350" s="8">
        <v>2.8525200000000002</v>
      </c>
      <c r="V1350">
        <v>22</v>
      </c>
      <c r="W1350" s="8">
        <f t="shared" si="152"/>
        <v>0.61111111111111116</v>
      </c>
      <c r="X1350" s="8">
        <v>2.81697</v>
      </c>
      <c r="Y1350">
        <v>5</v>
      </c>
      <c r="Z1350" s="8">
        <f t="shared" si="153"/>
        <v>0.1388888888888889</v>
      </c>
      <c r="AA1350" s="8">
        <v>2.8440799999999999</v>
      </c>
    </row>
    <row r="1351" spans="1:27" ht="15" customHeight="1" x14ac:dyDescent="0.25">
      <c r="A1351" s="14">
        <v>531</v>
      </c>
      <c r="B1351" s="14">
        <v>531</v>
      </c>
      <c r="C1351" s="36">
        <v>-12270.0604</v>
      </c>
      <c r="D1351" s="16">
        <v>-12271.759273</v>
      </c>
      <c r="E1351" s="14"/>
      <c r="F1351" s="37">
        <v>0.99639599999999995</v>
      </c>
      <c r="G1351" s="16">
        <v>0.18953999999999999</v>
      </c>
      <c r="H1351" s="14">
        <v>6</v>
      </c>
      <c r="I1351" s="14">
        <v>7</v>
      </c>
      <c r="J1351" s="32"/>
      <c r="K1351" s="8">
        <f t="shared" si="147"/>
        <v>-0.90306923076968815</v>
      </c>
      <c r="L1351" s="8">
        <f t="shared" si="148"/>
        <v>-6.9466863905360623E-2</v>
      </c>
      <c r="M1351" s="8">
        <f t="shared" si="149"/>
        <v>-1.1256808461530454</v>
      </c>
      <c r="N1351" s="8">
        <f t="shared" si="150"/>
        <v>-8.6590834319465029E-2</v>
      </c>
      <c r="O1351" s="8"/>
      <c r="P1351" t="s">
        <v>1638</v>
      </c>
      <c r="Q1351">
        <v>35</v>
      </c>
      <c r="R1351" s="8">
        <v>2.82097</v>
      </c>
      <c r="S1351">
        <v>9</v>
      </c>
      <c r="T1351" s="8">
        <f t="shared" si="151"/>
        <v>0.25714285714285712</v>
      </c>
      <c r="U1351" s="8">
        <v>2.82233</v>
      </c>
      <c r="V1351">
        <v>21</v>
      </c>
      <c r="W1351" s="8">
        <f t="shared" si="152"/>
        <v>0.6</v>
      </c>
      <c r="X1351" s="8">
        <v>2.8147500000000001</v>
      </c>
      <c r="Y1351">
        <v>5</v>
      </c>
      <c r="Z1351" s="8">
        <f t="shared" si="153"/>
        <v>0.14285714285714285</v>
      </c>
      <c r="AA1351" s="8">
        <v>2.8446600000000002</v>
      </c>
    </row>
    <row r="1352" spans="1:27" ht="15" customHeight="1" x14ac:dyDescent="0.25">
      <c r="A1352" s="14">
        <v>532</v>
      </c>
      <c r="B1352" s="14">
        <v>532</v>
      </c>
      <c r="C1352" s="36">
        <v>-12270.141900000001</v>
      </c>
      <c r="D1352" s="16">
        <v>-12271.855168</v>
      </c>
      <c r="E1352" s="14"/>
      <c r="F1352" s="37">
        <v>0.99545899999999998</v>
      </c>
      <c r="G1352" s="16">
        <v>0.18253999999999901</v>
      </c>
      <c r="H1352" s="14">
        <v>6</v>
      </c>
      <c r="I1352" s="14">
        <v>7</v>
      </c>
      <c r="J1352" s="32"/>
      <c r="K1352" s="8">
        <f t="shared" si="147"/>
        <v>-0.98456923076992098</v>
      </c>
      <c r="L1352" s="8">
        <f t="shared" si="148"/>
        <v>-7.5736094674609303E-2</v>
      </c>
      <c r="M1352" s="8">
        <f t="shared" si="149"/>
        <v>-1.2215758461534278</v>
      </c>
      <c r="N1352" s="8">
        <f t="shared" si="150"/>
        <v>-9.3967372781032912E-2</v>
      </c>
      <c r="O1352" s="8"/>
      <c r="P1352" t="s">
        <v>1639</v>
      </c>
      <c r="Q1352">
        <v>36</v>
      </c>
      <c r="R1352" s="8">
        <v>2.8369900000000001</v>
      </c>
      <c r="S1352">
        <v>10</v>
      </c>
      <c r="T1352" s="8">
        <f t="shared" si="151"/>
        <v>0.27777777777777779</v>
      </c>
      <c r="U1352" s="8">
        <v>2.9006699999999999</v>
      </c>
      <c r="V1352">
        <v>22</v>
      </c>
      <c r="W1352" s="8">
        <f t="shared" si="152"/>
        <v>0.61111111111111116</v>
      </c>
      <c r="X1352" s="8">
        <v>2.8034699999999999</v>
      </c>
      <c r="Y1352">
        <v>4</v>
      </c>
      <c r="Z1352" s="8">
        <f t="shared" si="153"/>
        <v>0.1111111111111111</v>
      </c>
      <c r="AA1352" s="8">
        <v>2.8621300000000001</v>
      </c>
    </row>
    <row r="1353" spans="1:27" ht="15" customHeight="1" x14ac:dyDescent="0.25">
      <c r="A1353" s="14">
        <v>533</v>
      </c>
      <c r="B1353" s="14">
        <v>533</v>
      </c>
      <c r="C1353" s="36">
        <v>-12269.8346</v>
      </c>
      <c r="D1353" s="16">
        <v>-12271.324789</v>
      </c>
      <c r="E1353" s="14"/>
      <c r="F1353" s="37">
        <v>0.99138899999999996</v>
      </c>
      <c r="G1353" s="16">
        <v>0.163329999999999</v>
      </c>
      <c r="H1353" s="14">
        <v>6</v>
      </c>
      <c r="I1353" s="14">
        <v>7</v>
      </c>
      <c r="J1353" s="32"/>
      <c r="K1353" s="8">
        <f t="shared" si="147"/>
        <v>-0.67726923076952517</v>
      </c>
      <c r="L1353" s="8">
        <f t="shared" si="148"/>
        <v>-5.2097633136117323E-2</v>
      </c>
      <c r="M1353" s="8">
        <f t="shared" si="149"/>
        <v>-0.69119684615361621</v>
      </c>
      <c r="N1353" s="8">
        <f t="shared" si="150"/>
        <v>-5.3168988165662782E-2</v>
      </c>
      <c r="O1353" s="8"/>
      <c r="P1353" t="s">
        <v>1640</v>
      </c>
      <c r="Q1353">
        <v>36</v>
      </c>
      <c r="R1353" s="8">
        <v>2.82972</v>
      </c>
      <c r="S1353">
        <v>12</v>
      </c>
      <c r="T1353" s="8">
        <f t="shared" si="151"/>
        <v>0.33333333333333331</v>
      </c>
      <c r="U1353" s="8">
        <v>2.8785599999999998</v>
      </c>
      <c r="V1353">
        <v>20</v>
      </c>
      <c r="W1353" s="8">
        <f t="shared" si="152"/>
        <v>0.55555555555555558</v>
      </c>
      <c r="X1353" s="8">
        <v>2.7972600000000001</v>
      </c>
      <c r="Y1353">
        <v>4</v>
      </c>
      <c r="Z1353" s="8">
        <f t="shared" si="153"/>
        <v>0.1111111111111111</v>
      </c>
      <c r="AA1353" s="8">
        <v>2.8455499999999998</v>
      </c>
    </row>
    <row r="1354" spans="1:27" ht="15" customHeight="1" x14ac:dyDescent="0.25">
      <c r="A1354" s="14">
        <v>534</v>
      </c>
      <c r="B1354" s="14">
        <v>534</v>
      </c>
      <c r="C1354" s="36">
        <v>-12270.156199999999</v>
      </c>
      <c r="D1354" s="16">
        <v>-12271.836809</v>
      </c>
      <c r="E1354" s="14"/>
      <c r="F1354" s="37">
        <v>0.99518499999999999</v>
      </c>
      <c r="G1354" s="16">
        <v>0.18070999999999901</v>
      </c>
      <c r="H1354" s="14">
        <v>6</v>
      </c>
      <c r="I1354" s="14">
        <v>7</v>
      </c>
      <c r="J1354" s="32"/>
      <c r="K1354" s="8">
        <f t="shared" si="147"/>
        <v>-0.99886923076883249</v>
      </c>
      <c r="L1354" s="8">
        <f t="shared" si="148"/>
        <v>-7.6836094674525582E-2</v>
      </c>
      <c r="M1354" s="8">
        <f t="shared" si="149"/>
        <v>-1.2032168461537367</v>
      </c>
      <c r="N1354" s="8">
        <f t="shared" si="150"/>
        <v>-9.2555142011825894E-2</v>
      </c>
      <c r="O1354" s="8"/>
      <c r="P1354" t="s">
        <v>1641</v>
      </c>
      <c r="Q1354">
        <v>35</v>
      </c>
      <c r="R1354" s="8">
        <v>2.8238699999999999</v>
      </c>
      <c r="S1354">
        <v>9</v>
      </c>
      <c r="T1354" s="8">
        <f t="shared" si="151"/>
        <v>0.25714285714285712</v>
      </c>
      <c r="U1354" s="8">
        <v>2.8329499999999999</v>
      </c>
      <c r="V1354">
        <v>20</v>
      </c>
      <c r="W1354" s="8">
        <f t="shared" si="152"/>
        <v>0.5714285714285714</v>
      </c>
      <c r="X1354" s="8">
        <v>2.8060100000000001</v>
      </c>
      <c r="Y1354">
        <v>6</v>
      </c>
      <c r="Z1354" s="8">
        <f t="shared" si="153"/>
        <v>0.17142857142857143</v>
      </c>
      <c r="AA1354" s="8">
        <v>2.8697900000000001</v>
      </c>
    </row>
    <row r="1355" spans="1:27" ht="15" customHeight="1" x14ac:dyDescent="0.25">
      <c r="A1355" s="14">
        <v>535</v>
      </c>
      <c r="B1355" s="14">
        <v>535</v>
      </c>
      <c r="C1355" s="36">
        <v>-12270.0846</v>
      </c>
      <c r="D1355" s="16">
        <v>-12271.995095</v>
      </c>
      <c r="E1355" s="14"/>
      <c r="F1355" s="37">
        <v>0.99313499999999999</v>
      </c>
      <c r="G1355" s="16">
        <v>0.16999</v>
      </c>
      <c r="H1355" s="14">
        <v>6</v>
      </c>
      <c r="I1355" s="14">
        <v>7</v>
      </c>
      <c r="J1355" s="32"/>
      <c r="K1355" s="8">
        <f t="shared" si="147"/>
        <v>-0.92726923076952517</v>
      </c>
      <c r="L1355" s="8">
        <f t="shared" si="148"/>
        <v>-7.1328402366886548E-2</v>
      </c>
      <c r="M1355" s="8">
        <f t="shared" si="149"/>
        <v>-1.3615028461535985</v>
      </c>
      <c r="N1355" s="8">
        <f t="shared" si="150"/>
        <v>-0.10473098816566143</v>
      </c>
      <c r="O1355" s="8"/>
      <c r="P1355" t="s">
        <v>1642</v>
      </c>
      <c r="Q1355">
        <v>35</v>
      </c>
      <c r="R1355" s="8">
        <v>2.8262399999999999</v>
      </c>
      <c r="S1355">
        <v>9</v>
      </c>
      <c r="T1355" s="8">
        <f t="shared" si="151"/>
        <v>0.25714285714285712</v>
      </c>
      <c r="U1355" s="8">
        <v>2.8388</v>
      </c>
      <c r="V1355">
        <v>20</v>
      </c>
      <c r="W1355" s="8">
        <f t="shared" si="152"/>
        <v>0.5714285714285714</v>
      </c>
      <c r="X1355" s="8">
        <v>2.8087599999999999</v>
      </c>
      <c r="Y1355">
        <v>6</v>
      </c>
      <c r="Z1355" s="8">
        <f t="shared" si="153"/>
        <v>0.17142857142857143</v>
      </c>
      <c r="AA1355" s="8">
        <v>2.86565</v>
      </c>
    </row>
    <row r="1356" spans="1:27" ht="15" customHeight="1" x14ac:dyDescent="0.25">
      <c r="A1356" s="14">
        <v>536</v>
      </c>
      <c r="B1356" s="14">
        <v>536</v>
      </c>
      <c r="C1356" s="36">
        <v>-12270.0263</v>
      </c>
      <c r="D1356" s="16">
        <v>-12271.725168999999</v>
      </c>
      <c r="E1356" s="14"/>
      <c r="F1356" s="37">
        <v>0.99321599999999999</v>
      </c>
      <c r="G1356" s="16">
        <v>0.170459999999999</v>
      </c>
      <c r="H1356" s="14">
        <v>6</v>
      </c>
      <c r="I1356" s="14">
        <v>7</v>
      </c>
      <c r="J1356" s="32"/>
      <c r="K1356" s="8">
        <f t="shared" si="147"/>
        <v>-0.86896923076892563</v>
      </c>
      <c r="L1356" s="8">
        <f t="shared" si="148"/>
        <v>-6.6843786982225054E-2</v>
      </c>
      <c r="M1356" s="8">
        <f t="shared" si="149"/>
        <v>-1.0915768461527477</v>
      </c>
      <c r="N1356" s="8">
        <f t="shared" si="150"/>
        <v>-8.396744970405752E-2</v>
      </c>
      <c r="O1356" s="8"/>
      <c r="P1356" t="s">
        <v>1643</v>
      </c>
      <c r="Q1356">
        <v>36</v>
      </c>
      <c r="R1356" s="8">
        <v>2.8315199999999998</v>
      </c>
      <c r="S1356">
        <v>10</v>
      </c>
      <c r="T1356" s="8">
        <f t="shared" si="151"/>
        <v>0.27777777777777779</v>
      </c>
      <c r="U1356" s="8">
        <v>2.8517700000000001</v>
      </c>
      <c r="V1356">
        <v>20</v>
      </c>
      <c r="W1356" s="8">
        <f t="shared" si="152"/>
        <v>0.55555555555555558</v>
      </c>
      <c r="X1356" s="8">
        <v>2.8181500000000002</v>
      </c>
      <c r="Y1356">
        <v>6</v>
      </c>
      <c r="Z1356" s="8">
        <f t="shared" si="153"/>
        <v>0.16666666666666666</v>
      </c>
      <c r="AA1356" s="8">
        <v>2.84232</v>
      </c>
    </row>
    <row r="1357" spans="1:27" ht="15" customHeight="1" x14ac:dyDescent="0.25">
      <c r="A1357" s="14">
        <v>537</v>
      </c>
      <c r="B1357" s="14">
        <v>537</v>
      </c>
      <c r="C1357" s="36">
        <v>-12269.884</v>
      </c>
      <c r="D1357" s="16">
        <v>-12271.792595999999</v>
      </c>
      <c r="E1357" s="14"/>
      <c r="F1357" s="37">
        <v>0.99552499999999999</v>
      </c>
      <c r="G1357" s="16">
        <v>0.18304999999999899</v>
      </c>
      <c r="H1357" s="14">
        <v>6</v>
      </c>
      <c r="I1357" s="14">
        <v>7</v>
      </c>
      <c r="J1357" s="32"/>
      <c r="K1357" s="8">
        <f t="shared" si="147"/>
        <v>-0.72666923076940293</v>
      </c>
      <c r="L1357" s="8">
        <f t="shared" si="148"/>
        <v>-5.5897633136107919E-2</v>
      </c>
      <c r="M1357" s="8">
        <f t="shared" si="149"/>
        <v>-1.1590038461527001</v>
      </c>
      <c r="N1357" s="8">
        <f t="shared" si="150"/>
        <v>-8.9154142011746165E-2</v>
      </c>
      <c r="O1357" s="8"/>
      <c r="P1357" t="s">
        <v>1644</v>
      </c>
      <c r="Q1357">
        <v>35</v>
      </c>
      <c r="R1357" s="8">
        <v>2.8238400000000001</v>
      </c>
      <c r="S1357">
        <v>10</v>
      </c>
      <c r="T1357" s="8">
        <f t="shared" si="151"/>
        <v>0.2857142857142857</v>
      </c>
      <c r="U1357" s="8">
        <v>2.8299699999999999</v>
      </c>
      <c r="V1357">
        <v>19</v>
      </c>
      <c r="W1357" s="8">
        <f t="shared" si="152"/>
        <v>0.54285714285714282</v>
      </c>
      <c r="X1357" s="8">
        <v>2.8056199999999998</v>
      </c>
      <c r="Y1357">
        <v>6</v>
      </c>
      <c r="Z1357" s="8">
        <f t="shared" si="153"/>
        <v>0.17142857142857143</v>
      </c>
      <c r="AA1357" s="8">
        <v>2.8713299999999999</v>
      </c>
    </row>
    <row r="1358" spans="1:27" ht="15" customHeight="1" x14ac:dyDescent="0.25">
      <c r="A1358" s="14">
        <v>538</v>
      </c>
      <c r="B1358" s="14">
        <v>538</v>
      </c>
      <c r="C1358" s="36">
        <v>-12269.979499999999</v>
      </c>
      <c r="D1358" s="16">
        <v>-12271.67409</v>
      </c>
      <c r="E1358" s="14"/>
      <c r="F1358" s="37">
        <v>0.99477700000000002</v>
      </c>
      <c r="G1358" s="16">
        <v>0.17843999999999999</v>
      </c>
      <c r="H1358" s="14">
        <v>6</v>
      </c>
      <c r="I1358" s="14">
        <v>7</v>
      </c>
      <c r="J1358" s="32"/>
      <c r="K1358" s="8">
        <f t="shared" si="147"/>
        <v>-0.82216923076884996</v>
      </c>
      <c r="L1358" s="8">
        <f t="shared" si="148"/>
        <v>-6.3243786982219233E-2</v>
      </c>
      <c r="M1358" s="8">
        <f t="shared" si="149"/>
        <v>-1.0404978461538121</v>
      </c>
      <c r="N1358" s="8">
        <f t="shared" si="150"/>
        <v>-8.0038295857985553E-2</v>
      </c>
      <c r="O1358" s="8"/>
      <c r="P1358" t="s">
        <v>1645</v>
      </c>
      <c r="Q1358">
        <v>35</v>
      </c>
      <c r="R1358" s="8">
        <v>2.82294</v>
      </c>
      <c r="S1358">
        <v>9</v>
      </c>
      <c r="T1358" s="8">
        <f t="shared" si="151"/>
        <v>0.25714285714285712</v>
      </c>
      <c r="U1358" s="8">
        <v>2.8351700000000002</v>
      </c>
      <c r="V1358">
        <v>21</v>
      </c>
      <c r="W1358" s="8">
        <f t="shared" si="152"/>
        <v>0.6</v>
      </c>
      <c r="X1358" s="8">
        <v>2.8007399999999998</v>
      </c>
      <c r="Y1358">
        <v>5</v>
      </c>
      <c r="Z1358" s="8">
        <f t="shared" si="153"/>
        <v>0.14285714285714285</v>
      </c>
      <c r="AA1358" s="8">
        <v>2.8941400000000002</v>
      </c>
    </row>
    <row r="1359" spans="1:27" ht="15" customHeight="1" x14ac:dyDescent="0.25">
      <c r="A1359" s="14">
        <v>539</v>
      </c>
      <c r="B1359" s="14">
        <v>539</v>
      </c>
      <c r="C1359" s="36">
        <v>-12270.086499999999</v>
      </c>
      <c r="D1359" s="16">
        <v>-12271.748099</v>
      </c>
      <c r="E1359" s="14"/>
      <c r="F1359" s="37">
        <v>0.99349600000000005</v>
      </c>
      <c r="G1359" s="16">
        <v>0.17174999999999899</v>
      </c>
      <c r="H1359" s="14">
        <v>6</v>
      </c>
      <c r="I1359" s="14">
        <v>7</v>
      </c>
      <c r="J1359" s="32"/>
      <c r="K1359" s="8">
        <f t="shared" si="147"/>
        <v>-0.92916923076882085</v>
      </c>
      <c r="L1359" s="8">
        <f t="shared" si="148"/>
        <v>-7.1474556212986221E-2</v>
      </c>
      <c r="M1359" s="8">
        <f t="shared" si="149"/>
        <v>-1.1145068461537448</v>
      </c>
      <c r="N1359" s="8">
        <f t="shared" si="150"/>
        <v>-8.5731295857980366E-2</v>
      </c>
      <c r="O1359" s="8"/>
      <c r="P1359" t="s">
        <v>1646</v>
      </c>
      <c r="Q1359">
        <v>35</v>
      </c>
      <c r="R1359" s="8">
        <v>2.8256800000000002</v>
      </c>
      <c r="S1359">
        <v>9</v>
      </c>
      <c r="T1359" s="8">
        <f t="shared" si="151"/>
        <v>0.25714285714285712</v>
      </c>
      <c r="U1359" s="8">
        <v>2.8809999999999998</v>
      </c>
      <c r="V1359">
        <v>22</v>
      </c>
      <c r="W1359" s="8">
        <f t="shared" si="152"/>
        <v>0.62857142857142856</v>
      </c>
      <c r="X1359" s="8">
        <v>2.8051300000000001</v>
      </c>
      <c r="Y1359">
        <v>4</v>
      </c>
      <c r="Z1359" s="8">
        <f t="shared" si="153"/>
        <v>0.11428571428571428</v>
      </c>
      <c r="AA1359" s="8">
        <v>2.8142100000000001</v>
      </c>
    </row>
    <row r="1360" spans="1:27" ht="15" customHeight="1" x14ac:dyDescent="0.25">
      <c r="A1360" s="14">
        <v>540</v>
      </c>
      <c r="B1360" s="14">
        <v>540</v>
      </c>
      <c r="C1360" s="36">
        <v>-12270.024799999999</v>
      </c>
      <c r="D1360" s="16">
        <v>-12271.653623</v>
      </c>
      <c r="E1360" s="14"/>
      <c r="F1360" s="37">
        <v>0.99348800000000004</v>
      </c>
      <c r="G1360" s="16">
        <v>0.171739999999999</v>
      </c>
      <c r="H1360" s="14">
        <v>6</v>
      </c>
      <c r="I1360" s="14">
        <v>7</v>
      </c>
      <c r="J1360" s="32"/>
      <c r="K1360" s="8">
        <f t="shared" si="147"/>
        <v>-0.86746923076862004</v>
      </c>
      <c r="L1360" s="8">
        <f t="shared" si="148"/>
        <v>-6.672840236681693E-2</v>
      </c>
      <c r="M1360" s="8">
        <f t="shared" si="149"/>
        <v>-1.0200308461535315</v>
      </c>
      <c r="N1360" s="8">
        <f t="shared" si="150"/>
        <v>-7.8463911242579343E-2</v>
      </c>
      <c r="O1360" s="8"/>
      <c r="P1360" t="s">
        <v>1647</v>
      </c>
      <c r="Q1360">
        <v>34</v>
      </c>
      <c r="R1360" s="8">
        <v>2.8163900000000002</v>
      </c>
      <c r="S1360">
        <v>10</v>
      </c>
      <c r="T1360" s="8">
        <f t="shared" si="151"/>
        <v>0.29411764705882354</v>
      </c>
      <c r="U1360" s="8">
        <v>2.8643800000000001</v>
      </c>
      <c r="V1360">
        <v>20</v>
      </c>
      <c r="W1360" s="8">
        <f t="shared" si="152"/>
        <v>0.58823529411764708</v>
      </c>
      <c r="X1360" s="8">
        <v>2.7972199999999998</v>
      </c>
      <c r="Y1360">
        <v>4</v>
      </c>
      <c r="Z1360" s="8">
        <f t="shared" si="153"/>
        <v>0.11764705882352941</v>
      </c>
      <c r="AA1360" s="8">
        <v>2.7922600000000002</v>
      </c>
    </row>
    <row r="1361" spans="1:27" ht="15" customHeight="1" x14ac:dyDescent="0.25">
      <c r="A1361" s="14">
        <v>541</v>
      </c>
      <c r="B1361" s="14">
        <v>541</v>
      </c>
      <c r="C1361" s="36">
        <v>-12269.924000000001</v>
      </c>
      <c r="D1361" s="16">
        <v>-12271.549703999999</v>
      </c>
      <c r="E1361" s="14"/>
      <c r="F1361" s="37">
        <v>0.99615799999999999</v>
      </c>
      <c r="G1361" s="16">
        <v>0.18756999999999999</v>
      </c>
      <c r="H1361" s="14">
        <v>6</v>
      </c>
      <c r="I1361" s="14">
        <v>7</v>
      </c>
      <c r="J1361" s="32"/>
      <c r="K1361" s="8">
        <f t="shared" si="147"/>
        <v>-0.76666923077027604</v>
      </c>
      <c r="L1361" s="8">
        <f t="shared" si="148"/>
        <v>-5.8974556213098155E-2</v>
      </c>
      <c r="M1361" s="8">
        <f t="shared" si="149"/>
        <v>-0.91611184615248931</v>
      </c>
      <c r="N1361" s="8">
        <f t="shared" si="150"/>
        <v>-7.047014201172995E-2</v>
      </c>
      <c r="O1361" s="8"/>
      <c r="P1361" t="s">
        <v>1648</v>
      </c>
      <c r="Q1361">
        <v>36</v>
      </c>
      <c r="R1361" s="8">
        <v>2.8359200000000002</v>
      </c>
      <c r="S1361">
        <v>11</v>
      </c>
      <c r="T1361" s="8">
        <f t="shared" si="151"/>
        <v>0.30555555555555558</v>
      </c>
      <c r="U1361" s="8">
        <v>2.8876400000000002</v>
      </c>
      <c r="V1361">
        <v>20</v>
      </c>
      <c r="W1361" s="8">
        <f t="shared" si="152"/>
        <v>0.55555555555555558</v>
      </c>
      <c r="X1361" s="8">
        <v>2.8081999999999998</v>
      </c>
      <c r="Y1361">
        <v>5</v>
      </c>
      <c r="Z1361" s="8">
        <f t="shared" si="153"/>
        <v>0.1388888888888889</v>
      </c>
      <c r="AA1361" s="8">
        <v>2.8330299999999999</v>
      </c>
    </row>
    <row r="1362" spans="1:27" ht="15" customHeight="1" x14ac:dyDescent="0.25">
      <c r="A1362" s="14">
        <v>542</v>
      </c>
      <c r="B1362" s="14">
        <v>542</v>
      </c>
      <c r="C1362" s="36">
        <v>-12269.7752</v>
      </c>
      <c r="D1362" s="16">
        <v>-12271.370021000001</v>
      </c>
      <c r="E1362" s="14"/>
      <c r="F1362" s="37">
        <v>0.997421</v>
      </c>
      <c r="G1362" s="16">
        <v>0.11552999999999999</v>
      </c>
      <c r="H1362" s="14">
        <v>6</v>
      </c>
      <c r="I1362" s="14">
        <v>7</v>
      </c>
      <c r="J1362" s="32"/>
      <c r="K1362" s="8">
        <f t="shared" si="147"/>
        <v>-0.61786923076942912</v>
      </c>
      <c r="L1362" s="8">
        <f t="shared" si="148"/>
        <v>-4.7528402366879163E-2</v>
      </c>
      <c r="M1362" s="8">
        <f t="shared" si="149"/>
        <v>-0.73642884615401272</v>
      </c>
      <c r="N1362" s="8">
        <f t="shared" si="150"/>
        <v>-5.6648372781077899E-2</v>
      </c>
      <c r="O1362" s="8"/>
      <c r="P1362" t="s">
        <v>1649</v>
      </c>
      <c r="Q1362">
        <v>33</v>
      </c>
      <c r="R1362" s="8">
        <v>2.8136999999999999</v>
      </c>
      <c r="S1362">
        <v>13</v>
      </c>
      <c r="T1362" s="8">
        <f t="shared" si="151"/>
        <v>0.39393939393939392</v>
      </c>
      <c r="U1362" s="8">
        <v>2.8940000000000001</v>
      </c>
      <c r="V1362">
        <v>20</v>
      </c>
      <c r="W1362" s="8">
        <f t="shared" si="152"/>
        <v>0.60606060606060608</v>
      </c>
      <c r="X1362" s="8">
        <v>2.7614999999999998</v>
      </c>
      <c r="Y1362">
        <v>0</v>
      </c>
      <c r="Z1362" s="8">
        <f t="shared" si="153"/>
        <v>0</v>
      </c>
      <c r="AA1362" s="8">
        <v>0</v>
      </c>
    </row>
    <row r="1363" spans="1:27" ht="15" customHeight="1" x14ac:dyDescent="0.25">
      <c r="A1363" s="14">
        <v>543</v>
      </c>
      <c r="B1363" s="14">
        <v>543</v>
      </c>
      <c r="C1363" s="36">
        <v>-12270.104799999999</v>
      </c>
      <c r="D1363" s="16">
        <v>-12271.887285000001</v>
      </c>
      <c r="E1363" s="14"/>
      <c r="F1363" s="37">
        <v>0.99722599999999995</v>
      </c>
      <c r="G1363" s="16">
        <v>0.19700999999999899</v>
      </c>
      <c r="H1363" s="14">
        <v>6</v>
      </c>
      <c r="I1363" s="14">
        <v>7</v>
      </c>
      <c r="J1363" s="32"/>
      <c r="K1363" s="8">
        <f t="shared" si="147"/>
        <v>-0.94746923076854728</v>
      </c>
      <c r="L1363" s="8">
        <f t="shared" si="148"/>
        <v>-7.2882248520657486E-2</v>
      </c>
      <c r="M1363" s="8">
        <f t="shared" si="149"/>
        <v>-1.2536928461540811</v>
      </c>
      <c r="N1363" s="8">
        <f t="shared" si="150"/>
        <v>-9.6437911242621618E-2</v>
      </c>
      <c r="O1363" s="8"/>
      <c r="P1363" t="s">
        <v>1650</v>
      </c>
      <c r="Q1363">
        <v>35</v>
      </c>
      <c r="R1363" s="8">
        <v>2.8299699999999999</v>
      </c>
      <c r="S1363">
        <v>10</v>
      </c>
      <c r="T1363" s="8">
        <f t="shared" si="151"/>
        <v>0.2857142857142857</v>
      </c>
      <c r="U1363" s="8">
        <v>2.8565299999999998</v>
      </c>
      <c r="V1363">
        <v>19</v>
      </c>
      <c r="W1363" s="8">
        <f t="shared" si="152"/>
        <v>0.54285714285714282</v>
      </c>
      <c r="X1363" s="8">
        <v>2.82159</v>
      </c>
      <c r="Y1363">
        <v>6</v>
      </c>
      <c r="Z1363" s="8">
        <f t="shared" si="153"/>
        <v>0.17142857142857143</v>
      </c>
      <c r="AA1363" s="8">
        <v>2.8122199999999999</v>
      </c>
    </row>
    <row r="1364" spans="1:27" ht="15" customHeight="1" x14ac:dyDescent="0.25">
      <c r="A1364" s="14">
        <v>544</v>
      </c>
      <c r="B1364" s="14">
        <v>544</v>
      </c>
      <c r="C1364" s="36">
        <v>-12270.1584</v>
      </c>
      <c r="D1364" s="16">
        <v>-12271.804335999999</v>
      </c>
      <c r="E1364" s="14"/>
      <c r="F1364" s="37">
        <v>0.99678299999999997</v>
      </c>
      <c r="G1364" s="16">
        <v>0.192939999999999</v>
      </c>
      <c r="H1364" s="14">
        <v>6</v>
      </c>
      <c r="I1364" s="14">
        <v>7</v>
      </c>
      <c r="J1364" s="32"/>
      <c r="K1364" s="8">
        <f t="shared" si="147"/>
        <v>-1.0010692307696445</v>
      </c>
      <c r="L1364" s="8">
        <f t="shared" si="148"/>
        <v>-7.7005325443818801E-2</v>
      </c>
      <c r="M1364" s="8">
        <f t="shared" si="149"/>
        <v>-1.1707438461526181</v>
      </c>
      <c r="N1364" s="8">
        <f t="shared" si="150"/>
        <v>-9.0057218934816774E-2</v>
      </c>
      <c r="O1364" s="8"/>
      <c r="P1364" t="s">
        <v>1651</v>
      </c>
      <c r="Q1364">
        <v>35</v>
      </c>
      <c r="R1364" s="8">
        <v>2.82592</v>
      </c>
      <c r="S1364">
        <v>10</v>
      </c>
      <c r="T1364" s="8">
        <f t="shared" si="151"/>
        <v>0.2857142857142857</v>
      </c>
      <c r="U1364" s="8">
        <v>2.8552300000000002</v>
      </c>
      <c r="V1364">
        <v>18</v>
      </c>
      <c r="W1364" s="8">
        <f t="shared" si="152"/>
        <v>0.51428571428571423</v>
      </c>
      <c r="X1364" s="8">
        <v>2.8</v>
      </c>
      <c r="Y1364">
        <v>7</v>
      </c>
      <c r="Z1364" s="8">
        <f t="shared" si="153"/>
        <v>0.2</v>
      </c>
      <c r="AA1364" s="8">
        <v>2.8507099999999999</v>
      </c>
    </row>
    <row r="1365" spans="1:27" ht="15" customHeight="1" x14ac:dyDescent="0.25">
      <c r="A1365" s="14">
        <v>545</v>
      </c>
      <c r="B1365" s="14">
        <v>545</v>
      </c>
      <c r="C1365" s="36">
        <v>-12269.9216</v>
      </c>
      <c r="D1365" s="16">
        <v>-12271.76331</v>
      </c>
      <c r="E1365" s="14"/>
      <c r="F1365" s="37">
        <v>0.99576900000000002</v>
      </c>
      <c r="G1365" s="16">
        <v>0.1847</v>
      </c>
      <c r="H1365" s="14">
        <v>6</v>
      </c>
      <c r="I1365" s="14">
        <v>7</v>
      </c>
      <c r="J1365" s="32"/>
      <c r="K1365" s="8">
        <f t="shared" si="147"/>
        <v>-0.7642692307690595</v>
      </c>
      <c r="L1365" s="8">
        <f t="shared" si="148"/>
        <v>-5.8789940828389189E-2</v>
      </c>
      <c r="M1365" s="8">
        <f t="shared" si="149"/>
        <v>-1.1297178461536532</v>
      </c>
      <c r="N1365" s="8">
        <f t="shared" si="150"/>
        <v>-8.6901372781050243E-2</v>
      </c>
      <c r="O1365" s="8"/>
      <c r="P1365" t="s">
        <v>1652</v>
      </c>
      <c r="Q1365">
        <v>35</v>
      </c>
      <c r="R1365" s="8">
        <v>2.8249499999999999</v>
      </c>
      <c r="S1365">
        <v>11</v>
      </c>
      <c r="T1365" s="8">
        <f t="shared" si="151"/>
        <v>0.31428571428571428</v>
      </c>
      <c r="U1365" s="8">
        <v>2.83643</v>
      </c>
      <c r="V1365">
        <v>17</v>
      </c>
      <c r="W1365" s="8">
        <f t="shared" si="152"/>
        <v>0.48571428571428571</v>
      </c>
      <c r="X1365" s="8">
        <v>2.8111299999999999</v>
      </c>
      <c r="Y1365">
        <v>7</v>
      </c>
      <c r="Z1365" s="8">
        <f t="shared" si="153"/>
        <v>0.2</v>
      </c>
      <c r="AA1365" s="8">
        <v>2.8404400000000001</v>
      </c>
    </row>
    <row r="1366" spans="1:27" ht="15" customHeight="1" x14ac:dyDescent="0.25">
      <c r="A1366" s="14">
        <v>546</v>
      </c>
      <c r="B1366" s="14">
        <v>546</v>
      </c>
      <c r="C1366" s="36">
        <v>-12270.0735</v>
      </c>
      <c r="D1366" s="16">
        <v>-12271.490334</v>
      </c>
      <c r="E1366" s="14"/>
      <c r="F1366" s="37">
        <v>0.99712400000000001</v>
      </c>
      <c r="G1366" s="16">
        <v>0.19617000000000001</v>
      </c>
      <c r="H1366" s="14">
        <v>6</v>
      </c>
      <c r="I1366" s="14">
        <v>7</v>
      </c>
      <c r="J1366" s="32"/>
      <c r="K1366" s="8">
        <f t="shared" si="147"/>
        <v>-0.91616923076981038</v>
      </c>
      <c r="L1366" s="8">
        <f t="shared" si="148"/>
        <v>-7.0474556213062339E-2</v>
      </c>
      <c r="M1366" s="8">
        <f t="shared" si="149"/>
        <v>-0.85674184615345439</v>
      </c>
      <c r="N1366" s="8">
        <f t="shared" si="150"/>
        <v>-6.5903218934881103E-2</v>
      </c>
      <c r="O1366" s="8"/>
      <c r="P1366" t="s">
        <v>1653</v>
      </c>
      <c r="Q1366">
        <v>36</v>
      </c>
      <c r="R1366" s="8">
        <v>2.8342900000000002</v>
      </c>
      <c r="S1366">
        <v>11</v>
      </c>
      <c r="T1366" s="8">
        <f t="shared" si="151"/>
        <v>0.30555555555555558</v>
      </c>
      <c r="U1366" s="8">
        <v>2.87432</v>
      </c>
      <c r="V1366">
        <v>19</v>
      </c>
      <c r="W1366" s="8">
        <f t="shared" si="152"/>
        <v>0.52777777777777779</v>
      </c>
      <c r="X1366" s="8">
        <v>2.8151899999999999</v>
      </c>
      <c r="Y1366">
        <v>6</v>
      </c>
      <c r="Z1366" s="8">
        <f t="shared" si="153"/>
        <v>0.16666666666666666</v>
      </c>
      <c r="AA1366" s="8">
        <v>2.82138</v>
      </c>
    </row>
    <row r="1367" spans="1:27" ht="15" customHeight="1" x14ac:dyDescent="0.25">
      <c r="A1367" s="14">
        <v>547</v>
      </c>
      <c r="B1367" s="14">
        <v>547</v>
      </c>
      <c r="C1367" s="36">
        <v>-12270.1913</v>
      </c>
      <c r="D1367" s="16">
        <v>-12271.916103</v>
      </c>
      <c r="E1367" s="14"/>
      <c r="F1367" s="37">
        <v>0.99715500000000001</v>
      </c>
      <c r="G1367" s="16">
        <v>0.19517000000000001</v>
      </c>
      <c r="H1367" s="14">
        <v>6</v>
      </c>
      <c r="I1367" s="14">
        <v>7</v>
      </c>
      <c r="J1367" s="32"/>
      <c r="K1367" s="8">
        <f t="shared" si="147"/>
        <v>-1.0339692307697987</v>
      </c>
      <c r="L1367" s="8">
        <f t="shared" si="148"/>
        <v>-7.9536094674599905E-2</v>
      </c>
      <c r="M1367" s="8">
        <f t="shared" si="149"/>
        <v>-1.2825108461529453</v>
      </c>
      <c r="N1367" s="8">
        <f t="shared" si="150"/>
        <v>-9.8654680473303488E-2</v>
      </c>
      <c r="O1367" s="8"/>
      <c r="P1367" t="s">
        <v>1654</v>
      </c>
      <c r="Q1367">
        <v>35</v>
      </c>
      <c r="R1367" s="8">
        <v>2.8247800000000001</v>
      </c>
      <c r="S1367">
        <v>10</v>
      </c>
      <c r="T1367" s="8">
        <f t="shared" si="151"/>
        <v>0.2857142857142857</v>
      </c>
      <c r="U1367" s="8">
        <v>2.8263500000000001</v>
      </c>
      <c r="V1367">
        <v>18</v>
      </c>
      <c r="W1367" s="8">
        <f t="shared" si="152"/>
        <v>0.51428571428571423</v>
      </c>
      <c r="X1367" s="8">
        <v>2.8211400000000002</v>
      </c>
      <c r="Y1367">
        <v>7</v>
      </c>
      <c r="Z1367" s="8">
        <f t="shared" si="153"/>
        <v>0.2</v>
      </c>
      <c r="AA1367" s="8">
        <v>2.83189</v>
      </c>
    </row>
    <row r="1368" spans="1:27" ht="15" customHeight="1" x14ac:dyDescent="0.25">
      <c r="A1368" s="14">
        <v>548</v>
      </c>
      <c r="B1368" s="14">
        <v>548</v>
      </c>
      <c r="C1368" s="36">
        <v>-12269.7845</v>
      </c>
      <c r="D1368" s="16">
        <v>-12271.424272</v>
      </c>
      <c r="E1368" s="14"/>
      <c r="F1368" s="37">
        <v>0.99663999999999997</v>
      </c>
      <c r="G1368" s="16">
        <v>0.19166999999999901</v>
      </c>
      <c r="H1368" s="14">
        <v>6</v>
      </c>
      <c r="I1368" s="14">
        <v>7</v>
      </c>
      <c r="J1368" s="32"/>
      <c r="K1368" s="8">
        <f t="shared" si="147"/>
        <v>-0.627169230769141</v>
      </c>
      <c r="L1368" s="8">
        <f t="shared" si="148"/>
        <v>-4.8243786982241618E-2</v>
      </c>
      <c r="M1368" s="8">
        <f t="shared" si="149"/>
        <v>-0.79067984615358</v>
      </c>
      <c r="N1368" s="8">
        <f t="shared" si="150"/>
        <v>-6.0821526627198461E-2</v>
      </c>
      <c r="O1368" s="8"/>
      <c r="P1368" t="s">
        <v>1655</v>
      </c>
      <c r="Q1368">
        <v>35</v>
      </c>
      <c r="R1368" s="8">
        <v>2.8302200000000002</v>
      </c>
      <c r="S1368">
        <v>13</v>
      </c>
      <c r="T1368" s="8">
        <f t="shared" si="151"/>
        <v>0.37142857142857144</v>
      </c>
      <c r="U1368" s="8">
        <v>2.8649300000000002</v>
      </c>
      <c r="V1368">
        <v>15</v>
      </c>
      <c r="W1368" s="8">
        <f t="shared" si="152"/>
        <v>0.42857142857142855</v>
      </c>
      <c r="X1368" s="8">
        <v>2.8071700000000002</v>
      </c>
      <c r="Y1368">
        <v>7</v>
      </c>
      <c r="Z1368" s="8">
        <f t="shared" si="153"/>
        <v>0.2</v>
      </c>
      <c r="AA1368" s="8">
        <v>2.8151299999999999</v>
      </c>
    </row>
    <row r="1369" spans="1:27" ht="15" customHeight="1" x14ac:dyDescent="0.25">
      <c r="A1369" s="14">
        <v>549</v>
      </c>
      <c r="B1369" s="14">
        <v>549</v>
      </c>
      <c r="C1369" s="36">
        <v>-12269.0718</v>
      </c>
      <c r="D1369" s="16">
        <v>-12271.750389999999</v>
      </c>
      <c r="E1369" s="14"/>
      <c r="F1369" s="37">
        <v>0.99421700000000002</v>
      </c>
      <c r="G1369" s="16">
        <v>0.175289999999999</v>
      </c>
      <c r="H1369" s="14">
        <v>6</v>
      </c>
      <c r="I1369" s="14">
        <v>7</v>
      </c>
      <c r="J1369" s="32"/>
      <c r="K1369" s="8">
        <f t="shared" si="147"/>
        <v>8.553076923089975E-2</v>
      </c>
      <c r="L1369" s="8">
        <f t="shared" si="148"/>
        <v>6.5792899408384422E-3</v>
      </c>
      <c r="M1369" s="8">
        <f t="shared" si="149"/>
        <v>-1.1167978461526218</v>
      </c>
      <c r="N1369" s="8">
        <f t="shared" si="150"/>
        <v>-8.5907526627124753E-2</v>
      </c>
      <c r="O1369" s="8"/>
      <c r="P1369" t="s">
        <v>1656</v>
      </c>
      <c r="Q1369">
        <v>35</v>
      </c>
      <c r="R1369" s="8">
        <v>2.8290000000000002</v>
      </c>
      <c r="S1369">
        <v>10</v>
      </c>
      <c r="T1369" s="8">
        <f t="shared" si="151"/>
        <v>0.2857142857142857</v>
      </c>
      <c r="U1369" s="8">
        <v>2.8807800000000001</v>
      </c>
      <c r="V1369">
        <v>21</v>
      </c>
      <c r="W1369" s="8">
        <f t="shared" si="152"/>
        <v>0.6</v>
      </c>
      <c r="X1369" s="8">
        <v>2.8023199999999999</v>
      </c>
      <c r="Y1369">
        <v>4</v>
      </c>
      <c r="Z1369" s="8">
        <f t="shared" si="153"/>
        <v>0.11428571428571428</v>
      </c>
      <c r="AA1369" s="8">
        <v>2.8395800000000002</v>
      </c>
    </row>
    <row r="1370" spans="1:27" ht="15" customHeight="1" x14ac:dyDescent="0.25">
      <c r="A1370" s="14">
        <v>550</v>
      </c>
      <c r="B1370" s="14">
        <v>550</v>
      </c>
      <c r="C1370" s="36">
        <v>-12269.992899999999</v>
      </c>
      <c r="D1370" s="16">
        <v>-12271.648251000001</v>
      </c>
      <c r="E1370" s="14"/>
      <c r="F1370" s="37">
        <v>0.99529800000000002</v>
      </c>
      <c r="G1370" s="16">
        <v>0.18148</v>
      </c>
      <c r="H1370" s="14">
        <v>6</v>
      </c>
      <c r="I1370" s="14">
        <v>7</v>
      </c>
      <c r="J1370" s="32"/>
      <c r="K1370" s="8">
        <f t="shared" si="147"/>
        <v>-0.83556923076866951</v>
      </c>
      <c r="L1370" s="8">
        <f t="shared" si="148"/>
        <v>-6.4274556212974579E-2</v>
      </c>
      <c r="M1370" s="8">
        <f t="shared" si="149"/>
        <v>-1.0146588461539068</v>
      </c>
      <c r="N1370" s="8">
        <f t="shared" si="150"/>
        <v>-7.8050680473377446E-2</v>
      </c>
      <c r="O1370" s="8"/>
      <c r="P1370" t="s">
        <v>1657</v>
      </c>
      <c r="Q1370">
        <v>36</v>
      </c>
      <c r="R1370" s="8">
        <v>2.8349299999999999</v>
      </c>
      <c r="S1370">
        <v>11</v>
      </c>
      <c r="T1370" s="8">
        <f t="shared" si="151"/>
        <v>0.30555555555555558</v>
      </c>
      <c r="U1370" s="8">
        <v>2.8582000000000001</v>
      </c>
      <c r="V1370">
        <v>19</v>
      </c>
      <c r="W1370" s="8">
        <f t="shared" si="152"/>
        <v>0.52777777777777779</v>
      </c>
      <c r="X1370" s="8">
        <v>2.8168500000000001</v>
      </c>
      <c r="Y1370">
        <v>6</v>
      </c>
      <c r="Z1370" s="8">
        <f t="shared" si="153"/>
        <v>0.16666666666666666</v>
      </c>
      <c r="AA1370" s="8">
        <v>2.8494700000000002</v>
      </c>
    </row>
    <row r="1371" spans="1:27" ht="15" customHeight="1" x14ac:dyDescent="0.25">
      <c r="A1371" s="14">
        <v>551</v>
      </c>
      <c r="B1371" s="14">
        <v>551</v>
      </c>
      <c r="C1371" s="36">
        <v>-12270.15</v>
      </c>
      <c r="D1371" s="16">
        <v>-12271.769958000001</v>
      </c>
      <c r="E1371" s="14"/>
      <c r="F1371" s="37">
        <v>0.99512999999999996</v>
      </c>
      <c r="G1371" s="16">
        <v>0.18043999999999999</v>
      </c>
      <c r="H1371" s="14">
        <v>6</v>
      </c>
      <c r="I1371" s="14">
        <v>7</v>
      </c>
      <c r="J1371" s="32"/>
      <c r="K1371" s="8">
        <f t="shared" si="147"/>
        <v>-0.99266923076902458</v>
      </c>
      <c r="L1371" s="8">
        <f t="shared" si="148"/>
        <v>-7.6359171597617279E-2</v>
      </c>
      <c r="M1371" s="8">
        <f t="shared" si="149"/>
        <v>-1.136365846154149</v>
      </c>
      <c r="N1371" s="8">
        <f t="shared" si="150"/>
        <v>-8.7412757396473001E-2</v>
      </c>
      <c r="O1371" s="8"/>
      <c r="P1371" t="s">
        <v>1658</v>
      </c>
      <c r="Q1371">
        <v>35</v>
      </c>
      <c r="R1371" s="8">
        <v>2.8286899999999999</v>
      </c>
      <c r="S1371">
        <v>11</v>
      </c>
      <c r="T1371" s="8">
        <f t="shared" si="151"/>
        <v>0.31428571428571428</v>
      </c>
      <c r="U1371" s="8">
        <v>2.8971800000000001</v>
      </c>
      <c r="V1371">
        <v>19</v>
      </c>
      <c r="W1371" s="8">
        <f t="shared" si="152"/>
        <v>0.54285714285714282</v>
      </c>
      <c r="X1371" s="8">
        <v>2.7822</v>
      </c>
      <c r="Y1371">
        <v>5</v>
      </c>
      <c r="Z1371" s="8">
        <f t="shared" si="153"/>
        <v>0.14285714285714285</v>
      </c>
      <c r="AA1371" s="8">
        <v>2.8546499999999999</v>
      </c>
    </row>
    <row r="1372" spans="1:27" ht="15" customHeight="1" x14ac:dyDescent="0.25">
      <c r="A1372" s="14">
        <v>552</v>
      </c>
      <c r="B1372" s="14">
        <v>552</v>
      </c>
      <c r="C1372" s="36">
        <v>-12269.856</v>
      </c>
      <c r="D1372" s="16">
        <v>-12271.508813</v>
      </c>
      <c r="E1372" s="14"/>
      <c r="F1372" s="37">
        <v>0.99657899999999999</v>
      </c>
      <c r="G1372" s="16">
        <v>0.19097999999999901</v>
      </c>
      <c r="H1372" s="14">
        <v>6</v>
      </c>
      <c r="I1372" s="14">
        <v>7</v>
      </c>
      <c r="J1372" s="32"/>
      <c r="K1372" s="8">
        <f t="shared" si="147"/>
        <v>-0.69866923076915555</v>
      </c>
      <c r="L1372" s="8">
        <f t="shared" si="148"/>
        <v>-5.3743786982242733E-2</v>
      </c>
      <c r="M1372" s="8">
        <f t="shared" si="149"/>
        <v>-0.87522084615375206</v>
      </c>
      <c r="N1372" s="8">
        <f t="shared" si="150"/>
        <v>-6.7324680473365539E-2</v>
      </c>
      <c r="O1372" s="8"/>
      <c r="P1372" t="s">
        <v>1659</v>
      </c>
      <c r="Q1372">
        <v>35</v>
      </c>
      <c r="R1372" s="8">
        <v>2.8308</v>
      </c>
      <c r="S1372">
        <v>11</v>
      </c>
      <c r="T1372" s="8">
        <f t="shared" si="151"/>
        <v>0.31428571428571428</v>
      </c>
      <c r="U1372" s="8">
        <v>2.8953700000000002</v>
      </c>
      <c r="V1372">
        <v>20</v>
      </c>
      <c r="W1372" s="8">
        <f t="shared" si="152"/>
        <v>0.5714285714285714</v>
      </c>
      <c r="X1372" s="8">
        <v>2.7858200000000002</v>
      </c>
      <c r="Y1372">
        <v>4</v>
      </c>
      <c r="Z1372" s="8">
        <f t="shared" si="153"/>
        <v>0.11428571428571428</v>
      </c>
      <c r="AA1372" s="8">
        <v>2.8780999999999999</v>
      </c>
    </row>
    <row r="1373" spans="1:27" ht="15" customHeight="1" x14ac:dyDescent="0.25">
      <c r="A1373" s="14">
        <v>553</v>
      </c>
      <c r="B1373" s="14">
        <v>553</v>
      </c>
      <c r="C1373" s="36">
        <v>-12270.287700000001</v>
      </c>
      <c r="D1373" s="16">
        <v>-12271.913441999999</v>
      </c>
      <c r="E1373" s="14"/>
      <c r="F1373" s="37">
        <v>0.99582800000000005</v>
      </c>
      <c r="G1373" s="16">
        <v>0.18515000000000001</v>
      </c>
      <c r="H1373" s="14">
        <v>6</v>
      </c>
      <c r="I1373" s="14">
        <v>7</v>
      </c>
      <c r="J1373" s="32"/>
      <c r="K1373" s="8">
        <f t="shared" si="147"/>
        <v>-1.1303692307701567</v>
      </c>
      <c r="L1373" s="8">
        <f t="shared" si="148"/>
        <v>-8.6951479290012054E-2</v>
      </c>
      <c r="M1373" s="8">
        <f t="shared" si="149"/>
        <v>-1.2798498461525014</v>
      </c>
      <c r="N1373" s="8">
        <f t="shared" si="150"/>
        <v>-9.8449988165577026E-2</v>
      </c>
      <c r="O1373" s="8"/>
      <c r="P1373" t="s">
        <v>1660</v>
      </c>
      <c r="Q1373">
        <v>35</v>
      </c>
      <c r="R1373" s="8">
        <v>2.8251200000000001</v>
      </c>
      <c r="S1373">
        <v>9</v>
      </c>
      <c r="T1373" s="8">
        <f t="shared" si="151"/>
        <v>0.25714285714285712</v>
      </c>
      <c r="U1373" s="8">
        <v>2.8367300000000002</v>
      </c>
      <c r="V1373">
        <v>20</v>
      </c>
      <c r="W1373" s="8">
        <f t="shared" si="152"/>
        <v>0.5714285714285714</v>
      </c>
      <c r="X1373" s="8">
        <v>2.8190599999999999</v>
      </c>
      <c r="Y1373">
        <v>6</v>
      </c>
      <c r="Z1373" s="8">
        <f t="shared" si="153"/>
        <v>0.17142857142857143</v>
      </c>
      <c r="AA1373" s="8">
        <v>2.8279100000000001</v>
      </c>
    </row>
    <row r="1374" spans="1:27" ht="15" customHeight="1" x14ac:dyDescent="0.25">
      <c r="A1374" s="14">
        <v>554</v>
      </c>
      <c r="B1374" s="14">
        <v>554</v>
      </c>
      <c r="C1374" s="36">
        <v>-12270.034600000001</v>
      </c>
      <c r="D1374" s="16">
        <v>-12271.671397</v>
      </c>
      <c r="E1374" s="14"/>
      <c r="F1374" s="37">
        <v>0.99565099999999995</v>
      </c>
      <c r="G1374" s="16">
        <v>0.183889999999999</v>
      </c>
      <c r="H1374" s="14">
        <v>6</v>
      </c>
      <c r="I1374" s="14">
        <v>7</v>
      </c>
      <c r="J1374" s="32"/>
      <c r="K1374" s="8">
        <f t="shared" si="147"/>
        <v>-0.87726923077025276</v>
      </c>
      <c r="L1374" s="8">
        <f t="shared" si="148"/>
        <v>-6.7482248520788671E-2</v>
      </c>
      <c r="M1374" s="8">
        <f t="shared" si="149"/>
        <v>-1.037804846153449</v>
      </c>
      <c r="N1374" s="8">
        <f t="shared" si="150"/>
        <v>-7.9831142011803774E-2</v>
      </c>
      <c r="O1374" s="8"/>
      <c r="P1374" t="s">
        <v>1661</v>
      </c>
      <c r="Q1374">
        <v>34</v>
      </c>
      <c r="R1374" s="8">
        <v>2.8193199999999998</v>
      </c>
      <c r="S1374">
        <v>11</v>
      </c>
      <c r="T1374" s="8">
        <f t="shared" si="151"/>
        <v>0.3235294117647059</v>
      </c>
      <c r="U1374" s="8">
        <v>2.8809800000000001</v>
      </c>
      <c r="V1374">
        <v>18</v>
      </c>
      <c r="W1374" s="8">
        <f t="shared" si="152"/>
        <v>0.52941176470588236</v>
      </c>
      <c r="X1374" s="8">
        <v>2.7856700000000001</v>
      </c>
      <c r="Y1374">
        <v>5</v>
      </c>
      <c r="Z1374" s="8">
        <f t="shared" si="153"/>
        <v>0.14705882352941177</v>
      </c>
      <c r="AA1374" s="8">
        <v>2.8048299999999999</v>
      </c>
    </row>
    <row r="1375" spans="1:27" ht="15" customHeight="1" x14ac:dyDescent="0.25">
      <c r="A1375" s="14">
        <v>555</v>
      </c>
      <c r="B1375" s="14">
        <v>555</v>
      </c>
      <c r="C1375" s="36">
        <v>-12270.1749</v>
      </c>
      <c r="D1375" s="16">
        <v>-12271.824745</v>
      </c>
      <c r="E1375" s="14"/>
      <c r="F1375" s="37">
        <v>0.99553800000000003</v>
      </c>
      <c r="G1375" s="16">
        <v>0.183139999999999</v>
      </c>
      <c r="H1375" s="14">
        <v>6</v>
      </c>
      <c r="I1375" s="14">
        <v>7</v>
      </c>
      <c r="J1375" s="32"/>
      <c r="K1375" s="8">
        <f t="shared" si="147"/>
        <v>-1.017569230769368</v>
      </c>
      <c r="L1375" s="8">
        <f t="shared" si="148"/>
        <v>-7.8274556213028312E-2</v>
      </c>
      <c r="M1375" s="8">
        <f t="shared" si="149"/>
        <v>-1.1911528461532725</v>
      </c>
      <c r="N1375" s="8">
        <f t="shared" si="150"/>
        <v>-9.1627142011790202E-2</v>
      </c>
      <c r="O1375" s="8"/>
      <c r="P1375" t="s">
        <v>1662</v>
      </c>
      <c r="Q1375">
        <v>36</v>
      </c>
      <c r="R1375" s="8">
        <v>2.83629</v>
      </c>
      <c r="S1375">
        <v>9</v>
      </c>
      <c r="T1375" s="8">
        <f t="shared" si="151"/>
        <v>0.25</v>
      </c>
      <c r="U1375" s="8">
        <v>2.8887399999999999</v>
      </c>
      <c r="V1375">
        <v>23</v>
      </c>
      <c r="W1375" s="8">
        <f t="shared" si="152"/>
        <v>0.63888888888888884</v>
      </c>
      <c r="X1375" s="8">
        <v>2.8195399999999999</v>
      </c>
      <c r="Y1375">
        <v>4</v>
      </c>
      <c r="Z1375" s="8">
        <f t="shared" si="153"/>
        <v>0.1111111111111111</v>
      </c>
      <c r="AA1375" s="8">
        <v>2.8146300000000002</v>
      </c>
    </row>
    <row r="1376" spans="1:27" ht="15" customHeight="1" x14ac:dyDescent="0.25">
      <c r="A1376" s="14">
        <v>556</v>
      </c>
      <c r="B1376" s="14">
        <v>556</v>
      </c>
      <c r="C1376" s="36">
        <v>-12270.152</v>
      </c>
      <c r="D1376" s="16">
        <v>-12271.780194000001</v>
      </c>
      <c r="E1376" s="14"/>
      <c r="F1376" s="37">
        <v>0.99550000000000005</v>
      </c>
      <c r="G1376" s="16">
        <v>0.18293999999999999</v>
      </c>
      <c r="H1376" s="14">
        <v>6</v>
      </c>
      <c r="I1376" s="14">
        <v>7</v>
      </c>
      <c r="J1376" s="32"/>
      <c r="K1376" s="8">
        <f t="shared" si="147"/>
        <v>-0.99466923076943203</v>
      </c>
      <c r="L1376" s="8">
        <f t="shared" si="148"/>
        <v>-7.6513017751494772E-2</v>
      </c>
      <c r="M1376" s="8">
        <f t="shared" si="149"/>
        <v>-1.1466018461542262</v>
      </c>
      <c r="N1376" s="8">
        <f t="shared" si="150"/>
        <v>-8.8200142011863561E-2</v>
      </c>
      <c r="O1376" s="8"/>
      <c r="P1376" t="s">
        <v>1663</v>
      </c>
      <c r="Q1376">
        <v>35</v>
      </c>
      <c r="R1376" s="8">
        <v>2.8316699999999999</v>
      </c>
      <c r="S1376">
        <v>9</v>
      </c>
      <c r="T1376" s="8">
        <f t="shared" si="151"/>
        <v>0.25714285714285712</v>
      </c>
      <c r="U1376" s="8">
        <v>2.87283</v>
      </c>
      <c r="V1376">
        <v>21</v>
      </c>
      <c r="W1376" s="8">
        <f t="shared" si="152"/>
        <v>0.6</v>
      </c>
      <c r="X1376" s="8">
        <v>2.7852700000000001</v>
      </c>
      <c r="Y1376">
        <v>5</v>
      </c>
      <c r="Z1376" s="8">
        <f t="shared" si="153"/>
        <v>0.14285714285714285</v>
      </c>
      <c r="AA1376" s="8">
        <v>2.9524499999999998</v>
      </c>
    </row>
    <row r="1377" spans="1:27" ht="15" customHeight="1" x14ac:dyDescent="0.25">
      <c r="A1377" s="14">
        <v>557</v>
      </c>
      <c r="B1377" s="14">
        <v>557</v>
      </c>
      <c r="C1377" s="36">
        <v>-12270.106900000001</v>
      </c>
      <c r="D1377" s="16">
        <v>-12271.517750999999</v>
      </c>
      <c r="E1377" s="14"/>
      <c r="F1377" s="37">
        <v>0.997058</v>
      </c>
      <c r="G1377" s="16">
        <v>0.195659999999999</v>
      </c>
      <c r="H1377" s="14">
        <v>6</v>
      </c>
      <c r="I1377" s="14">
        <v>7</v>
      </c>
      <c r="J1377" s="32"/>
      <c r="K1377" s="8">
        <f t="shared" si="147"/>
        <v>-0.9495692307700665</v>
      </c>
      <c r="L1377" s="8">
        <f t="shared" si="148"/>
        <v>-7.3043786982312814E-2</v>
      </c>
      <c r="M1377" s="8">
        <f t="shared" si="149"/>
        <v>-0.88415884615278628</v>
      </c>
      <c r="N1377" s="8">
        <f t="shared" si="150"/>
        <v>-6.8012218934829713E-2</v>
      </c>
      <c r="O1377" s="8"/>
      <c r="P1377" t="s">
        <v>1664</v>
      </c>
      <c r="Q1377">
        <v>35</v>
      </c>
      <c r="R1377" s="8">
        <v>2.8243399999999999</v>
      </c>
      <c r="S1377">
        <v>10</v>
      </c>
      <c r="T1377" s="8">
        <f t="shared" si="151"/>
        <v>0.2857142857142857</v>
      </c>
      <c r="U1377" s="8">
        <v>2.85256</v>
      </c>
      <c r="V1377">
        <v>19</v>
      </c>
      <c r="W1377" s="8">
        <f t="shared" si="152"/>
        <v>0.54285714285714282</v>
      </c>
      <c r="X1377" s="8">
        <v>2.8059400000000001</v>
      </c>
      <c r="Y1377">
        <v>6</v>
      </c>
      <c r="Z1377" s="8">
        <f t="shared" si="153"/>
        <v>0.17142857142857143</v>
      </c>
      <c r="AA1377" s="8">
        <v>2.8355600000000001</v>
      </c>
    </row>
    <row r="1378" spans="1:27" ht="15" customHeight="1" x14ac:dyDescent="0.25">
      <c r="A1378" s="14">
        <v>558</v>
      </c>
      <c r="B1378" s="14">
        <v>558</v>
      </c>
      <c r="C1378" s="36">
        <v>-12269.9722</v>
      </c>
      <c r="D1378" s="16">
        <v>-12271.680785</v>
      </c>
      <c r="E1378" s="14"/>
      <c r="F1378" s="37">
        <v>0.99523600000000001</v>
      </c>
      <c r="G1378" s="16">
        <v>0.18110999999999899</v>
      </c>
      <c r="H1378" s="14">
        <v>6</v>
      </c>
      <c r="I1378" s="14">
        <v>7</v>
      </c>
      <c r="J1378" s="32"/>
      <c r="K1378" s="8">
        <f t="shared" si="147"/>
        <v>-0.81486923076954554</v>
      </c>
      <c r="L1378" s="8">
        <f t="shared" si="148"/>
        <v>-6.2682248520734271E-2</v>
      </c>
      <c r="M1378" s="8">
        <f t="shared" si="149"/>
        <v>-1.0471928461538482</v>
      </c>
      <c r="N1378" s="8">
        <f t="shared" si="150"/>
        <v>-8.055329585798833E-2</v>
      </c>
      <c r="O1378" s="8"/>
      <c r="P1378" t="s">
        <v>1665</v>
      </c>
      <c r="Q1378">
        <v>36</v>
      </c>
      <c r="R1378" s="8">
        <v>2.84077</v>
      </c>
      <c r="S1378">
        <v>10</v>
      </c>
      <c r="T1378" s="8">
        <f t="shared" si="151"/>
        <v>0.27777777777777779</v>
      </c>
      <c r="U1378" s="8">
        <v>2.9083800000000002</v>
      </c>
      <c r="V1378">
        <v>23</v>
      </c>
      <c r="W1378" s="8">
        <f t="shared" si="152"/>
        <v>0.63888888888888884</v>
      </c>
      <c r="X1378" s="8">
        <v>2.8038699999999999</v>
      </c>
      <c r="Y1378">
        <v>3</v>
      </c>
      <c r="Z1378" s="8">
        <f t="shared" si="153"/>
        <v>8.3333333333333329E-2</v>
      </c>
      <c r="AA1378" s="8">
        <v>2.8982999999999999</v>
      </c>
    </row>
    <row r="1379" spans="1:27" ht="15" customHeight="1" x14ac:dyDescent="0.25">
      <c r="A1379" s="14">
        <v>559</v>
      </c>
      <c r="B1379" s="14">
        <v>559</v>
      </c>
      <c r="C1379" s="36">
        <v>-12270.1067</v>
      </c>
      <c r="D1379" s="16">
        <v>-12271.538344000001</v>
      </c>
      <c r="E1379" s="14"/>
      <c r="F1379" s="37">
        <v>0.99639299999999997</v>
      </c>
      <c r="G1379" s="16">
        <v>0.18950999999999901</v>
      </c>
      <c r="H1379" s="14">
        <v>6</v>
      </c>
      <c r="I1379" s="14">
        <v>7</v>
      </c>
      <c r="J1379" s="32"/>
      <c r="K1379" s="8">
        <f t="shared" si="147"/>
        <v>-0.94936923076966195</v>
      </c>
      <c r="L1379" s="8">
        <f t="shared" si="148"/>
        <v>-7.3028402366897074E-2</v>
      </c>
      <c r="M1379" s="8">
        <f t="shared" si="149"/>
        <v>-0.90475184615388571</v>
      </c>
      <c r="N1379" s="8">
        <f t="shared" si="150"/>
        <v>-6.9596295857991208E-2</v>
      </c>
      <c r="O1379" s="8"/>
      <c r="P1379" t="s">
        <v>1666</v>
      </c>
      <c r="Q1379">
        <v>36</v>
      </c>
      <c r="R1379" s="8">
        <v>2.8385799999999999</v>
      </c>
      <c r="S1379">
        <v>11</v>
      </c>
      <c r="T1379" s="8">
        <f t="shared" si="151"/>
        <v>0.30555555555555558</v>
      </c>
      <c r="U1379" s="8">
        <v>2.8695300000000001</v>
      </c>
      <c r="V1379">
        <v>19</v>
      </c>
      <c r="W1379" s="8">
        <f t="shared" si="152"/>
        <v>0.52777777777777779</v>
      </c>
      <c r="X1379" s="8">
        <v>2.82429</v>
      </c>
      <c r="Y1379">
        <v>6</v>
      </c>
      <c r="Z1379" s="8">
        <f t="shared" si="153"/>
        <v>0.16666666666666666</v>
      </c>
      <c r="AA1379" s="8">
        <v>2.82708</v>
      </c>
    </row>
    <row r="1380" spans="1:27" ht="15" customHeight="1" x14ac:dyDescent="0.25">
      <c r="A1380" s="14">
        <v>560</v>
      </c>
      <c r="B1380" s="14">
        <v>560</v>
      </c>
      <c r="C1380" s="36">
        <v>-12270.2412</v>
      </c>
      <c r="D1380" s="16">
        <v>-12271.862598</v>
      </c>
      <c r="E1380" s="14"/>
      <c r="F1380" s="37">
        <v>0.99344299999999996</v>
      </c>
      <c r="G1380" s="16">
        <v>0.17152000000000001</v>
      </c>
      <c r="H1380" s="14">
        <v>6</v>
      </c>
      <c r="I1380" s="14">
        <v>7</v>
      </c>
      <c r="J1380" s="32"/>
      <c r="K1380" s="8">
        <f t="shared" si="147"/>
        <v>-1.0838692307697784</v>
      </c>
      <c r="L1380" s="8">
        <f t="shared" si="148"/>
        <v>-8.3374556213059878E-2</v>
      </c>
      <c r="M1380" s="8">
        <f t="shared" si="149"/>
        <v>-1.2290058461530862</v>
      </c>
      <c r="N1380" s="8">
        <f t="shared" si="150"/>
        <v>-9.4538911242545084E-2</v>
      </c>
      <c r="O1380" s="8"/>
      <c r="P1380" t="s">
        <v>1667</v>
      </c>
      <c r="Q1380">
        <v>35</v>
      </c>
      <c r="R1380" s="8">
        <v>2.8226300000000002</v>
      </c>
      <c r="S1380">
        <v>9</v>
      </c>
      <c r="T1380" s="8">
        <f t="shared" si="151"/>
        <v>0.25714285714285712</v>
      </c>
      <c r="U1380" s="8">
        <v>2.84931</v>
      </c>
      <c r="V1380">
        <v>21</v>
      </c>
      <c r="W1380" s="8">
        <f t="shared" si="152"/>
        <v>0.6</v>
      </c>
      <c r="X1380" s="8">
        <v>2.8039900000000002</v>
      </c>
      <c r="Y1380">
        <v>5</v>
      </c>
      <c r="Z1380" s="8">
        <f t="shared" si="153"/>
        <v>0.14285714285714285</v>
      </c>
      <c r="AA1380" s="8">
        <v>2.8528699999999998</v>
      </c>
    </row>
    <row r="1381" spans="1:27" ht="15" customHeight="1" x14ac:dyDescent="0.25">
      <c r="A1381" s="14">
        <v>561</v>
      </c>
      <c r="B1381" s="14">
        <v>561</v>
      </c>
      <c r="C1381" s="36">
        <v>-12269.973728000001</v>
      </c>
      <c r="D1381" s="16">
        <v>-12271.828818</v>
      </c>
      <c r="E1381" s="14"/>
      <c r="F1381" s="37">
        <v>0.99739</v>
      </c>
      <c r="G1381" s="16">
        <v>0.19932999999999901</v>
      </c>
      <c r="H1381" s="14">
        <v>6</v>
      </c>
      <c r="I1381" s="14">
        <v>7</v>
      </c>
      <c r="J1381" s="32"/>
      <c r="K1381" s="8">
        <f t="shared" si="147"/>
        <v>-0.81639723077023518</v>
      </c>
      <c r="L1381" s="8">
        <f t="shared" si="148"/>
        <v>-6.2799786982325786E-2</v>
      </c>
      <c r="M1381" s="8">
        <f t="shared" si="149"/>
        <v>-1.1952258461533347</v>
      </c>
      <c r="N1381" s="8">
        <f t="shared" si="150"/>
        <v>-9.1940449704102672E-2</v>
      </c>
      <c r="O1381" s="8"/>
      <c r="P1381" t="s">
        <v>1668</v>
      </c>
      <c r="Q1381">
        <v>34</v>
      </c>
      <c r="R1381" s="8">
        <v>2.8185699999999998</v>
      </c>
      <c r="S1381">
        <v>9</v>
      </c>
      <c r="T1381" s="8">
        <f t="shared" si="151"/>
        <v>0.26470588235294118</v>
      </c>
      <c r="U1381" s="8">
        <v>2.8667699999999998</v>
      </c>
      <c r="V1381">
        <v>21</v>
      </c>
      <c r="W1381" s="8">
        <f t="shared" si="152"/>
        <v>0.61764705882352944</v>
      </c>
      <c r="X1381" s="8">
        <v>2.78233</v>
      </c>
      <c r="Y1381">
        <v>4</v>
      </c>
      <c r="Z1381" s="8">
        <f t="shared" si="153"/>
        <v>0.11764705882352941</v>
      </c>
      <c r="AA1381" s="8">
        <v>2.90036</v>
      </c>
    </row>
    <row r="1382" spans="1:27" ht="15" customHeight="1" x14ac:dyDescent="0.25">
      <c r="A1382" s="14">
        <v>562</v>
      </c>
      <c r="B1382" s="14">
        <v>562</v>
      </c>
      <c r="C1382" s="36">
        <v>-12270.063837</v>
      </c>
      <c r="D1382" s="16">
        <v>-12271.843996</v>
      </c>
      <c r="E1382" s="14"/>
      <c r="F1382" s="37">
        <v>0.994722</v>
      </c>
      <c r="G1382" s="16">
        <v>0.17805000000000001</v>
      </c>
      <c r="H1382" s="14">
        <v>6</v>
      </c>
      <c r="I1382" s="14">
        <v>7</v>
      </c>
      <c r="J1382" s="32"/>
      <c r="K1382" s="8">
        <f t="shared" si="147"/>
        <v>-0.90650623076908232</v>
      </c>
      <c r="L1382" s="8">
        <f t="shared" si="148"/>
        <v>-6.9731248520698647E-2</v>
      </c>
      <c r="M1382" s="8">
        <f t="shared" si="149"/>
        <v>-1.2104038461529854</v>
      </c>
      <c r="N1382" s="8">
        <f t="shared" si="150"/>
        <v>-9.3107988165614261E-2</v>
      </c>
      <c r="O1382" s="8"/>
      <c r="P1382" t="s">
        <v>1669</v>
      </c>
      <c r="Q1382">
        <v>35</v>
      </c>
      <c r="R1382" s="8">
        <v>2.8310499999999998</v>
      </c>
      <c r="S1382">
        <v>9</v>
      </c>
      <c r="T1382" s="8">
        <f t="shared" si="151"/>
        <v>0.25714285714285712</v>
      </c>
      <c r="U1382" s="8">
        <v>2.8565100000000001</v>
      </c>
      <c r="V1382">
        <v>22</v>
      </c>
      <c r="W1382" s="8">
        <f t="shared" si="152"/>
        <v>0.62857142857142856</v>
      </c>
      <c r="X1382" s="8">
        <v>2.79942</v>
      </c>
      <c r="Y1382">
        <v>4</v>
      </c>
      <c r="Z1382" s="8">
        <f t="shared" si="153"/>
        <v>0.11428571428571428</v>
      </c>
      <c r="AA1382" s="8">
        <v>2.9477699999999998</v>
      </c>
    </row>
    <row r="1383" spans="1:27" ht="15" customHeight="1" x14ac:dyDescent="0.25">
      <c r="A1383" s="14">
        <v>563</v>
      </c>
      <c r="B1383" s="14">
        <v>563</v>
      </c>
      <c r="C1383" s="36">
        <v>-12270.187400000001</v>
      </c>
      <c r="D1383" s="16">
        <v>-12271.553002000001</v>
      </c>
      <c r="E1383" s="14"/>
      <c r="F1383" s="37">
        <v>0.99757499999999999</v>
      </c>
      <c r="G1383" s="16">
        <v>0.20025000000000001</v>
      </c>
      <c r="H1383" s="14">
        <v>6</v>
      </c>
      <c r="I1383" s="14">
        <v>7</v>
      </c>
      <c r="J1383" s="32"/>
      <c r="K1383" s="8">
        <f t="shared" si="147"/>
        <v>-1.0300692307700956</v>
      </c>
      <c r="L1383" s="8">
        <f t="shared" si="148"/>
        <v>-7.923609467462274E-2</v>
      </c>
      <c r="M1383" s="8">
        <f t="shared" si="149"/>
        <v>-0.91940984615393972</v>
      </c>
      <c r="N1383" s="8">
        <f t="shared" si="150"/>
        <v>-7.0723834319533829E-2</v>
      </c>
      <c r="O1383" s="8"/>
      <c r="P1383" t="s">
        <v>1670</v>
      </c>
      <c r="Q1383">
        <v>36</v>
      </c>
      <c r="R1383" s="8">
        <v>2.8289</v>
      </c>
      <c r="S1383">
        <v>10</v>
      </c>
      <c r="T1383" s="8">
        <f t="shared" si="151"/>
        <v>0.27777777777777779</v>
      </c>
      <c r="U1383" s="8">
        <v>2.8326500000000001</v>
      </c>
      <c r="V1383">
        <v>18</v>
      </c>
      <c r="W1383" s="8">
        <f t="shared" si="152"/>
        <v>0.5</v>
      </c>
      <c r="X1383" s="8">
        <v>2.8351199999999999</v>
      </c>
      <c r="Y1383">
        <v>8</v>
      </c>
      <c r="Z1383" s="8">
        <f t="shared" si="153"/>
        <v>0.22222222222222221</v>
      </c>
      <c r="AA1383" s="8">
        <v>2.8102200000000002</v>
      </c>
    </row>
    <row r="1384" spans="1:27" ht="15" customHeight="1" x14ac:dyDescent="0.25">
      <c r="A1384" s="14">
        <v>564</v>
      </c>
      <c r="B1384" s="14">
        <v>564</v>
      </c>
      <c r="C1384" s="36">
        <v>-12270.0841</v>
      </c>
      <c r="D1384" s="16">
        <v>-12271.668514999999</v>
      </c>
      <c r="E1384" s="14"/>
      <c r="F1384" s="37">
        <v>0.99692099999999995</v>
      </c>
      <c r="G1384" s="16">
        <v>0.19436999999999999</v>
      </c>
      <c r="H1384" s="14">
        <v>6</v>
      </c>
      <c r="I1384" s="14">
        <v>7</v>
      </c>
      <c r="J1384" s="32"/>
      <c r="K1384" s="8">
        <f t="shared" si="147"/>
        <v>-0.9267692307694233</v>
      </c>
      <c r="L1384" s="8">
        <f t="shared" si="148"/>
        <v>-7.1289940828417178E-2</v>
      </c>
      <c r="M1384" s="8">
        <f t="shared" si="149"/>
        <v>-1.0349228461527673</v>
      </c>
      <c r="N1384" s="8">
        <f t="shared" si="150"/>
        <v>-7.9609449704059018E-2</v>
      </c>
      <c r="O1384" s="8"/>
      <c r="P1384" t="s">
        <v>1671</v>
      </c>
      <c r="Q1384">
        <v>35</v>
      </c>
      <c r="R1384" s="8">
        <v>2.8287</v>
      </c>
      <c r="S1384">
        <v>11</v>
      </c>
      <c r="T1384" s="8">
        <f t="shared" si="151"/>
        <v>0.31428571428571428</v>
      </c>
      <c r="U1384" s="8">
        <v>2.8667400000000001</v>
      </c>
      <c r="V1384">
        <v>18</v>
      </c>
      <c r="W1384" s="8">
        <f t="shared" si="152"/>
        <v>0.51428571428571423</v>
      </c>
      <c r="X1384" s="8">
        <v>2.8181699999999998</v>
      </c>
      <c r="Y1384">
        <v>6</v>
      </c>
      <c r="Z1384" s="8">
        <f t="shared" si="153"/>
        <v>0.17142857142857143</v>
      </c>
      <c r="AA1384" s="8">
        <v>2.7905600000000002</v>
      </c>
    </row>
    <row r="1385" spans="1:27" ht="15" customHeight="1" x14ac:dyDescent="0.25">
      <c r="A1385" s="14">
        <v>565</v>
      </c>
      <c r="B1385" s="14">
        <v>565</v>
      </c>
      <c r="C1385" s="36">
        <v>-12270.1821</v>
      </c>
      <c r="D1385" s="16">
        <v>-12271.568719999999</v>
      </c>
      <c r="E1385" s="14"/>
      <c r="F1385" s="37">
        <v>0.99535200000000001</v>
      </c>
      <c r="G1385" s="16">
        <v>0.18185999999999999</v>
      </c>
      <c r="H1385" s="14">
        <v>6</v>
      </c>
      <c r="I1385" s="14">
        <v>7</v>
      </c>
      <c r="J1385" s="32"/>
      <c r="K1385" s="8">
        <f t="shared" si="147"/>
        <v>-1.0247692307693796</v>
      </c>
      <c r="L1385" s="8">
        <f t="shared" si="148"/>
        <v>-7.8828402366875355E-2</v>
      </c>
      <c r="M1385" s="8">
        <f t="shared" si="149"/>
        <v>-0.93512784615268174</v>
      </c>
      <c r="N1385" s="8">
        <f t="shared" si="150"/>
        <v>-7.1932911242513983E-2</v>
      </c>
      <c r="O1385" s="8"/>
      <c r="P1385" t="s">
        <v>1672</v>
      </c>
      <c r="Q1385">
        <v>36</v>
      </c>
      <c r="R1385" s="8">
        <v>2.8363100000000001</v>
      </c>
      <c r="S1385">
        <v>10</v>
      </c>
      <c r="T1385" s="8">
        <f t="shared" si="151"/>
        <v>0.27777777777777779</v>
      </c>
      <c r="U1385" s="8">
        <v>2.8639800000000002</v>
      </c>
      <c r="V1385">
        <v>20</v>
      </c>
      <c r="W1385" s="8">
        <f t="shared" si="152"/>
        <v>0.55555555555555558</v>
      </c>
      <c r="X1385" s="8">
        <v>2.8266800000000001</v>
      </c>
      <c r="Y1385">
        <v>6</v>
      </c>
      <c r="Z1385" s="8">
        <f t="shared" si="153"/>
        <v>0.16666666666666666</v>
      </c>
      <c r="AA1385" s="8">
        <v>2.8223199999999999</v>
      </c>
    </row>
    <row r="1386" spans="1:27" ht="15" customHeight="1" x14ac:dyDescent="0.25">
      <c r="A1386" s="14">
        <v>566</v>
      </c>
      <c r="B1386" s="14">
        <v>566</v>
      </c>
      <c r="C1386" s="36">
        <v>-12270.089</v>
      </c>
      <c r="D1386" s="16">
        <v>-12271.724383999999</v>
      </c>
      <c r="E1386" s="14"/>
      <c r="F1386" s="37">
        <v>0.99578500000000003</v>
      </c>
      <c r="G1386" s="16">
        <v>0.18465999999999899</v>
      </c>
      <c r="H1386" s="14">
        <v>6</v>
      </c>
      <c r="I1386" s="14">
        <v>7</v>
      </c>
      <c r="J1386" s="32"/>
      <c r="K1386" s="8">
        <f t="shared" si="147"/>
        <v>-0.93166923076933017</v>
      </c>
      <c r="L1386" s="8">
        <f t="shared" si="148"/>
        <v>-7.1666863905333084E-2</v>
      </c>
      <c r="M1386" s="8">
        <f t="shared" si="149"/>
        <v>-1.0907918461525696</v>
      </c>
      <c r="N1386" s="8">
        <f t="shared" si="150"/>
        <v>-8.3907065088659208E-2</v>
      </c>
      <c r="O1386" s="8"/>
      <c r="P1386" t="s">
        <v>1673</v>
      </c>
      <c r="Q1386">
        <v>36</v>
      </c>
      <c r="R1386" s="8">
        <v>2.8421400000000001</v>
      </c>
      <c r="S1386">
        <v>11</v>
      </c>
      <c r="T1386" s="8">
        <f t="shared" si="151"/>
        <v>0.30555555555555558</v>
      </c>
      <c r="U1386" s="8">
        <v>2.8858899999999998</v>
      </c>
      <c r="V1386">
        <v>20</v>
      </c>
      <c r="W1386" s="8">
        <f t="shared" si="152"/>
        <v>0.55555555555555558</v>
      </c>
      <c r="X1386" s="8">
        <v>2.83067</v>
      </c>
      <c r="Y1386">
        <v>5</v>
      </c>
      <c r="Z1386" s="8">
        <f t="shared" si="153"/>
        <v>0.1388888888888889</v>
      </c>
      <c r="AA1386" s="8">
        <v>2.7917800000000002</v>
      </c>
    </row>
    <row r="1387" spans="1:27" ht="15" customHeight="1" x14ac:dyDescent="0.25">
      <c r="A1387" s="14">
        <v>567</v>
      </c>
      <c r="B1387" s="14">
        <v>567</v>
      </c>
      <c r="C1387" s="36">
        <v>-12270.025299999999</v>
      </c>
      <c r="D1387" s="16">
        <v>-12271.637490999999</v>
      </c>
      <c r="E1387" s="14"/>
      <c r="F1387" s="37">
        <v>0.99669700000000006</v>
      </c>
      <c r="G1387" s="16">
        <v>0.19213</v>
      </c>
      <c r="H1387" s="14">
        <v>6</v>
      </c>
      <c r="I1387" s="14">
        <v>7</v>
      </c>
      <c r="J1387" s="32"/>
      <c r="K1387" s="8">
        <f t="shared" si="147"/>
        <v>-0.8679692307687219</v>
      </c>
      <c r="L1387" s="8">
        <f t="shared" si="148"/>
        <v>-6.67668639052863E-2</v>
      </c>
      <c r="M1387" s="8">
        <f t="shared" si="149"/>
        <v>-1.0038988461528788</v>
      </c>
      <c r="N1387" s="8">
        <f t="shared" si="150"/>
        <v>-7.7222988165606063E-2</v>
      </c>
      <c r="O1387" s="8"/>
      <c r="P1387" t="s">
        <v>1674</v>
      </c>
      <c r="Q1387">
        <v>36</v>
      </c>
      <c r="R1387" s="8">
        <v>2.83846</v>
      </c>
      <c r="S1387">
        <v>11</v>
      </c>
      <c r="T1387" s="8">
        <f t="shared" si="151"/>
        <v>0.30555555555555558</v>
      </c>
      <c r="U1387" s="8">
        <v>2.9090099999999999</v>
      </c>
      <c r="V1387">
        <v>20</v>
      </c>
      <c r="W1387" s="8">
        <f t="shared" si="152"/>
        <v>0.55555555555555558</v>
      </c>
      <c r="X1387" s="8">
        <v>2.79759</v>
      </c>
      <c r="Y1387">
        <v>5</v>
      </c>
      <c r="Z1387" s="8">
        <f t="shared" si="153"/>
        <v>0.1388888888888889</v>
      </c>
      <c r="AA1387" s="8">
        <v>2.8467600000000002</v>
      </c>
    </row>
    <row r="1388" spans="1:27" ht="15" customHeight="1" x14ac:dyDescent="0.25">
      <c r="A1388" s="14">
        <v>568</v>
      </c>
      <c r="B1388" s="14">
        <v>568</v>
      </c>
      <c r="C1388" s="36">
        <v>-12270.1049</v>
      </c>
      <c r="D1388" s="16">
        <v>-12271.72696</v>
      </c>
      <c r="E1388" s="14"/>
      <c r="F1388" s="37">
        <v>0.998892</v>
      </c>
      <c r="G1388" s="16">
        <v>0.21620999999999899</v>
      </c>
      <c r="H1388" s="14">
        <v>6</v>
      </c>
      <c r="I1388" s="14">
        <v>7</v>
      </c>
      <c r="J1388" s="32"/>
      <c r="K1388" s="8">
        <f t="shared" si="147"/>
        <v>-0.94756923076965904</v>
      </c>
      <c r="L1388" s="8">
        <f t="shared" si="148"/>
        <v>-7.2889940828435307E-2</v>
      </c>
      <c r="M1388" s="8">
        <f t="shared" si="149"/>
        <v>-1.0933678461533418</v>
      </c>
      <c r="N1388" s="8">
        <f t="shared" si="150"/>
        <v>-8.4105218934872453E-2</v>
      </c>
      <c r="O1388" s="8"/>
      <c r="P1388" t="s">
        <v>1675</v>
      </c>
      <c r="Q1388">
        <v>32</v>
      </c>
      <c r="R1388" s="8">
        <v>2.8010799999999998</v>
      </c>
      <c r="S1388">
        <v>8</v>
      </c>
      <c r="T1388" s="8">
        <f t="shared" si="151"/>
        <v>0.25</v>
      </c>
      <c r="U1388" s="8">
        <v>2.8319999999999999</v>
      </c>
      <c r="V1388">
        <v>20</v>
      </c>
      <c r="W1388" s="8">
        <f t="shared" si="152"/>
        <v>0.625</v>
      </c>
      <c r="X1388" s="8">
        <v>2.7936000000000001</v>
      </c>
      <c r="Y1388">
        <v>4</v>
      </c>
      <c r="Z1388" s="8">
        <f t="shared" si="153"/>
        <v>0.125</v>
      </c>
      <c r="AA1388" s="8">
        <v>2.7766299999999999</v>
      </c>
    </row>
    <row r="1389" spans="1:27" ht="15" customHeight="1" x14ac:dyDescent="0.25">
      <c r="A1389" s="14">
        <v>569</v>
      </c>
      <c r="B1389" s="14">
        <v>569</v>
      </c>
      <c r="C1389" s="36">
        <v>-12269.744199999999</v>
      </c>
      <c r="D1389" s="16">
        <v>-12271.497056</v>
      </c>
      <c r="E1389" s="14"/>
      <c r="F1389" s="37">
        <v>0.99685500000000005</v>
      </c>
      <c r="G1389" s="16">
        <v>0.19361999999999999</v>
      </c>
      <c r="H1389" s="14">
        <v>6</v>
      </c>
      <c r="I1389" s="14">
        <v>7</v>
      </c>
      <c r="J1389" s="32"/>
      <c r="K1389" s="8">
        <f t="shared" si="147"/>
        <v>-0.58686923076857056</v>
      </c>
      <c r="L1389" s="8">
        <f t="shared" si="148"/>
        <v>-4.5143786982197738E-2</v>
      </c>
      <c r="M1389" s="8">
        <f t="shared" si="149"/>
        <v>-0.863463846153536</v>
      </c>
      <c r="N1389" s="8">
        <f t="shared" si="150"/>
        <v>-6.6420295857964301E-2</v>
      </c>
      <c r="O1389" s="8"/>
      <c r="P1389" t="s">
        <v>1676</v>
      </c>
      <c r="Q1389">
        <v>36</v>
      </c>
      <c r="R1389" s="8">
        <v>2.83466</v>
      </c>
      <c r="S1389">
        <v>11</v>
      </c>
      <c r="T1389" s="8">
        <f t="shared" si="151"/>
        <v>0.30555555555555558</v>
      </c>
      <c r="U1389" s="8">
        <v>2.8684400000000001</v>
      </c>
      <c r="V1389">
        <v>19</v>
      </c>
      <c r="W1389" s="8">
        <f t="shared" si="152"/>
        <v>0.52777777777777779</v>
      </c>
      <c r="X1389" s="8">
        <v>2.8114499999999998</v>
      </c>
      <c r="Y1389">
        <v>6</v>
      </c>
      <c r="Z1389" s="8">
        <f t="shared" si="153"/>
        <v>0.16666666666666666</v>
      </c>
      <c r="AA1389" s="8">
        <v>2.84626</v>
      </c>
    </row>
    <row r="1390" spans="1:27" ht="15" customHeight="1" x14ac:dyDescent="0.25">
      <c r="A1390" s="14">
        <v>570</v>
      </c>
      <c r="B1390" s="14">
        <v>570</v>
      </c>
      <c r="C1390" s="36">
        <v>-12269.8472</v>
      </c>
      <c r="D1390" s="16">
        <v>-12271.978249</v>
      </c>
      <c r="E1390" s="14"/>
      <c r="F1390" s="37">
        <v>0.99505500000000002</v>
      </c>
      <c r="G1390" s="16">
        <v>0.18007999999999999</v>
      </c>
      <c r="H1390" s="14">
        <v>6</v>
      </c>
      <c r="I1390" s="14">
        <v>7</v>
      </c>
      <c r="J1390" s="32"/>
      <c r="K1390" s="8">
        <f t="shared" si="147"/>
        <v>-0.68986923076954554</v>
      </c>
      <c r="L1390" s="8">
        <f t="shared" si="148"/>
        <v>-5.3066863905349655E-2</v>
      </c>
      <c r="M1390" s="8">
        <f t="shared" si="149"/>
        <v>-1.3446568461531569</v>
      </c>
      <c r="N1390" s="8">
        <f t="shared" si="150"/>
        <v>-0.10343514201178131</v>
      </c>
      <c r="O1390" s="8"/>
      <c r="P1390" t="s">
        <v>1677</v>
      </c>
      <c r="Q1390">
        <v>36</v>
      </c>
      <c r="R1390" s="8">
        <v>2.8344399999999998</v>
      </c>
      <c r="S1390">
        <v>10</v>
      </c>
      <c r="T1390" s="8">
        <f t="shared" si="151"/>
        <v>0.27777777777777779</v>
      </c>
      <c r="U1390" s="8">
        <v>2.8814000000000002</v>
      </c>
      <c r="V1390">
        <v>21</v>
      </c>
      <c r="W1390" s="8">
        <f t="shared" si="152"/>
        <v>0.58333333333333337</v>
      </c>
      <c r="X1390" s="8">
        <v>2.8087499999999999</v>
      </c>
      <c r="Y1390">
        <v>5</v>
      </c>
      <c r="Z1390" s="8">
        <f t="shared" si="153"/>
        <v>0.1388888888888889</v>
      </c>
      <c r="AA1390" s="8">
        <v>2.8484699999999998</v>
      </c>
    </row>
    <row r="1391" spans="1:27" ht="15" customHeight="1" x14ac:dyDescent="0.25">
      <c r="A1391" s="14">
        <v>571</v>
      </c>
      <c r="B1391" s="14">
        <v>571</v>
      </c>
      <c r="C1391" s="36">
        <v>-12269.5363</v>
      </c>
      <c r="D1391" s="16">
        <v>-12271.179339</v>
      </c>
      <c r="E1391" s="14"/>
      <c r="F1391" s="37">
        <v>0.99532799999999999</v>
      </c>
      <c r="G1391" s="16">
        <v>0.18167</v>
      </c>
      <c r="H1391" s="14">
        <v>6</v>
      </c>
      <c r="I1391" s="14">
        <v>7</v>
      </c>
      <c r="J1391" s="32"/>
      <c r="K1391" s="8">
        <f t="shared" si="147"/>
        <v>-0.37896923076914391</v>
      </c>
      <c r="L1391" s="8">
        <f t="shared" si="148"/>
        <v>-2.9151479289934147E-2</v>
      </c>
      <c r="M1391" s="8">
        <f t="shared" si="149"/>
        <v>-0.54574684615363367</v>
      </c>
      <c r="N1391" s="8">
        <f t="shared" si="150"/>
        <v>-4.1980526627202593E-2</v>
      </c>
      <c r="O1391" s="8"/>
      <c r="P1391" t="s">
        <v>1678</v>
      </c>
      <c r="Q1391">
        <v>36</v>
      </c>
      <c r="R1391" s="8">
        <v>2.83561</v>
      </c>
      <c r="S1391">
        <v>13</v>
      </c>
      <c r="T1391" s="8">
        <f t="shared" si="151"/>
        <v>0.3611111111111111</v>
      </c>
      <c r="U1391" s="8">
        <v>2.8792</v>
      </c>
      <c r="V1391">
        <v>17</v>
      </c>
      <c r="W1391" s="8">
        <f t="shared" si="152"/>
        <v>0.47222222222222221</v>
      </c>
      <c r="X1391" s="8">
        <v>2.7999000000000001</v>
      </c>
      <c r="Y1391">
        <v>6</v>
      </c>
      <c r="Z1391" s="8">
        <f t="shared" si="153"/>
        <v>0.16666666666666666</v>
      </c>
      <c r="AA1391" s="8">
        <v>2.84233</v>
      </c>
    </row>
    <row r="1392" spans="1:27" ht="15" customHeight="1" x14ac:dyDescent="0.25">
      <c r="A1392" s="14">
        <v>572</v>
      </c>
      <c r="B1392" s="14">
        <v>572</v>
      </c>
      <c r="C1392" s="36">
        <v>-12269.7199</v>
      </c>
      <c r="D1392" s="16">
        <v>-12271.387879</v>
      </c>
      <c r="E1392" s="14"/>
      <c r="F1392" s="37">
        <v>0.99395999999999995</v>
      </c>
      <c r="G1392" s="16">
        <v>0.17401</v>
      </c>
      <c r="H1392" s="14">
        <v>6</v>
      </c>
      <c r="I1392" s="14">
        <v>7</v>
      </c>
      <c r="J1392" s="32"/>
      <c r="K1392" s="8">
        <f t="shared" si="147"/>
        <v>-0.56256923076944076</v>
      </c>
      <c r="L1392" s="8">
        <f t="shared" si="148"/>
        <v>-4.3274556213033902E-2</v>
      </c>
      <c r="M1392" s="8">
        <f t="shared" si="149"/>
        <v>-0.75428684615326347</v>
      </c>
      <c r="N1392" s="8">
        <f t="shared" si="150"/>
        <v>-5.8022065088712577E-2</v>
      </c>
      <c r="O1392" s="8"/>
      <c r="P1392" t="s">
        <v>1679</v>
      </c>
      <c r="Q1392">
        <v>36</v>
      </c>
      <c r="R1392" s="8">
        <v>2.8347500000000001</v>
      </c>
      <c r="S1392">
        <v>12</v>
      </c>
      <c r="T1392" s="8">
        <f t="shared" si="151"/>
        <v>0.33333333333333331</v>
      </c>
      <c r="U1392" s="8">
        <v>2.8483100000000001</v>
      </c>
      <c r="V1392">
        <v>16</v>
      </c>
      <c r="W1392" s="8">
        <f t="shared" si="152"/>
        <v>0.44444444444444442</v>
      </c>
      <c r="X1392" s="8">
        <v>2.82267</v>
      </c>
      <c r="Y1392">
        <v>8</v>
      </c>
      <c r="Z1392" s="8">
        <f t="shared" si="153"/>
        <v>0.22222222222222221</v>
      </c>
      <c r="AA1392" s="8">
        <v>2.8385899999999999</v>
      </c>
    </row>
    <row r="1393" spans="1:27" ht="15" customHeight="1" x14ac:dyDescent="0.25">
      <c r="A1393" s="14">
        <v>573</v>
      </c>
      <c r="B1393" s="14">
        <v>573</v>
      </c>
      <c r="C1393" s="36">
        <v>-12269.846299999999</v>
      </c>
      <c r="D1393" s="16">
        <v>-12271.882578999999</v>
      </c>
      <c r="E1393" s="14"/>
      <c r="F1393" s="37">
        <v>0.99393100000000001</v>
      </c>
      <c r="G1393" s="16">
        <v>0.17382999999999901</v>
      </c>
      <c r="H1393" s="14">
        <v>6</v>
      </c>
      <c r="I1393" s="14">
        <v>7</v>
      </c>
      <c r="J1393" s="32"/>
      <c r="K1393" s="8">
        <f t="shared" si="147"/>
        <v>-0.68896923076863459</v>
      </c>
      <c r="L1393" s="8">
        <f t="shared" si="148"/>
        <v>-5.2997633136048813E-2</v>
      </c>
      <c r="M1393" s="8">
        <f t="shared" si="149"/>
        <v>-1.2489868461525475</v>
      </c>
      <c r="N1393" s="8">
        <f t="shared" si="150"/>
        <v>-9.6075911242503656E-2</v>
      </c>
      <c r="O1393" s="8"/>
      <c r="P1393" t="s">
        <v>1680</v>
      </c>
      <c r="Q1393">
        <v>36</v>
      </c>
      <c r="R1393" s="8">
        <v>2.8334199999999998</v>
      </c>
      <c r="S1393">
        <v>11</v>
      </c>
      <c r="T1393" s="8">
        <f t="shared" si="151"/>
        <v>0.30555555555555558</v>
      </c>
      <c r="U1393" s="8">
        <v>2.8476300000000001</v>
      </c>
      <c r="V1393">
        <v>18</v>
      </c>
      <c r="W1393" s="8">
        <f t="shared" si="152"/>
        <v>0.5</v>
      </c>
      <c r="X1393" s="8">
        <v>2.83405</v>
      </c>
      <c r="Y1393">
        <v>7</v>
      </c>
      <c r="Z1393" s="8">
        <f t="shared" si="153"/>
        <v>0.19444444444444445</v>
      </c>
      <c r="AA1393" s="8">
        <v>2.8094600000000001</v>
      </c>
    </row>
    <row r="1394" spans="1:27" ht="15" customHeight="1" x14ac:dyDescent="0.25">
      <c r="A1394" s="14">
        <v>574</v>
      </c>
      <c r="B1394" s="14">
        <v>574</v>
      </c>
      <c r="C1394" s="36">
        <v>-12269.951300000001</v>
      </c>
      <c r="D1394" s="16">
        <v>-12271.738606999999</v>
      </c>
      <c r="E1394" s="14"/>
      <c r="F1394" s="37">
        <v>0.99438499999999996</v>
      </c>
      <c r="G1394" s="16">
        <v>0.17624999999999999</v>
      </c>
      <c r="H1394" s="14">
        <v>6</v>
      </c>
      <c r="I1394" s="14">
        <v>7</v>
      </c>
      <c r="J1394" s="32"/>
      <c r="K1394" s="8">
        <f t="shared" si="147"/>
        <v>-0.79396923077001702</v>
      </c>
      <c r="L1394" s="8">
        <f t="shared" si="148"/>
        <v>-6.1074556213078231E-2</v>
      </c>
      <c r="M1394" s="8">
        <f t="shared" si="149"/>
        <v>-1.1050148461526987</v>
      </c>
      <c r="N1394" s="8">
        <f t="shared" si="150"/>
        <v>-8.500114201174605E-2</v>
      </c>
      <c r="O1394" s="8"/>
      <c r="P1394" t="s">
        <v>1681</v>
      </c>
      <c r="Q1394">
        <v>34</v>
      </c>
      <c r="R1394" s="8">
        <v>2.8185099999999998</v>
      </c>
      <c r="S1394">
        <v>10</v>
      </c>
      <c r="T1394" s="8">
        <f t="shared" si="151"/>
        <v>0.29411764705882354</v>
      </c>
      <c r="U1394" s="8">
        <v>2.8794200000000001</v>
      </c>
      <c r="V1394">
        <v>19</v>
      </c>
      <c r="W1394" s="8">
        <f t="shared" si="152"/>
        <v>0.55882352941176472</v>
      </c>
      <c r="X1394" s="8">
        <v>2.7788200000000001</v>
      </c>
      <c r="Y1394">
        <v>5</v>
      </c>
      <c r="Z1394" s="8">
        <f t="shared" si="153"/>
        <v>0.14705882352941177</v>
      </c>
      <c r="AA1394" s="8">
        <v>2.8475100000000002</v>
      </c>
    </row>
    <row r="1395" spans="1:27" ht="15" customHeight="1" x14ac:dyDescent="0.25">
      <c r="A1395" s="14">
        <v>575</v>
      </c>
      <c r="B1395" s="14">
        <v>575</v>
      </c>
      <c r="C1395" s="36">
        <v>-12269.4647</v>
      </c>
      <c r="D1395" s="16">
        <v>-12271.524658</v>
      </c>
      <c r="E1395" s="14"/>
      <c r="F1395" s="37">
        <v>0.99629999999999996</v>
      </c>
      <c r="G1395" s="16">
        <v>0.18867999999999899</v>
      </c>
      <c r="H1395" s="14">
        <v>6</v>
      </c>
      <c r="I1395" s="14">
        <v>7</v>
      </c>
      <c r="J1395" s="32"/>
      <c r="K1395" s="8">
        <f t="shared" si="147"/>
        <v>-0.30736923076983658</v>
      </c>
      <c r="L1395" s="8">
        <f t="shared" si="148"/>
        <v>-2.364378698229512E-2</v>
      </c>
      <c r="M1395" s="8">
        <f t="shared" si="149"/>
        <v>-0.89106584615365136</v>
      </c>
      <c r="N1395" s="8">
        <f t="shared" si="150"/>
        <v>-6.8543526627203949E-2</v>
      </c>
      <c r="O1395" s="8"/>
      <c r="P1395" t="s">
        <v>1682</v>
      </c>
      <c r="Q1395">
        <v>35</v>
      </c>
      <c r="R1395" s="8">
        <v>2.8231799999999998</v>
      </c>
      <c r="S1395">
        <v>12</v>
      </c>
      <c r="T1395" s="8">
        <f t="shared" si="151"/>
        <v>0.34285714285714286</v>
      </c>
      <c r="U1395" s="8">
        <v>2.83026</v>
      </c>
      <c r="V1395">
        <v>15</v>
      </c>
      <c r="W1395" s="8">
        <f t="shared" si="152"/>
        <v>0.42857142857142855</v>
      </c>
      <c r="X1395" s="8">
        <v>2.8187199999999999</v>
      </c>
      <c r="Y1395">
        <v>8</v>
      </c>
      <c r="Z1395" s="8">
        <f t="shared" si="153"/>
        <v>0.22857142857142856</v>
      </c>
      <c r="AA1395" s="8">
        <v>2.8209200000000001</v>
      </c>
    </row>
    <row r="1396" spans="1:27" ht="15" customHeight="1" x14ac:dyDescent="0.25">
      <c r="A1396" s="14">
        <v>576</v>
      </c>
      <c r="B1396" s="14">
        <v>576</v>
      </c>
      <c r="C1396" s="36">
        <v>-12269.689899999999</v>
      </c>
      <c r="D1396" s="16">
        <v>-12271.421353</v>
      </c>
      <c r="E1396" s="14"/>
      <c r="F1396" s="37">
        <v>0.99574099999999999</v>
      </c>
      <c r="G1396" s="16">
        <v>0.18451000000000001</v>
      </c>
      <c r="H1396" s="14">
        <v>6</v>
      </c>
      <c r="I1396" s="14">
        <v>7</v>
      </c>
      <c r="J1396" s="32"/>
      <c r="K1396" s="8">
        <f t="shared" si="147"/>
        <v>-0.53256923076878593</v>
      </c>
      <c r="L1396" s="8">
        <f t="shared" si="148"/>
        <v>-4.0966863905291223E-2</v>
      </c>
      <c r="M1396" s="8">
        <f t="shared" si="149"/>
        <v>-0.78776084615310538</v>
      </c>
      <c r="N1396" s="8">
        <f t="shared" si="150"/>
        <v>-6.0596988165623492E-2</v>
      </c>
      <c r="O1396" s="8"/>
      <c r="P1396" t="s">
        <v>1683</v>
      </c>
      <c r="Q1396">
        <v>36</v>
      </c>
      <c r="R1396" s="8">
        <v>2.8369800000000001</v>
      </c>
      <c r="S1396">
        <v>12</v>
      </c>
      <c r="T1396" s="8">
        <f t="shared" si="151"/>
        <v>0.33333333333333331</v>
      </c>
      <c r="U1396" s="8">
        <v>2.8777900000000001</v>
      </c>
      <c r="V1396">
        <v>18</v>
      </c>
      <c r="W1396" s="8">
        <f t="shared" si="152"/>
        <v>0.5</v>
      </c>
      <c r="X1396" s="8">
        <v>2.8046000000000002</v>
      </c>
      <c r="Y1396">
        <v>6</v>
      </c>
      <c r="Z1396" s="8">
        <f t="shared" si="153"/>
        <v>0.16666666666666666</v>
      </c>
      <c r="AA1396" s="8">
        <v>2.8525200000000002</v>
      </c>
    </row>
    <row r="1397" spans="1:27" ht="15" customHeight="1" x14ac:dyDescent="0.25">
      <c r="A1397" s="14">
        <v>577</v>
      </c>
      <c r="B1397" s="14">
        <v>577</v>
      </c>
      <c r="C1397" s="36">
        <v>-12269.9645</v>
      </c>
      <c r="D1397" s="16">
        <v>-12272.039075000001</v>
      </c>
      <c r="E1397" s="14"/>
      <c r="F1397" s="37">
        <v>0.99896799999999997</v>
      </c>
      <c r="G1397" s="16">
        <v>0.22719</v>
      </c>
      <c r="H1397" s="14">
        <v>6</v>
      </c>
      <c r="I1397" s="14">
        <v>7</v>
      </c>
      <c r="J1397" s="32"/>
      <c r="K1397" s="8">
        <f t="shared" si="147"/>
        <v>-0.80716923076943203</v>
      </c>
      <c r="L1397" s="8">
        <f t="shared" si="148"/>
        <v>-6.2089940828417851E-2</v>
      </c>
      <c r="M1397" s="8">
        <f t="shared" si="149"/>
        <v>-1.4054828461539728</v>
      </c>
      <c r="N1397" s="8">
        <f t="shared" si="150"/>
        <v>-0.10811406508876714</v>
      </c>
      <c r="O1397" s="8"/>
      <c r="P1397" t="s">
        <v>1684</v>
      </c>
      <c r="Q1397">
        <v>36</v>
      </c>
      <c r="R1397" s="8">
        <v>2.83466</v>
      </c>
      <c r="S1397">
        <v>10</v>
      </c>
      <c r="T1397" s="8">
        <f t="shared" si="151"/>
        <v>0.27777777777777779</v>
      </c>
      <c r="U1397" s="8">
        <v>2.8597999999999999</v>
      </c>
      <c r="V1397">
        <v>20</v>
      </c>
      <c r="W1397" s="8">
        <f t="shared" si="152"/>
        <v>0.55555555555555558</v>
      </c>
      <c r="X1397" s="8">
        <v>2.8197800000000002</v>
      </c>
      <c r="Y1397">
        <v>6</v>
      </c>
      <c r="Z1397" s="8">
        <f t="shared" si="153"/>
        <v>0.16666666666666666</v>
      </c>
      <c r="AA1397" s="8">
        <v>2.8423400000000001</v>
      </c>
    </row>
    <row r="1398" spans="1:27" ht="15" customHeight="1" x14ac:dyDescent="0.25">
      <c r="A1398" s="14">
        <v>578</v>
      </c>
      <c r="B1398" s="14">
        <v>578</v>
      </c>
      <c r="C1398" s="36">
        <v>-12270.057000000001</v>
      </c>
      <c r="D1398" s="16">
        <v>-12272.149364999999</v>
      </c>
      <c r="E1398" s="14"/>
      <c r="F1398" s="37">
        <v>0.99760000000000004</v>
      </c>
      <c r="G1398" s="16">
        <v>0.20183999999999899</v>
      </c>
      <c r="H1398" s="14">
        <v>6</v>
      </c>
      <c r="I1398" s="14">
        <v>7</v>
      </c>
      <c r="J1398" s="32"/>
      <c r="K1398" s="8">
        <f t="shared" si="147"/>
        <v>-0.89966923077008687</v>
      </c>
      <c r="L1398" s="8">
        <f t="shared" si="148"/>
        <v>-6.9205325443852841E-2</v>
      </c>
      <c r="M1398" s="8">
        <f t="shared" si="149"/>
        <v>-1.5157728461526858</v>
      </c>
      <c r="N1398" s="8">
        <f t="shared" si="150"/>
        <v>-0.1165979112425143</v>
      </c>
      <c r="O1398" s="8"/>
      <c r="P1398" t="s">
        <v>1685</v>
      </c>
      <c r="Q1398">
        <v>35</v>
      </c>
      <c r="R1398" s="8">
        <v>2.8245</v>
      </c>
      <c r="S1398">
        <v>10</v>
      </c>
      <c r="T1398" s="8">
        <f t="shared" si="151"/>
        <v>0.2857142857142857</v>
      </c>
      <c r="U1398" s="8">
        <v>2.86408</v>
      </c>
      <c r="V1398">
        <v>19</v>
      </c>
      <c r="W1398" s="8">
        <f t="shared" si="152"/>
        <v>0.54285714285714282</v>
      </c>
      <c r="X1398" s="8">
        <v>2.7981099999999999</v>
      </c>
      <c r="Y1398">
        <v>6</v>
      </c>
      <c r="Z1398" s="8">
        <f t="shared" si="153"/>
        <v>0.17142857142857143</v>
      </c>
      <c r="AA1398" s="8">
        <v>2.8420899999999998</v>
      </c>
    </row>
    <row r="1399" spans="1:27" ht="15" customHeight="1" x14ac:dyDescent="0.25">
      <c r="A1399" s="14">
        <v>579</v>
      </c>
      <c r="B1399" s="14">
        <v>579</v>
      </c>
      <c r="C1399" s="36">
        <v>-12269.6736</v>
      </c>
      <c r="D1399" s="16">
        <v>-12271.379497</v>
      </c>
      <c r="E1399" s="14"/>
      <c r="F1399" s="37">
        <v>0.99171399999999998</v>
      </c>
      <c r="G1399" s="16">
        <v>0.16447000000000001</v>
      </c>
      <c r="H1399" s="14">
        <v>6</v>
      </c>
      <c r="I1399" s="14">
        <v>7</v>
      </c>
      <c r="J1399" s="32"/>
      <c r="K1399" s="8">
        <f t="shared" si="147"/>
        <v>-0.51626923076946696</v>
      </c>
      <c r="L1399" s="8">
        <f t="shared" si="148"/>
        <v>-3.9713017751497458E-2</v>
      </c>
      <c r="M1399" s="8">
        <f t="shared" si="149"/>
        <v>-0.74590484615328023</v>
      </c>
      <c r="N1399" s="8">
        <f t="shared" si="150"/>
        <v>-5.7377295857944634E-2</v>
      </c>
      <c r="O1399" s="8"/>
      <c r="P1399" t="s">
        <v>1686</v>
      </c>
      <c r="Q1399">
        <v>36</v>
      </c>
      <c r="R1399" s="8">
        <v>2.8348800000000001</v>
      </c>
      <c r="S1399">
        <v>13</v>
      </c>
      <c r="T1399" s="8">
        <f t="shared" si="151"/>
        <v>0.3611111111111111</v>
      </c>
      <c r="U1399" s="8">
        <v>2.8648600000000002</v>
      </c>
      <c r="V1399">
        <v>16</v>
      </c>
      <c r="W1399" s="8">
        <f t="shared" si="152"/>
        <v>0.44444444444444442</v>
      </c>
      <c r="X1399" s="8">
        <v>2.80938</v>
      </c>
      <c r="Y1399">
        <v>7</v>
      </c>
      <c r="Z1399" s="8">
        <f t="shared" si="153"/>
        <v>0.19444444444444445</v>
      </c>
      <c r="AA1399" s="8">
        <v>2.8374600000000001</v>
      </c>
    </row>
    <row r="1400" spans="1:27" ht="15" customHeight="1" x14ac:dyDescent="0.25">
      <c r="A1400" s="14">
        <v>580</v>
      </c>
      <c r="B1400" s="14">
        <v>580</v>
      </c>
      <c r="C1400" s="36">
        <v>-12269.7181</v>
      </c>
      <c r="D1400" s="16">
        <v>-12271.460514</v>
      </c>
      <c r="E1400" s="14"/>
      <c r="F1400" s="37">
        <v>0.99433099999999996</v>
      </c>
      <c r="G1400" s="16">
        <v>0.17580999999999899</v>
      </c>
      <c r="H1400" s="14">
        <v>6</v>
      </c>
      <c r="I1400" s="14">
        <v>7</v>
      </c>
      <c r="J1400" s="32"/>
      <c r="K1400" s="8">
        <f t="shared" si="147"/>
        <v>-0.56076923076943785</v>
      </c>
      <c r="L1400" s="8">
        <f t="shared" si="148"/>
        <v>-4.3136094674572141E-2</v>
      </c>
      <c r="M1400" s="8">
        <f t="shared" si="149"/>
        <v>-0.82692184615370934</v>
      </c>
      <c r="N1400" s="8">
        <f t="shared" si="150"/>
        <v>-6.3609372781054566E-2</v>
      </c>
      <c r="O1400" s="8"/>
      <c r="P1400" t="s">
        <v>1687</v>
      </c>
      <c r="Q1400">
        <v>34</v>
      </c>
      <c r="R1400" s="8">
        <v>2.8177599999999998</v>
      </c>
      <c r="S1400">
        <v>11</v>
      </c>
      <c r="T1400" s="8">
        <f t="shared" si="151"/>
        <v>0.3235294117647059</v>
      </c>
      <c r="U1400" s="8">
        <v>2.82992</v>
      </c>
      <c r="V1400">
        <v>17</v>
      </c>
      <c r="W1400" s="8">
        <f t="shared" si="152"/>
        <v>0.5</v>
      </c>
      <c r="X1400" s="8">
        <v>2.80762</v>
      </c>
      <c r="Y1400">
        <v>6</v>
      </c>
      <c r="Z1400" s="8">
        <f t="shared" si="153"/>
        <v>0.17647058823529413</v>
      </c>
      <c r="AA1400" s="8">
        <v>2.8241900000000002</v>
      </c>
    </row>
    <row r="1401" spans="1:27" ht="15" customHeight="1" x14ac:dyDescent="0.25">
      <c r="A1401" s="14">
        <v>581</v>
      </c>
      <c r="B1401" s="14">
        <v>581</v>
      </c>
      <c r="C1401" s="36">
        <v>-12270.206700000001</v>
      </c>
      <c r="D1401" s="16">
        <v>-12272.195013</v>
      </c>
      <c r="E1401" s="14"/>
      <c r="F1401" s="37">
        <v>0.99535600000000002</v>
      </c>
      <c r="G1401" s="16">
        <v>0.18190000000000001</v>
      </c>
      <c r="H1401" s="14">
        <v>6</v>
      </c>
      <c r="I1401" s="14">
        <v>7</v>
      </c>
      <c r="J1401" s="32"/>
      <c r="K1401" s="8">
        <f t="shared" si="147"/>
        <v>-1.0493692307700258</v>
      </c>
      <c r="L1401" s="8">
        <f t="shared" si="148"/>
        <v>-8.0720710059232745E-2</v>
      </c>
      <c r="M1401" s="8">
        <f t="shared" si="149"/>
        <v>-1.561420846153851</v>
      </c>
      <c r="N1401" s="8">
        <f t="shared" si="150"/>
        <v>-0.12010929585798855</v>
      </c>
      <c r="O1401" s="8"/>
      <c r="P1401" t="s">
        <v>1688</v>
      </c>
      <c r="Q1401">
        <v>36</v>
      </c>
      <c r="R1401" s="8">
        <v>2.8324099999999999</v>
      </c>
      <c r="S1401">
        <v>9</v>
      </c>
      <c r="T1401" s="8">
        <f t="shared" si="151"/>
        <v>0.25</v>
      </c>
      <c r="U1401" s="8">
        <v>2.86145</v>
      </c>
      <c r="V1401">
        <v>22</v>
      </c>
      <c r="W1401" s="8">
        <f t="shared" si="152"/>
        <v>0.61111111111111116</v>
      </c>
      <c r="X1401" s="8">
        <v>2.8209499999999998</v>
      </c>
      <c r="Y1401">
        <v>5</v>
      </c>
      <c r="Z1401" s="8">
        <f t="shared" si="153"/>
        <v>0.1388888888888889</v>
      </c>
      <c r="AA1401" s="8">
        <v>2.8305500000000001</v>
      </c>
    </row>
    <row r="1402" spans="1:27" ht="15" customHeight="1" x14ac:dyDescent="0.25">
      <c r="A1402" s="14">
        <v>582</v>
      </c>
      <c r="B1402" s="14">
        <v>582</v>
      </c>
      <c r="C1402" s="36">
        <v>-12269.711300000001</v>
      </c>
      <c r="D1402" s="16">
        <v>-12271.750612</v>
      </c>
      <c r="E1402" s="14"/>
      <c r="F1402" s="37">
        <v>0.99530200000000002</v>
      </c>
      <c r="G1402" s="16">
        <v>0.18154999999999999</v>
      </c>
      <c r="H1402" s="14">
        <v>6</v>
      </c>
      <c r="I1402" s="14">
        <v>7</v>
      </c>
      <c r="J1402" s="32"/>
      <c r="K1402" s="8">
        <f t="shared" si="147"/>
        <v>-0.5539692307702353</v>
      </c>
      <c r="L1402" s="8">
        <f t="shared" si="148"/>
        <v>-4.2613017751556563E-2</v>
      </c>
      <c r="M1402" s="8">
        <f t="shared" si="149"/>
        <v>-1.1170198461531982</v>
      </c>
      <c r="N1402" s="8">
        <f t="shared" si="150"/>
        <v>-8.5924603550246018E-2</v>
      </c>
      <c r="O1402" s="8"/>
      <c r="P1402" t="s">
        <v>1689</v>
      </c>
      <c r="Q1402">
        <v>35</v>
      </c>
      <c r="R1402" s="8">
        <v>2.8219599999999998</v>
      </c>
      <c r="S1402">
        <v>11</v>
      </c>
      <c r="T1402" s="8">
        <f t="shared" si="151"/>
        <v>0.31428571428571428</v>
      </c>
      <c r="U1402" s="8">
        <v>2.8175300000000001</v>
      </c>
      <c r="V1402">
        <v>17</v>
      </c>
      <c r="W1402" s="8">
        <f t="shared" si="152"/>
        <v>0.48571428571428571</v>
      </c>
      <c r="X1402" s="8">
        <v>2.8268499999999999</v>
      </c>
      <c r="Y1402">
        <v>7</v>
      </c>
      <c r="Z1402" s="8">
        <f t="shared" si="153"/>
        <v>0.2</v>
      </c>
      <c r="AA1402" s="8">
        <v>2.8170600000000001</v>
      </c>
    </row>
    <row r="1403" spans="1:27" ht="15" customHeight="1" x14ac:dyDescent="0.25">
      <c r="A1403" s="14">
        <v>583</v>
      </c>
      <c r="B1403" s="14">
        <v>583</v>
      </c>
      <c r="C1403" s="36">
        <v>-12269.642099999999</v>
      </c>
      <c r="D1403" s="16">
        <v>-12271.734418</v>
      </c>
      <c r="E1403" s="14"/>
      <c r="F1403" s="37">
        <v>0.99440799999999996</v>
      </c>
      <c r="G1403" s="16">
        <v>0.176289999999999</v>
      </c>
      <c r="H1403" s="14">
        <v>6</v>
      </c>
      <c r="I1403" s="14">
        <v>7</v>
      </c>
      <c r="J1403" s="32"/>
      <c r="K1403" s="8">
        <f t="shared" si="147"/>
        <v>-0.48476923076850653</v>
      </c>
      <c r="L1403" s="8">
        <f t="shared" si="148"/>
        <v>-3.7289940828346656E-2</v>
      </c>
      <c r="M1403" s="8">
        <f t="shared" si="149"/>
        <v>-1.1008258461533842</v>
      </c>
      <c r="N1403" s="8">
        <f t="shared" si="150"/>
        <v>-8.4678911242568017E-2</v>
      </c>
      <c r="O1403" s="8"/>
      <c r="P1403" t="s">
        <v>1690</v>
      </c>
      <c r="Q1403">
        <v>36</v>
      </c>
      <c r="R1403" s="8">
        <v>2.8338800000000002</v>
      </c>
      <c r="S1403">
        <v>11</v>
      </c>
      <c r="T1403" s="8">
        <f t="shared" si="151"/>
        <v>0.30555555555555558</v>
      </c>
      <c r="U1403" s="8">
        <v>2.8845200000000002</v>
      </c>
      <c r="V1403">
        <v>20</v>
      </c>
      <c r="W1403" s="8">
        <f t="shared" si="152"/>
        <v>0.55555555555555558</v>
      </c>
      <c r="X1403" s="8">
        <v>2.8011699999999999</v>
      </c>
      <c r="Y1403">
        <v>5</v>
      </c>
      <c r="Z1403" s="8">
        <f t="shared" si="153"/>
        <v>0.1388888888888889</v>
      </c>
      <c r="AA1403" s="8">
        <v>2.85331</v>
      </c>
    </row>
    <row r="1404" spans="1:27" ht="15" customHeight="1" x14ac:dyDescent="0.25">
      <c r="A1404" s="14">
        <v>584</v>
      </c>
      <c r="B1404" s="14">
        <v>584</v>
      </c>
      <c r="C1404" s="36">
        <v>-12269.9285</v>
      </c>
      <c r="D1404" s="16">
        <v>-12271.716323000001</v>
      </c>
      <c r="E1404" s="14"/>
      <c r="F1404" s="37">
        <v>0.99362700000000004</v>
      </c>
      <c r="G1404" s="16">
        <v>0.17238000000000001</v>
      </c>
      <c r="H1404" s="14">
        <v>6</v>
      </c>
      <c r="I1404" s="14">
        <v>7</v>
      </c>
      <c r="J1404" s="32"/>
      <c r="K1404" s="8">
        <f t="shared" si="147"/>
        <v>-0.77116923076937383</v>
      </c>
      <c r="L1404" s="8">
        <f t="shared" si="148"/>
        <v>-5.9320710059182602E-2</v>
      </c>
      <c r="M1404" s="8">
        <f t="shared" si="149"/>
        <v>-1.082730846153936</v>
      </c>
      <c r="N1404" s="8">
        <f t="shared" si="150"/>
        <v>-8.3286988165687387E-2</v>
      </c>
      <c r="O1404" s="8"/>
      <c r="P1404" t="s">
        <v>1691</v>
      </c>
      <c r="Q1404">
        <v>36</v>
      </c>
      <c r="R1404" s="8">
        <v>2.8345500000000001</v>
      </c>
      <c r="S1404">
        <v>11</v>
      </c>
      <c r="T1404" s="8">
        <f t="shared" si="151"/>
        <v>0.30555555555555558</v>
      </c>
      <c r="U1404" s="8">
        <v>2.8933300000000002</v>
      </c>
      <c r="V1404">
        <v>20</v>
      </c>
      <c r="W1404" s="8">
        <f t="shared" si="152"/>
        <v>0.55555555555555558</v>
      </c>
      <c r="X1404" s="8">
        <v>2.8027600000000001</v>
      </c>
      <c r="Y1404">
        <v>5</v>
      </c>
      <c r="Z1404" s="8">
        <f t="shared" si="153"/>
        <v>0.1388888888888889</v>
      </c>
      <c r="AA1404" s="8">
        <v>2.8323700000000001</v>
      </c>
    </row>
    <row r="1405" spans="1:27" ht="15" customHeight="1" x14ac:dyDescent="0.25">
      <c r="A1405" s="14">
        <v>585</v>
      </c>
      <c r="B1405" s="14">
        <v>585</v>
      </c>
      <c r="C1405" s="36">
        <v>-12269.933499999999</v>
      </c>
      <c r="D1405" s="16">
        <v>-12271.660016</v>
      </c>
      <c r="E1405" s="14"/>
      <c r="F1405" s="37">
        <v>0.99428000000000005</v>
      </c>
      <c r="G1405" s="16">
        <v>0.17565</v>
      </c>
      <c r="H1405" s="14">
        <v>6</v>
      </c>
      <c r="I1405" s="14">
        <v>7</v>
      </c>
      <c r="J1405" s="32"/>
      <c r="K1405" s="8">
        <f t="shared" si="147"/>
        <v>-0.77616923076857347</v>
      </c>
      <c r="L1405" s="8">
        <f t="shared" si="148"/>
        <v>-5.9705325443736419E-2</v>
      </c>
      <c r="M1405" s="8">
        <f t="shared" si="149"/>
        <v>-1.0264238461531932</v>
      </c>
      <c r="N1405" s="8">
        <f t="shared" si="150"/>
        <v>-7.8955680473322548E-2</v>
      </c>
      <c r="O1405" s="8"/>
      <c r="P1405" t="s">
        <v>1692</v>
      </c>
      <c r="Q1405">
        <v>36</v>
      </c>
      <c r="R1405" s="8">
        <v>2.8338399999999999</v>
      </c>
      <c r="S1405">
        <v>11</v>
      </c>
      <c r="T1405" s="8">
        <f t="shared" si="151"/>
        <v>0.30555555555555558</v>
      </c>
      <c r="U1405" s="8">
        <v>2.8753500000000001</v>
      </c>
      <c r="V1405">
        <v>20</v>
      </c>
      <c r="W1405" s="8">
        <f t="shared" si="152"/>
        <v>0.55555555555555558</v>
      </c>
      <c r="X1405" s="8">
        <v>2.8103400000000001</v>
      </c>
      <c r="Y1405">
        <v>5</v>
      </c>
      <c r="Z1405" s="8">
        <f t="shared" si="153"/>
        <v>0.1388888888888889</v>
      </c>
      <c r="AA1405" s="8">
        <v>2.8365300000000002</v>
      </c>
    </row>
    <row r="1406" spans="1:27" ht="15" customHeight="1" x14ac:dyDescent="0.25">
      <c r="A1406" s="14">
        <v>586</v>
      </c>
      <c r="B1406" s="14">
        <v>586</v>
      </c>
      <c r="C1406" s="36">
        <v>-12269.555200000001</v>
      </c>
      <c r="D1406" s="16">
        <v>-12271.265072</v>
      </c>
      <c r="E1406" s="14"/>
      <c r="F1406" s="37">
        <v>0.99485400000000002</v>
      </c>
      <c r="G1406" s="16">
        <v>0.17877999999999999</v>
      </c>
      <c r="H1406" s="14">
        <v>6</v>
      </c>
      <c r="I1406" s="14">
        <v>7</v>
      </c>
      <c r="J1406" s="32"/>
      <c r="K1406" s="8">
        <f t="shared" si="147"/>
        <v>-0.39786923077008396</v>
      </c>
      <c r="L1406" s="8">
        <f t="shared" si="148"/>
        <v>-3.0605325443852614E-2</v>
      </c>
      <c r="M1406" s="8">
        <f t="shared" si="149"/>
        <v>-0.6314798461535247</v>
      </c>
      <c r="N1406" s="8">
        <f t="shared" si="150"/>
        <v>-4.8575372781040363E-2</v>
      </c>
      <c r="O1406" s="8"/>
      <c r="P1406" t="s">
        <v>1693</v>
      </c>
      <c r="Q1406">
        <v>35</v>
      </c>
      <c r="R1406" s="8">
        <v>2.8251400000000002</v>
      </c>
      <c r="S1406">
        <v>13</v>
      </c>
      <c r="T1406" s="8">
        <f t="shared" si="151"/>
        <v>0.37142857142857144</v>
      </c>
      <c r="U1406" s="8">
        <v>2.84998</v>
      </c>
      <c r="V1406">
        <v>16</v>
      </c>
      <c r="W1406" s="8">
        <f t="shared" si="152"/>
        <v>0.45714285714285713</v>
      </c>
      <c r="X1406" s="8">
        <v>2.80532</v>
      </c>
      <c r="Y1406">
        <v>6</v>
      </c>
      <c r="Z1406" s="8">
        <f t="shared" si="153"/>
        <v>0.17142857142857143</v>
      </c>
      <c r="AA1406" s="8">
        <v>2.8241900000000002</v>
      </c>
    </row>
    <row r="1407" spans="1:27" ht="15" customHeight="1" x14ac:dyDescent="0.25">
      <c r="A1407" s="14">
        <v>587</v>
      </c>
      <c r="B1407" s="14">
        <v>587</v>
      </c>
      <c r="C1407" s="36">
        <v>-12270.089400000001</v>
      </c>
      <c r="D1407" s="16">
        <v>-12271.731324</v>
      </c>
      <c r="E1407" s="14"/>
      <c r="F1407" s="37">
        <v>0.997471</v>
      </c>
      <c r="G1407" s="16">
        <v>0.20027</v>
      </c>
      <c r="H1407" s="14">
        <v>6</v>
      </c>
      <c r="I1407" s="14">
        <v>7</v>
      </c>
      <c r="J1407" s="32"/>
      <c r="K1407" s="8">
        <f t="shared" si="147"/>
        <v>-0.93206923077013926</v>
      </c>
      <c r="L1407" s="8">
        <f t="shared" si="148"/>
        <v>-7.1697633136164562E-2</v>
      </c>
      <c r="M1407" s="8">
        <f t="shared" si="149"/>
        <v>-1.0977318461536925</v>
      </c>
      <c r="N1407" s="8">
        <f t="shared" si="150"/>
        <v>-8.4440911242591732E-2</v>
      </c>
      <c r="O1407" s="8"/>
      <c r="P1407" t="s">
        <v>1694</v>
      </c>
      <c r="Q1407">
        <v>36</v>
      </c>
      <c r="R1407" s="8">
        <v>2.8345600000000002</v>
      </c>
      <c r="S1407">
        <v>10</v>
      </c>
      <c r="T1407" s="8">
        <f t="shared" si="151"/>
        <v>0.27777777777777779</v>
      </c>
      <c r="U1407" s="8">
        <v>2.85825</v>
      </c>
      <c r="V1407">
        <v>20</v>
      </c>
      <c r="W1407" s="8">
        <f t="shared" si="152"/>
        <v>0.55555555555555558</v>
      </c>
      <c r="X1407" s="8">
        <v>2.8160599999999998</v>
      </c>
      <c r="Y1407">
        <v>6</v>
      </c>
      <c r="Z1407" s="8">
        <f t="shared" si="153"/>
        <v>0.16666666666666666</v>
      </c>
      <c r="AA1407" s="8">
        <v>2.8567200000000001</v>
      </c>
    </row>
    <row r="1408" spans="1:27" ht="15" customHeight="1" x14ac:dyDescent="0.25">
      <c r="A1408" s="14">
        <v>588</v>
      </c>
      <c r="B1408" s="14">
        <v>588</v>
      </c>
      <c r="C1408" s="36">
        <v>-12269.946</v>
      </c>
      <c r="D1408" s="16">
        <v>-12271.889595000001</v>
      </c>
      <c r="E1408" s="14"/>
      <c r="F1408" s="37">
        <v>0.99706399999999995</v>
      </c>
      <c r="G1408" s="16">
        <v>0.19570000000000001</v>
      </c>
      <c r="H1408" s="14">
        <v>6</v>
      </c>
      <c r="I1408" s="14">
        <v>7</v>
      </c>
      <c r="J1408" s="32"/>
      <c r="K1408" s="8">
        <f t="shared" si="147"/>
        <v>-0.78866923076930107</v>
      </c>
      <c r="L1408" s="8">
        <f t="shared" si="148"/>
        <v>-6.0666863905330853E-2</v>
      </c>
      <c r="M1408" s="8">
        <f t="shared" si="149"/>
        <v>-1.2560028461539332</v>
      </c>
      <c r="N1408" s="8">
        <f t="shared" si="150"/>
        <v>-9.6615603550302548E-2</v>
      </c>
      <c r="O1408" s="8"/>
      <c r="P1408" t="s">
        <v>1695</v>
      </c>
      <c r="Q1408">
        <v>35</v>
      </c>
      <c r="R1408" s="8">
        <v>2.8234400000000002</v>
      </c>
      <c r="S1408">
        <v>9</v>
      </c>
      <c r="T1408" s="8">
        <f t="shared" si="151"/>
        <v>0.25714285714285712</v>
      </c>
      <c r="U1408" s="8">
        <v>2.8384800000000001</v>
      </c>
      <c r="V1408">
        <v>20</v>
      </c>
      <c r="W1408" s="8">
        <f t="shared" si="152"/>
        <v>0.5714285714285714</v>
      </c>
      <c r="X1408" s="8">
        <v>2.8110200000000001</v>
      </c>
      <c r="Y1408">
        <v>6</v>
      </c>
      <c r="Z1408" s="8">
        <f t="shared" si="153"/>
        <v>0.17142857142857143</v>
      </c>
      <c r="AA1408" s="8">
        <v>2.8422999999999998</v>
      </c>
    </row>
    <row r="1409" spans="1:27" ht="15" customHeight="1" x14ac:dyDescent="0.25">
      <c r="A1409" s="14">
        <v>589</v>
      </c>
      <c r="B1409" s="14">
        <v>589</v>
      </c>
      <c r="C1409" s="36">
        <v>-12270.046399999999</v>
      </c>
      <c r="D1409" s="16">
        <v>-12271.997019</v>
      </c>
      <c r="E1409" s="14"/>
      <c r="F1409" s="37">
        <v>0.98716400000000004</v>
      </c>
      <c r="G1409" s="16">
        <v>0.15128999999999901</v>
      </c>
      <c r="H1409" s="14">
        <v>6</v>
      </c>
      <c r="I1409" s="14">
        <v>7</v>
      </c>
      <c r="J1409" s="32"/>
      <c r="K1409" s="8">
        <f t="shared" si="147"/>
        <v>-0.88906923076865496</v>
      </c>
      <c r="L1409" s="8">
        <f t="shared" si="148"/>
        <v>-6.8389940828358073E-2</v>
      </c>
      <c r="M1409" s="8">
        <f t="shared" si="149"/>
        <v>-1.3634268461537431</v>
      </c>
      <c r="N1409" s="8">
        <f t="shared" si="150"/>
        <v>-0.10487898816567255</v>
      </c>
      <c r="O1409" s="8"/>
      <c r="P1409" t="s">
        <v>1696</v>
      </c>
      <c r="Q1409">
        <v>36</v>
      </c>
      <c r="R1409" s="8">
        <v>2.83657</v>
      </c>
      <c r="S1409">
        <v>9</v>
      </c>
      <c r="T1409" s="8">
        <f t="shared" si="151"/>
        <v>0.25</v>
      </c>
      <c r="U1409" s="8">
        <v>2.8692799999999998</v>
      </c>
      <c r="V1409">
        <v>22</v>
      </c>
      <c r="W1409" s="8">
        <f t="shared" si="152"/>
        <v>0.61111111111111116</v>
      </c>
      <c r="X1409" s="8">
        <v>2.8167800000000001</v>
      </c>
      <c r="Y1409">
        <v>5</v>
      </c>
      <c r="Z1409" s="8">
        <f t="shared" si="153"/>
        <v>0.1388888888888889</v>
      </c>
      <c r="AA1409" s="8">
        <v>2.8647399999999998</v>
      </c>
    </row>
    <row r="1410" spans="1:27" ht="15" customHeight="1" x14ac:dyDescent="0.25">
      <c r="A1410" s="14">
        <v>590</v>
      </c>
      <c r="B1410" s="14">
        <v>590</v>
      </c>
      <c r="C1410" s="36">
        <v>-12269.7073</v>
      </c>
      <c r="D1410" s="16">
        <v>-12271.462826999999</v>
      </c>
      <c r="E1410" s="14"/>
      <c r="F1410" s="37">
        <v>0.99665499999999996</v>
      </c>
      <c r="G1410" s="16">
        <v>0.19175999999999899</v>
      </c>
      <c r="H1410" s="14">
        <v>6</v>
      </c>
      <c r="I1410" s="14">
        <v>7</v>
      </c>
      <c r="J1410" s="32"/>
      <c r="K1410" s="8">
        <f t="shared" si="147"/>
        <v>-0.54996923076942039</v>
      </c>
      <c r="L1410" s="8">
        <f t="shared" si="148"/>
        <v>-4.230532544380157E-2</v>
      </c>
      <c r="M1410" s="8">
        <f t="shared" si="149"/>
        <v>-0.82923484615275811</v>
      </c>
      <c r="N1410" s="8">
        <f t="shared" si="150"/>
        <v>-6.3787295857904464E-2</v>
      </c>
      <c r="O1410" s="8"/>
      <c r="P1410" t="s">
        <v>1697</v>
      </c>
      <c r="Q1410">
        <v>35</v>
      </c>
      <c r="R1410" s="8">
        <v>2.8236500000000002</v>
      </c>
      <c r="S1410">
        <v>11</v>
      </c>
      <c r="T1410" s="8">
        <f t="shared" si="151"/>
        <v>0.31428571428571428</v>
      </c>
      <c r="U1410" s="8">
        <v>2.8311600000000001</v>
      </c>
      <c r="V1410">
        <v>17</v>
      </c>
      <c r="W1410" s="8">
        <f t="shared" si="152"/>
        <v>0.48571428571428571</v>
      </c>
      <c r="X1410" s="8">
        <v>2.8060200000000002</v>
      </c>
      <c r="Y1410">
        <v>7</v>
      </c>
      <c r="Z1410" s="8">
        <f t="shared" si="153"/>
        <v>0.2</v>
      </c>
      <c r="AA1410" s="8">
        <v>2.8546499999999999</v>
      </c>
    </row>
    <row r="1411" spans="1:27" ht="15" customHeight="1" x14ac:dyDescent="0.25">
      <c r="A1411" s="14">
        <v>591</v>
      </c>
      <c r="B1411" s="14">
        <v>591</v>
      </c>
      <c r="C1411" s="36">
        <v>-12269.9077</v>
      </c>
      <c r="D1411" s="16">
        <v>-12271.650519999999</v>
      </c>
      <c r="E1411" s="14"/>
      <c r="F1411" s="37">
        <v>0.99779600000000002</v>
      </c>
      <c r="G1411" s="16">
        <v>0.20430999999999999</v>
      </c>
      <c r="H1411" s="14">
        <v>6</v>
      </c>
      <c r="I1411" s="14">
        <v>7</v>
      </c>
      <c r="J1411" s="32"/>
      <c r="K1411" s="8">
        <f t="shared" ref="K1411:K1474" si="154">IF(ISNUMBER(C1411),C1411-(($C$3-$C$2236)/($H$3-$H$2236)*H1411+$C$2236),"")</f>
        <v>-0.75036923076913808</v>
      </c>
      <c r="L1411" s="8">
        <f t="shared" ref="L1411:L1474" si="155">IF(ISNUMBER(C1411),K1411/(H1411+I1411),"")</f>
        <v>-5.7720710059164466E-2</v>
      </c>
      <c r="M1411" s="8">
        <f t="shared" ref="M1411:M1474" si="156">IF(ISNUMBER(D1411),D1411-(($D$3-$D$2236)/($H$3-$H$2236)*H1411+$D$2236),"")</f>
        <v>-1.0169278461526119</v>
      </c>
      <c r="N1411" s="8">
        <f t="shared" ref="N1411:N1474" si="157">IF(ISNUMBER(D1411),M1411/(H1411+I1411),"")</f>
        <v>-7.8225218934816293E-2</v>
      </c>
      <c r="O1411" s="8"/>
      <c r="P1411" t="s">
        <v>1698</v>
      </c>
      <c r="Q1411">
        <v>36</v>
      </c>
      <c r="R1411" s="8">
        <v>2.8373400000000002</v>
      </c>
      <c r="S1411">
        <v>11</v>
      </c>
      <c r="T1411" s="8">
        <f t="shared" ref="T1411:T1474" si="158">IF(ISNUMBER(S1411),S1411/(Q1411),"")</f>
        <v>0.30555555555555558</v>
      </c>
      <c r="U1411" s="8">
        <v>2.8863300000000001</v>
      </c>
      <c r="V1411">
        <v>20</v>
      </c>
      <c r="W1411" s="8">
        <f t="shared" ref="W1411:W1474" si="159">IF(ISNUMBER(V1411),V1411/($Q1411),"")</f>
        <v>0.55555555555555558</v>
      </c>
      <c r="X1411" s="8">
        <v>2.7938800000000001</v>
      </c>
      <c r="Y1411">
        <v>5</v>
      </c>
      <c r="Z1411" s="8">
        <f t="shared" ref="Z1411:Z1474" si="160">IF(ISNUMBER(Y1411),Y1411/($Q1411),"")</f>
        <v>0.1388888888888889</v>
      </c>
      <c r="AA1411" s="8">
        <v>2.9034</v>
      </c>
    </row>
    <row r="1412" spans="1:27" ht="15" customHeight="1" x14ac:dyDescent="0.25">
      <c r="A1412" s="14">
        <v>592</v>
      </c>
      <c r="B1412" s="14">
        <v>592</v>
      </c>
      <c r="C1412" s="36">
        <v>-12270.063700000001</v>
      </c>
      <c r="D1412" s="16">
        <v>-12271.795383999999</v>
      </c>
      <c r="E1412" s="14"/>
      <c r="F1412" s="37">
        <v>0.99515200000000004</v>
      </c>
      <c r="G1412" s="16">
        <v>0.180559999999999</v>
      </c>
      <c r="H1412" s="14">
        <v>6</v>
      </c>
      <c r="I1412" s="14">
        <v>7</v>
      </c>
      <c r="J1412" s="32"/>
      <c r="K1412" s="8">
        <f t="shared" si="154"/>
        <v>-0.90636923076999665</v>
      </c>
      <c r="L1412" s="8">
        <f t="shared" si="155"/>
        <v>-6.9720710059230515E-2</v>
      </c>
      <c r="M1412" s="8">
        <f t="shared" si="156"/>
        <v>-1.1617918461524823</v>
      </c>
      <c r="N1412" s="8">
        <f t="shared" si="157"/>
        <v>-8.9368603550190953E-2</v>
      </c>
      <c r="O1412" s="8"/>
      <c r="P1412" t="s">
        <v>1699</v>
      </c>
      <c r="Q1412">
        <v>35</v>
      </c>
      <c r="R1412" s="8">
        <v>2.8272699999999999</v>
      </c>
      <c r="S1412">
        <v>9</v>
      </c>
      <c r="T1412" s="8">
        <f t="shared" si="158"/>
        <v>0.25714285714285712</v>
      </c>
      <c r="U1412" s="8">
        <v>2.91276</v>
      </c>
      <c r="V1412">
        <v>22</v>
      </c>
      <c r="W1412" s="8">
        <f t="shared" si="159"/>
        <v>0.62857142857142856</v>
      </c>
      <c r="X1412" s="8">
        <v>2.7871600000000001</v>
      </c>
      <c r="Y1412">
        <v>4</v>
      </c>
      <c r="Z1412" s="8">
        <f t="shared" si="160"/>
        <v>0.11428571428571428</v>
      </c>
      <c r="AA1412" s="8">
        <v>2.8555299999999999</v>
      </c>
    </row>
    <row r="1413" spans="1:27" ht="15" customHeight="1" x14ac:dyDescent="0.25">
      <c r="A1413" s="14">
        <v>593</v>
      </c>
      <c r="B1413" s="14">
        <v>593</v>
      </c>
      <c r="C1413" s="36">
        <v>-12270.1556</v>
      </c>
      <c r="D1413" s="16">
        <v>-12272.118899999999</v>
      </c>
      <c r="E1413" s="14"/>
      <c r="F1413" s="37">
        <v>0.99134199999999995</v>
      </c>
      <c r="G1413" s="16">
        <v>0.16313999999999901</v>
      </c>
      <c r="H1413" s="14">
        <v>6</v>
      </c>
      <c r="I1413" s="14">
        <v>7</v>
      </c>
      <c r="J1413" s="32"/>
      <c r="K1413" s="8">
        <f t="shared" si="154"/>
        <v>-0.99826923076943785</v>
      </c>
      <c r="L1413" s="8">
        <f t="shared" si="155"/>
        <v>-7.6789940828418293E-2</v>
      </c>
      <c r="M1413" s="8">
        <f t="shared" si="156"/>
        <v>-1.4853078461528639</v>
      </c>
      <c r="N1413" s="8">
        <f t="shared" si="157"/>
        <v>-0.11425444970406645</v>
      </c>
      <c r="O1413" s="8"/>
      <c r="P1413" t="s">
        <v>1700</v>
      </c>
      <c r="Q1413">
        <v>35</v>
      </c>
      <c r="R1413" s="8">
        <v>2.8218100000000002</v>
      </c>
      <c r="S1413">
        <v>8</v>
      </c>
      <c r="T1413" s="8">
        <f t="shared" si="158"/>
        <v>0.22857142857142856</v>
      </c>
      <c r="U1413" s="8">
        <v>2.8299300000000001</v>
      </c>
      <c r="V1413">
        <v>22</v>
      </c>
      <c r="W1413" s="8">
        <f t="shared" si="159"/>
        <v>0.62857142857142856</v>
      </c>
      <c r="X1413" s="8">
        <v>2.8143099999999999</v>
      </c>
      <c r="Y1413">
        <v>5</v>
      </c>
      <c r="Z1413" s="8">
        <f t="shared" si="160"/>
        <v>0.14285714285714285</v>
      </c>
      <c r="AA1413" s="8">
        <v>2.8418100000000002</v>
      </c>
    </row>
    <row r="1414" spans="1:27" ht="15" customHeight="1" x14ac:dyDescent="0.25">
      <c r="A1414" s="14">
        <v>594</v>
      </c>
      <c r="B1414" s="14">
        <v>594</v>
      </c>
      <c r="C1414" s="36">
        <v>-12269.903700000001</v>
      </c>
      <c r="D1414" s="16">
        <v>-12271.645860000001</v>
      </c>
      <c r="E1414" s="14"/>
      <c r="F1414" s="37">
        <v>0.99748599999999998</v>
      </c>
      <c r="G1414" s="16">
        <v>0.20005000000000001</v>
      </c>
      <c r="H1414" s="14">
        <v>6</v>
      </c>
      <c r="I1414" s="14">
        <v>7</v>
      </c>
      <c r="J1414" s="32"/>
      <c r="K1414" s="8">
        <f t="shared" si="154"/>
        <v>-0.74636923077014217</v>
      </c>
      <c r="L1414" s="8">
        <f t="shared" si="155"/>
        <v>-5.7413017751549396E-2</v>
      </c>
      <c r="M1414" s="8">
        <f t="shared" si="156"/>
        <v>-1.0122678461539181</v>
      </c>
      <c r="N1414" s="8">
        <f t="shared" si="157"/>
        <v>-7.7866757396455238E-2</v>
      </c>
      <c r="O1414" s="8"/>
      <c r="P1414" t="s">
        <v>1701</v>
      </c>
      <c r="Q1414">
        <v>36</v>
      </c>
      <c r="R1414" s="8">
        <v>2.8345699999999998</v>
      </c>
      <c r="S1414">
        <v>11</v>
      </c>
      <c r="T1414" s="8">
        <f t="shared" si="158"/>
        <v>0.30555555555555558</v>
      </c>
      <c r="U1414" s="8">
        <v>2.8702899999999998</v>
      </c>
      <c r="V1414">
        <v>20</v>
      </c>
      <c r="W1414" s="8">
        <f t="shared" si="159"/>
        <v>0.55555555555555558</v>
      </c>
      <c r="X1414" s="8">
        <v>2.8104100000000001</v>
      </c>
      <c r="Y1414">
        <v>5</v>
      </c>
      <c r="Z1414" s="8">
        <f t="shared" si="160"/>
        <v>0.1388888888888889</v>
      </c>
      <c r="AA1414" s="8">
        <v>2.8526500000000001</v>
      </c>
    </row>
    <row r="1415" spans="1:27" ht="15" customHeight="1" x14ac:dyDescent="0.25">
      <c r="A1415" s="14">
        <v>595</v>
      </c>
      <c r="B1415" s="14">
        <v>595</v>
      </c>
      <c r="C1415" s="36">
        <v>-12269.9447</v>
      </c>
      <c r="D1415" s="16">
        <v>-12271.653177</v>
      </c>
      <c r="E1415" s="14"/>
      <c r="F1415" s="37">
        <v>0.99721700000000002</v>
      </c>
      <c r="G1415" s="16">
        <v>0.19758999999999899</v>
      </c>
      <c r="H1415" s="14">
        <v>6</v>
      </c>
      <c r="I1415" s="14">
        <v>7</v>
      </c>
      <c r="J1415" s="32"/>
      <c r="K1415" s="8">
        <f t="shared" si="154"/>
        <v>-0.78736923076940002</v>
      </c>
      <c r="L1415" s="8">
        <f t="shared" si="155"/>
        <v>-6.0566863905338462E-2</v>
      </c>
      <c r="M1415" s="8">
        <f t="shared" si="156"/>
        <v>-1.0195848461535206</v>
      </c>
      <c r="N1415" s="8">
        <f t="shared" si="157"/>
        <v>-7.8429603550270816E-2</v>
      </c>
      <c r="O1415" s="8"/>
      <c r="P1415" t="s">
        <v>1702</v>
      </c>
      <c r="Q1415">
        <v>35</v>
      </c>
      <c r="R1415" s="8">
        <v>2.82483</v>
      </c>
      <c r="S1415">
        <v>9</v>
      </c>
      <c r="T1415" s="8">
        <f t="shared" si="158"/>
        <v>0.25714285714285712</v>
      </c>
      <c r="U1415" s="8">
        <v>2.85318</v>
      </c>
      <c r="V1415">
        <v>21</v>
      </c>
      <c r="W1415" s="8">
        <f t="shared" si="159"/>
        <v>0.6</v>
      </c>
      <c r="X1415" s="8">
        <v>2.7987600000000001</v>
      </c>
      <c r="Y1415">
        <v>5</v>
      </c>
      <c r="Z1415" s="8">
        <f t="shared" si="160"/>
        <v>0.14285714285714285</v>
      </c>
      <c r="AA1415" s="8">
        <v>2.8832800000000001</v>
      </c>
    </row>
    <row r="1416" spans="1:27" ht="15" customHeight="1" x14ac:dyDescent="0.25">
      <c r="A1416" s="14">
        <v>596</v>
      </c>
      <c r="B1416" s="14">
        <v>596</v>
      </c>
      <c r="C1416" s="36">
        <v>-12270.014999999999</v>
      </c>
      <c r="D1416" s="16">
        <v>-12271.830617</v>
      </c>
      <c r="E1416" s="14"/>
      <c r="F1416" s="37">
        <v>0.99712500000000004</v>
      </c>
      <c r="G1416" s="16">
        <v>0.19077</v>
      </c>
      <c r="H1416" s="14">
        <v>6</v>
      </c>
      <c r="I1416" s="14">
        <v>7</v>
      </c>
      <c r="J1416" s="32"/>
      <c r="K1416" s="8">
        <f t="shared" si="154"/>
        <v>-0.8576692307688063</v>
      </c>
      <c r="L1416" s="8">
        <f t="shared" si="155"/>
        <v>-6.5974556212985105E-2</v>
      </c>
      <c r="M1416" s="8">
        <f t="shared" si="156"/>
        <v>-1.1970248461529991</v>
      </c>
      <c r="N1416" s="8">
        <f t="shared" si="157"/>
        <v>-9.2078834319461469E-2</v>
      </c>
      <c r="O1416" s="8"/>
      <c r="P1416" t="s">
        <v>1703</v>
      </c>
      <c r="Q1416">
        <v>36</v>
      </c>
      <c r="R1416" s="8">
        <v>2.8344999999999998</v>
      </c>
      <c r="S1416">
        <v>9</v>
      </c>
      <c r="T1416" s="8">
        <f t="shared" si="158"/>
        <v>0.25</v>
      </c>
      <c r="U1416" s="8">
        <v>2.8680099999999999</v>
      </c>
      <c r="V1416">
        <v>22</v>
      </c>
      <c r="W1416" s="8">
        <f t="shared" si="159"/>
        <v>0.61111111111111116</v>
      </c>
      <c r="X1416" s="8">
        <v>2.82192</v>
      </c>
      <c r="Y1416">
        <v>5</v>
      </c>
      <c r="Z1416" s="8">
        <f t="shared" si="160"/>
        <v>0.1388888888888889</v>
      </c>
      <c r="AA1416" s="8">
        <v>2.8294999999999999</v>
      </c>
    </row>
    <row r="1417" spans="1:27" ht="15" customHeight="1" x14ac:dyDescent="0.25">
      <c r="A1417" s="14">
        <v>597</v>
      </c>
      <c r="B1417" s="14">
        <v>597</v>
      </c>
      <c r="C1417" s="36">
        <v>-12269.6428</v>
      </c>
      <c r="D1417" s="16">
        <v>-12271.358243000001</v>
      </c>
      <c r="E1417" s="14"/>
      <c r="F1417" s="37">
        <v>0.99532500000000002</v>
      </c>
      <c r="G1417" s="16">
        <v>0.18168999999999899</v>
      </c>
      <c r="H1417" s="14">
        <v>6</v>
      </c>
      <c r="I1417" s="14">
        <v>7</v>
      </c>
      <c r="J1417" s="32"/>
      <c r="K1417" s="8">
        <f t="shared" si="154"/>
        <v>-0.48546923076901294</v>
      </c>
      <c r="L1417" s="8">
        <f t="shared" si="155"/>
        <v>-3.7343786982231765E-2</v>
      </c>
      <c r="M1417" s="8">
        <f t="shared" si="156"/>
        <v>-0.72465084615396336</v>
      </c>
      <c r="N1417" s="8">
        <f t="shared" si="157"/>
        <v>-5.5742372781074107E-2</v>
      </c>
      <c r="O1417" s="8"/>
      <c r="P1417" t="s">
        <v>1704</v>
      </c>
      <c r="Q1417">
        <v>36</v>
      </c>
      <c r="R1417" s="8">
        <v>2.8363100000000001</v>
      </c>
      <c r="S1417">
        <v>12</v>
      </c>
      <c r="T1417" s="8">
        <f t="shared" si="158"/>
        <v>0.33333333333333331</v>
      </c>
      <c r="U1417" s="8">
        <v>2.87812</v>
      </c>
      <c r="V1417">
        <v>18</v>
      </c>
      <c r="W1417" s="8">
        <f t="shared" si="159"/>
        <v>0.5</v>
      </c>
      <c r="X1417" s="8">
        <v>2.8126699999999998</v>
      </c>
      <c r="Y1417">
        <v>6</v>
      </c>
      <c r="Z1417" s="8">
        <f t="shared" si="160"/>
        <v>0.16666666666666666</v>
      </c>
      <c r="AA1417" s="8">
        <v>2.82362</v>
      </c>
    </row>
    <row r="1418" spans="1:27" ht="15" customHeight="1" x14ac:dyDescent="0.25">
      <c r="A1418" s="14">
        <v>598</v>
      </c>
      <c r="B1418" s="14">
        <v>598</v>
      </c>
      <c r="C1418" s="36">
        <v>-12269.9125</v>
      </c>
      <c r="D1418" s="16">
        <v>-12271.640975</v>
      </c>
      <c r="E1418" s="14"/>
      <c r="F1418" s="37">
        <v>0.99048599999999998</v>
      </c>
      <c r="G1418" s="16">
        <v>0.16027</v>
      </c>
      <c r="H1418" s="14">
        <v>6</v>
      </c>
      <c r="I1418" s="14">
        <v>7</v>
      </c>
      <c r="J1418" s="32"/>
      <c r="K1418" s="8">
        <f t="shared" si="154"/>
        <v>-0.75516923076975218</v>
      </c>
      <c r="L1418" s="8">
        <f t="shared" si="155"/>
        <v>-5.8089940828442474E-2</v>
      </c>
      <c r="M1418" s="8">
        <f t="shared" si="156"/>
        <v>-1.0073828461536323</v>
      </c>
      <c r="N1418" s="8">
        <f t="shared" si="157"/>
        <v>-7.7490988165664021E-2</v>
      </c>
      <c r="O1418" s="8"/>
      <c r="P1418" t="s">
        <v>1705</v>
      </c>
      <c r="Q1418">
        <v>35</v>
      </c>
      <c r="R1418" s="8">
        <v>2.8245100000000001</v>
      </c>
      <c r="S1418">
        <v>8</v>
      </c>
      <c r="T1418" s="8">
        <f t="shared" si="158"/>
        <v>0.22857142857142856</v>
      </c>
      <c r="U1418" s="8">
        <v>2.8485499999999999</v>
      </c>
      <c r="V1418">
        <v>23</v>
      </c>
      <c r="W1418" s="8">
        <f t="shared" si="159"/>
        <v>0.65714285714285714</v>
      </c>
      <c r="X1418" s="8">
        <v>2.8027299999999999</v>
      </c>
      <c r="Y1418">
        <v>4</v>
      </c>
      <c r="Z1418" s="8">
        <f t="shared" si="160"/>
        <v>0.11428571428571428</v>
      </c>
      <c r="AA1418" s="8">
        <v>2.9016999999999999</v>
      </c>
    </row>
    <row r="1419" spans="1:27" ht="15" customHeight="1" x14ac:dyDescent="0.25">
      <c r="A1419" s="14">
        <v>599</v>
      </c>
      <c r="B1419" s="14">
        <v>599</v>
      </c>
      <c r="C1419" s="36">
        <v>-12269.886200000001</v>
      </c>
      <c r="D1419" s="16">
        <v>-12271.600011</v>
      </c>
      <c r="E1419" s="14"/>
      <c r="F1419" s="37">
        <v>0.99057899999999999</v>
      </c>
      <c r="G1419" s="16">
        <v>0.16061</v>
      </c>
      <c r="H1419" s="14">
        <v>6</v>
      </c>
      <c r="I1419" s="14">
        <v>7</v>
      </c>
      <c r="J1419" s="32"/>
      <c r="K1419" s="8">
        <f t="shared" si="154"/>
        <v>-0.72886923077021493</v>
      </c>
      <c r="L1419" s="8">
        <f t="shared" si="155"/>
        <v>-5.6066863905401151E-2</v>
      </c>
      <c r="M1419" s="8">
        <f t="shared" si="156"/>
        <v>-0.96641884615382878</v>
      </c>
      <c r="N1419" s="8">
        <f t="shared" si="157"/>
        <v>-7.4339911242602211E-2</v>
      </c>
      <c r="O1419" s="8"/>
      <c r="P1419" t="s">
        <v>1706</v>
      </c>
      <c r="Q1419">
        <v>35</v>
      </c>
      <c r="R1419" s="8">
        <v>2.8235199999999998</v>
      </c>
      <c r="S1419">
        <v>9</v>
      </c>
      <c r="T1419" s="8">
        <f t="shared" si="158"/>
        <v>0.25714285714285712</v>
      </c>
      <c r="U1419" s="8">
        <v>2.8300399999999999</v>
      </c>
      <c r="V1419">
        <v>21</v>
      </c>
      <c r="W1419" s="8">
        <f t="shared" si="159"/>
        <v>0.6</v>
      </c>
      <c r="X1419" s="8">
        <v>2.81684</v>
      </c>
      <c r="Y1419">
        <v>5</v>
      </c>
      <c r="Z1419" s="8">
        <f t="shared" si="160"/>
        <v>0.14285714285714285</v>
      </c>
      <c r="AA1419" s="8">
        <v>2.8398400000000001</v>
      </c>
    </row>
    <row r="1420" spans="1:27" ht="15" customHeight="1" x14ac:dyDescent="0.25">
      <c r="A1420" s="14">
        <v>600</v>
      </c>
      <c r="B1420" s="14">
        <v>600</v>
      </c>
      <c r="C1420" s="36">
        <v>-12269.873600000001</v>
      </c>
      <c r="D1420" s="16">
        <v>-12271.564425</v>
      </c>
      <c r="E1420" s="14"/>
      <c r="F1420" s="37">
        <v>0.994703</v>
      </c>
      <c r="G1420" s="16">
        <v>0.17792999999999901</v>
      </c>
      <c r="H1420" s="14">
        <v>6</v>
      </c>
      <c r="I1420" s="14">
        <v>7</v>
      </c>
      <c r="J1420" s="32"/>
      <c r="K1420" s="8">
        <f t="shared" si="154"/>
        <v>-0.71626923077019455</v>
      </c>
      <c r="L1420" s="8">
        <f t="shared" si="155"/>
        <v>-5.5097633136168812E-2</v>
      </c>
      <c r="M1420" s="8">
        <f t="shared" si="156"/>
        <v>-0.93083284615386219</v>
      </c>
      <c r="N1420" s="8">
        <f t="shared" si="157"/>
        <v>-7.1602526627220164E-2</v>
      </c>
      <c r="O1420" s="8"/>
      <c r="P1420" t="s">
        <v>1707</v>
      </c>
      <c r="Q1420">
        <v>35</v>
      </c>
      <c r="R1420" s="8">
        <v>2.8225899999999999</v>
      </c>
      <c r="S1420">
        <v>9</v>
      </c>
      <c r="T1420" s="8">
        <f t="shared" si="158"/>
        <v>0.25714285714285712</v>
      </c>
      <c r="U1420" s="8">
        <v>2.82511</v>
      </c>
      <c r="V1420">
        <v>21</v>
      </c>
      <c r="W1420" s="8">
        <f t="shared" si="159"/>
        <v>0.6</v>
      </c>
      <c r="X1420" s="8">
        <v>2.8096700000000001</v>
      </c>
      <c r="Y1420">
        <v>5</v>
      </c>
      <c r="Z1420" s="8">
        <f t="shared" si="160"/>
        <v>0.14285714285714285</v>
      </c>
      <c r="AA1420" s="8">
        <v>2.8722799999999999</v>
      </c>
    </row>
    <row r="1421" spans="1:27" ht="15" customHeight="1" x14ac:dyDescent="0.25">
      <c r="A1421" s="14">
        <v>601</v>
      </c>
      <c r="B1421" s="14">
        <v>601</v>
      </c>
      <c r="C1421" s="36">
        <v>-12269.632</v>
      </c>
      <c r="D1421" s="16">
        <v>-12271.317421</v>
      </c>
      <c r="E1421" s="14"/>
      <c r="F1421" s="37">
        <v>0.99654299999999996</v>
      </c>
      <c r="G1421" s="16">
        <v>0.19075</v>
      </c>
      <c r="H1421" s="14">
        <v>6</v>
      </c>
      <c r="I1421" s="14">
        <v>7</v>
      </c>
      <c r="J1421" s="32"/>
      <c r="K1421" s="8">
        <f t="shared" si="154"/>
        <v>-0.47466923076899548</v>
      </c>
      <c r="L1421" s="8">
        <f t="shared" si="155"/>
        <v>-3.6513017751461194E-2</v>
      </c>
      <c r="M1421" s="8">
        <f t="shared" si="156"/>
        <v>-0.68382884615311923</v>
      </c>
      <c r="N1421" s="8">
        <f t="shared" si="157"/>
        <v>-5.2602218934855324E-2</v>
      </c>
      <c r="O1421" s="8"/>
      <c r="P1421" t="s">
        <v>1708</v>
      </c>
      <c r="Q1421">
        <v>36</v>
      </c>
      <c r="R1421" s="8">
        <v>2.8353600000000001</v>
      </c>
      <c r="S1421">
        <v>13</v>
      </c>
      <c r="T1421" s="8">
        <f t="shared" si="158"/>
        <v>0.3611111111111111</v>
      </c>
      <c r="U1421" s="8">
        <v>2.88131</v>
      </c>
      <c r="V1421">
        <v>18</v>
      </c>
      <c r="W1421" s="8">
        <f t="shared" si="159"/>
        <v>0.5</v>
      </c>
      <c r="X1421" s="8">
        <v>2.78755</v>
      </c>
      <c r="Y1421">
        <v>5</v>
      </c>
      <c r="Z1421" s="8">
        <f t="shared" si="160"/>
        <v>0.1388888888888889</v>
      </c>
      <c r="AA1421" s="8">
        <v>2.8879999999999999</v>
      </c>
    </row>
    <row r="1422" spans="1:27" ht="15" customHeight="1" x14ac:dyDescent="0.25">
      <c r="A1422" s="14">
        <v>602</v>
      </c>
      <c r="B1422" s="14">
        <v>602</v>
      </c>
      <c r="C1422" s="36">
        <v>-12269.8855</v>
      </c>
      <c r="D1422" s="16">
        <v>-12271.824977</v>
      </c>
      <c r="E1422" s="14"/>
      <c r="F1422" s="37">
        <v>0.99309700000000001</v>
      </c>
      <c r="G1422" s="16">
        <v>0.16999</v>
      </c>
      <c r="H1422" s="14">
        <v>6</v>
      </c>
      <c r="I1422" s="14">
        <v>7</v>
      </c>
      <c r="J1422" s="32"/>
      <c r="K1422" s="8">
        <f t="shared" si="154"/>
        <v>-0.72816923076970852</v>
      </c>
      <c r="L1422" s="8">
        <f t="shared" si="155"/>
        <v>-5.6013017751516042E-2</v>
      </c>
      <c r="M1422" s="8">
        <f t="shared" si="156"/>
        <v>-1.1913848461535963</v>
      </c>
      <c r="N1422" s="8">
        <f t="shared" si="157"/>
        <v>-9.1644988165661259E-2</v>
      </c>
      <c r="O1422" s="8"/>
      <c r="P1422" t="s">
        <v>1709</v>
      </c>
      <c r="Q1422">
        <v>35</v>
      </c>
      <c r="R1422" s="8">
        <v>2.8233899999999998</v>
      </c>
      <c r="S1422">
        <v>11</v>
      </c>
      <c r="T1422" s="8">
        <f t="shared" si="158"/>
        <v>0.31428571428571428</v>
      </c>
      <c r="U1422" s="8">
        <v>2.8340100000000001</v>
      </c>
      <c r="V1422">
        <v>16</v>
      </c>
      <c r="W1422" s="8">
        <f t="shared" si="159"/>
        <v>0.45714285714285713</v>
      </c>
      <c r="X1422" s="8">
        <v>2.80748</v>
      </c>
      <c r="Y1422">
        <v>8</v>
      </c>
      <c r="Z1422" s="8">
        <f t="shared" si="160"/>
        <v>0.22857142857142856</v>
      </c>
      <c r="AA1422" s="8">
        <v>2.8405900000000002</v>
      </c>
    </row>
    <row r="1423" spans="1:27" ht="15" customHeight="1" x14ac:dyDescent="0.25">
      <c r="A1423" s="14">
        <v>603</v>
      </c>
      <c r="B1423" s="14">
        <v>603</v>
      </c>
      <c r="C1423" s="36">
        <v>-12270.062400000001</v>
      </c>
      <c r="D1423" s="16">
        <v>-12271.929271999999</v>
      </c>
      <c r="E1423" s="14"/>
      <c r="F1423" s="37">
        <v>0.99027500000000002</v>
      </c>
      <c r="G1423" s="16">
        <v>0.15964</v>
      </c>
      <c r="H1423" s="14">
        <v>6</v>
      </c>
      <c r="I1423" s="14">
        <v>7</v>
      </c>
      <c r="J1423" s="32"/>
      <c r="K1423" s="8">
        <f t="shared" si="154"/>
        <v>-0.9050692307700956</v>
      </c>
      <c r="L1423" s="8">
        <f t="shared" si="155"/>
        <v>-6.9620710059238117E-2</v>
      </c>
      <c r="M1423" s="8">
        <f t="shared" si="156"/>
        <v>-1.2956798461527796</v>
      </c>
      <c r="N1423" s="8">
        <f t="shared" si="157"/>
        <v>-9.9667680473290748E-2</v>
      </c>
      <c r="O1423" s="8"/>
      <c r="P1423" t="s">
        <v>1710</v>
      </c>
      <c r="Q1423">
        <v>35</v>
      </c>
      <c r="R1423" s="8">
        <v>2.82904</v>
      </c>
      <c r="S1423">
        <v>10</v>
      </c>
      <c r="T1423" s="8">
        <f t="shared" si="158"/>
        <v>0.2857142857142857</v>
      </c>
      <c r="U1423" s="8">
        <v>2.8628300000000002</v>
      </c>
      <c r="V1423">
        <v>18</v>
      </c>
      <c r="W1423" s="8">
        <f t="shared" si="159"/>
        <v>0.51428571428571423</v>
      </c>
      <c r="X1423" s="8">
        <v>2.7942499999999999</v>
      </c>
      <c r="Y1423">
        <v>7</v>
      </c>
      <c r="Z1423" s="8">
        <f t="shared" si="160"/>
        <v>0.2</v>
      </c>
      <c r="AA1423" s="8">
        <v>2.87025</v>
      </c>
    </row>
    <row r="1424" spans="1:27" ht="15" customHeight="1" x14ac:dyDescent="0.25">
      <c r="A1424" s="14">
        <v>604</v>
      </c>
      <c r="B1424" s="14">
        <v>604</v>
      </c>
      <c r="C1424" s="36">
        <v>-12269.6762</v>
      </c>
      <c r="D1424" s="16">
        <v>-12271.585208</v>
      </c>
      <c r="E1424" s="14"/>
      <c r="F1424" s="37">
        <v>0.99113899999999999</v>
      </c>
      <c r="G1424" s="16">
        <v>0.16245999999999999</v>
      </c>
      <c r="H1424" s="14">
        <v>6</v>
      </c>
      <c r="I1424" s="14">
        <v>7</v>
      </c>
      <c r="J1424" s="32"/>
      <c r="K1424" s="8">
        <f t="shared" si="154"/>
        <v>-0.51886923076926905</v>
      </c>
      <c r="L1424" s="8">
        <f t="shared" si="155"/>
        <v>-3.9913017751482233E-2</v>
      </c>
      <c r="M1424" s="8">
        <f t="shared" si="156"/>
        <v>-0.95161584615379979</v>
      </c>
      <c r="N1424" s="8">
        <f t="shared" si="157"/>
        <v>-7.3201218934907678E-2</v>
      </c>
      <c r="O1424" s="8"/>
      <c r="P1424" t="s">
        <v>1711</v>
      </c>
      <c r="Q1424">
        <v>35</v>
      </c>
      <c r="R1424" s="8">
        <v>2.8252999999999999</v>
      </c>
      <c r="S1424">
        <v>13</v>
      </c>
      <c r="T1424" s="8">
        <f t="shared" si="158"/>
        <v>0.37142857142857144</v>
      </c>
      <c r="U1424" s="8">
        <v>2.8235800000000002</v>
      </c>
      <c r="V1424">
        <v>13</v>
      </c>
      <c r="W1424" s="8">
        <f t="shared" si="159"/>
        <v>0.37142857142857144</v>
      </c>
      <c r="X1424" s="8">
        <v>2.81257</v>
      </c>
      <c r="Y1424">
        <v>9</v>
      </c>
      <c r="Z1424" s="8">
        <f t="shared" si="160"/>
        <v>0.25714285714285712</v>
      </c>
      <c r="AA1424" s="8">
        <v>2.8461799999999999</v>
      </c>
    </row>
    <row r="1425" spans="1:27" ht="15" customHeight="1" x14ac:dyDescent="0.25">
      <c r="A1425" s="14">
        <v>605</v>
      </c>
      <c r="B1425" s="14">
        <v>605</v>
      </c>
      <c r="C1425" s="36">
        <v>-12269.949500000001</v>
      </c>
      <c r="D1425" s="16">
        <v>-12271.397487</v>
      </c>
      <c r="E1425" s="14"/>
      <c r="F1425" s="37">
        <v>0.99440399999999995</v>
      </c>
      <c r="G1425" s="16">
        <v>0.17629</v>
      </c>
      <c r="H1425" s="14">
        <v>6</v>
      </c>
      <c r="I1425" s="14">
        <v>7</v>
      </c>
      <c r="J1425" s="32"/>
      <c r="K1425" s="8">
        <f t="shared" si="154"/>
        <v>-0.79216923077001411</v>
      </c>
      <c r="L1425" s="8">
        <f t="shared" si="155"/>
        <v>-6.093609467461647E-2</v>
      </c>
      <c r="M1425" s="8">
        <f t="shared" si="156"/>
        <v>-0.76389484615356196</v>
      </c>
      <c r="N1425" s="8">
        <f t="shared" si="157"/>
        <v>-5.8761142011812456E-2</v>
      </c>
      <c r="O1425" s="8"/>
      <c r="P1425" t="s">
        <v>1712</v>
      </c>
      <c r="Q1425">
        <v>36</v>
      </c>
      <c r="R1425" s="8">
        <v>2.8392499999999998</v>
      </c>
      <c r="S1425">
        <v>12</v>
      </c>
      <c r="T1425" s="8">
        <f t="shared" si="158"/>
        <v>0.33333333333333331</v>
      </c>
      <c r="U1425" s="8">
        <v>2.8569900000000001</v>
      </c>
      <c r="V1425">
        <v>17</v>
      </c>
      <c r="W1425" s="8">
        <f t="shared" si="159"/>
        <v>0.47222222222222221</v>
      </c>
      <c r="X1425" s="8">
        <v>2.82681</v>
      </c>
      <c r="Y1425">
        <v>7</v>
      </c>
      <c r="Z1425" s="8">
        <f t="shared" si="160"/>
        <v>0.19444444444444445</v>
      </c>
      <c r="AA1425" s="8">
        <v>2.8390599999999999</v>
      </c>
    </row>
    <row r="1426" spans="1:27" ht="15" customHeight="1" x14ac:dyDescent="0.25">
      <c r="A1426" s="14">
        <v>606</v>
      </c>
      <c r="B1426" s="14">
        <v>606</v>
      </c>
      <c r="C1426" s="36">
        <v>-12269.9748</v>
      </c>
      <c r="D1426" s="16">
        <v>-12271.961364999999</v>
      </c>
      <c r="E1426" s="14"/>
      <c r="F1426" s="37">
        <v>0.99492199999999997</v>
      </c>
      <c r="G1426" s="16">
        <v>0.17920999999999901</v>
      </c>
      <c r="H1426" s="14">
        <v>6</v>
      </c>
      <c r="I1426" s="14">
        <v>7</v>
      </c>
      <c r="J1426" s="32"/>
      <c r="K1426" s="8">
        <f t="shared" si="154"/>
        <v>-0.81746923076934763</v>
      </c>
      <c r="L1426" s="8">
        <f t="shared" si="155"/>
        <v>-6.2882248520719053E-2</v>
      </c>
      <c r="M1426" s="8">
        <f t="shared" si="156"/>
        <v>-1.327772846152584</v>
      </c>
      <c r="N1426" s="8">
        <f t="shared" si="157"/>
        <v>-0.102136372780968</v>
      </c>
      <c r="O1426" s="8"/>
      <c r="P1426" t="s">
        <v>1713</v>
      </c>
      <c r="Q1426">
        <v>35</v>
      </c>
      <c r="R1426" s="8">
        <v>2.82734</v>
      </c>
      <c r="S1426">
        <v>10</v>
      </c>
      <c r="T1426" s="8">
        <f t="shared" si="158"/>
        <v>0.2857142857142857</v>
      </c>
      <c r="U1426" s="8">
        <v>2.8384100000000001</v>
      </c>
      <c r="V1426">
        <v>18</v>
      </c>
      <c r="W1426" s="8">
        <f t="shared" si="159"/>
        <v>0.51428571428571423</v>
      </c>
      <c r="X1426" s="8">
        <v>2.8194300000000001</v>
      </c>
      <c r="Y1426">
        <v>7</v>
      </c>
      <c r="Z1426" s="8">
        <f t="shared" si="160"/>
        <v>0.2</v>
      </c>
      <c r="AA1426" s="8">
        <v>2.83188</v>
      </c>
    </row>
    <row r="1427" spans="1:27" ht="15" customHeight="1" x14ac:dyDescent="0.25">
      <c r="A1427" s="14">
        <v>607</v>
      </c>
      <c r="B1427" s="14">
        <v>607</v>
      </c>
      <c r="C1427" s="36">
        <v>-12269.4256</v>
      </c>
      <c r="D1427" s="16">
        <v>-12271.213454999999</v>
      </c>
      <c r="E1427" s="14"/>
      <c r="F1427" s="37">
        <v>0.99397899999999995</v>
      </c>
      <c r="G1427" s="16">
        <v>0.17402000000000001</v>
      </c>
      <c r="H1427" s="14">
        <v>6</v>
      </c>
      <c r="I1427" s="14">
        <v>7</v>
      </c>
      <c r="J1427" s="32"/>
      <c r="K1427" s="8">
        <f t="shared" si="154"/>
        <v>-0.26826923076987441</v>
      </c>
      <c r="L1427" s="8">
        <f t="shared" si="155"/>
        <v>-2.0636094674605723E-2</v>
      </c>
      <c r="M1427" s="8">
        <f t="shared" si="156"/>
        <v>-0.5798628461525368</v>
      </c>
      <c r="N1427" s="8">
        <f t="shared" si="157"/>
        <v>-4.4604834319425905E-2</v>
      </c>
      <c r="O1427" s="8"/>
      <c r="P1427" t="s">
        <v>1714</v>
      </c>
      <c r="Q1427">
        <v>35</v>
      </c>
      <c r="R1427" s="8">
        <v>2.8245399999999998</v>
      </c>
      <c r="S1427">
        <v>14</v>
      </c>
      <c r="T1427" s="8">
        <f t="shared" si="158"/>
        <v>0.4</v>
      </c>
      <c r="U1427" s="8">
        <v>2.8284699999999998</v>
      </c>
      <c r="V1427">
        <v>11</v>
      </c>
      <c r="W1427" s="8">
        <f t="shared" si="159"/>
        <v>0.31428571428571428</v>
      </c>
      <c r="X1427" s="8">
        <v>2.8130000000000002</v>
      </c>
      <c r="Y1427">
        <v>10</v>
      </c>
      <c r="Z1427" s="8">
        <f t="shared" si="160"/>
        <v>0.2857142857142857</v>
      </c>
      <c r="AA1427" s="8">
        <v>2.8317100000000002</v>
      </c>
    </row>
    <row r="1428" spans="1:27" ht="15" customHeight="1" x14ac:dyDescent="0.25">
      <c r="A1428" s="14">
        <v>608</v>
      </c>
      <c r="B1428" s="14">
        <v>608</v>
      </c>
      <c r="C1428" s="36">
        <v>-12269.9236</v>
      </c>
      <c r="D1428" s="16">
        <v>-12271.519683</v>
      </c>
      <c r="E1428" s="14"/>
      <c r="F1428" s="37">
        <v>0.99404300000000001</v>
      </c>
      <c r="G1428" s="16">
        <v>0.17446999999999899</v>
      </c>
      <c r="H1428" s="14">
        <v>6</v>
      </c>
      <c r="I1428" s="14">
        <v>7</v>
      </c>
      <c r="J1428" s="32"/>
      <c r="K1428" s="8">
        <f t="shared" si="154"/>
        <v>-0.76626923076946696</v>
      </c>
      <c r="L1428" s="8">
        <f t="shared" si="155"/>
        <v>-5.894378698226669E-2</v>
      </c>
      <c r="M1428" s="8">
        <f t="shared" si="156"/>
        <v>-0.88609084615382017</v>
      </c>
      <c r="N1428" s="8">
        <f t="shared" si="157"/>
        <v>-6.8160834319524632E-2</v>
      </c>
      <c r="O1428" s="8"/>
      <c r="P1428" t="s">
        <v>1715</v>
      </c>
      <c r="Q1428">
        <v>36</v>
      </c>
      <c r="R1428" s="8">
        <v>2.8380700000000001</v>
      </c>
      <c r="S1428">
        <v>11</v>
      </c>
      <c r="T1428" s="8">
        <f t="shared" si="158"/>
        <v>0.30555555555555558</v>
      </c>
      <c r="U1428" s="8">
        <v>2.8751500000000001</v>
      </c>
      <c r="V1428">
        <v>19</v>
      </c>
      <c r="W1428" s="8">
        <f t="shared" si="159"/>
        <v>0.52777777777777779</v>
      </c>
      <c r="X1428" s="8">
        <v>2.8146</v>
      </c>
      <c r="Y1428">
        <v>6</v>
      </c>
      <c r="Z1428" s="8">
        <f t="shared" si="160"/>
        <v>0.16666666666666666</v>
      </c>
      <c r="AA1428" s="8">
        <v>2.8443999999999998</v>
      </c>
    </row>
    <row r="1429" spans="1:27" ht="15" customHeight="1" x14ac:dyDescent="0.25">
      <c r="A1429" s="14">
        <v>609</v>
      </c>
      <c r="B1429" s="14">
        <v>609</v>
      </c>
      <c r="C1429" s="36">
        <v>-12269.755300000001</v>
      </c>
      <c r="D1429" s="16">
        <v>-12271.434660000001</v>
      </c>
      <c r="E1429" s="14"/>
      <c r="F1429" s="37">
        <v>0.99505399999999999</v>
      </c>
      <c r="G1429" s="16">
        <v>0.180029999999999</v>
      </c>
      <c r="H1429" s="14">
        <v>6</v>
      </c>
      <c r="I1429" s="14">
        <v>7</v>
      </c>
      <c r="J1429" s="32"/>
      <c r="K1429" s="8">
        <f t="shared" si="154"/>
        <v>-0.59796923077010433</v>
      </c>
      <c r="L1429" s="8">
        <f t="shared" si="155"/>
        <v>-4.599763313616187E-2</v>
      </c>
      <c r="M1429" s="8">
        <f t="shared" si="156"/>
        <v>-0.80106784615418292</v>
      </c>
      <c r="N1429" s="8">
        <f t="shared" si="157"/>
        <v>-6.1620603550321763E-2</v>
      </c>
      <c r="O1429" s="8"/>
      <c r="P1429" t="s">
        <v>1716</v>
      </c>
      <c r="Q1429">
        <v>36</v>
      </c>
      <c r="R1429" s="8">
        <v>2.8384100000000001</v>
      </c>
      <c r="S1429">
        <v>12</v>
      </c>
      <c r="T1429" s="8">
        <f t="shared" si="158"/>
        <v>0.33333333333333331</v>
      </c>
      <c r="U1429" s="8">
        <v>2.87391</v>
      </c>
      <c r="V1429">
        <v>17</v>
      </c>
      <c r="W1429" s="8">
        <f t="shared" si="159"/>
        <v>0.47222222222222221</v>
      </c>
      <c r="X1429" s="8">
        <v>2.81359</v>
      </c>
      <c r="Y1429">
        <v>7</v>
      </c>
      <c r="Z1429" s="8">
        <f t="shared" si="160"/>
        <v>0.19444444444444445</v>
      </c>
      <c r="AA1429" s="8">
        <v>2.83786</v>
      </c>
    </row>
    <row r="1430" spans="1:27" ht="15" customHeight="1" x14ac:dyDescent="0.25">
      <c r="A1430" s="14">
        <v>610</v>
      </c>
      <c r="B1430" s="14">
        <v>610</v>
      </c>
      <c r="C1430" s="36">
        <v>-12270.0101</v>
      </c>
      <c r="D1430" s="16">
        <v>-12271.709993</v>
      </c>
      <c r="E1430" s="14"/>
      <c r="F1430" s="37">
        <v>0.99427399999999999</v>
      </c>
      <c r="G1430" s="16">
        <v>0.17555999999999899</v>
      </c>
      <c r="H1430" s="14">
        <v>6</v>
      </c>
      <c r="I1430" s="14">
        <v>7</v>
      </c>
      <c r="J1430" s="32"/>
      <c r="K1430" s="8">
        <f t="shared" si="154"/>
        <v>-0.85276923076889943</v>
      </c>
      <c r="L1430" s="8">
        <f t="shared" si="155"/>
        <v>-6.5597633136069186E-2</v>
      </c>
      <c r="M1430" s="8">
        <f t="shared" si="156"/>
        <v>-1.0764008461537742</v>
      </c>
      <c r="N1430" s="8">
        <f t="shared" si="157"/>
        <v>-8.2800065088751859E-2</v>
      </c>
      <c r="O1430" s="8"/>
      <c r="P1430" t="s">
        <v>1717</v>
      </c>
      <c r="Q1430">
        <v>36</v>
      </c>
      <c r="R1430" s="8">
        <v>2.8395299999999999</v>
      </c>
      <c r="S1430">
        <v>10</v>
      </c>
      <c r="T1430" s="8">
        <f t="shared" si="158"/>
        <v>0.27777777777777779</v>
      </c>
      <c r="U1430" s="8">
        <v>2.8856700000000002</v>
      </c>
      <c r="V1430">
        <v>21</v>
      </c>
      <c r="W1430" s="8">
        <f t="shared" si="159"/>
        <v>0.58333333333333337</v>
      </c>
      <c r="X1430" s="8">
        <v>2.8080799999999999</v>
      </c>
      <c r="Y1430">
        <v>5</v>
      </c>
      <c r="Z1430" s="8">
        <f t="shared" si="160"/>
        <v>0.1388888888888889</v>
      </c>
      <c r="AA1430" s="8">
        <v>2.8793199999999999</v>
      </c>
    </row>
    <row r="1431" spans="1:27" ht="15" customHeight="1" x14ac:dyDescent="0.25">
      <c r="A1431" s="14">
        <v>611</v>
      </c>
      <c r="B1431" s="14">
        <v>611</v>
      </c>
      <c r="C1431" s="36">
        <v>-12269.6095</v>
      </c>
      <c r="D1431" s="16">
        <v>-12271.368856999999</v>
      </c>
      <c r="E1431" s="14"/>
      <c r="F1431" s="37">
        <v>0.99560499999999996</v>
      </c>
      <c r="G1431" s="16">
        <v>0.183669999999999</v>
      </c>
      <c r="H1431" s="14">
        <v>6</v>
      </c>
      <c r="I1431" s="14">
        <v>7</v>
      </c>
      <c r="J1431" s="32"/>
      <c r="K1431" s="8">
        <f t="shared" si="154"/>
        <v>-0.45216923076986859</v>
      </c>
      <c r="L1431" s="8">
        <f t="shared" si="155"/>
        <v>-3.4782248520759125E-2</v>
      </c>
      <c r="M1431" s="8">
        <f t="shared" si="156"/>
        <v>-0.73526484615285881</v>
      </c>
      <c r="N1431" s="8">
        <f t="shared" si="157"/>
        <v>-5.6558834319450677E-2</v>
      </c>
      <c r="O1431" s="8"/>
      <c r="P1431" t="s">
        <v>1718</v>
      </c>
      <c r="Q1431">
        <v>35</v>
      </c>
      <c r="R1431" s="8">
        <v>2.8266</v>
      </c>
      <c r="S1431">
        <v>12</v>
      </c>
      <c r="T1431" s="8">
        <f t="shared" si="158"/>
        <v>0.34285714285714286</v>
      </c>
      <c r="U1431" s="8">
        <v>2.8315899999999998</v>
      </c>
      <c r="V1431">
        <v>16</v>
      </c>
      <c r="W1431" s="8">
        <f t="shared" si="159"/>
        <v>0.45714285714285713</v>
      </c>
      <c r="X1431" s="8">
        <v>2.8058200000000002</v>
      </c>
      <c r="Y1431">
        <v>7</v>
      </c>
      <c r="Z1431" s="8">
        <f t="shared" si="160"/>
        <v>0.2</v>
      </c>
      <c r="AA1431" s="8">
        <v>2.8655599999999999</v>
      </c>
    </row>
    <row r="1432" spans="1:27" ht="15" customHeight="1" x14ac:dyDescent="0.25">
      <c r="A1432" s="14">
        <v>612</v>
      </c>
      <c r="B1432" s="14">
        <v>612</v>
      </c>
      <c r="C1432" s="36">
        <v>-12270.1664</v>
      </c>
      <c r="D1432" s="16">
        <v>-12272.065558</v>
      </c>
      <c r="E1432" s="14"/>
      <c r="F1432" s="37">
        <v>0.99149100000000001</v>
      </c>
      <c r="G1432" s="16">
        <v>0.16364999999999999</v>
      </c>
      <c r="H1432" s="14">
        <v>6</v>
      </c>
      <c r="I1432" s="14">
        <v>7</v>
      </c>
      <c r="J1432" s="32"/>
      <c r="K1432" s="8">
        <f t="shared" si="154"/>
        <v>-1.0090692307694553</v>
      </c>
      <c r="L1432" s="8">
        <f t="shared" si="155"/>
        <v>-7.7620710059188872E-2</v>
      </c>
      <c r="M1432" s="8">
        <f t="shared" si="156"/>
        <v>-1.4319658461536164</v>
      </c>
      <c r="N1432" s="8">
        <f t="shared" si="157"/>
        <v>-0.11015121893489357</v>
      </c>
      <c r="O1432" s="8"/>
      <c r="P1432" t="s">
        <v>1719</v>
      </c>
      <c r="Q1432">
        <v>35</v>
      </c>
      <c r="R1432" s="8">
        <v>2.8253900000000001</v>
      </c>
      <c r="S1432">
        <v>9</v>
      </c>
      <c r="T1432" s="8">
        <f t="shared" si="158"/>
        <v>0.25714285714285712</v>
      </c>
      <c r="U1432" s="8">
        <v>2.8549000000000002</v>
      </c>
      <c r="V1432">
        <v>20</v>
      </c>
      <c r="W1432" s="8">
        <f t="shared" si="159"/>
        <v>0.5714285714285714</v>
      </c>
      <c r="X1432" s="8">
        <v>2.8058399999999999</v>
      </c>
      <c r="Y1432">
        <v>6</v>
      </c>
      <c r="Z1432" s="8">
        <f t="shared" si="160"/>
        <v>0.17142857142857143</v>
      </c>
      <c r="AA1432" s="8">
        <v>2.8462999999999998</v>
      </c>
    </row>
    <row r="1433" spans="1:27" ht="15" customHeight="1" x14ac:dyDescent="0.25">
      <c r="A1433" s="14">
        <v>613</v>
      </c>
      <c r="B1433" s="14">
        <v>613</v>
      </c>
      <c r="C1433" s="36">
        <v>-12269.7323</v>
      </c>
      <c r="D1433" s="16">
        <v>-12271.405914999999</v>
      </c>
      <c r="E1433" s="14"/>
      <c r="F1433" s="37">
        <v>0.99421899999999996</v>
      </c>
      <c r="G1433" s="16">
        <v>0.17524999999999899</v>
      </c>
      <c r="H1433" s="14">
        <v>6</v>
      </c>
      <c r="I1433" s="14">
        <v>7</v>
      </c>
      <c r="J1433" s="32"/>
      <c r="K1433" s="8">
        <f t="shared" si="154"/>
        <v>-0.57496923076905659</v>
      </c>
      <c r="L1433" s="8">
        <f t="shared" si="155"/>
        <v>-4.4228402366850508E-2</v>
      </c>
      <c r="M1433" s="8">
        <f t="shared" si="156"/>
        <v>-0.77232284615274693</v>
      </c>
      <c r="N1433" s="8">
        <f t="shared" si="157"/>
        <v>-5.9409449704057454E-2</v>
      </c>
      <c r="O1433" s="8"/>
      <c r="P1433" t="s">
        <v>1720</v>
      </c>
      <c r="Q1433">
        <v>36</v>
      </c>
      <c r="R1433" s="8">
        <v>2.83799</v>
      </c>
      <c r="S1433">
        <v>12</v>
      </c>
      <c r="T1433" s="8">
        <f t="shared" si="158"/>
        <v>0.33333333333333331</v>
      </c>
      <c r="U1433" s="8">
        <v>2.8618100000000002</v>
      </c>
      <c r="V1433">
        <v>17</v>
      </c>
      <c r="W1433" s="8">
        <f t="shared" si="159"/>
        <v>0.47222222222222221</v>
      </c>
      <c r="X1433" s="8">
        <v>2.8255499999999998</v>
      </c>
      <c r="Y1433">
        <v>7</v>
      </c>
      <c r="Z1433" s="8">
        <f t="shared" si="160"/>
        <v>0.19444444444444445</v>
      </c>
      <c r="AA1433" s="8">
        <v>2.8273700000000002</v>
      </c>
    </row>
    <row r="1434" spans="1:27" ht="15" customHeight="1" x14ac:dyDescent="0.25">
      <c r="A1434" s="14">
        <v>614</v>
      </c>
      <c r="B1434" s="14">
        <v>614</v>
      </c>
      <c r="C1434" s="36">
        <v>-12270.059800000001</v>
      </c>
      <c r="D1434" s="16">
        <v>-12271.772193999999</v>
      </c>
      <c r="E1434" s="14"/>
      <c r="F1434" s="37">
        <v>0.99177700000000002</v>
      </c>
      <c r="G1434" s="16">
        <v>0.16469</v>
      </c>
      <c r="H1434" s="14">
        <v>6</v>
      </c>
      <c r="I1434" s="14">
        <v>7</v>
      </c>
      <c r="J1434" s="32"/>
      <c r="K1434" s="8">
        <f t="shared" si="154"/>
        <v>-0.90246923077029351</v>
      </c>
      <c r="L1434" s="8">
        <f t="shared" si="155"/>
        <v>-6.9420710059253349E-2</v>
      </c>
      <c r="M1434" s="8">
        <f t="shared" si="156"/>
        <v>-1.1386018461525964</v>
      </c>
      <c r="N1434" s="8">
        <f t="shared" si="157"/>
        <v>-8.7584757396353574E-2</v>
      </c>
      <c r="O1434" s="8"/>
      <c r="P1434" t="s">
        <v>1721</v>
      </c>
      <c r="Q1434">
        <v>35</v>
      </c>
      <c r="R1434" s="8">
        <v>2.8286699999999998</v>
      </c>
      <c r="S1434">
        <v>11</v>
      </c>
      <c r="T1434" s="8">
        <f t="shared" si="158"/>
        <v>0.31428571428571428</v>
      </c>
      <c r="U1434" s="8">
        <v>2.8944100000000001</v>
      </c>
      <c r="V1434">
        <v>19</v>
      </c>
      <c r="W1434" s="8">
        <f t="shared" si="159"/>
        <v>0.54285714285714282</v>
      </c>
      <c r="X1434" s="8">
        <v>2.7781099999999999</v>
      </c>
      <c r="Y1434">
        <v>5</v>
      </c>
      <c r="Z1434" s="8">
        <f t="shared" si="160"/>
        <v>0.14285714285714285</v>
      </c>
      <c r="AA1434" s="8">
        <v>2.8761899999999998</v>
      </c>
    </row>
    <row r="1435" spans="1:27" ht="15" customHeight="1" x14ac:dyDescent="0.25">
      <c r="A1435" s="14">
        <v>615</v>
      </c>
      <c r="B1435" s="14">
        <v>615</v>
      </c>
      <c r="C1435" s="36">
        <v>-12269.9944</v>
      </c>
      <c r="D1435" s="16">
        <v>-12271.613029</v>
      </c>
      <c r="E1435" s="14"/>
      <c r="F1435" s="37">
        <v>0.99675499999999995</v>
      </c>
      <c r="G1435" s="16">
        <v>0.19264999999999999</v>
      </c>
      <c r="H1435" s="14">
        <v>6</v>
      </c>
      <c r="I1435" s="14">
        <v>7</v>
      </c>
      <c r="J1435" s="32"/>
      <c r="K1435" s="8">
        <f t="shared" si="154"/>
        <v>-0.8370692307689751</v>
      </c>
      <c r="L1435" s="8">
        <f t="shared" si="155"/>
        <v>-6.4389940828382702E-2</v>
      </c>
      <c r="M1435" s="8">
        <f t="shared" si="156"/>
        <v>-0.97943684615347593</v>
      </c>
      <c r="N1435" s="8">
        <f t="shared" si="157"/>
        <v>-7.5341295857959692E-2</v>
      </c>
      <c r="O1435" s="8"/>
      <c r="P1435" t="s">
        <v>1722</v>
      </c>
      <c r="Q1435">
        <v>35</v>
      </c>
      <c r="R1435" s="8">
        <v>2.82735</v>
      </c>
      <c r="S1435">
        <v>10</v>
      </c>
      <c r="T1435" s="8">
        <f t="shared" si="158"/>
        <v>0.2857142857142857</v>
      </c>
      <c r="U1435" s="8">
        <v>2.8507799999999999</v>
      </c>
      <c r="V1435">
        <v>19</v>
      </c>
      <c r="W1435" s="8">
        <f t="shared" si="159"/>
        <v>0.54285714285714282</v>
      </c>
      <c r="X1435" s="8">
        <v>2.8095699999999999</v>
      </c>
      <c r="Y1435">
        <v>6</v>
      </c>
      <c r="Z1435" s="8">
        <f t="shared" si="160"/>
        <v>0.17142857142857143</v>
      </c>
      <c r="AA1435" s="8">
        <v>2.8445800000000001</v>
      </c>
    </row>
    <row r="1436" spans="1:27" ht="15" customHeight="1" x14ac:dyDescent="0.25">
      <c r="A1436" s="14">
        <v>616</v>
      </c>
      <c r="B1436" s="14">
        <v>616</v>
      </c>
      <c r="C1436" s="36">
        <v>-12270.062599999999</v>
      </c>
      <c r="D1436" s="16">
        <v>-12271.687758</v>
      </c>
      <c r="E1436" s="14"/>
      <c r="F1436" s="37">
        <v>0.99607100000000004</v>
      </c>
      <c r="G1436" s="16">
        <v>0.18695000000000001</v>
      </c>
      <c r="H1436" s="14">
        <v>6</v>
      </c>
      <c r="I1436" s="14">
        <v>7</v>
      </c>
      <c r="J1436" s="32"/>
      <c r="K1436" s="8">
        <f t="shared" si="154"/>
        <v>-0.90526923076868115</v>
      </c>
      <c r="L1436" s="8">
        <f t="shared" si="155"/>
        <v>-6.963609467451394E-2</v>
      </c>
      <c r="M1436" s="8">
        <f t="shared" si="156"/>
        <v>-1.0541658461534098</v>
      </c>
      <c r="N1436" s="8">
        <f t="shared" si="157"/>
        <v>-8.1089680473339212E-2</v>
      </c>
      <c r="O1436" s="8"/>
      <c r="P1436" t="s">
        <v>1723</v>
      </c>
      <c r="Q1436">
        <v>35</v>
      </c>
      <c r="R1436" s="8">
        <v>2.8238799999999999</v>
      </c>
      <c r="S1436">
        <v>10</v>
      </c>
      <c r="T1436" s="8">
        <f t="shared" si="158"/>
        <v>0.2857142857142857</v>
      </c>
      <c r="U1436" s="8">
        <v>2.8334299999999999</v>
      </c>
      <c r="V1436">
        <v>19</v>
      </c>
      <c r="W1436" s="8">
        <f t="shared" si="159"/>
        <v>0.54285714285714282</v>
      </c>
      <c r="X1436" s="8">
        <v>2.8139699999999999</v>
      </c>
      <c r="Y1436">
        <v>6</v>
      </c>
      <c r="Z1436" s="8">
        <f t="shared" si="160"/>
        <v>0.17142857142857143</v>
      </c>
      <c r="AA1436" s="8">
        <v>2.83934</v>
      </c>
    </row>
    <row r="1437" spans="1:27" ht="15" customHeight="1" x14ac:dyDescent="0.25">
      <c r="A1437" s="14">
        <v>617</v>
      </c>
      <c r="B1437" s="14">
        <v>617</v>
      </c>
      <c r="C1437" s="36">
        <v>-12269.798500000001</v>
      </c>
      <c r="D1437" s="16">
        <v>-12271.474439</v>
      </c>
      <c r="E1437" s="14"/>
      <c r="F1437" s="37">
        <v>0.99425799999999998</v>
      </c>
      <c r="G1437" s="16">
        <v>0.17559</v>
      </c>
      <c r="H1437" s="14">
        <v>6</v>
      </c>
      <c r="I1437" s="14">
        <v>7</v>
      </c>
      <c r="J1437" s="32"/>
      <c r="K1437" s="8">
        <f t="shared" si="154"/>
        <v>-0.64116923077017418</v>
      </c>
      <c r="L1437" s="8">
        <f t="shared" si="155"/>
        <v>-4.9320710059244169E-2</v>
      </c>
      <c r="M1437" s="8">
        <f t="shared" si="156"/>
        <v>-0.84084684615299921</v>
      </c>
      <c r="N1437" s="8">
        <f t="shared" si="157"/>
        <v>-6.4680526627153789E-2</v>
      </c>
      <c r="O1437" s="8"/>
      <c r="P1437" t="s">
        <v>1724</v>
      </c>
      <c r="Q1437">
        <v>35</v>
      </c>
      <c r="R1437" s="8">
        <v>2.8291300000000001</v>
      </c>
      <c r="S1437">
        <v>13</v>
      </c>
      <c r="T1437" s="8">
        <f t="shared" si="158"/>
        <v>0.37142857142857144</v>
      </c>
      <c r="U1437" s="8">
        <v>2.8728699999999998</v>
      </c>
      <c r="V1437">
        <v>16</v>
      </c>
      <c r="W1437" s="8">
        <f t="shared" si="159"/>
        <v>0.45714285714285713</v>
      </c>
      <c r="X1437" s="8">
        <v>2.7849900000000001</v>
      </c>
      <c r="Y1437">
        <v>6</v>
      </c>
      <c r="Z1437" s="8">
        <f t="shared" si="160"/>
        <v>0.17142857142857143</v>
      </c>
      <c r="AA1437" s="8">
        <v>2.8520699999999999</v>
      </c>
    </row>
    <row r="1438" spans="1:27" ht="15" customHeight="1" x14ac:dyDescent="0.25">
      <c r="A1438" s="14">
        <v>618</v>
      </c>
      <c r="B1438" s="14">
        <v>618</v>
      </c>
      <c r="C1438" s="36">
        <v>-12269.8773</v>
      </c>
      <c r="D1438" s="16">
        <v>-12271.791943</v>
      </c>
      <c r="E1438" s="14"/>
      <c r="F1438" s="37">
        <v>0.99178900000000003</v>
      </c>
      <c r="G1438" s="16">
        <v>0.16474</v>
      </c>
      <c r="H1438" s="14">
        <v>6</v>
      </c>
      <c r="I1438" s="14">
        <v>7</v>
      </c>
      <c r="J1438" s="32"/>
      <c r="K1438" s="8">
        <f t="shared" si="154"/>
        <v>-0.71996923076949315</v>
      </c>
      <c r="L1438" s="8">
        <f t="shared" si="155"/>
        <v>-5.5382248520730246E-2</v>
      </c>
      <c r="M1438" s="8">
        <f t="shared" si="156"/>
        <v>-1.158350846153553</v>
      </c>
      <c r="N1438" s="8">
        <f t="shared" si="157"/>
        <v>-8.9103911242581005E-2</v>
      </c>
      <c r="O1438" s="8"/>
      <c r="P1438" t="s">
        <v>1725</v>
      </c>
      <c r="Q1438">
        <v>36</v>
      </c>
      <c r="R1438" s="8">
        <v>2.8394200000000001</v>
      </c>
      <c r="S1438">
        <v>12</v>
      </c>
      <c r="T1438" s="8">
        <f t="shared" si="158"/>
        <v>0.33333333333333331</v>
      </c>
      <c r="U1438" s="8">
        <v>2.8636900000000001</v>
      </c>
      <c r="V1438">
        <v>17</v>
      </c>
      <c r="W1438" s="8">
        <f t="shared" si="159"/>
        <v>0.47222222222222221</v>
      </c>
      <c r="X1438" s="8">
        <v>2.8310200000000001</v>
      </c>
      <c r="Y1438">
        <v>7</v>
      </c>
      <c r="Z1438" s="8">
        <f t="shared" si="160"/>
        <v>0.19444444444444445</v>
      </c>
      <c r="AA1438" s="8">
        <v>2.8182</v>
      </c>
    </row>
    <row r="1439" spans="1:27" ht="15" customHeight="1" x14ac:dyDescent="0.25">
      <c r="A1439" s="14">
        <v>619</v>
      </c>
      <c r="B1439" s="14">
        <v>619</v>
      </c>
      <c r="C1439" s="36">
        <v>-12270.1497</v>
      </c>
      <c r="D1439" s="16">
        <v>-12271.753277</v>
      </c>
      <c r="E1439" s="14"/>
      <c r="F1439" s="37">
        <v>0.99401600000000001</v>
      </c>
      <c r="G1439" s="16">
        <v>0.17426999999999901</v>
      </c>
      <c r="H1439" s="14">
        <v>6</v>
      </c>
      <c r="I1439" s="14">
        <v>7</v>
      </c>
      <c r="J1439" s="32"/>
      <c r="K1439" s="8">
        <f t="shared" si="154"/>
        <v>-0.99236923076932726</v>
      </c>
      <c r="L1439" s="8">
        <f t="shared" si="155"/>
        <v>-7.6336094674563634E-2</v>
      </c>
      <c r="M1439" s="8">
        <f t="shared" si="156"/>
        <v>-1.1196848461531772</v>
      </c>
      <c r="N1439" s="8">
        <f t="shared" si="157"/>
        <v>-8.6129603550244405E-2</v>
      </c>
      <c r="O1439" s="8"/>
      <c r="P1439" t="s">
        <v>1726</v>
      </c>
      <c r="Q1439">
        <v>36</v>
      </c>
      <c r="R1439" s="8">
        <v>2.8333900000000001</v>
      </c>
      <c r="S1439">
        <v>10</v>
      </c>
      <c r="T1439" s="8">
        <f t="shared" si="158"/>
        <v>0.27777777777777779</v>
      </c>
      <c r="U1439" s="8">
        <v>2.86632</v>
      </c>
      <c r="V1439">
        <v>21</v>
      </c>
      <c r="W1439" s="8">
        <f t="shared" si="159"/>
        <v>0.58333333333333337</v>
      </c>
      <c r="X1439" s="8">
        <v>2.81914</v>
      </c>
      <c r="Y1439">
        <v>5</v>
      </c>
      <c r="Z1439" s="8">
        <f t="shared" si="160"/>
        <v>0.1388888888888889</v>
      </c>
      <c r="AA1439" s="8">
        <v>2.8273700000000002</v>
      </c>
    </row>
    <row r="1440" spans="1:27" ht="15" customHeight="1" x14ac:dyDescent="0.25">
      <c r="A1440" s="14">
        <v>620</v>
      </c>
      <c r="B1440" s="14">
        <v>620</v>
      </c>
      <c r="C1440" s="36">
        <v>-12269.719213</v>
      </c>
      <c r="D1440" s="16">
        <v>-12271.493591</v>
      </c>
      <c r="E1440" s="14"/>
      <c r="F1440" s="37">
        <v>0.99157700000000004</v>
      </c>
      <c r="G1440" s="16">
        <v>0.16396999999999901</v>
      </c>
      <c r="H1440" s="14">
        <v>6</v>
      </c>
      <c r="I1440" s="14">
        <v>7</v>
      </c>
      <c r="J1440" s="32"/>
      <c r="K1440" s="8">
        <f t="shared" si="154"/>
        <v>-0.56188223076969734</v>
      </c>
      <c r="L1440" s="8">
        <f t="shared" si="155"/>
        <v>-4.322171005920749E-2</v>
      </c>
      <c r="M1440" s="8">
        <f t="shared" si="156"/>
        <v>-0.85999884615375777</v>
      </c>
      <c r="N1440" s="8">
        <f t="shared" si="157"/>
        <v>-6.61537573964429E-2</v>
      </c>
      <c r="O1440" s="8"/>
      <c r="P1440" t="s">
        <v>1727</v>
      </c>
      <c r="Q1440">
        <v>34</v>
      </c>
      <c r="R1440" s="8">
        <v>2.8160799999999999</v>
      </c>
      <c r="S1440">
        <v>11</v>
      </c>
      <c r="T1440" s="8">
        <f t="shared" si="158"/>
        <v>0.3235294117647059</v>
      </c>
      <c r="U1440" s="8">
        <v>2.8405</v>
      </c>
      <c r="V1440">
        <v>17</v>
      </c>
      <c r="W1440" s="8">
        <f t="shared" si="159"/>
        <v>0.5</v>
      </c>
      <c r="X1440" s="8">
        <v>2.7915100000000002</v>
      </c>
      <c r="Y1440">
        <v>6</v>
      </c>
      <c r="Z1440" s="8">
        <f t="shared" si="160"/>
        <v>0.17647058823529413</v>
      </c>
      <c r="AA1440" s="8">
        <v>2.8409300000000002</v>
      </c>
    </row>
    <row r="1441" spans="1:27" ht="15" customHeight="1" x14ac:dyDescent="0.25">
      <c r="A1441" s="14">
        <v>621</v>
      </c>
      <c r="B1441" s="14">
        <v>621</v>
      </c>
      <c r="C1441" s="36">
        <v>-12269.8922</v>
      </c>
      <c r="D1441" s="16">
        <v>-12271.591812999999</v>
      </c>
      <c r="E1441" s="14"/>
      <c r="F1441" s="37">
        <v>0.99617500000000003</v>
      </c>
      <c r="G1441" s="16">
        <v>0.187799999999999</v>
      </c>
      <c r="H1441" s="14">
        <v>6</v>
      </c>
      <c r="I1441" s="14">
        <v>7</v>
      </c>
      <c r="J1441" s="32"/>
      <c r="K1441" s="8">
        <f t="shared" si="154"/>
        <v>-0.7348692307696183</v>
      </c>
      <c r="L1441" s="8">
        <f t="shared" si="155"/>
        <v>-5.6528402366893715E-2</v>
      </c>
      <c r="M1441" s="8">
        <f t="shared" si="156"/>
        <v>-0.95822084615247149</v>
      </c>
      <c r="N1441" s="8">
        <f t="shared" si="157"/>
        <v>-7.3709295857882426E-2</v>
      </c>
      <c r="O1441" s="8"/>
      <c r="P1441" t="s">
        <v>1728</v>
      </c>
      <c r="Q1441">
        <v>35</v>
      </c>
      <c r="R1441" s="8">
        <v>2.8283200000000002</v>
      </c>
      <c r="S1441">
        <v>11</v>
      </c>
      <c r="T1441" s="8">
        <f t="shared" si="158"/>
        <v>0.31428571428571428</v>
      </c>
      <c r="U1441" s="8">
        <v>2.8754300000000002</v>
      </c>
      <c r="V1441">
        <v>19</v>
      </c>
      <c r="W1441" s="8">
        <f t="shared" si="159"/>
        <v>0.54285714285714282</v>
      </c>
      <c r="X1441" s="8">
        <v>2.7947600000000001</v>
      </c>
      <c r="Y1441">
        <v>5</v>
      </c>
      <c r="Z1441" s="8">
        <f t="shared" si="160"/>
        <v>0.14285714285714285</v>
      </c>
      <c r="AA1441" s="8">
        <v>2.85222</v>
      </c>
    </row>
    <row r="1442" spans="1:27" ht="15" customHeight="1" x14ac:dyDescent="0.25">
      <c r="A1442" s="14">
        <v>622</v>
      </c>
      <c r="B1442" s="14">
        <v>622</v>
      </c>
      <c r="C1442" s="36">
        <v>-12269.954599999999</v>
      </c>
      <c r="D1442" s="16">
        <v>-12271.669571</v>
      </c>
      <c r="E1442" s="14"/>
      <c r="F1442" s="37">
        <v>0.99488299999999996</v>
      </c>
      <c r="G1442" s="16">
        <v>0.17899000000000001</v>
      </c>
      <c r="H1442" s="14">
        <v>6</v>
      </c>
      <c r="I1442" s="14">
        <v>7</v>
      </c>
      <c r="J1442" s="32"/>
      <c r="K1442" s="8">
        <f t="shared" si="154"/>
        <v>-0.79726923076850653</v>
      </c>
      <c r="L1442" s="8">
        <f t="shared" si="155"/>
        <v>-6.1328402366808192E-2</v>
      </c>
      <c r="M1442" s="8">
        <f t="shared" si="156"/>
        <v>-1.0359788461537391</v>
      </c>
      <c r="N1442" s="8">
        <f t="shared" si="157"/>
        <v>-7.9690680473364556E-2</v>
      </c>
      <c r="O1442" s="8"/>
      <c r="P1442" t="s">
        <v>1729</v>
      </c>
      <c r="Q1442">
        <v>35</v>
      </c>
      <c r="R1442" s="8">
        <v>2.82572</v>
      </c>
      <c r="S1442">
        <v>11</v>
      </c>
      <c r="T1442" s="8">
        <f t="shared" si="158"/>
        <v>0.31428571428571428</v>
      </c>
      <c r="U1442" s="8">
        <v>2.8352200000000001</v>
      </c>
      <c r="V1442">
        <v>16</v>
      </c>
      <c r="W1442" s="8">
        <f t="shared" si="159"/>
        <v>0.45714285714285713</v>
      </c>
      <c r="X1442" s="8">
        <v>2.8127399999999998</v>
      </c>
      <c r="Y1442">
        <v>8</v>
      </c>
      <c r="Z1442" s="8">
        <f t="shared" si="160"/>
        <v>0.22857142857142856</v>
      </c>
      <c r="AA1442" s="8">
        <v>2.8386100000000001</v>
      </c>
    </row>
    <row r="1443" spans="1:27" ht="15" customHeight="1" x14ac:dyDescent="0.25">
      <c r="A1443" s="14">
        <v>623</v>
      </c>
      <c r="B1443" s="14">
        <v>623</v>
      </c>
      <c r="C1443" s="36">
        <v>-12269.6284</v>
      </c>
      <c r="D1443" s="16">
        <v>-12271.077101000001</v>
      </c>
      <c r="E1443" s="14"/>
      <c r="F1443" s="37">
        <v>0.99256</v>
      </c>
      <c r="G1443" s="16">
        <v>0.167679999999999</v>
      </c>
      <c r="H1443" s="14">
        <v>6</v>
      </c>
      <c r="I1443" s="14">
        <v>7</v>
      </c>
      <c r="J1443" s="32"/>
      <c r="K1443" s="8">
        <f t="shared" si="154"/>
        <v>-0.47106923076898966</v>
      </c>
      <c r="L1443" s="8">
        <f t="shared" si="155"/>
        <v>-3.6236094674537665E-2</v>
      </c>
      <c r="M1443" s="8">
        <f t="shared" si="156"/>
        <v>-0.44350884615414543</v>
      </c>
      <c r="N1443" s="8">
        <f t="shared" si="157"/>
        <v>-3.4116065088780415E-2</v>
      </c>
      <c r="O1443" s="8"/>
      <c r="P1443" t="s">
        <v>1730</v>
      </c>
      <c r="Q1443">
        <v>36</v>
      </c>
      <c r="R1443" s="8">
        <v>2.8346200000000001</v>
      </c>
      <c r="S1443">
        <v>14</v>
      </c>
      <c r="T1443" s="8">
        <f t="shared" si="158"/>
        <v>0.3888888888888889</v>
      </c>
      <c r="U1443" s="8">
        <v>2.8422999999999998</v>
      </c>
      <c r="V1443">
        <v>13</v>
      </c>
      <c r="W1443" s="8">
        <f t="shared" si="159"/>
        <v>0.3611111111111111</v>
      </c>
      <c r="X1443" s="8">
        <v>2.8397000000000001</v>
      </c>
      <c r="Y1443">
        <v>9</v>
      </c>
      <c r="Z1443" s="8">
        <f t="shared" si="160"/>
        <v>0.25</v>
      </c>
      <c r="AA1443" s="8">
        <v>2.8153299999999999</v>
      </c>
    </row>
    <row r="1444" spans="1:27" ht="15" customHeight="1" x14ac:dyDescent="0.25">
      <c r="A1444" s="14">
        <v>624</v>
      </c>
      <c r="B1444" s="14">
        <v>624</v>
      </c>
      <c r="C1444" s="36">
        <v>-12270.214900000001</v>
      </c>
      <c r="D1444" s="16">
        <v>-12271.850007999999</v>
      </c>
      <c r="E1444" s="14"/>
      <c r="F1444" s="37">
        <v>0.99723899999999999</v>
      </c>
      <c r="G1444" s="16">
        <v>0.19708999999999899</v>
      </c>
      <c r="H1444" s="14">
        <v>6</v>
      </c>
      <c r="I1444" s="14">
        <v>7</v>
      </c>
      <c r="J1444" s="32"/>
      <c r="K1444" s="8">
        <f t="shared" si="154"/>
        <v>-1.0575692307702411</v>
      </c>
      <c r="L1444" s="8">
        <f t="shared" si="155"/>
        <v>-8.1351479290018541E-2</v>
      </c>
      <c r="M1444" s="8">
        <f t="shared" si="156"/>
        <v>-1.2164158461528132</v>
      </c>
      <c r="N1444" s="8">
        <f t="shared" si="157"/>
        <v>-9.3570449704062558E-2</v>
      </c>
      <c r="O1444" s="8"/>
      <c r="P1444" t="s">
        <v>1731</v>
      </c>
      <c r="Q1444">
        <v>35</v>
      </c>
      <c r="R1444" s="8">
        <v>2.8251200000000001</v>
      </c>
      <c r="S1444">
        <v>9</v>
      </c>
      <c r="T1444" s="8">
        <f t="shared" si="158"/>
        <v>0.25714285714285712</v>
      </c>
      <c r="U1444" s="8">
        <v>2.83494</v>
      </c>
      <c r="V1444">
        <v>20</v>
      </c>
      <c r="W1444" s="8">
        <f t="shared" si="159"/>
        <v>0.5714285714285714</v>
      </c>
      <c r="X1444" s="8">
        <v>2.82158</v>
      </c>
      <c r="Y1444">
        <v>6</v>
      </c>
      <c r="Z1444" s="8">
        <f t="shared" si="160"/>
        <v>0.17142857142857143</v>
      </c>
      <c r="AA1444" s="8">
        <v>2.8222</v>
      </c>
    </row>
    <row r="1445" spans="1:27" ht="15" customHeight="1" x14ac:dyDescent="0.25">
      <c r="A1445" s="14">
        <v>625</v>
      </c>
      <c r="B1445" s="14">
        <v>625</v>
      </c>
      <c r="C1445" s="36">
        <v>-12269.7819</v>
      </c>
      <c r="D1445" s="16">
        <v>-12271.863851</v>
      </c>
      <c r="E1445" s="14"/>
      <c r="F1445" s="37">
        <v>0.994591</v>
      </c>
      <c r="G1445" s="16">
        <v>0.17743999999999999</v>
      </c>
      <c r="H1445" s="14">
        <v>6</v>
      </c>
      <c r="I1445" s="14">
        <v>7</v>
      </c>
      <c r="J1445" s="32"/>
      <c r="K1445" s="8">
        <f t="shared" si="154"/>
        <v>-0.6245692307693389</v>
      </c>
      <c r="L1445" s="8">
        <f t="shared" si="155"/>
        <v>-4.8043786982256836E-2</v>
      </c>
      <c r="M1445" s="8">
        <f t="shared" si="156"/>
        <v>-1.2302588461534469</v>
      </c>
      <c r="N1445" s="8">
        <f t="shared" si="157"/>
        <v>-9.4635295857957463E-2</v>
      </c>
      <c r="O1445" s="8"/>
      <c r="P1445" t="s">
        <v>1732</v>
      </c>
      <c r="Q1445">
        <v>35</v>
      </c>
      <c r="R1445" s="8">
        <v>2.8258899999999998</v>
      </c>
      <c r="S1445">
        <v>12</v>
      </c>
      <c r="T1445" s="8">
        <f t="shared" si="158"/>
        <v>0.34285714285714286</v>
      </c>
      <c r="U1445" s="8">
        <v>2.8277399999999999</v>
      </c>
      <c r="V1445">
        <v>15</v>
      </c>
      <c r="W1445" s="8">
        <f t="shared" si="159"/>
        <v>0.42857142857142855</v>
      </c>
      <c r="X1445" s="8">
        <v>2.8149899999999999</v>
      </c>
      <c r="Y1445">
        <v>8</v>
      </c>
      <c r="Z1445" s="8">
        <f t="shared" si="160"/>
        <v>0.22857142857142856</v>
      </c>
      <c r="AA1445" s="8">
        <v>2.84355</v>
      </c>
    </row>
    <row r="1446" spans="1:27" ht="15" customHeight="1" x14ac:dyDescent="0.25">
      <c r="A1446" s="14">
        <v>626</v>
      </c>
      <c r="B1446" s="14">
        <v>626</v>
      </c>
      <c r="C1446" s="36">
        <v>-12269.9935</v>
      </c>
      <c r="D1446" s="16">
        <v>-12271.952300999999</v>
      </c>
      <c r="E1446" s="14"/>
      <c r="F1446" s="37">
        <v>0.99802000000000002</v>
      </c>
      <c r="G1446" s="16">
        <v>0.20748</v>
      </c>
      <c r="H1446" s="14">
        <v>6</v>
      </c>
      <c r="I1446" s="14">
        <v>7</v>
      </c>
      <c r="J1446" s="32"/>
      <c r="K1446" s="8">
        <f t="shared" si="154"/>
        <v>-0.83616923076988314</v>
      </c>
      <c r="L1446" s="8">
        <f t="shared" si="155"/>
        <v>-6.4320710059221783E-2</v>
      </c>
      <c r="M1446" s="8">
        <f t="shared" si="156"/>
        <v>-1.318708846152731</v>
      </c>
      <c r="N1446" s="8">
        <f t="shared" si="157"/>
        <v>-0.10143914201174854</v>
      </c>
      <c r="O1446" s="8"/>
      <c r="P1446" t="s">
        <v>1733</v>
      </c>
      <c r="Q1446">
        <v>34</v>
      </c>
      <c r="R1446" s="8">
        <v>2.8161800000000001</v>
      </c>
      <c r="S1446">
        <v>10</v>
      </c>
      <c r="T1446" s="8">
        <f t="shared" si="158"/>
        <v>0.29411764705882354</v>
      </c>
      <c r="U1446" s="8">
        <v>2.8338100000000002</v>
      </c>
      <c r="V1446">
        <v>19</v>
      </c>
      <c r="W1446" s="8">
        <f t="shared" si="159"/>
        <v>0.55882352941176472</v>
      </c>
      <c r="X1446" s="8">
        <v>2.8029600000000001</v>
      </c>
      <c r="Y1446">
        <v>5</v>
      </c>
      <c r="Z1446" s="8">
        <f t="shared" si="160"/>
        <v>0.14705882352941177</v>
      </c>
      <c r="AA1446" s="8">
        <v>2.83114</v>
      </c>
    </row>
    <row r="1447" spans="1:27" ht="15" customHeight="1" x14ac:dyDescent="0.25">
      <c r="A1447" s="14">
        <v>627</v>
      </c>
      <c r="B1447" s="14">
        <v>627</v>
      </c>
      <c r="C1447" s="36">
        <v>-12269.945</v>
      </c>
      <c r="D1447" s="16">
        <v>-12271.715332</v>
      </c>
      <c r="E1447" s="14"/>
      <c r="F1447" s="37">
        <v>0.99015500000000001</v>
      </c>
      <c r="G1447" s="16">
        <v>0.15928999999999999</v>
      </c>
      <c r="H1447" s="14">
        <v>6</v>
      </c>
      <c r="I1447" s="14">
        <v>7</v>
      </c>
      <c r="J1447" s="32"/>
      <c r="K1447" s="8">
        <f t="shared" si="154"/>
        <v>-0.78766923076909734</v>
      </c>
      <c r="L1447" s="8">
        <f t="shared" si="155"/>
        <v>-6.05899408283921E-2</v>
      </c>
      <c r="M1447" s="8">
        <f t="shared" si="156"/>
        <v>-1.0817398461531411</v>
      </c>
      <c r="N1447" s="8">
        <f t="shared" si="157"/>
        <v>-8.3210757396395468E-2</v>
      </c>
      <c r="O1447" s="8"/>
      <c r="P1447" t="s">
        <v>1734</v>
      </c>
      <c r="Q1447">
        <v>36</v>
      </c>
      <c r="R1447" s="8">
        <v>2.8349600000000001</v>
      </c>
      <c r="S1447">
        <v>11</v>
      </c>
      <c r="T1447" s="8">
        <f t="shared" si="158"/>
        <v>0.30555555555555558</v>
      </c>
      <c r="U1447" s="8">
        <v>2.8699499999999998</v>
      </c>
      <c r="V1447">
        <v>19</v>
      </c>
      <c r="W1447" s="8">
        <f t="shared" si="159"/>
        <v>0.52777777777777779</v>
      </c>
      <c r="X1447" s="8">
        <v>2.8198500000000002</v>
      </c>
      <c r="Y1447">
        <v>6</v>
      </c>
      <c r="Z1447" s="8">
        <f t="shared" si="160"/>
        <v>0.16666666666666666</v>
      </c>
      <c r="AA1447" s="8">
        <v>2.8186499999999999</v>
      </c>
    </row>
    <row r="1448" spans="1:27" ht="15" customHeight="1" x14ac:dyDescent="0.25">
      <c r="A1448" s="14">
        <v>628</v>
      </c>
      <c r="B1448" s="14">
        <v>628</v>
      </c>
      <c r="C1448" s="36">
        <v>-12269.924499999999</v>
      </c>
      <c r="D1448" s="16">
        <v>-12271.620387000001</v>
      </c>
      <c r="E1448" s="14"/>
      <c r="F1448" s="37">
        <v>0.99295100000000003</v>
      </c>
      <c r="G1448" s="16">
        <v>0.16927</v>
      </c>
      <c r="H1448" s="14">
        <v>6</v>
      </c>
      <c r="I1448" s="14">
        <v>7</v>
      </c>
      <c r="J1448" s="32"/>
      <c r="K1448" s="8">
        <f t="shared" si="154"/>
        <v>-0.76716923076855892</v>
      </c>
      <c r="L1448" s="8">
        <f t="shared" si="155"/>
        <v>-5.9013017751427609E-2</v>
      </c>
      <c r="M1448" s="8">
        <f t="shared" si="156"/>
        <v>-0.98679484615422552</v>
      </c>
      <c r="N1448" s="8">
        <f t="shared" si="157"/>
        <v>-7.5907295858017351E-2</v>
      </c>
      <c r="O1448" s="8"/>
      <c r="P1448" t="s">
        <v>1735</v>
      </c>
      <c r="Q1448">
        <v>36</v>
      </c>
      <c r="R1448" s="8">
        <v>2.8351799999999998</v>
      </c>
      <c r="S1448">
        <v>11</v>
      </c>
      <c r="T1448" s="8">
        <f t="shared" si="158"/>
        <v>0.30555555555555558</v>
      </c>
      <c r="U1448" s="8">
        <v>2.8494600000000001</v>
      </c>
      <c r="V1448">
        <v>19</v>
      </c>
      <c r="W1448" s="8">
        <f t="shared" si="159"/>
        <v>0.52777777777777779</v>
      </c>
      <c r="X1448" s="8">
        <v>2.8357100000000002</v>
      </c>
      <c r="Y1448">
        <v>6</v>
      </c>
      <c r="Z1448" s="8">
        <f t="shared" si="160"/>
        <v>0.16666666666666666</v>
      </c>
      <c r="AA1448" s="8">
        <v>2.80728</v>
      </c>
    </row>
    <row r="1449" spans="1:27" ht="15" customHeight="1" x14ac:dyDescent="0.25">
      <c r="A1449" s="14">
        <v>629</v>
      </c>
      <c r="B1449" s="14">
        <v>629</v>
      </c>
      <c r="C1449" s="36">
        <v>-12269.620800000001</v>
      </c>
      <c r="D1449" s="16">
        <v>-12271.375674999999</v>
      </c>
      <c r="E1449" s="14"/>
      <c r="F1449" s="37">
        <v>0.99463500000000005</v>
      </c>
      <c r="G1449" s="16">
        <v>0.17755000000000001</v>
      </c>
      <c r="H1449" s="14">
        <v>6</v>
      </c>
      <c r="I1449" s="14">
        <v>7</v>
      </c>
      <c r="J1449" s="32"/>
      <c r="K1449" s="8">
        <f t="shared" si="154"/>
        <v>-0.46346923076998792</v>
      </c>
      <c r="L1449" s="8">
        <f t="shared" si="155"/>
        <v>-3.5651479289999073E-2</v>
      </c>
      <c r="M1449" s="8">
        <f t="shared" si="156"/>
        <v>-0.74208284615269804</v>
      </c>
      <c r="N1449" s="8">
        <f t="shared" si="157"/>
        <v>-5.7083295857899848E-2</v>
      </c>
      <c r="O1449" s="8"/>
      <c r="P1449" t="s">
        <v>1736</v>
      </c>
      <c r="Q1449">
        <v>35</v>
      </c>
      <c r="R1449" s="8">
        <v>2.82707</v>
      </c>
      <c r="S1449">
        <v>12</v>
      </c>
      <c r="T1449" s="8">
        <f t="shared" si="158"/>
        <v>0.34285714285714286</v>
      </c>
      <c r="U1449" s="8">
        <v>2.8375900000000001</v>
      </c>
      <c r="V1449">
        <v>16</v>
      </c>
      <c r="W1449" s="8">
        <f t="shared" si="159"/>
        <v>0.45714285714285713</v>
      </c>
      <c r="X1449" s="8">
        <v>2.7975699999999999</v>
      </c>
      <c r="Y1449">
        <v>7</v>
      </c>
      <c r="Z1449" s="8">
        <f t="shared" si="160"/>
        <v>0.2</v>
      </c>
      <c r="AA1449" s="8">
        <v>2.8764500000000002</v>
      </c>
    </row>
    <row r="1450" spans="1:27" ht="15" customHeight="1" x14ac:dyDescent="0.25">
      <c r="A1450" s="14">
        <v>630</v>
      </c>
      <c r="B1450" s="14">
        <v>630</v>
      </c>
      <c r="C1450" s="36">
        <v>-12270.1698</v>
      </c>
      <c r="D1450" s="16">
        <v>-12271.797535</v>
      </c>
      <c r="E1450" s="14"/>
      <c r="F1450" s="37">
        <v>0.99561699999999997</v>
      </c>
      <c r="G1450" s="16">
        <v>0.18218999999999999</v>
      </c>
      <c r="H1450" s="14">
        <v>6</v>
      </c>
      <c r="I1450" s="14">
        <v>7</v>
      </c>
      <c r="J1450" s="32"/>
      <c r="K1450" s="8">
        <f t="shared" si="154"/>
        <v>-1.0124692307690566</v>
      </c>
      <c r="L1450" s="8">
        <f t="shared" si="155"/>
        <v>-7.7882248520696667E-2</v>
      </c>
      <c r="M1450" s="8">
        <f t="shared" si="156"/>
        <v>-1.163942846153077</v>
      </c>
      <c r="N1450" s="8">
        <f t="shared" si="157"/>
        <v>-8.9534065088698225E-2</v>
      </c>
      <c r="O1450" s="8"/>
      <c r="P1450" t="s">
        <v>1737</v>
      </c>
      <c r="Q1450">
        <v>36</v>
      </c>
      <c r="R1450" s="8">
        <v>2.8325200000000001</v>
      </c>
      <c r="S1450">
        <v>10</v>
      </c>
      <c r="T1450" s="8">
        <f t="shared" si="158"/>
        <v>0.27777777777777779</v>
      </c>
      <c r="U1450" s="8">
        <v>2.8686500000000001</v>
      </c>
      <c r="V1450">
        <v>21</v>
      </c>
      <c r="W1450" s="8">
        <f t="shared" si="159"/>
        <v>0.58333333333333337</v>
      </c>
      <c r="X1450" s="8">
        <v>2.8253400000000002</v>
      </c>
      <c r="Y1450">
        <v>5</v>
      </c>
      <c r="Z1450" s="8">
        <f t="shared" si="160"/>
        <v>0.1388888888888889</v>
      </c>
      <c r="AA1450" s="8">
        <v>2.7903899999999999</v>
      </c>
    </row>
    <row r="1451" spans="1:27" ht="15" customHeight="1" x14ac:dyDescent="0.25">
      <c r="A1451" s="14">
        <v>631</v>
      </c>
      <c r="B1451" s="14">
        <v>631</v>
      </c>
      <c r="C1451" s="36">
        <v>-12269.932000000001</v>
      </c>
      <c r="D1451" s="16">
        <v>-12271.725270999999</v>
      </c>
      <c r="E1451" s="14"/>
      <c r="F1451" s="37">
        <v>0.99450899999999998</v>
      </c>
      <c r="G1451" s="16">
        <v>0.17677999999999899</v>
      </c>
      <c r="H1451" s="14">
        <v>6</v>
      </c>
      <c r="I1451" s="14">
        <v>7</v>
      </c>
      <c r="J1451" s="32"/>
      <c r="K1451" s="8">
        <f t="shared" si="154"/>
        <v>-0.77466923077008687</v>
      </c>
      <c r="L1451" s="8">
        <f t="shared" si="155"/>
        <v>-5.9589940828468219E-2</v>
      </c>
      <c r="M1451" s="8">
        <f t="shared" si="156"/>
        <v>-1.0916788461527176</v>
      </c>
      <c r="N1451" s="8">
        <f t="shared" si="157"/>
        <v>-8.3975295857901353E-2</v>
      </c>
      <c r="O1451" s="8"/>
      <c r="P1451" t="s">
        <v>1738</v>
      </c>
      <c r="Q1451">
        <v>34</v>
      </c>
      <c r="R1451" s="8">
        <v>2.8141500000000002</v>
      </c>
      <c r="S1451">
        <v>10</v>
      </c>
      <c r="T1451" s="8">
        <f t="shared" si="158"/>
        <v>0.29411764705882354</v>
      </c>
      <c r="U1451" s="8">
        <v>2.83752</v>
      </c>
      <c r="V1451">
        <v>19</v>
      </c>
      <c r="W1451" s="8">
        <f t="shared" si="159"/>
        <v>0.55882352941176472</v>
      </c>
      <c r="X1451" s="8">
        <v>2.7993700000000001</v>
      </c>
      <c r="Y1451">
        <v>5</v>
      </c>
      <c r="Z1451" s="8">
        <f t="shared" si="160"/>
        <v>0.14705882352941177</v>
      </c>
      <c r="AA1451" s="8">
        <v>2.8235700000000001</v>
      </c>
    </row>
    <row r="1452" spans="1:27" ht="15" customHeight="1" x14ac:dyDescent="0.25">
      <c r="A1452" s="14">
        <v>632</v>
      </c>
      <c r="B1452" s="14">
        <v>632</v>
      </c>
      <c r="C1452" s="36">
        <v>-12270.02</v>
      </c>
      <c r="D1452" s="16">
        <v>-12271.904924</v>
      </c>
      <c r="E1452" s="14"/>
      <c r="F1452" s="37">
        <v>0.99741999999999997</v>
      </c>
      <c r="G1452" s="16">
        <v>0.19958999999999999</v>
      </c>
      <c r="H1452" s="14">
        <v>6</v>
      </c>
      <c r="I1452" s="14">
        <v>7</v>
      </c>
      <c r="J1452" s="32"/>
      <c r="K1452" s="8">
        <f t="shared" si="154"/>
        <v>-0.86266923076982494</v>
      </c>
      <c r="L1452" s="8">
        <f t="shared" si="155"/>
        <v>-6.6359171597678845E-2</v>
      </c>
      <c r="M1452" s="8">
        <f t="shared" si="156"/>
        <v>-1.271331846153771</v>
      </c>
      <c r="N1452" s="8">
        <f t="shared" si="157"/>
        <v>-9.7794757396443929E-2</v>
      </c>
      <c r="O1452" s="8"/>
      <c r="P1452" t="s">
        <v>1739</v>
      </c>
      <c r="Q1452">
        <v>35</v>
      </c>
      <c r="R1452" s="8">
        <v>2.82639</v>
      </c>
      <c r="S1452">
        <v>9</v>
      </c>
      <c r="T1452" s="8">
        <f t="shared" si="158"/>
        <v>0.25714285714285712</v>
      </c>
      <c r="U1452" s="8">
        <v>2.8740600000000001</v>
      </c>
      <c r="V1452">
        <v>20</v>
      </c>
      <c r="W1452" s="8">
        <f t="shared" si="159"/>
        <v>0.5714285714285714</v>
      </c>
      <c r="X1452" s="8">
        <v>2.79895</v>
      </c>
      <c r="Y1452">
        <v>6</v>
      </c>
      <c r="Z1452" s="8">
        <f t="shared" si="160"/>
        <v>0.17142857142857143</v>
      </c>
      <c r="AA1452" s="8">
        <v>2.84632</v>
      </c>
    </row>
    <row r="1453" spans="1:27" ht="15" customHeight="1" x14ac:dyDescent="0.25">
      <c r="A1453" s="14">
        <v>633</v>
      </c>
      <c r="B1453" s="14">
        <v>633</v>
      </c>
      <c r="C1453" s="36">
        <v>-12270.046</v>
      </c>
      <c r="D1453" s="16">
        <v>-12271.900379999999</v>
      </c>
      <c r="E1453" s="14"/>
      <c r="F1453" s="37">
        <v>0.997753</v>
      </c>
      <c r="G1453" s="16">
        <v>0.20372999999999999</v>
      </c>
      <c r="H1453" s="14">
        <v>6</v>
      </c>
      <c r="I1453" s="14">
        <v>7</v>
      </c>
      <c r="J1453" s="32"/>
      <c r="K1453" s="8">
        <f t="shared" si="154"/>
        <v>-0.88866923076966486</v>
      </c>
      <c r="L1453" s="8">
        <f t="shared" si="155"/>
        <v>-6.8359171597666524E-2</v>
      </c>
      <c r="M1453" s="8">
        <f t="shared" si="156"/>
        <v>-1.2667878461525106</v>
      </c>
      <c r="N1453" s="8">
        <f t="shared" si="157"/>
        <v>-9.7445218934808508E-2</v>
      </c>
      <c r="O1453" s="8"/>
      <c r="P1453" t="s">
        <v>1740</v>
      </c>
      <c r="Q1453">
        <v>35</v>
      </c>
      <c r="R1453" s="8">
        <v>2.8226200000000001</v>
      </c>
      <c r="S1453">
        <v>10</v>
      </c>
      <c r="T1453" s="8">
        <f t="shared" si="158"/>
        <v>0.2857142857142857</v>
      </c>
      <c r="U1453" s="8">
        <v>2.8207900000000001</v>
      </c>
      <c r="V1453">
        <v>18</v>
      </c>
      <c r="W1453" s="8">
        <f t="shared" si="159"/>
        <v>0.51428571428571423</v>
      </c>
      <c r="X1453" s="8">
        <v>2.8243399999999999</v>
      </c>
      <c r="Y1453">
        <v>7</v>
      </c>
      <c r="Z1453" s="8">
        <f t="shared" si="160"/>
        <v>0.2</v>
      </c>
      <c r="AA1453" s="8">
        <v>2.8208000000000002</v>
      </c>
    </row>
    <row r="1454" spans="1:27" ht="15" customHeight="1" x14ac:dyDescent="0.25">
      <c r="A1454" s="14">
        <v>634</v>
      </c>
      <c r="B1454" s="14">
        <v>634</v>
      </c>
      <c r="C1454" s="36">
        <v>-12269.884599999999</v>
      </c>
      <c r="D1454" s="16">
        <v>-12271.558969</v>
      </c>
      <c r="E1454" s="14"/>
      <c r="F1454" s="37">
        <v>0.99417699999999998</v>
      </c>
      <c r="G1454" s="16">
        <v>0.17509</v>
      </c>
      <c r="H1454" s="14">
        <v>6</v>
      </c>
      <c r="I1454" s="14">
        <v>7</v>
      </c>
      <c r="J1454" s="32"/>
      <c r="K1454" s="8">
        <f t="shared" si="154"/>
        <v>-0.72726923076879757</v>
      </c>
      <c r="L1454" s="8">
        <f t="shared" si="155"/>
        <v>-5.59437869822152E-2</v>
      </c>
      <c r="M1454" s="8">
        <f t="shared" si="156"/>
        <v>-0.92537684615308535</v>
      </c>
      <c r="N1454" s="8">
        <f t="shared" si="157"/>
        <v>-7.1182834319468105E-2</v>
      </c>
      <c r="O1454" s="8"/>
      <c r="P1454" t="s">
        <v>1741</v>
      </c>
      <c r="Q1454">
        <v>35</v>
      </c>
      <c r="R1454" s="8">
        <v>2.8281700000000001</v>
      </c>
      <c r="S1454">
        <v>12</v>
      </c>
      <c r="T1454" s="8">
        <f t="shared" si="158"/>
        <v>0.34285714285714286</v>
      </c>
      <c r="U1454" s="8">
        <v>2.8420399999999999</v>
      </c>
      <c r="V1454">
        <v>16</v>
      </c>
      <c r="W1454" s="8">
        <f t="shared" si="159"/>
        <v>0.45714285714285713</v>
      </c>
      <c r="X1454" s="8">
        <v>2.8228599999999999</v>
      </c>
      <c r="Y1454">
        <v>7</v>
      </c>
      <c r="Z1454" s="8">
        <f t="shared" si="160"/>
        <v>0.2</v>
      </c>
      <c r="AA1454" s="8">
        <v>2.8165399999999998</v>
      </c>
    </row>
    <row r="1455" spans="1:27" ht="15" customHeight="1" x14ac:dyDescent="0.25">
      <c r="A1455" s="14">
        <v>635</v>
      </c>
      <c r="B1455" s="14">
        <v>635</v>
      </c>
      <c r="C1455" s="36">
        <v>-12269.872300000001</v>
      </c>
      <c r="D1455" s="16">
        <v>-12271.510203</v>
      </c>
      <c r="E1455" s="14"/>
      <c r="F1455" s="37">
        <v>0.996336</v>
      </c>
      <c r="G1455" s="16">
        <v>0.18901999999999999</v>
      </c>
      <c r="H1455" s="14">
        <v>6</v>
      </c>
      <c r="I1455" s="14">
        <v>7</v>
      </c>
      <c r="J1455" s="32"/>
      <c r="K1455" s="8">
        <f t="shared" si="154"/>
        <v>-0.71496923077029351</v>
      </c>
      <c r="L1455" s="8">
        <f t="shared" si="155"/>
        <v>-5.4997633136176421E-2</v>
      </c>
      <c r="M1455" s="8">
        <f t="shared" si="156"/>
        <v>-0.87661084615319851</v>
      </c>
      <c r="N1455" s="8">
        <f t="shared" si="157"/>
        <v>-6.7431603550246036E-2</v>
      </c>
      <c r="O1455" s="8"/>
      <c r="P1455" t="s">
        <v>1742</v>
      </c>
      <c r="Q1455">
        <v>35</v>
      </c>
      <c r="R1455" s="8">
        <v>2.8283999999999998</v>
      </c>
      <c r="S1455">
        <v>11</v>
      </c>
      <c r="T1455" s="8">
        <f t="shared" si="158"/>
        <v>0.31428571428571428</v>
      </c>
      <c r="U1455" s="8">
        <v>2.8307500000000001</v>
      </c>
      <c r="V1455">
        <v>17</v>
      </c>
      <c r="W1455" s="8">
        <f t="shared" si="159"/>
        <v>0.48571428571428571</v>
      </c>
      <c r="X1455" s="8">
        <v>2.8164899999999999</v>
      </c>
      <c r="Y1455">
        <v>7</v>
      </c>
      <c r="Z1455" s="8">
        <f t="shared" si="160"/>
        <v>0.2</v>
      </c>
      <c r="AA1455" s="8">
        <v>2.8536299999999999</v>
      </c>
    </row>
    <row r="1456" spans="1:27" ht="15" customHeight="1" x14ac:dyDescent="0.25">
      <c r="A1456" s="14">
        <v>636</v>
      </c>
      <c r="B1456" s="14">
        <v>636</v>
      </c>
      <c r="C1456" s="36">
        <v>-12270.137699999999</v>
      </c>
      <c r="D1456" s="16">
        <v>-12271.83016</v>
      </c>
      <c r="E1456" s="14"/>
      <c r="F1456" s="37">
        <v>0.99649500000000002</v>
      </c>
      <c r="G1456" s="16">
        <v>0.190329999999999</v>
      </c>
      <c r="H1456" s="14">
        <v>6</v>
      </c>
      <c r="I1456" s="14">
        <v>7</v>
      </c>
      <c r="J1456" s="32"/>
      <c r="K1456" s="8">
        <f t="shared" si="154"/>
        <v>-0.98036923076870153</v>
      </c>
      <c r="L1456" s="8">
        <f t="shared" si="155"/>
        <v>-7.5413017751438577E-2</v>
      </c>
      <c r="M1456" s="8">
        <f t="shared" si="156"/>
        <v>-1.1965678461529023</v>
      </c>
      <c r="N1456" s="8">
        <f t="shared" si="157"/>
        <v>-9.204368047330018E-2</v>
      </c>
      <c r="O1456" s="8"/>
      <c r="P1456" t="s">
        <v>1743</v>
      </c>
      <c r="Q1456">
        <v>36</v>
      </c>
      <c r="R1456" s="8">
        <v>2.8294800000000002</v>
      </c>
      <c r="S1456">
        <v>9</v>
      </c>
      <c r="T1456" s="8">
        <f t="shared" si="158"/>
        <v>0.25</v>
      </c>
      <c r="U1456" s="8">
        <v>2.8353100000000002</v>
      </c>
      <c r="V1456">
        <v>21</v>
      </c>
      <c r="W1456" s="8">
        <f t="shared" si="159"/>
        <v>0.58333333333333337</v>
      </c>
      <c r="X1456" s="8">
        <v>2.8272300000000001</v>
      </c>
      <c r="Y1456">
        <v>6</v>
      </c>
      <c r="Z1456" s="8">
        <f t="shared" si="160"/>
        <v>0.16666666666666666</v>
      </c>
      <c r="AA1456" s="8">
        <v>2.8285900000000002</v>
      </c>
    </row>
    <row r="1457" spans="1:27" ht="15" customHeight="1" x14ac:dyDescent="0.25">
      <c r="A1457" s="14">
        <v>637</v>
      </c>
      <c r="B1457" s="14">
        <v>637</v>
      </c>
      <c r="C1457" s="36">
        <v>-12269.8073</v>
      </c>
      <c r="D1457" s="16">
        <v>-12271.459854999999</v>
      </c>
      <c r="E1457" s="14"/>
      <c r="F1457" s="37">
        <v>0.99689700000000003</v>
      </c>
      <c r="G1457" s="16">
        <v>0.19385999999999901</v>
      </c>
      <c r="H1457" s="14">
        <v>6</v>
      </c>
      <c r="I1457" s="14">
        <v>7</v>
      </c>
      <c r="J1457" s="32"/>
      <c r="K1457" s="8">
        <f t="shared" si="154"/>
        <v>-0.64996923076978419</v>
      </c>
      <c r="L1457" s="8">
        <f t="shared" si="155"/>
        <v>-4.9997633136137247E-2</v>
      </c>
      <c r="M1457" s="8">
        <f t="shared" si="156"/>
        <v>-0.82626284615253098</v>
      </c>
      <c r="N1457" s="8">
        <f t="shared" si="157"/>
        <v>-6.3558680473271609E-2</v>
      </c>
      <c r="O1457" s="8"/>
      <c r="P1457" t="s">
        <v>1744</v>
      </c>
      <c r="Q1457">
        <v>35</v>
      </c>
      <c r="R1457" s="8">
        <v>2.8276599999999998</v>
      </c>
      <c r="S1457">
        <v>12</v>
      </c>
      <c r="T1457" s="8">
        <f t="shared" si="158"/>
        <v>0.34285714285714286</v>
      </c>
      <c r="U1457" s="8">
        <v>2.8665400000000001</v>
      </c>
      <c r="V1457">
        <v>17</v>
      </c>
      <c r="W1457" s="8">
        <f t="shared" si="159"/>
        <v>0.48571428571428571</v>
      </c>
      <c r="X1457" s="8">
        <v>2.80626</v>
      </c>
      <c r="Y1457">
        <v>6</v>
      </c>
      <c r="Z1457" s="8">
        <f t="shared" si="160"/>
        <v>0.17142857142857143</v>
      </c>
      <c r="AA1457" s="8">
        <v>2.8105500000000001</v>
      </c>
    </row>
    <row r="1458" spans="1:27" ht="15" customHeight="1" x14ac:dyDescent="0.25">
      <c r="A1458" s="14">
        <v>638</v>
      </c>
      <c r="B1458" s="14">
        <v>638</v>
      </c>
      <c r="C1458" s="36">
        <v>-12270.019</v>
      </c>
      <c r="D1458" s="16">
        <v>-12271.893355</v>
      </c>
      <c r="E1458" s="14"/>
      <c r="F1458" s="37">
        <v>0.995753</v>
      </c>
      <c r="G1458" s="16">
        <v>0.18454000000000001</v>
      </c>
      <c r="H1458" s="14">
        <v>6</v>
      </c>
      <c r="I1458" s="14">
        <v>7</v>
      </c>
      <c r="J1458" s="32"/>
      <c r="K1458" s="8">
        <f t="shared" si="154"/>
        <v>-0.86166923076962121</v>
      </c>
      <c r="L1458" s="8">
        <f t="shared" si="155"/>
        <v>-6.6282248520740092E-2</v>
      </c>
      <c r="M1458" s="8">
        <f t="shared" si="156"/>
        <v>-1.2597628461535351</v>
      </c>
      <c r="N1458" s="8">
        <f t="shared" si="157"/>
        <v>-9.6904834319502697E-2</v>
      </c>
      <c r="O1458" s="8"/>
      <c r="P1458" t="s">
        <v>1745</v>
      </c>
      <c r="Q1458">
        <v>35</v>
      </c>
      <c r="R1458" s="8">
        <v>2.8279999999999998</v>
      </c>
      <c r="S1458">
        <v>10</v>
      </c>
      <c r="T1458" s="8">
        <f t="shared" si="158"/>
        <v>0.2857142857142857</v>
      </c>
      <c r="U1458" s="8">
        <v>2.8910300000000002</v>
      </c>
      <c r="V1458">
        <v>20</v>
      </c>
      <c r="W1458" s="8">
        <f t="shared" si="159"/>
        <v>0.5714285714285714</v>
      </c>
      <c r="X1458" s="8">
        <v>2.7818800000000001</v>
      </c>
      <c r="Y1458">
        <v>5</v>
      </c>
      <c r="Z1458" s="8">
        <f t="shared" si="160"/>
        <v>0.14285714285714285</v>
      </c>
      <c r="AA1458" s="8">
        <v>2.8864399999999999</v>
      </c>
    </row>
    <row r="1459" spans="1:27" ht="15" customHeight="1" x14ac:dyDescent="0.25">
      <c r="A1459" s="14">
        <v>639</v>
      </c>
      <c r="B1459" s="14">
        <v>639</v>
      </c>
      <c r="C1459" s="36">
        <v>-12269.934999999999</v>
      </c>
      <c r="D1459" s="16">
        <v>-12271.632108</v>
      </c>
      <c r="E1459" s="14"/>
      <c r="F1459" s="37">
        <v>0.99390999999999996</v>
      </c>
      <c r="G1459" s="16">
        <v>0.17374999999999899</v>
      </c>
      <c r="H1459" s="14">
        <v>6</v>
      </c>
      <c r="I1459" s="14">
        <v>7</v>
      </c>
      <c r="J1459" s="32"/>
      <c r="K1459" s="8">
        <f t="shared" si="154"/>
        <v>-0.77766923076887906</v>
      </c>
      <c r="L1459" s="8">
        <f t="shared" si="155"/>
        <v>-5.9820710059144543E-2</v>
      </c>
      <c r="M1459" s="8">
        <f t="shared" si="156"/>
        <v>-0.99851584615316824</v>
      </c>
      <c r="N1459" s="8">
        <f t="shared" si="157"/>
        <v>-7.6808911242551403E-2</v>
      </c>
      <c r="O1459" s="8"/>
      <c r="P1459" t="s">
        <v>1746</v>
      </c>
      <c r="Q1459">
        <v>36</v>
      </c>
      <c r="R1459" s="8">
        <v>2.8347000000000002</v>
      </c>
      <c r="S1459">
        <v>11</v>
      </c>
      <c r="T1459" s="8">
        <f t="shared" si="158"/>
        <v>0.30555555555555558</v>
      </c>
      <c r="U1459" s="8">
        <v>2.8556900000000001</v>
      </c>
      <c r="V1459">
        <v>19</v>
      </c>
      <c r="W1459" s="8">
        <f t="shared" si="159"/>
        <v>0.52777777777777779</v>
      </c>
      <c r="X1459" s="8">
        <v>2.8280699999999999</v>
      </c>
      <c r="Y1459">
        <v>6</v>
      </c>
      <c r="Z1459" s="8">
        <f t="shared" si="160"/>
        <v>0.16666666666666666</v>
      </c>
      <c r="AA1459" s="8">
        <v>2.8172100000000002</v>
      </c>
    </row>
    <row r="1460" spans="1:27" ht="15" customHeight="1" x14ac:dyDescent="0.25">
      <c r="A1460" s="14">
        <v>640</v>
      </c>
      <c r="B1460" s="14">
        <v>640</v>
      </c>
      <c r="C1460" s="36">
        <v>-12269.893</v>
      </c>
      <c r="D1460" s="16">
        <v>-12271.558815</v>
      </c>
      <c r="E1460" s="14"/>
      <c r="F1460" s="37">
        <v>0.99390299999999998</v>
      </c>
      <c r="G1460" s="16">
        <v>0.17376999999999901</v>
      </c>
      <c r="H1460" s="14">
        <v>6</v>
      </c>
      <c r="I1460" s="14">
        <v>7</v>
      </c>
      <c r="J1460" s="32"/>
      <c r="K1460" s="8">
        <f t="shared" si="154"/>
        <v>-0.73566923076941748</v>
      </c>
      <c r="L1460" s="8">
        <f t="shared" si="155"/>
        <v>-5.6589940828416729E-2</v>
      </c>
      <c r="M1460" s="8">
        <f t="shared" si="156"/>
        <v>-0.92522284615370154</v>
      </c>
      <c r="N1460" s="8">
        <f t="shared" si="157"/>
        <v>-7.1170988165669344E-2</v>
      </c>
      <c r="O1460" s="8"/>
      <c r="P1460" t="s">
        <v>1747</v>
      </c>
      <c r="Q1460">
        <v>36</v>
      </c>
      <c r="R1460" s="8">
        <v>2.83433</v>
      </c>
      <c r="S1460">
        <v>11</v>
      </c>
      <c r="T1460" s="8">
        <f t="shared" si="158"/>
        <v>0.30555555555555558</v>
      </c>
      <c r="U1460" s="8">
        <v>2.8597100000000002</v>
      </c>
      <c r="V1460">
        <v>19</v>
      </c>
      <c r="W1460" s="8">
        <f t="shared" si="159"/>
        <v>0.52777777777777779</v>
      </c>
      <c r="X1460" s="8">
        <v>2.81413</v>
      </c>
      <c r="Y1460">
        <v>6</v>
      </c>
      <c r="Z1460" s="8">
        <f t="shared" si="160"/>
        <v>0.16666666666666666</v>
      </c>
      <c r="AA1460" s="8">
        <v>2.8517899999999998</v>
      </c>
    </row>
    <row r="1461" spans="1:27" ht="15" customHeight="1" x14ac:dyDescent="0.25">
      <c r="A1461" s="14">
        <v>641</v>
      </c>
      <c r="B1461" s="14">
        <v>641</v>
      </c>
      <c r="C1461" s="36">
        <v>-12269.74</v>
      </c>
      <c r="D1461" s="16">
        <v>-12271.438045000001</v>
      </c>
      <c r="E1461" s="14"/>
      <c r="F1461" s="37">
        <v>0.99415200000000004</v>
      </c>
      <c r="G1461" s="16">
        <v>0.17496</v>
      </c>
      <c r="H1461" s="14">
        <v>6</v>
      </c>
      <c r="I1461" s="14">
        <v>7</v>
      </c>
      <c r="J1461" s="32"/>
      <c r="K1461" s="8">
        <f t="shared" si="154"/>
        <v>-0.5826692307691701</v>
      </c>
      <c r="L1461" s="8">
        <f t="shared" si="155"/>
        <v>-4.4820710059166928E-2</v>
      </c>
      <c r="M1461" s="8">
        <f t="shared" si="156"/>
        <v>-0.80445284615416313</v>
      </c>
      <c r="N1461" s="8">
        <f t="shared" si="157"/>
        <v>-6.1880988165704857E-2</v>
      </c>
      <c r="O1461" s="8"/>
      <c r="P1461" t="s">
        <v>1748</v>
      </c>
      <c r="Q1461">
        <v>35</v>
      </c>
      <c r="R1461" s="8">
        <v>2.8267099999999998</v>
      </c>
      <c r="S1461">
        <v>11</v>
      </c>
      <c r="T1461" s="8">
        <f t="shared" si="158"/>
        <v>0.31428571428571428</v>
      </c>
      <c r="U1461" s="8">
        <v>2.8310599999999999</v>
      </c>
      <c r="V1461">
        <v>18</v>
      </c>
      <c r="W1461" s="8">
        <f t="shared" si="159"/>
        <v>0.51428571428571423</v>
      </c>
      <c r="X1461" s="8">
        <v>2.8071600000000001</v>
      </c>
      <c r="Y1461">
        <v>6</v>
      </c>
      <c r="Z1461" s="8">
        <f t="shared" si="160"/>
        <v>0.17142857142857143</v>
      </c>
      <c r="AA1461" s="8">
        <v>2.8773900000000001</v>
      </c>
    </row>
    <row r="1462" spans="1:27" ht="15" customHeight="1" x14ac:dyDescent="0.25">
      <c r="A1462" s="14">
        <v>642</v>
      </c>
      <c r="B1462" s="14">
        <v>642</v>
      </c>
      <c r="C1462" s="36">
        <v>-12270.122100000001</v>
      </c>
      <c r="D1462" s="16">
        <v>-12272.105645</v>
      </c>
      <c r="E1462" s="14"/>
      <c r="F1462" s="37">
        <v>0.99655199999999999</v>
      </c>
      <c r="G1462" s="16">
        <v>0.19089</v>
      </c>
      <c r="H1462" s="14">
        <v>6</v>
      </c>
      <c r="I1462" s="14">
        <v>7</v>
      </c>
      <c r="J1462" s="32"/>
      <c r="K1462" s="8">
        <f t="shared" si="154"/>
        <v>-0.96476923076988896</v>
      </c>
      <c r="L1462" s="8">
        <f t="shared" si="155"/>
        <v>-7.4213017751529914E-2</v>
      </c>
      <c r="M1462" s="8">
        <f t="shared" si="156"/>
        <v>-1.4720528461530193</v>
      </c>
      <c r="N1462" s="8">
        <f t="shared" si="157"/>
        <v>-0.11323483431946303</v>
      </c>
      <c r="O1462" s="8"/>
      <c r="P1462" t="s">
        <v>1749</v>
      </c>
      <c r="Q1462">
        <v>35</v>
      </c>
      <c r="R1462" s="8">
        <v>2.8262700000000001</v>
      </c>
      <c r="S1462">
        <v>8</v>
      </c>
      <c r="T1462" s="8">
        <f t="shared" si="158"/>
        <v>0.22857142857142856</v>
      </c>
      <c r="U1462" s="8">
        <v>2.8627699999999998</v>
      </c>
      <c r="V1462">
        <v>22</v>
      </c>
      <c r="W1462" s="8">
        <f t="shared" si="159"/>
        <v>0.62857142857142856</v>
      </c>
      <c r="X1462" s="8">
        <v>2.8122699999999998</v>
      </c>
      <c r="Y1462">
        <v>5</v>
      </c>
      <c r="Z1462" s="8">
        <f t="shared" si="160"/>
        <v>0.14285714285714285</v>
      </c>
      <c r="AA1462" s="8">
        <v>2.8294600000000001</v>
      </c>
    </row>
    <row r="1463" spans="1:27" ht="15" customHeight="1" x14ac:dyDescent="0.25">
      <c r="A1463" s="14">
        <v>643</v>
      </c>
      <c r="B1463" s="14">
        <v>643</v>
      </c>
      <c r="C1463" s="36">
        <v>-12269.927299999999</v>
      </c>
      <c r="D1463" s="16">
        <v>-12271.604652</v>
      </c>
      <c r="E1463" s="14"/>
      <c r="F1463" s="37">
        <v>0.994973</v>
      </c>
      <c r="G1463" s="16">
        <v>0.17943000000000001</v>
      </c>
      <c r="H1463" s="14">
        <v>6</v>
      </c>
      <c r="I1463" s="14">
        <v>7</v>
      </c>
      <c r="J1463" s="32"/>
      <c r="K1463" s="8">
        <f t="shared" si="154"/>
        <v>-0.76996923076876556</v>
      </c>
      <c r="L1463" s="8">
        <f t="shared" si="155"/>
        <v>-5.9228402366828123E-2</v>
      </c>
      <c r="M1463" s="8">
        <f t="shared" si="156"/>
        <v>-0.97105984615336638</v>
      </c>
      <c r="N1463" s="8">
        <f t="shared" si="157"/>
        <v>-7.4696911242566638E-2</v>
      </c>
      <c r="O1463" s="8"/>
      <c r="P1463" t="s">
        <v>1750</v>
      </c>
      <c r="Q1463">
        <v>34</v>
      </c>
      <c r="R1463" s="8">
        <v>2.8117299999999998</v>
      </c>
      <c r="S1463">
        <v>8</v>
      </c>
      <c r="T1463" s="8">
        <f t="shared" si="158"/>
        <v>0.23529411764705882</v>
      </c>
      <c r="U1463" s="8">
        <v>2.8090999999999999</v>
      </c>
      <c r="V1463">
        <v>21</v>
      </c>
      <c r="W1463" s="8">
        <f t="shared" si="159"/>
        <v>0.61764705882352944</v>
      </c>
      <c r="X1463" s="8">
        <v>2.8073199999999998</v>
      </c>
      <c r="Y1463">
        <v>5</v>
      </c>
      <c r="Z1463" s="8">
        <f t="shared" si="160"/>
        <v>0.14705882352941177</v>
      </c>
      <c r="AA1463" s="8">
        <v>2.8344800000000001</v>
      </c>
    </row>
    <row r="1464" spans="1:27" ht="15" customHeight="1" x14ac:dyDescent="0.25">
      <c r="A1464" s="14">
        <v>644</v>
      </c>
      <c r="B1464" s="14">
        <v>644</v>
      </c>
      <c r="C1464" s="36">
        <v>-12269.9522</v>
      </c>
      <c r="D1464" s="16">
        <v>-12271.677003999999</v>
      </c>
      <c r="E1464" s="14"/>
      <c r="F1464" s="37">
        <v>0.99280599999999997</v>
      </c>
      <c r="G1464" s="16">
        <v>0.16875000000000001</v>
      </c>
      <c r="H1464" s="14">
        <v>6</v>
      </c>
      <c r="I1464" s="14">
        <v>7</v>
      </c>
      <c r="J1464" s="32"/>
      <c r="K1464" s="8">
        <f t="shared" si="154"/>
        <v>-0.79486923076910898</v>
      </c>
      <c r="L1464" s="8">
        <f t="shared" si="155"/>
        <v>-6.114378698223915E-2</v>
      </c>
      <c r="M1464" s="8">
        <f t="shared" si="156"/>
        <v>-1.0434118461525941</v>
      </c>
      <c r="N1464" s="8">
        <f t="shared" si="157"/>
        <v>-8.0262449704045696E-2</v>
      </c>
      <c r="O1464" s="8"/>
      <c r="P1464" t="s">
        <v>1751</v>
      </c>
      <c r="Q1464">
        <v>36</v>
      </c>
      <c r="R1464" s="8">
        <v>2.8356300000000001</v>
      </c>
      <c r="S1464">
        <v>9</v>
      </c>
      <c r="T1464" s="8">
        <f t="shared" si="158"/>
        <v>0.25</v>
      </c>
      <c r="U1464" s="8">
        <v>2.9013200000000001</v>
      </c>
      <c r="V1464">
        <v>23</v>
      </c>
      <c r="W1464" s="8">
        <f t="shared" si="159"/>
        <v>0.63888888888888884</v>
      </c>
      <c r="X1464" s="8">
        <v>2.8176800000000002</v>
      </c>
      <c r="Y1464">
        <v>4</v>
      </c>
      <c r="Z1464" s="8">
        <f t="shared" si="160"/>
        <v>0.1111111111111111</v>
      </c>
      <c r="AA1464" s="8">
        <v>2.7910300000000001</v>
      </c>
    </row>
    <row r="1465" spans="1:27" ht="15" customHeight="1" x14ac:dyDescent="0.25">
      <c r="A1465" s="14">
        <v>645</v>
      </c>
      <c r="B1465" s="14">
        <v>645</v>
      </c>
      <c r="C1465" s="36">
        <v>-12270.041499999999</v>
      </c>
      <c r="D1465" s="16">
        <v>-12271.832526</v>
      </c>
      <c r="E1465" s="14"/>
      <c r="F1465" s="37">
        <v>0.995089</v>
      </c>
      <c r="G1465" s="16">
        <v>0.180169999999999</v>
      </c>
      <c r="H1465" s="14">
        <v>6</v>
      </c>
      <c r="I1465" s="14">
        <v>7</v>
      </c>
      <c r="J1465" s="32"/>
      <c r="K1465" s="8">
        <f t="shared" si="154"/>
        <v>-0.88416923076874809</v>
      </c>
      <c r="L1465" s="8">
        <f t="shared" si="155"/>
        <v>-6.8013017751442167E-2</v>
      </c>
      <c r="M1465" s="8">
        <f t="shared" si="156"/>
        <v>-1.1989338461535226</v>
      </c>
      <c r="N1465" s="8">
        <f t="shared" si="157"/>
        <v>-9.2225680473347893E-2</v>
      </c>
      <c r="O1465" s="8"/>
      <c r="P1465" t="s">
        <v>1752</v>
      </c>
      <c r="Q1465">
        <v>36</v>
      </c>
      <c r="R1465" s="8">
        <v>2.8365800000000001</v>
      </c>
      <c r="S1465">
        <v>10</v>
      </c>
      <c r="T1465" s="8">
        <f t="shared" si="158"/>
        <v>0.27777777777777779</v>
      </c>
      <c r="U1465" s="8">
        <v>2.87616</v>
      </c>
      <c r="V1465">
        <v>21</v>
      </c>
      <c r="W1465" s="8">
        <f t="shared" si="159"/>
        <v>0.58333333333333337</v>
      </c>
      <c r="X1465" s="8">
        <v>2.82382</v>
      </c>
      <c r="Y1465">
        <v>5</v>
      </c>
      <c r="Z1465" s="8">
        <f t="shared" si="160"/>
        <v>0.1388888888888889</v>
      </c>
      <c r="AA1465" s="8">
        <v>2.8110300000000001</v>
      </c>
    </row>
    <row r="1466" spans="1:27" ht="15" customHeight="1" x14ac:dyDescent="0.25">
      <c r="A1466" s="14">
        <v>646</v>
      </c>
      <c r="B1466" s="14">
        <v>646</v>
      </c>
      <c r="C1466" s="36">
        <v>-12269.8007</v>
      </c>
      <c r="D1466" s="16">
        <v>-12271.423602000001</v>
      </c>
      <c r="E1466" s="14"/>
      <c r="F1466" s="37">
        <v>0.99658400000000003</v>
      </c>
      <c r="G1466" s="16">
        <v>0.19131000000000001</v>
      </c>
      <c r="H1466" s="14">
        <v>6</v>
      </c>
      <c r="I1466" s="14">
        <v>7</v>
      </c>
      <c r="J1466" s="32"/>
      <c r="K1466" s="8">
        <f t="shared" si="154"/>
        <v>-0.64336923076916719</v>
      </c>
      <c r="L1466" s="8">
        <f t="shared" si="155"/>
        <v>-4.9489940828397479E-2</v>
      </c>
      <c r="M1466" s="8">
        <f t="shared" si="156"/>
        <v>-0.79000984615413472</v>
      </c>
      <c r="N1466" s="8">
        <f t="shared" si="157"/>
        <v>-6.0769988165702671E-2</v>
      </c>
      <c r="O1466" s="8"/>
      <c r="P1466" t="s">
        <v>1753</v>
      </c>
      <c r="Q1466">
        <v>35</v>
      </c>
      <c r="R1466" s="8">
        <v>2.8238699999999999</v>
      </c>
      <c r="S1466">
        <v>11</v>
      </c>
      <c r="T1466" s="8">
        <f t="shared" si="158"/>
        <v>0.31428571428571428</v>
      </c>
      <c r="U1466" s="8">
        <v>2.8379099999999999</v>
      </c>
      <c r="V1466">
        <v>17</v>
      </c>
      <c r="W1466" s="8">
        <f t="shared" si="159"/>
        <v>0.48571428571428571</v>
      </c>
      <c r="X1466" s="8">
        <v>2.81494</v>
      </c>
      <c r="Y1466">
        <v>7</v>
      </c>
      <c r="Z1466" s="8">
        <f t="shared" si="160"/>
        <v>0.2</v>
      </c>
      <c r="AA1466" s="8">
        <v>2.8234699999999999</v>
      </c>
    </row>
    <row r="1467" spans="1:27" ht="15" customHeight="1" x14ac:dyDescent="0.25">
      <c r="A1467" s="14">
        <v>647</v>
      </c>
      <c r="B1467" s="14">
        <v>647</v>
      </c>
      <c r="C1467" s="36">
        <v>-12269.7721</v>
      </c>
      <c r="D1467" s="16">
        <v>-12271.534114</v>
      </c>
      <c r="E1467" s="14"/>
      <c r="F1467" s="37">
        <v>0.996166</v>
      </c>
      <c r="G1467" s="16">
        <v>0.18765999999999999</v>
      </c>
      <c r="H1467" s="14">
        <v>6</v>
      </c>
      <c r="I1467" s="14">
        <v>7</v>
      </c>
      <c r="J1467" s="32"/>
      <c r="K1467" s="8">
        <f t="shared" si="154"/>
        <v>-0.61476923076952517</v>
      </c>
      <c r="L1467" s="8">
        <f t="shared" si="155"/>
        <v>-4.7289940828425012E-2</v>
      </c>
      <c r="M1467" s="8">
        <f t="shared" si="156"/>
        <v>-0.90052184615342412</v>
      </c>
      <c r="N1467" s="8">
        <f t="shared" si="157"/>
        <v>-6.9270911242571093E-2</v>
      </c>
      <c r="O1467" s="8"/>
      <c r="P1467" t="s">
        <v>1754</v>
      </c>
      <c r="Q1467">
        <v>34</v>
      </c>
      <c r="R1467" s="8">
        <v>2.81663</v>
      </c>
      <c r="S1467">
        <v>11</v>
      </c>
      <c r="T1467" s="8">
        <f t="shared" si="158"/>
        <v>0.3235294117647059</v>
      </c>
      <c r="U1467" s="8">
        <v>2.85548</v>
      </c>
      <c r="V1467">
        <v>19</v>
      </c>
      <c r="W1467" s="8">
        <f t="shared" si="159"/>
        <v>0.55882352941176472</v>
      </c>
      <c r="X1467" s="8">
        <v>2.7989700000000002</v>
      </c>
      <c r="Y1467">
        <v>4</v>
      </c>
      <c r="Z1467" s="8">
        <f t="shared" si="160"/>
        <v>0.11764705882352941</v>
      </c>
      <c r="AA1467" s="8">
        <v>2.79372</v>
      </c>
    </row>
    <row r="1468" spans="1:27" ht="15" customHeight="1" x14ac:dyDescent="0.25">
      <c r="A1468" s="14">
        <v>648</v>
      </c>
      <c r="B1468" s="14">
        <v>648</v>
      </c>
      <c r="C1468" s="36">
        <v>-12269.7865</v>
      </c>
      <c r="D1468" s="16">
        <v>-12271.764487</v>
      </c>
      <c r="E1468" s="14"/>
      <c r="F1468" s="37">
        <v>0.99479499999999998</v>
      </c>
      <c r="G1468" s="16">
        <v>0.17846999999999899</v>
      </c>
      <c r="H1468" s="14">
        <v>6</v>
      </c>
      <c r="I1468" s="14">
        <v>7</v>
      </c>
      <c r="J1468" s="32"/>
      <c r="K1468" s="8">
        <f t="shared" si="154"/>
        <v>-0.62916923076954845</v>
      </c>
      <c r="L1468" s="8">
        <f t="shared" si="155"/>
        <v>-4.8397633136119111E-2</v>
      </c>
      <c r="M1468" s="8">
        <f t="shared" si="156"/>
        <v>-1.1308948461537511</v>
      </c>
      <c r="N1468" s="8">
        <f t="shared" si="157"/>
        <v>-8.699191124259624E-2</v>
      </c>
      <c r="O1468" s="8"/>
      <c r="P1468" t="s">
        <v>1755</v>
      </c>
      <c r="Q1468">
        <v>36</v>
      </c>
      <c r="R1468" s="8">
        <v>2.8396499999999998</v>
      </c>
      <c r="S1468">
        <v>10</v>
      </c>
      <c r="T1468" s="8">
        <f t="shared" si="158"/>
        <v>0.27777777777777779</v>
      </c>
      <c r="U1468" s="8">
        <v>2.8768899999999999</v>
      </c>
      <c r="V1468">
        <v>21</v>
      </c>
      <c r="W1468" s="8">
        <f t="shared" si="159"/>
        <v>0.58333333333333337</v>
      </c>
      <c r="X1468" s="8">
        <v>2.8280400000000001</v>
      </c>
      <c r="Y1468">
        <v>5</v>
      </c>
      <c r="Z1468" s="8">
        <f t="shared" si="160"/>
        <v>0.1388888888888889</v>
      </c>
      <c r="AA1468" s="8">
        <v>2.8138999999999998</v>
      </c>
    </row>
    <row r="1469" spans="1:27" ht="15" customHeight="1" x14ac:dyDescent="0.25">
      <c r="A1469" s="14">
        <v>649</v>
      </c>
      <c r="B1469" s="14">
        <v>649</v>
      </c>
      <c r="C1469" s="36">
        <v>-12270.076300000001</v>
      </c>
      <c r="D1469" s="16">
        <v>-12271.742496000001</v>
      </c>
      <c r="E1469" s="14"/>
      <c r="F1469" s="37">
        <v>0.99432799999999999</v>
      </c>
      <c r="G1469" s="16">
        <v>0.175899999999999</v>
      </c>
      <c r="H1469" s="14">
        <v>6</v>
      </c>
      <c r="I1469" s="14">
        <v>7</v>
      </c>
      <c r="J1469" s="32"/>
      <c r="K1469" s="8">
        <f t="shared" si="154"/>
        <v>-0.91896923077001702</v>
      </c>
      <c r="L1469" s="8">
        <f t="shared" si="155"/>
        <v>-7.0689940828462847E-2</v>
      </c>
      <c r="M1469" s="8">
        <f t="shared" si="156"/>
        <v>-1.108903846154135</v>
      </c>
      <c r="N1469" s="8">
        <f t="shared" si="157"/>
        <v>-8.5300295858010383E-2</v>
      </c>
      <c r="O1469" s="8"/>
      <c r="P1469" t="s">
        <v>1756</v>
      </c>
      <c r="Q1469">
        <v>36</v>
      </c>
      <c r="R1469" s="8">
        <v>2.8366099999999999</v>
      </c>
      <c r="S1469">
        <v>10</v>
      </c>
      <c r="T1469" s="8">
        <f t="shared" si="158"/>
        <v>0.27777777777777779</v>
      </c>
      <c r="U1469" s="8">
        <v>2.8656799999999998</v>
      </c>
      <c r="V1469">
        <v>21</v>
      </c>
      <c r="W1469" s="8">
        <f t="shared" si="159"/>
        <v>0.58333333333333337</v>
      </c>
      <c r="X1469" s="8">
        <v>2.8273100000000002</v>
      </c>
      <c r="Y1469">
        <v>5</v>
      </c>
      <c r="Z1469" s="8">
        <f t="shared" si="160"/>
        <v>0.1388888888888889</v>
      </c>
      <c r="AA1469" s="8">
        <v>2.8174899999999998</v>
      </c>
    </row>
    <row r="1470" spans="1:27" ht="15" customHeight="1" x14ac:dyDescent="0.25">
      <c r="A1470" s="14">
        <v>650</v>
      </c>
      <c r="B1470" s="14">
        <v>650</v>
      </c>
      <c r="C1470" s="36">
        <v>-12269.8768</v>
      </c>
      <c r="D1470" s="16">
        <v>-12271.690463000001</v>
      </c>
      <c r="E1470" s="14"/>
      <c r="F1470" s="37">
        <v>0.99297400000000002</v>
      </c>
      <c r="G1470" s="16">
        <v>0.16961999999999999</v>
      </c>
      <c r="H1470" s="14">
        <v>6</v>
      </c>
      <c r="I1470" s="14">
        <v>7</v>
      </c>
      <c r="J1470" s="32"/>
      <c r="K1470" s="8">
        <f t="shared" si="154"/>
        <v>-0.71946923076939129</v>
      </c>
      <c r="L1470" s="8">
        <f t="shared" si="155"/>
        <v>-5.5343786982260869E-2</v>
      </c>
      <c r="M1470" s="8">
        <f t="shared" si="156"/>
        <v>-1.0568708461541974</v>
      </c>
      <c r="N1470" s="8">
        <f t="shared" si="157"/>
        <v>-8.1297757396476725E-2</v>
      </c>
      <c r="O1470" s="8"/>
      <c r="P1470" t="s">
        <v>1757</v>
      </c>
      <c r="Q1470">
        <v>34</v>
      </c>
      <c r="R1470" s="8">
        <v>2.8148300000000002</v>
      </c>
      <c r="S1470">
        <v>10</v>
      </c>
      <c r="T1470" s="8">
        <f t="shared" si="158"/>
        <v>0.29411764705882354</v>
      </c>
      <c r="U1470" s="8">
        <v>2.8755500000000001</v>
      </c>
      <c r="V1470">
        <v>21</v>
      </c>
      <c r="W1470" s="8">
        <f t="shared" si="159"/>
        <v>0.61764705882352944</v>
      </c>
      <c r="X1470" s="8">
        <v>2.7797499999999999</v>
      </c>
      <c r="Y1470">
        <v>3</v>
      </c>
      <c r="Z1470" s="8">
        <f t="shared" si="160"/>
        <v>8.8235294117647065E-2</v>
      </c>
      <c r="AA1470" s="8">
        <v>2.8580399999999999</v>
      </c>
    </row>
    <row r="1471" spans="1:27" ht="15" customHeight="1" x14ac:dyDescent="0.25">
      <c r="A1471" s="14">
        <v>651</v>
      </c>
      <c r="B1471" s="14">
        <v>651</v>
      </c>
      <c r="C1471" s="36">
        <v>-12269.8398</v>
      </c>
      <c r="D1471" s="16">
        <v>-12271.581705000001</v>
      </c>
      <c r="E1471" s="14"/>
      <c r="F1471" s="37">
        <v>0.99314400000000003</v>
      </c>
      <c r="G1471" s="16">
        <v>0.17025000000000001</v>
      </c>
      <c r="H1471" s="14">
        <v>6</v>
      </c>
      <c r="I1471" s="14">
        <v>7</v>
      </c>
      <c r="J1471" s="32"/>
      <c r="K1471" s="8">
        <f t="shared" si="154"/>
        <v>-0.68246923076912935</v>
      </c>
      <c r="L1471" s="8">
        <f t="shared" si="155"/>
        <v>-5.2497633136086873E-2</v>
      </c>
      <c r="M1471" s="8">
        <f t="shared" si="156"/>
        <v>-0.94811284615389013</v>
      </c>
      <c r="N1471" s="8">
        <f t="shared" si="157"/>
        <v>-7.2931757396453092E-2</v>
      </c>
      <c r="O1471" s="8"/>
      <c r="P1471" t="s">
        <v>1758</v>
      </c>
      <c r="Q1471">
        <v>34</v>
      </c>
      <c r="R1471" s="8">
        <v>2.8195600000000001</v>
      </c>
      <c r="S1471">
        <v>11</v>
      </c>
      <c r="T1471" s="8">
        <f t="shared" si="158"/>
        <v>0.3235294117647059</v>
      </c>
      <c r="U1471" s="8">
        <v>2.8792800000000001</v>
      </c>
      <c r="V1471">
        <v>19</v>
      </c>
      <c r="W1471" s="8">
        <f t="shared" si="159"/>
        <v>0.55882352941176472</v>
      </c>
      <c r="X1471" s="8">
        <v>2.77895</v>
      </c>
      <c r="Y1471">
        <v>4</v>
      </c>
      <c r="Z1471" s="8">
        <f t="shared" si="160"/>
        <v>0.11764705882352941</v>
      </c>
      <c r="AA1471" s="8">
        <v>2.8482799999999999</v>
      </c>
    </row>
    <row r="1472" spans="1:27" ht="15" customHeight="1" x14ac:dyDescent="0.25">
      <c r="A1472" s="14">
        <v>652</v>
      </c>
      <c r="B1472" s="14">
        <v>652</v>
      </c>
      <c r="C1472" s="36">
        <v>-12270.0978</v>
      </c>
      <c r="D1472" s="16">
        <v>-12271.495833000001</v>
      </c>
      <c r="E1472" s="14"/>
      <c r="F1472" s="37">
        <v>0.99739299999999997</v>
      </c>
      <c r="G1472" s="16">
        <v>0.199239999999999</v>
      </c>
      <c r="H1472" s="14">
        <v>6</v>
      </c>
      <c r="I1472" s="14">
        <v>7</v>
      </c>
      <c r="J1472" s="32"/>
      <c r="K1472" s="8">
        <f t="shared" si="154"/>
        <v>-0.94046923076894018</v>
      </c>
      <c r="L1472" s="8">
        <f t="shared" si="155"/>
        <v>-7.2343786982226169E-2</v>
      </c>
      <c r="M1472" s="8">
        <f t="shared" si="156"/>
        <v>-0.86224084615423635</v>
      </c>
      <c r="N1472" s="8">
        <f t="shared" si="157"/>
        <v>-6.6326218934941256E-2</v>
      </c>
      <c r="O1472" s="8"/>
      <c r="P1472" t="s">
        <v>1759</v>
      </c>
      <c r="Q1472">
        <v>36</v>
      </c>
      <c r="R1472" s="8">
        <v>2.8355399999999999</v>
      </c>
      <c r="S1472">
        <v>10</v>
      </c>
      <c r="T1472" s="8">
        <f t="shared" si="158"/>
        <v>0.27777777777777779</v>
      </c>
      <c r="U1472" s="8">
        <v>2.8439100000000002</v>
      </c>
      <c r="V1472">
        <v>18</v>
      </c>
      <c r="W1472" s="8">
        <f t="shared" si="159"/>
        <v>0.5</v>
      </c>
      <c r="X1472" s="8">
        <v>2.8380399999999999</v>
      </c>
      <c r="Y1472">
        <v>8</v>
      </c>
      <c r="Z1472" s="8">
        <f t="shared" si="160"/>
        <v>0.22222222222222221</v>
      </c>
      <c r="AA1472" s="8">
        <v>2.8194400000000002</v>
      </c>
    </row>
    <row r="1473" spans="1:27" ht="15" customHeight="1" x14ac:dyDescent="0.25">
      <c r="A1473" s="14">
        <v>653</v>
      </c>
      <c r="B1473" s="14">
        <v>653</v>
      </c>
      <c r="C1473" s="36">
        <v>-12269.717699999999</v>
      </c>
      <c r="D1473" s="16">
        <v>-12271.329470999999</v>
      </c>
      <c r="E1473" s="14"/>
      <c r="F1473" s="37">
        <v>0.99637399999999998</v>
      </c>
      <c r="G1473" s="16">
        <v>0.18934999999999999</v>
      </c>
      <c r="H1473" s="14">
        <v>6</v>
      </c>
      <c r="I1473" s="14">
        <v>7</v>
      </c>
      <c r="J1473" s="32"/>
      <c r="K1473" s="8">
        <f t="shared" si="154"/>
        <v>-0.56036923076862877</v>
      </c>
      <c r="L1473" s="8">
        <f t="shared" si="155"/>
        <v>-4.3105325443740676E-2</v>
      </c>
      <c r="M1473" s="8">
        <f t="shared" si="156"/>
        <v>-0.69587884615248186</v>
      </c>
      <c r="N1473" s="8">
        <f t="shared" si="157"/>
        <v>-5.3529142011729376E-2</v>
      </c>
      <c r="O1473" s="8"/>
      <c r="P1473" t="s">
        <v>1760</v>
      </c>
      <c r="Q1473">
        <v>35</v>
      </c>
      <c r="R1473" s="8">
        <v>2.82891</v>
      </c>
      <c r="S1473">
        <v>13</v>
      </c>
      <c r="T1473" s="8">
        <f t="shared" si="158"/>
        <v>0.37142857142857144</v>
      </c>
      <c r="U1473" s="8">
        <v>2.85195</v>
      </c>
      <c r="V1473">
        <v>14</v>
      </c>
      <c r="W1473" s="8">
        <f t="shared" si="159"/>
        <v>0.4</v>
      </c>
      <c r="X1473" s="8">
        <v>2.8274400000000002</v>
      </c>
      <c r="Y1473">
        <v>8</v>
      </c>
      <c r="Z1473" s="8">
        <f t="shared" si="160"/>
        <v>0.22857142857142856</v>
      </c>
      <c r="AA1473" s="8">
        <v>2.7940299999999998</v>
      </c>
    </row>
    <row r="1474" spans="1:27" ht="15" customHeight="1" x14ac:dyDescent="0.25">
      <c r="A1474" s="14">
        <v>654</v>
      </c>
      <c r="B1474" s="14">
        <v>654</v>
      </c>
      <c r="C1474" s="36">
        <v>-12269.983200000001</v>
      </c>
      <c r="D1474" s="16">
        <v>-12271.573351999999</v>
      </c>
      <c r="E1474" s="14"/>
      <c r="F1474" s="37">
        <v>0.99148499999999995</v>
      </c>
      <c r="G1474" s="16">
        <v>0.16355</v>
      </c>
      <c r="H1474" s="14">
        <v>6</v>
      </c>
      <c r="I1474" s="14">
        <v>7</v>
      </c>
      <c r="J1474" s="32"/>
      <c r="K1474" s="8">
        <f t="shared" si="154"/>
        <v>-0.82586923076996754</v>
      </c>
      <c r="L1474" s="8">
        <f t="shared" si="155"/>
        <v>-6.3528402366920575E-2</v>
      </c>
      <c r="M1474" s="8">
        <f t="shared" si="156"/>
        <v>-0.9397598461528105</v>
      </c>
      <c r="N1474" s="8">
        <f t="shared" si="157"/>
        <v>-7.2289218934831576E-2</v>
      </c>
      <c r="O1474" s="8"/>
      <c r="P1474" t="s">
        <v>1761</v>
      </c>
      <c r="Q1474">
        <v>34</v>
      </c>
      <c r="R1474" s="8">
        <v>2.82036</v>
      </c>
      <c r="S1474">
        <v>11</v>
      </c>
      <c r="T1474" s="8">
        <f t="shared" si="158"/>
        <v>0.3235294117647059</v>
      </c>
      <c r="U1474" s="8">
        <v>2.8493599999999999</v>
      </c>
      <c r="V1474">
        <v>17</v>
      </c>
      <c r="W1474" s="8">
        <f t="shared" si="159"/>
        <v>0.5</v>
      </c>
      <c r="X1474" s="8">
        <v>2.8086899999999999</v>
      </c>
      <c r="Y1474">
        <v>6</v>
      </c>
      <c r="Z1474" s="8">
        <f t="shared" si="160"/>
        <v>0.17647058823529413</v>
      </c>
      <c r="AA1474" s="8">
        <v>2.8002600000000002</v>
      </c>
    </row>
    <row r="1475" spans="1:27" ht="15" customHeight="1" x14ac:dyDescent="0.25">
      <c r="A1475" s="14">
        <v>655</v>
      </c>
      <c r="B1475" s="14">
        <v>655</v>
      </c>
      <c r="C1475" s="36">
        <v>-12269.902400000001</v>
      </c>
      <c r="D1475" s="16">
        <v>-12271.304629</v>
      </c>
      <c r="E1475" s="14"/>
      <c r="F1475" s="37">
        <v>0.99565000000000003</v>
      </c>
      <c r="G1475" s="16">
        <v>0.18384</v>
      </c>
      <c r="H1475" s="14">
        <v>6</v>
      </c>
      <c r="I1475" s="14">
        <v>7</v>
      </c>
      <c r="J1475" s="32"/>
      <c r="K1475" s="8">
        <f t="shared" ref="K1475:K1538" si="161">IF(ISNUMBER(C1475),C1475-(($C$3-$C$2236)/($H$3-$H$2236)*H1475+$C$2236),"")</f>
        <v>-0.74506923077024112</v>
      </c>
      <c r="L1475" s="8">
        <f t="shared" ref="L1475:L1538" si="162">IF(ISNUMBER(C1475),K1475/(H1475+I1475),"")</f>
        <v>-5.7313017751557012E-2</v>
      </c>
      <c r="M1475" s="8">
        <f t="shared" ref="M1475:M1538" si="163">IF(ISNUMBER(D1475),D1475-(($D$3-$D$2236)/($H$3-$H$2236)*H1475+$D$2236),"")</f>
        <v>-0.67103684615358361</v>
      </c>
      <c r="N1475" s="8">
        <f t="shared" ref="N1475:N1538" si="164">IF(ISNUMBER(D1475),M1475/(H1475+I1475),"")</f>
        <v>-5.1618218934891047E-2</v>
      </c>
      <c r="O1475" s="8"/>
      <c r="P1475" t="s">
        <v>1762</v>
      </c>
      <c r="Q1475">
        <v>36</v>
      </c>
      <c r="R1475" s="8">
        <v>2.8363200000000002</v>
      </c>
      <c r="S1475">
        <v>12</v>
      </c>
      <c r="T1475" s="8">
        <f t="shared" ref="T1475:T1538" si="165">IF(ISNUMBER(S1475),S1475/(Q1475),"")</f>
        <v>0.33333333333333331</v>
      </c>
      <c r="U1475" s="8">
        <v>2.8460700000000001</v>
      </c>
      <c r="V1475">
        <v>16</v>
      </c>
      <c r="W1475" s="8">
        <f t="shared" ref="W1475:W1538" si="166">IF(ISNUMBER(V1475),V1475/($Q1475),"")</f>
        <v>0.44444444444444442</v>
      </c>
      <c r="X1475" s="8">
        <v>2.8416800000000002</v>
      </c>
      <c r="Y1475">
        <v>8</v>
      </c>
      <c r="Z1475" s="8">
        <f t="shared" ref="Z1475:Z1538" si="167">IF(ISNUMBER(Y1475),Y1475/($Q1475),"")</f>
        <v>0.22222222222222221</v>
      </c>
      <c r="AA1475" s="8">
        <v>2.8109500000000001</v>
      </c>
    </row>
    <row r="1476" spans="1:27" ht="15" customHeight="1" x14ac:dyDescent="0.25">
      <c r="A1476" s="14">
        <v>656</v>
      </c>
      <c r="B1476" s="14">
        <v>656</v>
      </c>
      <c r="C1476" s="36">
        <v>-12269.931500000001</v>
      </c>
      <c r="D1476" s="16">
        <v>-12271.338108</v>
      </c>
      <c r="E1476" s="14"/>
      <c r="F1476" s="37">
        <v>0.99657499999999999</v>
      </c>
      <c r="G1476" s="16">
        <v>0.19103000000000001</v>
      </c>
      <c r="H1476" s="14">
        <v>6</v>
      </c>
      <c r="I1476" s="14">
        <v>7</v>
      </c>
      <c r="J1476" s="32"/>
      <c r="K1476" s="8">
        <f t="shared" si="161"/>
        <v>-0.77416923076998501</v>
      </c>
      <c r="L1476" s="8">
        <f t="shared" si="162"/>
        <v>-5.9551479289998849E-2</v>
      </c>
      <c r="M1476" s="8">
        <f t="shared" si="163"/>
        <v>-0.70451584615329921</v>
      </c>
      <c r="N1476" s="8">
        <f t="shared" si="164"/>
        <v>-5.4193526627176865E-2</v>
      </c>
      <c r="O1476" s="8"/>
      <c r="P1476" t="s">
        <v>1763</v>
      </c>
      <c r="Q1476">
        <v>35</v>
      </c>
      <c r="R1476" s="8">
        <v>2.8255599999999998</v>
      </c>
      <c r="S1476">
        <v>12</v>
      </c>
      <c r="T1476" s="8">
        <f t="shared" si="165"/>
        <v>0.34285714285714286</v>
      </c>
      <c r="U1476" s="8">
        <v>2.8376800000000002</v>
      </c>
      <c r="V1476">
        <v>15</v>
      </c>
      <c r="W1476" s="8">
        <f t="shared" si="166"/>
        <v>0.42857142857142855</v>
      </c>
      <c r="X1476" s="8">
        <v>2.8091200000000001</v>
      </c>
      <c r="Y1476">
        <v>8</v>
      </c>
      <c r="Z1476" s="8">
        <f t="shared" si="167"/>
        <v>0.22857142857142856</v>
      </c>
      <c r="AA1476" s="8">
        <v>2.8382100000000001</v>
      </c>
    </row>
    <row r="1477" spans="1:27" ht="15" customHeight="1" x14ac:dyDescent="0.25">
      <c r="A1477" s="14">
        <v>657</v>
      </c>
      <c r="B1477" s="14">
        <v>657</v>
      </c>
      <c r="C1477" s="36">
        <v>-12269.718699999999</v>
      </c>
      <c r="D1477" s="16">
        <v>-12271.373001</v>
      </c>
      <c r="E1477" s="14"/>
      <c r="F1477" s="37">
        <v>0.99524900000000005</v>
      </c>
      <c r="G1477" s="16">
        <v>0.18123999999999901</v>
      </c>
      <c r="H1477" s="14">
        <v>6</v>
      </c>
      <c r="I1477" s="14">
        <v>7</v>
      </c>
      <c r="J1477" s="32"/>
      <c r="K1477" s="8">
        <f t="shared" si="161"/>
        <v>-0.56136923076883249</v>
      </c>
      <c r="L1477" s="8">
        <f t="shared" si="162"/>
        <v>-4.3182248520679423E-2</v>
      </c>
      <c r="M1477" s="8">
        <f t="shared" si="163"/>
        <v>-0.73940884615331015</v>
      </c>
      <c r="N1477" s="8">
        <f t="shared" si="164"/>
        <v>-5.6877603550254625E-2</v>
      </c>
      <c r="O1477" s="8"/>
      <c r="P1477" t="s">
        <v>1764</v>
      </c>
      <c r="Q1477">
        <v>36</v>
      </c>
      <c r="R1477" s="8">
        <v>2.8349099999999998</v>
      </c>
      <c r="S1477">
        <v>14</v>
      </c>
      <c r="T1477" s="8">
        <f t="shared" si="165"/>
        <v>0.3888888888888889</v>
      </c>
      <c r="U1477" s="8">
        <v>2.8503500000000002</v>
      </c>
      <c r="V1477">
        <v>14</v>
      </c>
      <c r="W1477" s="8">
        <f t="shared" si="166"/>
        <v>0.3888888888888889</v>
      </c>
      <c r="X1477" s="8">
        <v>2.84029</v>
      </c>
      <c r="Y1477">
        <v>8</v>
      </c>
      <c r="Z1477" s="8">
        <f t="shared" si="167"/>
        <v>0.22222222222222221</v>
      </c>
      <c r="AA1477" s="8">
        <v>2.79847</v>
      </c>
    </row>
    <row r="1478" spans="1:27" ht="15" customHeight="1" x14ac:dyDescent="0.25">
      <c r="A1478" s="14">
        <v>658</v>
      </c>
      <c r="B1478" s="14">
        <v>658</v>
      </c>
      <c r="C1478" s="36">
        <v>-12269.915199999999</v>
      </c>
      <c r="D1478" s="16">
        <v>-12271.558179</v>
      </c>
      <c r="E1478" s="14"/>
      <c r="F1478" s="37">
        <v>0.99351500000000004</v>
      </c>
      <c r="G1478" s="16">
        <v>0.17188999999999999</v>
      </c>
      <c r="H1478" s="14">
        <v>6</v>
      </c>
      <c r="I1478" s="14">
        <v>7</v>
      </c>
      <c r="J1478" s="32"/>
      <c r="K1478" s="8">
        <f t="shared" si="161"/>
        <v>-0.75786923076884705</v>
      </c>
      <c r="L1478" s="8">
        <f t="shared" si="162"/>
        <v>-5.8297633136065161E-2</v>
      </c>
      <c r="M1478" s="8">
        <f t="shared" si="163"/>
        <v>-0.92458684615303355</v>
      </c>
      <c r="N1478" s="8">
        <f t="shared" si="164"/>
        <v>-7.1122065088694883E-2</v>
      </c>
      <c r="O1478" s="8"/>
      <c r="P1478" t="s">
        <v>1765</v>
      </c>
      <c r="Q1478">
        <v>34</v>
      </c>
      <c r="R1478" s="8">
        <v>2.81717</v>
      </c>
      <c r="S1478">
        <v>12</v>
      </c>
      <c r="T1478" s="8">
        <f t="shared" si="165"/>
        <v>0.35294117647058826</v>
      </c>
      <c r="U1478" s="8">
        <v>2.8365</v>
      </c>
      <c r="V1478">
        <v>14</v>
      </c>
      <c r="W1478" s="8">
        <f t="shared" si="166"/>
        <v>0.41176470588235292</v>
      </c>
      <c r="X1478" s="8">
        <v>2.8035800000000002</v>
      </c>
      <c r="Y1478">
        <v>8</v>
      </c>
      <c r="Z1478" s="8">
        <f t="shared" si="167"/>
        <v>0.23529411764705882</v>
      </c>
      <c r="AA1478" s="8">
        <v>2.8119499999999999</v>
      </c>
    </row>
    <row r="1479" spans="1:27" ht="15" customHeight="1" x14ac:dyDescent="0.25">
      <c r="A1479" s="14">
        <v>659</v>
      </c>
      <c r="B1479" s="14">
        <v>659</v>
      </c>
      <c r="C1479" s="36">
        <v>-12270.1469</v>
      </c>
      <c r="D1479" s="16">
        <v>-12271.728052</v>
      </c>
      <c r="E1479" s="14"/>
      <c r="F1479" s="37">
        <v>0.99421099999999996</v>
      </c>
      <c r="G1479" s="16">
        <v>0.17524999999999899</v>
      </c>
      <c r="H1479" s="14">
        <v>6</v>
      </c>
      <c r="I1479" s="14">
        <v>7</v>
      </c>
      <c r="J1479" s="32"/>
      <c r="K1479" s="8">
        <f t="shared" si="161"/>
        <v>-0.98956923076912062</v>
      </c>
      <c r="L1479" s="8">
        <f t="shared" si="162"/>
        <v>-7.6120710059163127E-2</v>
      </c>
      <c r="M1479" s="8">
        <f t="shared" si="163"/>
        <v>-1.094459846153768</v>
      </c>
      <c r="N1479" s="8">
        <f t="shared" si="164"/>
        <v>-8.4189218934905233E-2</v>
      </c>
      <c r="O1479" s="8"/>
      <c r="P1479" t="s">
        <v>1766</v>
      </c>
      <c r="Q1479">
        <v>34</v>
      </c>
      <c r="R1479" s="8">
        <v>2.81487</v>
      </c>
      <c r="S1479">
        <v>10</v>
      </c>
      <c r="T1479" s="8">
        <f t="shared" si="165"/>
        <v>0.29411764705882354</v>
      </c>
      <c r="U1479" s="8">
        <v>2.8382200000000002</v>
      </c>
      <c r="V1479">
        <v>18</v>
      </c>
      <c r="W1479" s="8">
        <f t="shared" si="166"/>
        <v>0.52941176470588236</v>
      </c>
      <c r="X1479" s="8">
        <v>2.7951299999999999</v>
      </c>
      <c r="Y1479">
        <v>6</v>
      </c>
      <c r="Z1479" s="8">
        <f t="shared" si="167"/>
        <v>0.17647058823529413</v>
      </c>
      <c r="AA1479" s="8">
        <v>2.8351799999999998</v>
      </c>
    </row>
    <row r="1480" spans="1:27" ht="15" customHeight="1" x14ac:dyDescent="0.25">
      <c r="A1480" s="14">
        <v>660</v>
      </c>
      <c r="B1480" s="14">
        <v>660</v>
      </c>
      <c r="C1480" s="36">
        <v>-12269.770200000001</v>
      </c>
      <c r="D1480" s="16">
        <v>-12271.40985</v>
      </c>
      <c r="E1480" s="14"/>
      <c r="F1480" s="37">
        <v>0.99521599999999999</v>
      </c>
      <c r="G1480" s="16">
        <v>0.18093999999999999</v>
      </c>
      <c r="H1480" s="14">
        <v>6</v>
      </c>
      <c r="I1480" s="14">
        <v>7</v>
      </c>
      <c r="J1480" s="32"/>
      <c r="K1480" s="8">
        <f t="shared" si="161"/>
        <v>-0.61286923077022948</v>
      </c>
      <c r="L1480" s="8">
        <f t="shared" si="162"/>
        <v>-4.7143786982325346E-2</v>
      </c>
      <c r="M1480" s="8">
        <f t="shared" si="163"/>
        <v>-0.77625784615338489</v>
      </c>
      <c r="N1480" s="8">
        <f t="shared" si="164"/>
        <v>-5.9712142011798836E-2</v>
      </c>
      <c r="O1480" s="8"/>
      <c r="P1480" t="s">
        <v>1767</v>
      </c>
      <c r="Q1480">
        <v>35</v>
      </c>
      <c r="R1480" s="8">
        <v>2.8295400000000002</v>
      </c>
      <c r="S1480">
        <v>13</v>
      </c>
      <c r="T1480" s="8">
        <f t="shared" si="165"/>
        <v>0.37142857142857144</v>
      </c>
      <c r="U1480" s="8">
        <v>2.8658199999999998</v>
      </c>
      <c r="V1480">
        <v>16</v>
      </c>
      <c r="W1480" s="8">
        <f t="shared" si="166"/>
        <v>0.45714285714285713</v>
      </c>
      <c r="X1480" s="8">
        <v>2.8026800000000001</v>
      </c>
      <c r="Y1480">
        <v>6</v>
      </c>
      <c r="Z1480" s="8">
        <f t="shared" si="167"/>
        <v>0.17142857142857143</v>
      </c>
      <c r="AA1480" s="8">
        <v>2.8225600000000002</v>
      </c>
    </row>
    <row r="1481" spans="1:27" ht="15" customHeight="1" x14ac:dyDescent="0.25">
      <c r="A1481" s="14">
        <v>661</v>
      </c>
      <c r="B1481" s="14">
        <v>661</v>
      </c>
      <c r="C1481" s="36">
        <v>-12269.9113</v>
      </c>
      <c r="D1481" s="16">
        <v>-12271.579347999999</v>
      </c>
      <c r="E1481" s="14"/>
      <c r="F1481" s="37">
        <v>0.99463000000000001</v>
      </c>
      <c r="G1481" s="16">
        <v>0.17756</v>
      </c>
      <c r="H1481" s="14">
        <v>6</v>
      </c>
      <c r="I1481" s="14">
        <v>7</v>
      </c>
      <c r="J1481" s="32"/>
      <c r="K1481" s="8">
        <f t="shared" si="161"/>
        <v>-0.75396923076914391</v>
      </c>
      <c r="L1481" s="8">
        <f t="shared" si="162"/>
        <v>-5.7997633136087995E-2</v>
      </c>
      <c r="M1481" s="8">
        <f t="shared" si="163"/>
        <v>-0.94575584615267871</v>
      </c>
      <c r="N1481" s="8">
        <f t="shared" si="164"/>
        <v>-7.2750449704052214E-2</v>
      </c>
      <c r="O1481" s="8"/>
      <c r="P1481" t="s">
        <v>1768</v>
      </c>
      <c r="Q1481">
        <v>36</v>
      </c>
      <c r="R1481" s="8">
        <v>2.8429799999999998</v>
      </c>
      <c r="S1481">
        <v>12</v>
      </c>
      <c r="T1481" s="8">
        <f t="shared" si="165"/>
        <v>0.33333333333333331</v>
      </c>
      <c r="U1481" s="8">
        <v>2.8884599999999998</v>
      </c>
      <c r="V1481">
        <v>18</v>
      </c>
      <c r="W1481" s="8">
        <f t="shared" si="166"/>
        <v>0.5</v>
      </c>
      <c r="X1481" s="8">
        <v>2.80918</v>
      </c>
      <c r="Y1481">
        <v>6</v>
      </c>
      <c r="Z1481" s="8">
        <f t="shared" si="167"/>
        <v>0.16666666666666666</v>
      </c>
      <c r="AA1481" s="8">
        <v>2.8533900000000001</v>
      </c>
    </row>
    <row r="1482" spans="1:27" ht="15" customHeight="1" x14ac:dyDescent="0.25">
      <c r="A1482" s="14">
        <v>662</v>
      </c>
      <c r="B1482" s="14">
        <v>662</v>
      </c>
      <c r="C1482" s="36">
        <v>-12270.100700000001</v>
      </c>
      <c r="D1482" s="16">
        <v>-12271.682599</v>
      </c>
      <c r="E1482" s="14"/>
      <c r="F1482" s="37">
        <v>0.99667300000000003</v>
      </c>
      <c r="G1482" s="16">
        <v>0.19180999999999901</v>
      </c>
      <c r="H1482" s="14">
        <v>6</v>
      </c>
      <c r="I1482" s="14">
        <v>7</v>
      </c>
      <c r="J1482" s="32"/>
      <c r="K1482" s="8">
        <f t="shared" si="161"/>
        <v>-0.94336923077025858</v>
      </c>
      <c r="L1482" s="8">
        <f t="shared" si="162"/>
        <v>-7.2566863905404511E-2</v>
      </c>
      <c r="M1482" s="8">
        <f t="shared" si="163"/>
        <v>-1.0490068461531337</v>
      </c>
      <c r="N1482" s="8">
        <f t="shared" si="164"/>
        <v>-8.0692834319471815E-2</v>
      </c>
      <c r="O1482" s="8"/>
      <c r="P1482" t="s">
        <v>1769</v>
      </c>
      <c r="Q1482">
        <v>34</v>
      </c>
      <c r="R1482" s="8">
        <v>2.8139699999999999</v>
      </c>
      <c r="S1482">
        <v>10</v>
      </c>
      <c r="T1482" s="8">
        <f t="shared" si="165"/>
        <v>0.29411764705882354</v>
      </c>
      <c r="U1482" s="8">
        <v>2.82958</v>
      </c>
      <c r="V1482">
        <v>18</v>
      </c>
      <c r="W1482" s="8">
        <f t="shared" si="166"/>
        <v>0.52941176470588236</v>
      </c>
      <c r="X1482" s="8">
        <v>2.8084500000000001</v>
      </c>
      <c r="Y1482">
        <v>6</v>
      </c>
      <c r="Z1482" s="8">
        <f t="shared" si="167"/>
        <v>0.17647058823529413</v>
      </c>
      <c r="AA1482" s="8">
        <v>2.8045399999999998</v>
      </c>
    </row>
    <row r="1483" spans="1:27" ht="15" customHeight="1" x14ac:dyDescent="0.25">
      <c r="A1483" s="14">
        <v>663</v>
      </c>
      <c r="B1483" s="14">
        <v>663</v>
      </c>
      <c r="C1483" s="36">
        <v>-12270.140600000001</v>
      </c>
      <c r="D1483" s="16">
        <v>-12271.512828999999</v>
      </c>
      <c r="E1483" s="14"/>
      <c r="F1483" s="37">
        <v>0.99427299999999996</v>
      </c>
      <c r="G1483" s="16">
        <v>0.17555999999999899</v>
      </c>
      <c r="H1483" s="14">
        <v>6</v>
      </c>
      <c r="I1483" s="14">
        <v>7</v>
      </c>
      <c r="J1483" s="32"/>
      <c r="K1483" s="8">
        <f t="shared" si="161"/>
        <v>-0.98326923077001993</v>
      </c>
      <c r="L1483" s="8">
        <f t="shared" si="162"/>
        <v>-7.5636094674616919E-2</v>
      </c>
      <c r="M1483" s="8">
        <f t="shared" si="163"/>
        <v>-0.87923684615270759</v>
      </c>
      <c r="N1483" s="8">
        <f t="shared" si="164"/>
        <v>-6.7633603550208282E-2</v>
      </c>
      <c r="O1483" s="8"/>
      <c r="P1483" t="s">
        <v>1770</v>
      </c>
      <c r="Q1483">
        <v>36</v>
      </c>
      <c r="R1483" s="8">
        <v>2.8350900000000001</v>
      </c>
      <c r="S1483">
        <v>10</v>
      </c>
      <c r="T1483" s="8">
        <f t="shared" si="165"/>
        <v>0.27777777777777779</v>
      </c>
      <c r="U1483" s="8">
        <v>2.8566699999999998</v>
      </c>
      <c r="V1483">
        <v>20</v>
      </c>
      <c r="W1483" s="8">
        <f t="shared" si="166"/>
        <v>0.55555555555555558</v>
      </c>
      <c r="X1483" s="8">
        <v>2.8382499999999999</v>
      </c>
      <c r="Y1483">
        <v>6</v>
      </c>
      <c r="Z1483" s="8">
        <f t="shared" si="167"/>
        <v>0.16666666666666666</v>
      </c>
      <c r="AA1483" s="8">
        <v>2.7885900000000001</v>
      </c>
    </row>
    <row r="1484" spans="1:27" ht="15" customHeight="1" x14ac:dyDescent="0.25">
      <c r="A1484" s="14">
        <v>664</v>
      </c>
      <c r="B1484" s="14">
        <v>664</v>
      </c>
      <c r="C1484" s="36">
        <v>-12269.944</v>
      </c>
      <c r="D1484" s="16">
        <v>-12271.677244</v>
      </c>
      <c r="E1484" s="14"/>
      <c r="F1484" s="37">
        <v>0.99308600000000002</v>
      </c>
      <c r="G1484" s="16">
        <v>0.1699</v>
      </c>
      <c r="H1484" s="14">
        <v>6</v>
      </c>
      <c r="I1484" s="14">
        <v>7</v>
      </c>
      <c r="J1484" s="32"/>
      <c r="K1484" s="8">
        <f t="shared" si="161"/>
        <v>-0.78666923076889361</v>
      </c>
      <c r="L1484" s="8">
        <f t="shared" si="162"/>
        <v>-6.0513017751453353E-2</v>
      </c>
      <c r="M1484" s="8">
        <f t="shared" si="163"/>
        <v>-1.0436518461538071</v>
      </c>
      <c r="N1484" s="8">
        <f t="shared" si="164"/>
        <v>-8.0280911242600547E-2</v>
      </c>
      <c r="O1484" s="8"/>
      <c r="P1484" t="s">
        <v>1771</v>
      </c>
      <c r="Q1484">
        <v>35</v>
      </c>
      <c r="R1484" s="8">
        <v>2.8298700000000001</v>
      </c>
      <c r="S1484">
        <v>10</v>
      </c>
      <c r="T1484" s="8">
        <f t="shared" si="165"/>
        <v>0.2857142857142857</v>
      </c>
      <c r="U1484" s="8">
        <v>2.8707099999999999</v>
      </c>
      <c r="V1484">
        <v>20</v>
      </c>
      <c r="W1484" s="8">
        <f t="shared" si="166"/>
        <v>0.5714285714285714</v>
      </c>
      <c r="X1484" s="8">
        <v>2.8114300000000001</v>
      </c>
      <c r="Y1484">
        <v>5</v>
      </c>
      <c r="Z1484" s="8">
        <f t="shared" si="167"/>
        <v>0.14285714285714285</v>
      </c>
      <c r="AA1484" s="8">
        <v>2.8219500000000002</v>
      </c>
    </row>
    <row r="1485" spans="1:27" ht="15" customHeight="1" x14ac:dyDescent="0.25">
      <c r="A1485" s="14">
        <v>665</v>
      </c>
      <c r="B1485" s="14">
        <v>665</v>
      </c>
      <c r="C1485" s="36">
        <v>-12269.9318</v>
      </c>
      <c r="D1485" s="16">
        <v>-12271.56409</v>
      </c>
      <c r="E1485" s="14"/>
      <c r="F1485" s="37">
        <v>0.99549399999999999</v>
      </c>
      <c r="G1485" s="16">
        <v>0.18278</v>
      </c>
      <c r="H1485" s="14">
        <v>6</v>
      </c>
      <c r="I1485" s="14">
        <v>7</v>
      </c>
      <c r="J1485" s="32"/>
      <c r="K1485" s="8">
        <f t="shared" si="161"/>
        <v>-0.77446923076968233</v>
      </c>
      <c r="L1485" s="8">
        <f t="shared" si="162"/>
        <v>-5.9574556213052486E-2</v>
      </c>
      <c r="M1485" s="8">
        <f t="shared" si="163"/>
        <v>-0.93049784615323006</v>
      </c>
      <c r="N1485" s="8">
        <f t="shared" si="164"/>
        <v>-7.1576757396402318E-2</v>
      </c>
      <c r="O1485" s="8"/>
      <c r="P1485" t="s">
        <v>1772</v>
      </c>
      <c r="Q1485">
        <v>35</v>
      </c>
      <c r="R1485" s="8">
        <v>2.8277700000000001</v>
      </c>
      <c r="S1485">
        <v>11</v>
      </c>
      <c r="T1485" s="8">
        <f t="shared" si="165"/>
        <v>0.31428571428571428</v>
      </c>
      <c r="U1485" s="8">
        <v>2.8513199999999999</v>
      </c>
      <c r="V1485">
        <v>19</v>
      </c>
      <c r="W1485" s="8">
        <f t="shared" si="166"/>
        <v>0.54285714285714282</v>
      </c>
      <c r="X1485" s="8">
        <v>2.80566</v>
      </c>
      <c r="Y1485">
        <v>5</v>
      </c>
      <c r="Z1485" s="8">
        <f t="shared" si="167"/>
        <v>0.14285714285714285</v>
      </c>
      <c r="AA1485" s="8">
        <v>2.8599700000000001</v>
      </c>
    </row>
    <row r="1486" spans="1:27" ht="15" customHeight="1" x14ac:dyDescent="0.25">
      <c r="A1486" s="14">
        <v>666</v>
      </c>
      <c r="B1486" s="14">
        <v>666</v>
      </c>
      <c r="C1486" s="36">
        <v>-12270.0957</v>
      </c>
      <c r="D1486" s="16">
        <v>-12271.756963</v>
      </c>
      <c r="E1486" s="14"/>
      <c r="F1486" s="37">
        <v>0.993784</v>
      </c>
      <c r="G1486" s="16">
        <v>0.17310999999999899</v>
      </c>
      <c r="H1486" s="14">
        <v>6</v>
      </c>
      <c r="I1486" s="14">
        <v>7</v>
      </c>
      <c r="J1486" s="32"/>
      <c r="K1486" s="8">
        <f t="shared" si="161"/>
        <v>-0.93836923076923995</v>
      </c>
      <c r="L1486" s="8">
        <f t="shared" si="162"/>
        <v>-7.2182248520710771E-2</v>
      </c>
      <c r="M1486" s="8">
        <f t="shared" si="163"/>
        <v>-1.1233708461531933</v>
      </c>
      <c r="N1486" s="8">
        <f t="shared" si="164"/>
        <v>-8.64131420117841E-2</v>
      </c>
      <c r="O1486" s="8"/>
      <c r="P1486" t="s">
        <v>1773</v>
      </c>
      <c r="Q1486">
        <v>36</v>
      </c>
      <c r="R1486" s="8">
        <v>2.839</v>
      </c>
      <c r="S1486">
        <v>11</v>
      </c>
      <c r="T1486" s="8">
        <f t="shared" si="165"/>
        <v>0.30555555555555558</v>
      </c>
      <c r="U1486" s="8">
        <v>2.8742299999999998</v>
      </c>
      <c r="V1486">
        <v>20</v>
      </c>
      <c r="W1486" s="8">
        <f t="shared" si="166"/>
        <v>0.55555555555555558</v>
      </c>
      <c r="X1486" s="8">
        <v>2.8309500000000001</v>
      </c>
      <c r="Y1486">
        <v>5</v>
      </c>
      <c r="Z1486" s="8">
        <f t="shared" si="167"/>
        <v>0.1388888888888889</v>
      </c>
      <c r="AA1486" s="8">
        <v>2.7936899999999998</v>
      </c>
    </row>
    <row r="1487" spans="1:27" ht="15" customHeight="1" x14ac:dyDescent="0.25">
      <c r="A1487" s="14">
        <v>667</v>
      </c>
      <c r="B1487" s="14">
        <v>667</v>
      </c>
      <c r="C1487" s="36">
        <v>-12270.298500000001</v>
      </c>
      <c r="D1487" s="16">
        <v>-12271.965899999999</v>
      </c>
      <c r="E1487" s="14"/>
      <c r="F1487" s="37">
        <v>0.99666500000000002</v>
      </c>
      <c r="G1487" s="16">
        <v>0.19189999999999999</v>
      </c>
      <c r="H1487" s="14">
        <v>6</v>
      </c>
      <c r="I1487" s="14">
        <v>7</v>
      </c>
      <c r="J1487" s="32"/>
      <c r="K1487" s="8">
        <f t="shared" si="161"/>
        <v>-1.1411692307701742</v>
      </c>
      <c r="L1487" s="8">
        <f t="shared" si="162"/>
        <v>-8.7782248520782633E-2</v>
      </c>
      <c r="M1487" s="8">
        <f t="shared" si="163"/>
        <v>-1.3323078461526165</v>
      </c>
      <c r="N1487" s="8">
        <f t="shared" si="164"/>
        <v>-0.10248521893481666</v>
      </c>
      <c r="O1487" s="8"/>
      <c r="P1487" t="s">
        <v>1774</v>
      </c>
      <c r="Q1487">
        <v>35</v>
      </c>
      <c r="R1487" s="8">
        <v>2.8258100000000002</v>
      </c>
      <c r="S1487">
        <v>8</v>
      </c>
      <c r="T1487" s="8">
        <f t="shared" si="165"/>
        <v>0.22857142857142856</v>
      </c>
      <c r="U1487" s="8">
        <v>2.85303</v>
      </c>
      <c r="V1487">
        <v>22</v>
      </c>
      <c r="W1487" s="8">
        <f t="shared" si="166"/>
        <v>0.62857142857142856</v>
      </c>
      <c r="X1487" s="8">
        <v>2.8119700000000001</v>
      </c>
      <c r="Y1487">
        <v>5</v>
      </c>
      <c r="Z1487" s="8">
        <f t="shared" si="167"/>
        <v>0.14285714285714285</v>
      </c>
      <c r="AA1487" s="8">
        <v>2.8431600000000001</v>
      </c>
    </row>
    <row r="1488" spans="1:27" ht="15" customHeight="1" x14ac:dyDescent="0.25">
      <c r="A1488" s="14">
        <v>668</v>
      </c>
      <c r="B1488" s="14">
        <v>668</v>
      </c>
      <c r="C1488" s="36">
        <v>-12270.1404</v>
      </c>
      <c r="D1488" s="16">
        <v>-12271.776356</v>
      </c>
      <c r="E1488" s="14"/>
      <c r="F1488" s="37">
        <v>0.99603299999999995</v>
      </c>
      <c r="G1488" s="16">
        <v>0.18664</v>
      </c>
      <c r="H1488" s="14">
        <v>6</v>
      </c>
      <c r="I1488" s="14">
        <v>7</v>
      </c>
      <c r="J1488" s="32"/>
      <c r="K1488" s="8">
        <f t="shared" si="161"/>
        <v>-0.98306923076961539</v>
      </c>
      <c r="L1488" s="8">
        <f t="shared" si="162"/>
        <v>-7.5620710059201179E-2</v>
      </c>
      <c r="M1488" s="8">
        <f t="shared" si="163"/>
        <v>-1.1427638461536844</v>
      </c>
      <c r="N1488" s="8">
        <f t="shared" si="164"/>
        <v>-8.7904911242591116E-2</v>
      </c>
      <c r="O1488" s="8"/>
      <c r="P1488" t="s">
        <v>1775</v>
      </c>
      <c r="Q1488">
        <v>34</v>
      </c>
      <c r="R1488" s="8">
        <v>2.8160500000000002</v>
      </c>
      <c r="S1488">
        <v>10</v>
      </c>
      <c r="T1488" s="8">
        <f t="shared" si="165"/>
        <v>0.29411764705882354</v>
      </c>
      <c r="U1488" s="8">
        <v>2.8644400000000001</v>
      </c>
      <c r="V1488">
        <v>20</v>
      </c>
      <c r="W1488" s="8">
        <f t="shared" si="166"/>
        <v>0.58823529411764708</v>
      </c>
      <c r="X1488" s="8">
        <v>2.7930600000000001</v>
      </c>
      <c r="Y1488">
        <v>4</v>
      </c>
      <c r="Z1488" s="8">
        <f t="shared" si="167"/>
        <v>0.11764705882352941</v>
      </c>
      <c r="AA1488" s="8">
        <v>2.8100700000000001</v>
      </c>
    </row>
    <row r="1489" spans="1:27" ht="15" customHeight="1" x14ac:dyDescent="0.25">
      <c r="A1489" s="14">
        <v>669</v>
      </c>
      <c r="B1489" s="14">
        <v>669</v>
      </c>
      <c r="C1489" s="36">
        <v>-12270.248100000001</v>
      </c>
      <c r="D1489" s="16">
        <v>-12271.931431000001</v>
      </c>
      <c r="E1489" s="14"/>
      <c r="F1489" s="37">
        <v>0.994259</v>
      </c>
      <c r="G1489" s="16">
        <v>0.17552999999999999</v>
      </c>
      <c r="H1489" s="14">
        <v>6</v>
      </c>
      <c r="I1489" s="14">
        <v>7</v>
      </c>
      <c r="J1489" s="32"/>
      <c r="K1489" s="8">
        <f t="shared" si="161"/>
        <v>-1.0907692307700927</v>
      </c>
      <c r="L1489" s="8">
        <f t="shared" si="162"/>
        <v>-8.390532544385329E-2</v>
      </c>
      <c r="M1489" s="8">
        <f t="shared" si="163"/>
        <v>-1.2978388461542636</v>
      </c>
      <c r="N1489" s="8">
        <f t="shared" si="164"/>
        <v>-9.9833757396481815E-2</v>
      </c>
      <c r="O1489" s="8"/>
      <c r="P1489" t="s">
        <v>1776</v>
      </c>
      <c r="Q1489">
        <v>35</v>
      </c>
      <c r="R1489" s="8">
        <v>2.82456</v>
      </c>
      <c r="S1489">
        <v>8</v>
      </c>
      <c r="T1489" s="8">
        <f t="shared" si="165"/>
        <v>0.22857142857142856</v>
      </c>
      <c r="U1489" s="8">
        <v>2.8440699999999999</v>
      </c>
      <c r="V1489">
        <v>22</v>
      </c>
      <c r="W1489" s="8">
        <f t="shared" si="166"/>
        <v>0.62857142857142856</v>
      </c>
      <c r="X1489" s="8">
        <v>2.8186499999999999</v>
      </c>
      <c r="Y1489">
        <v>5</v>
      </c>
      <c r="Z1489" s="8">
        <f t="shared" si="167"/>
        <v>0.14285714285714285</v>
      </c>
      <c r="AA1489" s="8">
        <v>2.81934</v>
      </c>
    </row>
    <row r="1490" spans="1:27" ht="15" customHeight="1" x14ac:dyDescent="0.25">
      <c r="A1490" s="14">
        <v>670</v>
      </c>
      <c r="B1490" s="14">
        <v>670</v>
      </c>
      <c r="C1490" s="36">
        <v>-12269.9535</v>
      </c>
      <c r="D1490" s="16">
        <v>-12271.609971</v>
      </c>
      <c r="E1490" s="14"/>
      <c r="F1490" s="37">
        <v>0.99619500000000005</v>
      </c>
      <c r="G1490" s="16">
        <v>0.18787000000000001</v>
      </c>
      <c r="H1490" s="14">
        <v>6</v>
      </c>
      <c r="I1490" s="14">
        <v>7</v>
      </c>
      <c r="J1490" s="32"/>
      <c r="K1490" s="8">
        <f t="shared" si="161"/>
        <v>-0.79616923076901003</v>
      </c>
      <c r="L1490" s="8">
        <f t="shared" si="162"/>
        <v>-6.1243786982231541E-2</v>
      </c>
      <c r="M1490" s="8">
        <f t="shared" si="163"/>
        <v>-0.97637884615323856</v>
      </c>
      <c r="N1490" s="8">
        <f t="shared" si="164"/>
        <v>-7.5106065088710663E-2</v>
      </c>
      <c r="O1490" s="8"/>
      <c r="P1490" t="s">
        <v>1777</v>
      </c>
      <c r="Q1490">
        <v>35</v>
      </c>
      <c r="R1490" s="8">
        <v>2.8242500000000001</v>
      </c>
      <c r="S1490">
        <v>10</v>
      </c>
      <c r="T1490" s="8">
        <f t="shared" si="165"/>
        <v>0.2857142857142857</v>
      </c>
      <c r="U1490" s="8">
        <v>2.8338399999999999</v>
      </c>
      <c r="V1490">
        <v>19</v>
      </c>
      <c r="W1490" s="8">
        <f t="shared" si="166"/>
        <v>0.54285714285714282</v>
      </c>
      <c r="X1490" s="8">
        <v>2.8116400000000001</v>
      </c>
      <c r="Y1490">
        <v>6</v>
      </c>
      <c r="Z1490" s="8">
        <f t="shared" si="167"/>
        <v>0.17142857142857143</v>
      </c>
      <c r="AA1490" s="8">
        <v>2.8481900000000002</v>
      </c>
    </row>
    <row r="1491" spans="1:27" ht="15" customHeight="1" x14ac:dyDescent="0.25">
      <c r="A1491" s="14">
        <v>671</v>
      </c>
      <c r="B1491" s="14">
        <v>671</v>
      </c>
      <c r="C1491" s="36">
        <v>-12270.172203</v>
      </c>
      <c r="D1491" s="16">
        <v>-12271.836379</v>
      </c>
      <c r="E1491" s="14"/>
      <c r="F1491" s="37">
        <v>0.98927100000000001</v>
      </c>
      <c r="G1491" s="16">
        <v>0.15720999999999899</v>
      </c>
      <c r="H1491" s="14">
        <v>6</v>
      </c>
      <c r="I1491" s="14">
        <v>7</v>
      </c>
      <c r="J1491" s="32"/>
      <c r="K1491" s="8">
        <f t="shared" si="161"/>
        <v>-1.0148722307694698</v>
      </c>
      <c r="L1491" s="8">
        <f t="shared" si="162"/>
        <v>-7.8067094674574594E-2</v>
      </c>
      <c r="M1491" s="8">
        <f t="shared" si="163"/>
        <v>-1.2027868461536855</v>
      </c>
      <c r="N1491" s="8">
        <f t="shared" si="164"/>
        <v>-9.252206508874504E-2</v>
      </c>
      <c r="O1491" s="8"/>
      <c r="P1491" t="s">
        <v>1778</v>
      </c>
      <c r="Q1491">
        <v>35</v>
      </c>
      <c r="R1491" s="8">
        <v>2.82721</v>
      </c>
      <c r="S1491">
        <v>8</v>
      </c>
      <c r="T1491" s="8">
        <f t="shared" si="165"/>
        <v>0.22857142857142856</v>
      </c>
      <c r="U1491" s="8">
        <v>2.8561700000000001</v>
      </c>
      <c r="V1491">
        <v>23</v>
      </c>
      <c r="W1491" s="8">
        <f t="shared" si="166"/>
        <v>0.65714285714285714</v>
      </c>
      <c r="X1491" s="8">
        <v>2.8016399999999999</v>
      </c>
      <c r="Y1491">
        <v>4</v>
      </c>
      <c r="Z1491" s="8">
        <f t="shared" si="167"/>
        <v>0.11428571428571428</v>
      </c>
      <c r="AA1491" s="8">
        <v>2.91629</v>
      </c>
    </row>
    <row r="1492" spans="1:27" ht="15" customHeight="1" x14ac:dyDescent="0.25">
      <c r="A1492" s="14">
        <v>672</v>
      </c>
      <c r="B1492" s="14">
        <v>672</v>
      </c>
      <c r="C1492" s="36">
        <v>-12270.145162000001</v>
      </c>
      <c r="D1492" s="16">
        <v>-12271.816247000001</v>
      </c>
      <c r="E1492" s="14"/>
      <c r="F1492" s="37">
        <v>0.99572099999999997</v>
      </c>
      <c r="G1492" s="16">
        <v>0.18442</v>
      </c>
      <c r="H1492" s="14">
        <v>6</v>
      </c>
      <c r="I1492" s="14">
        <v>7</v>
      </c>
      <c r="J1492" s="32"/>
      <c r="K1492" s="8">
        <f t="shared" si="161"/>
        <v>-0.98783123077009805</v>
      </c>
      <c r="L1492" s="8">
        <f t="shared" si="162"/>
        <v>-7.598701775154601E-2</v>
      </c>
      <c r="M1492" s="8">
        <f t="shared" si="163"/>
        <v>-1.1826548461540369</v>
      </c>
      <c r="N1492" s="8">
        <f t="shared" si="164"/>
        <v>-9.0973449704156689E-2</v>
      </c>
      <c r="O1492" s="8"/>
      <c r="P1492" t="s">
        <v>1779</v>
      </c>
      <c r="Q1492">
        <v>35</v>
      </c>
      <c r="R1492" s="8">
        <v>2.8290999999999999</v>
      </c>
      <c r="S1492">
        <v>10</v>
      </c>
      <c r="T1492" s="8">
        <f t="shared" si="165"/>
        <v>0.2857142857142857</v>
      </c>
      <c r="U1492" s="8">
        <v>2.8964699999999999</v>
      </c>
      <c r="V1492">
        <v>21</v>
      </c>
      <c r="W1492" s="8">
        <f t="shared" si="166"/>
        <v>0.6</v>
      </c>
      <c r="X1492" s="8">
        <v>2.7968099999999998</v>
      </c>
      <c r="Y1492">
        <v>4</v>
      </c>
      <c r="Z1492" s="8">
        <f t="shared" si="167"/>
        <v>0.11428571428571428</v>
      </c>
      <c r="AA1492" s="8">
        <v>2.8301799999999999</v>
      </c>
    </row>
    <row r="1493" spans="1:27" ht="15" customHeight="1" x14ac:dyDescent="0.25">
      <c r="A1493" s="14">
        <v>673</v>
      </c>
      <c r="B1493" s="14">
        <v>673</v>
      </c>
      <c r="C1493" s="36">
        <v>-12270.083247</v>
      </c>
      <c r="D1493" s="16">
        <v>-12271.751256</v>
      </c>
      <c r="E1493" s="14"/>
      <c r="F1493" s="37">
        <v>0.99519400000000002</v>
      </c>
      <c r="G1493" s="16">
        <v>0.180759999999999</v>
      </c>
      <c r="H1493" s="14">
        <v>6</v>
      </c>
      <c r="I1493" s="14">
        <v>7</v>
      </c>
      <c r="J1493" s="32"/>
      <c r="K1493" s="8">
        <f t="shared" si="161"/>
        <v>-0.92591623076987162</v>
      </c>
      <c r="L1493" s="8">
        <f t="shared" si="162"/>
        <v>-7.1224325443836278E-2</v>
      </c>
      <c r="M1493" s="8">
        <f t="shared" si="163"/>
        <v>-1.1176638461529365</v>
      </c>
      <c r="N1493" s="8">
        <f t="shared" si="164"/>
        <v>-8.5974142011764343E-2</v>
      </c>
      <c r="O1493" s="8"/>
      <c r="P1493" t="s">
        <v>1780</v>
      </c>
      <c r="Q1493">
        <v>36</v>
      </c>
      <c r="R1493" s="8">
        <v>2.83717</v>
      </c>
      <c r="S1493">
        <v>9</v>
      </c>
      <c r="T1493" s="8">
        <f t="shared" si="165"/>
        <v>0.25</v>
      </c>
      <c r="U1493" s="8">
        <v>2.8745799999999999</v>
      </c>
      <c r="V1493">
        <v>23</v>
      </c>
      <c r="W1493" s="8">
        <f t="shared" si="166"/>
        <v>0.63888888888888884</v>
      </c>
      <c r="X1493" s="8">
        <v>2.8170299999999999</v>
      </c>
      <c r="Y1493">
        <v>4</v>
      </c>
      <c r="Z1493" s="8">
        <f t="shared" si="167"/>
        <v>0.1111111111111111</v>
      </c>
      <c r="AA1493" s="8">
        <v>2.8688500000000001</v>
      </c>
    </row>
    <row r="1494" spans="1:27" ht="15" customHeight="1" x14ac:dyDescent="0.25">
      <c r="A1494" s="14">
        <v>674</v>
      </c>
      <c r="B1494" s="14">
        <v>674</v>
      </c>
      <c r="C1494" s="36">
        <v>-12269.996712</v>
      </c>
      <c r="D1494" s="16">
        <v>-12271.719047000001</v>
      </c>
      <c r="E1494" s="14"/>
      <c r="F1494" s="37">
        <v>0.99719199999999997</v>
      </c>
      <c r="G1494" s="16">
        <v>0.20255999999999999</v>
      </c>
      <c r="H1494" s="14">
        <v>6</v>
      </c>
      <c r="I1494" s="14">
        <v>7</v>
      </c>
      <c r="J1494" s="32"/>
      <c r="K1494" s="8">
        <f t="shared" si="161"/>
        <v>-0.83938123076950433</v>
      </c>
      <c r="L1494" s="8">
        <f t="shared" si="162"/>
        <v>-6.4567786982269559E-2</v>
      </c>
      <c r="M1494" s="8">
        <f t="shared" si="163"/>
        <v>-1.0854548461538798</v>
      </c>
      <c r="N1494" s="8">
        <f t="shared" si="164"/>
        <v>-8.3496526627221526E-2</v>
      </c>
      <c r="O1494" s="8"/>
      <c r="P1494" t="s">
        <v>1781</v>
      </c>
      <c r="Q1494">
        <v>36</v>
      </c>
      <c r="R1494" s="8">
        <v>2.8359999999999999</v>
      </c>
      <c r="S1494">
        <v>11</v>
      </c>
      <c r="T1494" s="8">
        <f t="shared" si="165"/>
        <v>0.30555555555555558</v>
      </c>
      <c r="U1494" s="8">
        <v>2.8915999999999999</v>
      </c>
      <c r="V1494">
        <v>21</v>
      </c>
      <c r="W1494" s="8">
        <f t="shared" si="166"/>
        <v>0.58333333333333337</v>
      </c>
      <c r="X1494" s="8">
        <v>2.7957800000000002</v>
      </c>
      <c r="Y1494">
        <v>4</v>
      </c>
      <c r="Z1494" s="8">
        <f t="shared" si="167"/>
        <v>0.1111111111111111</v>
      </c>
      <c r="AA1494" s="8">
        <v>2.8942700000000001</v>
      </c>
    </row>
    <row r="1495" spans="1:27" ht="15" customHeight="1" x14ac:dyDescent="0.25">
      <c r="A1495" s="14">
        <v>675</v>
      </c>
      <c r="B1495" s="14">
        <v>675</v>
      </c>
      <c r="C1495" s="36">
        <v>-12270.007189</v>
      </c>
      <c r="D1495" s="16">
        <v>-12271.648379</v>
      </c>
      <c r="E1495" s="14"/>
      <c r="F1495" s="37">
        <v>0.99298699999999995</v>
      </c>
      <c r="G1495" s="16">
        <v>0.16947000000000001</v>
      </c>
      <c r="H1495" s="14">
        <v>6</v>
      </c>
      <c r="I1495" s="14">
        <v>7</v>
      </c>
      <c r="J1495" s="32"/>
      <c r="K1495" s="8">
        <f t="shared" si="161"/>
        <v>-0.8498582307693141</v>
      </c>
      <c r="L1495" s="8">
        <f t="shared" si="162"/>
        <v>-6.5373710059178011E-2</v>
      </c>
      <c r="M1495" s="8">
        <f t="shared" si="163"/>
        <v>-1.0147868461535836</v>
      </c>
      <c r="N1495" s="8">
        <f t="shared" si="164"/>
        <v>-7.8060526627198742E-2</v>
      </c>
      <c r="O1495" s="8"/>
      <c r="P1495" t="s">
        <v>1782</v>
      </c>
      <c r="Q1495">
        <v>36</v>
      </c>
      <c r="R1495" s="8">
        <v>2.8350399999999998</v>
      </c>
      <c r="S1495">
        <v>10</v>
      </c>
      <c r="T1495" s="8">
        <f t="shared" si="165"/>
        <v>0.27777777777777779</v>
      </c>
      <c r="U1495" s="8">
        <v>2.86761</v>
      </c>
      <c r="V1495">
        <v>21</v>
      </c>
      <c r="W1495" s="8">
        <f t="shared" si="166"/>
        <v>0.58333333333333337</v>
      </c>
      <c r="X1495" s="8">
        <v>2.82402</v>
      </c>
      <c r="Y1495">
        <v>5</v>
      </c>
      <c r="Z1495" s="8">
        <f t="shared" si="167"/>
        <v>0.1388888888888889</v>
      </c>
      <c r="AA1495" s="8">
        <v>2.8161700000000001</v>
      </c>
    </row>
    <row r="1496" spans="1:27" ht="15" customHeight="1" x14ac:dyDescent="0.25">
      <c r="A1496" s="14">
        <v>676</v>
      </c>
      <c r="B1496" s="14">
        <v>676</v>
      </c>
      <c r="C1496" s="36">
        <v>-12269.887884</v>
      </c>
      <c r="D1496" s="16">
        <v>-12271.618227000001</v>
      </c>
      <c r="E1496" s="14"/>
      <c r="F1496" s="37">
        <v>0.99369099999999999</v>
      </c>
      <c r="G1496" s="16">
        <v>0.17266999999999999</v>
      </c>
      <c r="H1496" s="14">
        <v>6</v>
      </c>
      <c r="I1496" s="14">
        <v>7</v>
      </c>
      <c r="J1496" s="32"/>
      <c r="K1496" s="8">
        <f t="shared" si="161"/>
        <v>-0.73055323076914647</v>
      </c>
      <c r="L1496" s="8">
        <f t="shared" si="162"/>
        <v>-5.6196402366857419E-2</v>
      </c>
      <c r="M1496" s="8">
        <f t="shared" si="163"/>
        <v>-0.98463484615422203</v>
      </c>
      <c r="N1496" s="8">
        <f t="shared" si="164"/>
        <v>-7.574114201186323E-2</v>
      </c>
      <c r="O1496" s="8"/>
      <c r="P1496" t="s">
        <v>1783</v>
      </c>
      <c r="Q1496">
        <v>35</v>
      </c>
      <c r="R1496" s="8">
        <v>2.8279100000000001</v>
      </c>
      <c r="S1496">
        <v>9</v>
      </c>
      <c r="T1496" s="8">
        <f t="shared" si="165"/>
        <v>0.25714285714285712</v>
      </c>
      <c r="U1496" s="8">
        <v>2.8445900000000002</v>
      </c>
      <c r="V1496">
        <v>22</v>
      </c>
      <c r="W1496" s="8">
        <f t="shared" si="166"/>
        <v>0.62857142857142856</v>
      </c>
      <c r="X1496" s="8">
        <v>2.80355</v>
      </c>
      <c r="Y1496">
        <v>4</v>
      </c>
      <c r="Z1496" s="8">
        <f t="shared" si="167"/>
        <v>0.11428571428571428</v>
      </c>
      <c r="AA1496" s="8">
        <v>2.9243700000000001</v>
      </c>
    </row>
    <row r="1497" spans="1:27" ht="15" customHeight="1" x14ac:dyDescent="0.25">
      <c r="A1497" s="14">
        <v>677</v>
      </c>
      <c r="B1497" s="14">
        <v>677</v>
      </c>
      <c r="C1497" s="36">
        <v>-12270.200231999999</v>
      </c>
      <c r="D1497" s="16">
        <v>-12271.635797999999</v>
      </c>
      <c r="E1497" s="14"/>
      <c r="F1497" s="37">
        <v>0.99794300000000002</v>
      </c>
      <c r="G1497" s="16">
        <v>0.206399999999999</v>
      </c>
      <c r="H1497" s="14">
        <v>6</v>
      </c>
      <c r="I1497" s="14">
        <v>7</v>
      </c>
      <c r="J1497" s="32"/>
      <c r="K1497" s="8">
        <f t="shared" si="161"/>
        <v>-1.0429012307686207</v>
      </c>
      <c r="L1497" s="8">
        <f t="shared" si="162"/>
        <v>-8.0223171597586213E-2</v>
      </c>
      <c r="M1497" s="8">
        <f t="shared" si="163"/>
        <v>-1.0022058461527195</v>
      </c>
      <c r="N1497" s="8">
        <f t="shared" si="164"/>
        <v>-7.7092757396363037E-2</v>
      </c>
      <c r="O1497" s="8"/>
      <c r="P1497" t="s">
        <v>1784</v>
      </c>
      <c r="Q1497">
        <v>36</v>
      </c>
      <c r="R1497" s="8">
        <v>2.8361499999999999</v>
      </c>
      <c r="S1497">
        <v>9</v>
      </c>
      <c r="T1497" s="8">
        <f t="shared" si="165"/>
        <v>0.25</v>
      </c>
      <c r="U1497" s="8">
        <v>2.84152</v>
      </c>
      <c r="V1497">
        <v>20</v>
      </c>
      <c r="W1497" s="8">
        <f t="shared" si="166"/>
        <v>0.55555555555555558</v>
      </c>
      <c r="X1497" s="8">
        <v>2.8405200000000002</v>
      </c>
      <c r="Y1497">
        <v>7</v>
      </c>
      <c r="Z1497" s="8">
        <f t="shared" si="167"/>
        <v>0.19444444444444445</v>
      </c>
      <c r="AA1497" s="8">
        <v>2.8167599999999999</v>
      </c>
    </row>
    <row r="1498" spans="1:27" ht="15" customHeight="1" x14ac:dyDescent="0.25">
      <c r="A1498" s="14">
        <v>678</v>
      </c>
      <c r="B1498" s="14">
        <v>678</v>
      </c>
      <c r="C1498" s="36">
        <v>-12269.889949</v>
      </c>
      <c r="D1498" s="16">
        <v>-12271.321354</v>
      </c>
      <c r="E1498" s="14"/>
      <c r="F1498" s="37">
        <v>0.99715500000000001</v>
      </c>
      <c r="G1498" s="16">
        <v>0.19725000000000001</v>
      </c>
      <c r="H1498" s="14">
        <v>6</v>
      </c>
      <c r="I1498" s="14">
        <v>7</v>
      </c>
      <c r="J1498" s="32"/>
      <c r="K1498" s="8">
        <f t="shared" si="161"/>
        <v>-0.73261823076973087</v>
      </c>
      <c r="L1498" s="8">
        <f t="shared" si="162"/>
        <v>-5.6355248520748531E-2</v>
      </c>
      <c r="M1498" s="8">
        <f t="shared" si="163"/>
        <v>-0.68776184615308011</v>
      </c>
      <c r="N1498" s="8">
        <f t="shared" si="164"/>
        <v>-5.2904757396390778E-2</v>
      </c>
      <c r="O1498" s="8"/>
      <c r="P1498" t="s">
        <v>1785</v>
      </c>
      <c r="Q1498">
        <v>35</v>
      </c>
      <c r="R1498" s="8">
        <v>2.8268399999999998</v>
      </c>
      <c r="S1498">
        <v>12</v>
      </c>
      <c r="T1498" s="8">
        <f t="shared" si="165"/>
        <v>0.34285714285714286</v>
      </c>
      <c r="U1498" s="8">
        <v>2.82795</v>
      </c>
      <c r="V1498">
        <v>15</v>
      </c>
      <c r="W1498" s="8">
        <f t="shared" si="166"/>
        <v>0.42857142857142855</v>
      </c>
      <c r="X1498" s="8">
        <v>2.8218000000000001</v>
      </c>
      <c r="Y1498">
        <v>8</v>
      </c>
      <c r="Z1498" s="8">
        <f t="shared" si="167"/>
        <v>0.22857142857142856</v>
      </c>
      <c r="AA1498" s="8">
        <v>2.8346</v>
      </c>
    </row>
    <row r="1499" spans="1:27" ht="15" customHeight="1" x14ac:dyDescent="0.25">
      <c r="A1499" s="14">
        <v>679</v>
      </c>
      <c r="B1499" s="14">
        <v>679</v>
      </c>
      <c r="C1499" s="36">
        <v>-12270.170076</v>
      </c>
      <c r="D1499" s="16">
        <v>-12271.745879</v>
      </c>
      <c r="E1499" s="14"/>
      <c r="F1499" s="37">
        <v>0.99567600000000001</v>
      </c>
      <c r="G1499" s="16">
        <v>0.17715999999999901</v>
      </c>
      <c r="H1499" s="14">
        <v>6</v>
      </c>
      <c r="I1499" s="14">
        <v>7</v>
      </c>
      <c r="J1499" s="32"/>
      <c r="K1499" s="8">
        <f t="shared" si="161"/>
        <v>-1.012745230769724</v>
      </c>
      <c r="L1499" s="8">
        <f t="shared" si="162"/>
        <v>-7.7903479289978775E-2</v>
      </c>
      <c r="M1499" s="8">
        <f t="shared" si="163"/>
        <v>-1.1122868461534381</v>
      </c>
      <c r="N1499" s="8">
        <f t="shared" si="164"/>
        <v>-8.556052662718755E-2</v>
      </c>
      <c r="O1499" s="8"/>
      <c r="P1499" t="s">
        <v>1786</v>
      </c>
      <c r="Q1499">
        <v>35</v>
      </c>
      <c r="R1499" s="8">
        <v>2.8235999999999999</v>
      </c>
      <c r="S1499">
        <v>10</v>
      </c>
      <c r="T1499" s="8">
        <f t="shared" si="165"/>
        <v>0.2857142857142857</v>
      </c>
      <c r="U1499" s="8">
        <v>2.83596</v>
      </c>
      <c r="V1499">
        <v>19</v>
      </c>
      <c r="W1499" s="8">
        <f t="shared" si="166"/>
        <v>0.54285714285714282</v>
      </c>
      <c r="X1499" s="8">
        <v>2.8134800000000002</v>
      </c>
      <c r="Y1499">
        <v>6</v>
      </c>
      <c r="Z1499" s="8">
        <f t="shared" si="167"/>
        <v>0.17142857142857143</v>
      </c>
      <c r="AA1499" s="8">
        <v>2.8350599999999999</v>
      </c>
    </row>
    <row r="1500" spans="1:27" ht="15" customHeight="1" x14ac:dyDescent="0.25">
      <c r="A1500" s="14">
        <v>680</v>
      </c>
      <c r="B1500" s="14">
        <v>680</v>
      </c>
      <c r="C1500" s="36">
        <v>-12270.102434</v>
      </c>
      <c r="D1500" s="16">
        <v>-12271.694605000001</v>
      </c>
      <c r="E1500" s="14"/>
      <c r="F1500" s="37">
        <v>0.99680500000000005</v>
      </c>
      <c r="G1500" s="16">
        <v>0.19314000000000001</v>
      </c>
      <c r="H1500" s="14">
        <v>6</v>
      </c>
      <c r="I1500" s="14">
        <v>7</v>
      </c>
      <c r="J1500" s="32"/>
      <c r="K1500" s="8">
        <f t="shared" si="161"/>
        <v>-0.94510323076974601</v>
      </c>
      <c r="L1500" s="8">
        <f t="shared" si="162"/>
        <v>-7.2700248520749688E-2</v>
      </c>
      <c r="M1500" s="8">
        <f t="shared" si="163"/>
        <v>-1.0610128461539716</v>
      </c>
      <c r="N1500" s="8">
        <f t="shared" si="164"/>
        <v>-8.1616372781074739E-2</v>
      </c>
      <c r="O1500" s="8"/>
      <c r="P1500" t="s">
        <v>1787</v>
      </c>
      <c r="Q1500">
        <v>35</v>
      </c>
      <c r="R1500" s="8">
        <v>2.8289599999999999</v>
      </c>
      <c r="S1500">
        <v>10</v>
      </c>
      <c r="T1500" s="8">
        <f t="shared" si="165"/>
        <v>0.2857142857142857</v>
      </c>
      <c r="U1500" s="8">
        <v>2.8506800000000001</v>
      </c>
      <c r="V1500">
        <v>19</v>
      </c>
      <c r="W1500" s="8">
        <f t="shared" si="166"/>
        <v>0.54285714285714282</v>
      </c>
      <c r="X1500" s="8">
        <v>2.8172899999999998</v>
      </c>
      <c r="Y1500">
        <v>6</v>
      </c>
      <c r="Z1500" s="8">
        <f t="shared" si="167"/>
        <v>0.17142857142857143</v>
      </c>
      <c r="AA1500" s="8">
        <v>2.8297099999999999</v>
      </c>
    </row>
    <row r="1501" spans="1:27" ht="15" customHeight="1" x14ac:dyDescent="0.25">
      <c r="A1501" s="14">
        <v>681</v>
      </c>
      <c r="B1501" s="14">
        <v>681</v>
      </c>
      <c r="C1501" s="36">
        <v>-12270.116002999999</v>
      </c>
      <c r="D1501" s="16">
        <v>-12271.505293</v>
      </c>
      <c r="E1501" s="14"/>
      <c r="F1501" s="37">
        <v>0.99582099999999996</v>
      </c>
      <c r="G1501" s="16">
        <v>0.18390000000000001</v>
      </c>
      <c r="H1501" s="14">
        <v>6</v>
      </c>
      <c r="I1501" s="14">
        <v>7</v>
      </c>
      <c r="J1501" s="32"/>
      <c r="K1501" s="8">
        <f t="shared" si="161"/>
        <v>-0.95867223076857044</v>
      </c>
      <c r="L1501" s="8">
        <f t="shared" si="162"/>
        <v>-7.3744017751428498E-2</v>
      </c>
      <c r="M1501" s="8">
        <f t="shared" si="163"/>
        <v>-0.87170084615354426</v>
      </c>
      <c r="N1501" s="8">
        <f t="shared" si="164"/>
        <v>-6.7053911242580325E-2</v>
      </c>
      <c r="O1501" s="8"/>
      <c r="P1501" t="s">
        <v>1788</v>
      </c>
      <c r="Q1501">
        <v>35</v>
      </c>
      <c r="R1501" s="8">
        <v>2.82944</v>
      </c>
      <c r="S1501">
        <v>10</v>
      </c>
      <c r="T1501" s="8">
        <f t="shared" si="165"/>
        <v>0.2857142857142857</v>
      </c>
      <c r="U1501" s="8">
        <v>2.86999</v>
      </c>
      <c r="V1501">
        <v>19</v>
      </c>
      <c r="W1501" s="8">
        <f t="shared" si="166"/>
        <v>0.54285714285714282</v>
      </c>
      <c r="X1501" s="8">
        <v>2.8058800000000002</v>
      </c>
      <c r="Y1501">
        <v>6</v>
      </c>
      <c r="Z1501" s="8">
        <f t="shared" si="167"/>
        <v>0.17142857142857143</v>
      </c>
      <c r="AA1501" s="8">
        <v>2.8365</v>
      </c>
    </row>
    <row r="1502" spans="1:27" ht="15" customHeight="1" x14ac:dyDescent="0.25">
      <c r="A1502" s="14">
        <v>682</v>
      </c>
      <c r="B1502" s="14">
        <v>682</v>
      </c>
      <c r="C1502" s="36">
        <v>-12269.980855</v>
      </c>
      <c r="D1502" s="16">
        <v>-12271.588236</v>
      </c>
      <c r="E1502" s="14"/>
      <c r="F1502" s="37">
        <v>0.99613799999999997</v>
      </c>
      <c r="G1502" s="16">
        <v>0.18228</v>
      </c>
      <c r="H1502" s="14">
        <v>6</v>
      </c>
      <c r="I1502" s="14">
        <v>7</v>
      </c>
      <c r="J1502" s="32"/>
      <c r="K1502" s="8">
        <f t="shared" si="161"/>
        <v>-0.82352423076918058</v>
      </c>
      <c r="L1502" s="8">
        <f t="shared" si="162"/>
        <v>-6.334801775147543E-2</v>
      </c>
      <c r="M1502" s="8">
        <f t="shared" si="163"/>
        <v>-0.95464384615297604</v>
      </c>
      <c r="N1502" s="8">
        <f t="shared" si="164"/>
        <v>-7.3434142011767387E-2</v>
      </c>
      <c r="O1502" s="8"/>
      <c r="P1502" t="s">
        <v>1789</v>
      </c>
      <c r="Q1502">
        <v>35</v>
      </c>
      <c r="R1502" s="8">
        <v>2.8302800000000001</v>
      </c>
      <c r="S1502">
        <v>12</v>
      </c>
      <c r="T1502" s="8">
        <f t="shared" si="165"/>
        <v>0.34285714285714286</v>
      </c>
      <c r="U1502" s="8">
        <v>2.8555799999999998</v>
      </c>
      <c r="V1502">
        <v>17</v>
      </c>
      <c r="W1502" s="8">
        <f t="shared" si="166"/>
        <v>0.48571428571428571</v>
      </c>
      <c r="X1502" s="8">
        <v>2.8157999999999999</v>
      </c>
      <c r="Y1502">
        <v>6</v>
      </c>
      <c r="Z1502" s="8">
        <f t="shared" si="167"/>
        <v>0.17142857142857143</v>
      </c>
      <c r="AA1502" s="8">
        <v>2.8206799999999999</v>
      </c>
    </row>
    <row r="1503" spans="1:27" ht="15" customHeight="1" x14ac:dyDescent="0.25">
      <c r="A1503" s="14">
        <v>683</v>
      </c>
      <c r="B1503" s="14">
        <v>683</v>
      </c>
      <c r="C1503" s="36">
        <v>-12269.915261</v>
      </c>
      <c r="D1503" s="16">
        <v>-12271.308811000001</v>
      </c>
      <c r="E1503" s="14"/>
      <c r="F1503" s="37">
        <v>0.99678800000000001</v>
      </c>
      <c r="G1503" s="16">
        <v>0.18672999999999901</v>
      </c>
      <c r="H1503" s="14">
        <v>6</v>
      </c>
      <c r="I1503" s="14">
        <v>7</v>
      </c>
      <c r="J1503" s="32"/>
      <c r="K1503" s="8">
        <f t="shared" si="161"/>
        <v>-0.75793023076948884</v>
      </c>
      <c r="L1503" s="8">
        <f t="shared" si="162"/>
        <v>-5.8302325443806834E-2</v>
      </c>
      <c r="M1503" s="8">
        <f t="shared" si="163"/>
        <v>-0.67521884615416639</v>
      </c>
      <c r="N1503" s="8">
        <f t="shared" si="164"/>
        <v>-5.1939911242628187E-2</v>
      </c>
      <c r="O1503" s="8"/>
      <c r="P1503" t="s">
        <v>1790</v>
      </c>
      <c r="Q1503">
        <v>35</v>
      </c>
      <c r="R1503" s="8">
        <v>2.8279800000000002</v>
      </c>
      <c r="S1503">
        <v>11</v>
      </c>
      <c r="T1503" s="8">
        <f t="shared" si="165"/>
        <v>0.31428571428571428</v>
      </c>
      <c r="U1503" s="8">
        <v>2.8435000000000001</v>
      </c>
      <c r="V1503">
        <v>17</v>
      </c>
      <c r="W1503" s="8">
        <f t="shared" si="166"/>
        <v>0.48571428571428571</v>
      </c>
      <c r="X1503" s="8">
        <v>2.8337500000000002</v>
      </c>
      <c r="Y1503">
        <v>7</v>
      </c>
      <c r="Z1503" s="8">
        <f t="shared" si="167"/>
        <v>0.2</v>
      </c>
      <c r="AA1503" s="8">
        <v>2.7895799999999999</v>
      </c>
    </row>
    <row r="1504" spans="1:27" ht="15" customHeight="1" x14ac:dyDescent="0.25">
      <c r="A1504" s="14">
        <v>684</v>
      </c>
      <c r="B1504" s="14">
        <v>684</v>
      </c>
      <c r="C1504" s="36">
        <v>-12270.169357000001</v>
      </c>
      <c r="D1504" s="16">
        <v>-12271.732418</v>
      </c>
      <c r="E1504" s="14"/>
      <c r="F1504" s="37">
        <v>0.99360199999999999</v>
      </c>
      <c r="G1504" s="16">
        <v>0.168239999999999</v>
      </c>
      <c r="H1504" s="14">
        <v>6</v>
      </c>
      <c r="I1504" s="14">
        <v>7</v>
      </c>
      <c r="J1504" s="32"/>
      <c r="K1504" s="8">
        <f t="shared" si="161"/>
        <v>-1.0120262307700614</v>
      </c>
      <c r="L1504" s="8">
        <f t="shared" si="162"/>
        <v>-7.7848171597697025E-2</v>
      </c>
      <c r="M1504" s="8">
        <f t="shared" si="163"/>
        <v>-1.0988258461529767</v>
      </c>
      <c r="N1504" s="8">
        <f t="shared" si="164"/>
        <v>-8.4525065088690524E-2</v>
      </c>
      <c r="O1504" s="8"/>
      <c r="P1504" t="s">
        <v>1791</v>
      </c>
      <c r="Q1504">
        <v>35</v>
      </c>
      <c r="R1504" s="8">
        <v>2.8265799999999999</v>
      </c>
      <c r="S1504">
        <v>9</v>
      </c>
      <c r="T1504" s="8">
        <f t="shared" si="165"/>
        <v>0.25714285714285712</v>
      </c>
      <c r="U1504" s="8">
        <v>2.8664499999999999</v>
      </c>
      <c r="V1504">
        <v>21</v>
      </c>
      <c r="W1504" s="8">
        <f t="shared" si="166"/>
        <v>0.6</v>
      </c>
      <c r="X1504" s="8">
        <v>2.8147899999999999</v>
      </c>
      <c r="Y1504">
        <v>5</v>
      </c>
      <c r="Z1504" s="8">
        <f t="shared" si="167"/>
        <v>0.14285714285714285</v>
      </c>
      <c r="AA1504" s="8">
        <v>2.8043200000000001</v>
      </c>
    </row>
    <row r="1505" spans="1:27" ht="15" customHeight="1" x14ac:dyDescent="0.25">
      <c r="A1505" s="14">
        <v>685</v>
      </c>
      <c r="B1505" s="14">
        <v>685</v>
      </c>
      <c r="C1505" s="36">
        <v>-12269.860354</v>
      </c>
      <c r="D1505" s="16">
        <v>-12271.477202</v>
      </c>
      <c r="E1505" s="14"/>
      <c r="F1505" s="37">
        <v>0.994946</v>
      </c>
      <c r="G1505" s="16">
        <v>0.17973999999999901</v>
      </c>
      <c r="H1505" s="14">
        <v>6</v>
      </c>
      <c r="I1505" s="14">
        <v>7</v>
      </c>
      <c r="J1505" s="32"/>
      <c r="K1505" s="8">
        <f t="shared" si="161"/>
        <v>-0.70302323076975881</v>
      </c>
      <c r="L1505" s="8">
        <f t="shared" si="162"/>
        <v>-5.4078710059212214E-2</v>
      </c>
      <c r="M1505" s="8">
        <f t="shared" si="163"/>
        <v>-0.84360984615341295</v>
      </c>
      <c r="N1505" s="8">
        <f t="shared" si="164"/>
        <v>-6.489306508872407E-2</v>
      </c>
      <c r="O1505" s="8"/>
      <c r="P1505" t="s">
        <v>1792</v>
      </c>
      <c r="Q1505">
        <v>35</v>
      </c>
      <c r="R1505" s="8">
        <v>2.8339099999999999</v>
      </c>
      <c r="S1505">
        <v>11</v>
      </c>
      <c r="T1505" s="8">
        <f t="shared" si="165"/>
        <v>0.31428571428571428</v>
      </c>
      <c r="U1505" s="8">
        <v>2.84924</v>
      </c>
      <c r="V1505">
        <v>18</v>
      </c>
      <c r="W1505" s="8">
        <f t="shared" si="166"/>
        <v>0.51428571428571423</v>
      </c>
      <c r="X1505" s="8">
        <v>2.8281999999999998</v>
      </c>
      <c r="Y1505">
        <v>6</v>
      </c>
      <c r="Z1505" s="8">
        <f t="shared" si="167"/>
        <v>0.17142857142857143</v>
      </c>
      <c r="AA1505" s="8">
        <v>2.82294</v>
      </c>
    </row>
    <row r="1506" spans="1:27" ht="15" customHeight="1" x14ac:dyDescent="0.25">
      <c r="A1506" s="14">
        <v>686</v>
      </c>
      <c r="B1506" s="14">
        <v>686</v>
      </c>
      <c r="C1506" s="36">
        <v>-12270.029042</v>
      </c>
      <c r="D1506" s="16">
        <v>-12271.744879</v>
      </c>
      <c r="E1506" s="14"/>
      <c r="F1506" s="37">
        <v>0.99472899999999997</v>
      </c>
      <c r="G1506" s="16">
        <v>0.180779999999999</v>
      </c>
      <c r="H1506" s="14">
        <v>6</v>
      </c>
      <c r="I1506" s="14">
        <v>7</v>
      </c>
      <c r="J1506" s="32"/>
      <c r="K1506" s="8">
        <f t="shared" si="161"/>
        <v>-0.87171123076950607</v>
      </c>
      <c r="L1506" s="8">
        <f t="shared" si="162"/>
        <v>-6.7054710059192779E-2</v>
      </c>
      <c r="M1506" s="8">
        <f t="shared" si="163"/>
        <v>-1.1112868461532344</v>
      </c>
      <c r="N1506" s="8">
        <f t="shared" si="164"/>
        <v>-8.5483603550248796E-2</v>
      </c>
      <c r="O1506" s="8"/>
      <c r="P1506" t="s">
        <v>1793</v>
      </c>
      <c r="Q1506">
        <v>34</v>
      </c>
      <c r="R1506" s="8">
        <v>2.8201399999999999</v>
      </c>
      <c r="S1506">
        <v>9</v>
      </c>
      <c r="T1506" s="8">
        <f t="shared" si="165"/>
        <v>0.26470588235294118</v>
      </c>
      <c r="U1506" s="8">
        <v>2.8576600000000001</v>
      </c>
      <c r="V1506">
        <v>21</v>
      </c>
      <c r="W1506" s="8">
        <f t="shared" si="166"/>
        <v>0.61764705882352944</v>
      </c>
      <c r="X1506" s="8">
        <v>2.7985799999999998</v>
      </c>
      <c r="Y1506">
        <v>4</v>
      </c>
      <c r="Z1506" s="8">
        <f t="shared" si="167"/>
        <v>0.11764705882352941</v>
      </c>
      <c r="AA1506" s="8">
        <v>2.8489300000000002</v>
      </c>
    </row>
    <row r="1507" spans="1:27" ht="15" customHeight="1" x14ac:dyDescent="0.25">
      <c r="A1507" s="14">
        <v>687</v>
      </c>
      <c r="B1507" s="14">
        <v>687</v>
      </c>
      <c r="C1507" s="36">
        <v>-12270.077238</v>
      </c>
      <c r="D1507" s="16">
        <v>-12271.66805</v>
      </c>
      <c r="E1507" s="14"/>
      <c r="F1507" s="37">
        <v>0.99590900000000004</v>
      </c>
      <c r="G1507" s="16">
        <v>0.18923000000000001</v>
      </c>
      <c r="H1507" s="14">
        <v>6</v>
      </c>
      <c r="I1507" s="14">
        <v>7</v>
      </c>
      <c r="J1507" s="32"/>
      <c r="K1507" s="8">
        <f t="shared" si="161"/>
        <v>-0.91990723076924041</v>
      </c>
      <c r="L1507" s="8">
        <f t="shared" si="162"/>
        <v>-7.076209467455695E-2</v>
      </c>
      <c r="M1507" s="8">
        <f t="shared" si="163"/>
        <v>-1.0344578461536003</v>
      </c>
      <c r="N1507" s="8">
        <f t="shared" si="164"/>
        <v>-7.9573680473353864E-2</v>
      </c>
      <c r="O1507" s="8"/>
      <c r="P1507" t="s">
        <v>1794</v>
      </c>
      <c r="Q1507">
        <v>35</v>
      </c>
      <c r="R1507" s="8">
        <v>2.8282500000000002</v>
      </c>
      <c r="S1507">
        <v>10</v>
      </c>
      <c r="T1507" s="8">
        <f t="shared" si="165"/>
        <v>0.2857142857142857</v>
      </c>
      <c r="U1507" s="8">
        <v>2.8588499999999999</v>
      </c>
      <c r="V1507">
        <v>19</v>
      </c>
      <c r="W1507" s="8">
        <f t="shared" si="166"/>
        <v>0.54285714285714282</v>
      </c>
      <c r="X1507" s="8">
        <v>2.8061500000000001</v>
      </c>
      <c r="Y1507">
        <v>6</v>
      </c>
      <c r="Z1507" s="8">
        <f t="shared" si="167"/>
        <v>0.17142857142857143</v>
      </c>
      <c r="AA1507" s="8">
        <v>2.8472200000000001</v>
      </c>
    </row>
    <row r="1508" spans="1:27" ht="15" customHeight="1" x14ac:dyDescent="0.25">
      <c r="A1508" s="14">
        <v>688</v>
      </c>
      <c r="B1508" s="14">
        <v>688</v>
      </c>
      <c r="C1508" s="36">
        <v>-12270.143522</v>
      </c>
      <c r="D1508" s="16">
        <v>-12271.536834</v>
      </c>
      <c r="E1508" s="14"/>
      <c r="F1508" s="37">
        <v>0.99723499999999998</v>
      </c>
      <c r="G1508" s="16">
        <v>0.19073999999999899</v>
      </c>
      <c r="H1508" s="14">
        <v>6</v>
      </c>
      <c r="I1508" s="14">
        <v>7</v>
      </c>
      <c r="J1508" s="32"/>
      <c r="K1508" s="8">
        <f t="shared" si="161"/>
        <v>-0.98619123076969117</v>
      </c>
      <c r="L1508" s="8">
        <f t="shared" si="162"/>
        <v>-7.5860863905360856E-2</v>
      </c>
      <c r="M1508" s="8">
        <f t="shared" si="163"/>
        <v>-0.90324184615383274</v>
      </c>
      <c r="N1508" s="8">
        <f t="shared" si="164"/>
        <v>-6.9480142011833293E-2</v>
      </c>
      <c r="O1508" s="8"/>
      <c r="P1508" t="s">
        <v>1795</v>
      </c>
      <c r="Q1508">
        <v>35</v>
      </c>
      <c r="R1508" s="8">
        <v>2.8260999999999998</v>
      </c>
      <c r="S1508">
        <v>10</v>
      </c>
      <c r="T1508" s="8">
        <f t="shared" si="165"/>
        <v>0.2857142857142857</v>
      </c>
      <c r="U1508" s="8">
        <v>2.8604699999999998</v>
      </c>
      <c r="V1508">
        <v>19</v>
      </c>
      <c r="W1508" s="8">
        <f t="shared" si="166"/>
        <v>0.54285714285714282</v>
      </c>
      <c r="X1508" s="8">
        <v>2.81047</v>
      </c>
      <c r="Y1508">
        <v>6</v>
      </c>
      <c r="Z1508" s="8">
        <f t="shared" si="167"/>
        <v>0.17142857142857143</v>
      </c>
      <c r="AA1508" s="8">
        <v>2.8182900000000002</v>
      </c>
    </row>
    <row r="1509" spans="1:27" ht="15" customHeight="1" x14ac:dyDescent="0.25">
      <c r="A1509" s="14">
        <v>689</v>
      </c>
      <c r="B1509" s="14">
        <v>689</v>
      </c>
      <c r="C1509" s="36">
        <v>-12270.0002</v>
      </c>
      <c r="D1509" s="16">
        <v>-12271.640810000001</v>
      </c>
      <c r="E1509" s="14"/>
      <c r="F1509" s="37">
        <v>0.99654799999999999</v>
      </c>
      <c r="G1509" s="16">
        <v>0.19089999999999999</v>
      </c>
      <c r="H1509" s="14">
        <v>6</v>
      </c>
      <c r="I1509" s="14">
        <v>7</v>
      </c>
      <c r="J1509" s="32"/>
      <c r="K1509" s="8">
        <f t="shared" si="161"/>
        <v>-0.84286923076979292</v>
      </c>
      <c r="L1509" s="8">
        <f t="shared" si="162"/>
        <v>-6.4836094674599457E-2</v>
      </c>
      <c r="M1509" s="8">
        <f t="shared" si="163"/>
        <v>-1.0072178461541625</v>
      </c>
      <c r="N1509" s="8">
        <f t="shared" si="164"/>
        <v>-7.7478295858012497E-2</v>
      </c>
      <c r="O1509" s="8"/>
      <c r="P1509" t="s">
        <v>1796</v>
      </c>
      <c r="Q1509">
        <v>34</v>
      </c>
      <c r="R1509" s="8">
        <v>2.8203299999999998</v>
      </c>
      <c r="S1509">
        <v>11</v>
      </c>
      <c r="T1509" s="8">
        <f t="shared" si="165"/>
        <v>0.3235294117647059</v>
      </c>
      <c r="U1509" s="8">
        <v>2.8816700000000002</v>
      </c>
      <c r="V1509">
        <v>19</v>
      </c>
      <c r="W1509" s="8">
        <f t="shared" si="166"/>
        <v>0.55882352941176472</v>
      </c>
      <c r="X1509" s="8">
        <v>2.77291</v>
      </c>
      <c r="Y1509">
        <v>4</v>
      </c>
      <c r="Z1509" s="8">
        <f t="shared" si="167"/>
        <v>0.11764705882352941</v>
      </c>
      <c r="AA1509" s="8">
        <v>2.8768699999999998</v>
      </c>
    </row>
    <row r="1510" spans="1:27" ht="15" customHeight="1" x14ac:dyDescent="0.25">
      <c r="A1510" s="14">
        <v>690</v>
      </c>
      <c r="B1510" s="14">
        <v>690</v>
      </c>
      <c r="C1510" s="36">
        <v>-12270.022088</v>
      </c>
      <c r="D1510" s="16">
        <v>-12271.652231</v>
      </c>
      <c r="E1510" s="14"/>
      <c r="F1510" s="37">
        <v>0.99648400000000004</v>
      </c>
      <c r="G1510" s="16">
        <v>0.18872</v>
      </c>
      <c r="H1510" s="14">
        <v>6</v>
      </c>
      <c r="I1510" s="14">
        <v>7</v>
      </c>
      <c r="J1510" s="32"/>
      <c r="K1510" s="8">
        <f t="shared" si="161"/>
        <v>-0.86475723076910072</v>
      </c>
      <c r="L1510" s="8">
        <f t="shared" si="162"/>
        <v>-6.651978698223851E-2</v>
      </c>
      <c r="M1510" s="8">
        <f t="shared" si="163"/>
        <v>-1.0186388461534079</v>
      </c>
      <c r="N1510" s="8">
        <f t="shared" si="164"/>
        <v>-7.8356834319492918E-2</v>
      </c>
      <c r="O1510" s="8"/>
      <c r="P1510" t="s">
        <v>1797</v>
      </c>
      <c r="Q1510">
        <v>35</v>
      </c>
      <c r="R1510" s="8">
        <v>2.82586</v>
      </c>
      <c r="S1510">
        <v>10</v>
      </c>
      <c r="T1510" s="8">
        <f t="shared" si="165"/>
        <v>0.2857142857142857</v>
      </c>
      <c r="U1510" s="8">
        <v>2.83928</v>
      </c>
      <c r="V1510">
        <v>21</v>
      </c>
      <c r="W1510" s="8">
        <f t="shared" si="166"/>
        <v>0.6</v>
      </c>
      <c r="X1510" s="8">
        <v>2.8123</v>
      </c>
      <c r="Y1510">
        <v>4</v>
      </c>
      <c r="Z1510" s="8">
        <f t="shared" si="167"/>
        <v>0.11428571428571428</v>
      </c>
      <c r="AA1510" s="8">
        <v>2.86355</v>
      </c>
    </row>
    <row r="1511" spans="1:27" ht="15" customHeight="1" x14ac:dyDescent="0.25">
      <c r="A1511" s="14">
        <v>691</v>
      </c>
      <c r="B1511" s="14">
        <v>691</v>
      </c>
      <c r="C1511" s="36">
        <v>-12270.00109</v>
      </c>
      <c r="D1511" s="16">
        <v>-12271.391170000001</v>
      </c>
      <c r="E1511" s="14"/>
      <c r="F1511" s="37">
        <v>0.996336</v>
      </c>
      <c r="G1511" s="16">
        <v>0.18804000000000001</v>
      </c>
      <c r="H1511" s="14">
        <v>6</v>
      </c>
      <c r="I1511" s="14">
        <v>7</v>
      </c>
      <c r="J1511" s="32"/>
      <c r="K1511" s="8">
        <f t="shared" si="161"/>
        <v>-0.8437592307691375</v>
      </c>
      <c r="L1511" s="8">
        <f t="shared" si="162"/>
        <v>-6.4904556213010584E-2</v>
      </c>
      <c r="M1511" s="8">
        <f t="shared" si="163"/>
        <v>-0.75757784615416313</v>
      </c>
      <c r="N1511" s="8">
        <f t="shared" si="164"/>
        <v>-5.8275218934935626E-2</v>
      </c>
      <c r="O1511" s="8"/>
      <c r="P1511" t="s">
        <v>1798</v>
      </c>
      <c r="Q1511">
        <v>34</v>
      </c>
      <c r="R1511" s="8">
        <v>2.8140200000000002</v>
      </c>
      <c r="S1511">
        <v>9</v>
      </c>
      <c r="T1511" s="8">
        <f t="shared" si="165"/>
        <v>0.26470588235294118</v>
      </c>
      <c r="U1511" s="8">
        <v>2.83433</v>
      </c>
      <c r="V1511">
        <v>21</v>
      </c>
      <c r="W1511" s="8">
        <f t="shared" si="166"/>
        <v>0.61764705882352944</v>
      </c>
      <c r="X1511" s="8">
        <v>2.81412</v>
      </c>
      <c r="Y1511">
        <v>4</v>
      </c>
      <c r="Z1511" s="8">
        <f t="shared" si="167"/>
        <v>0.11764705882352941</v>
      </c>
      <c r="AA1511" s="8">
        <v>2.7678099999999999</v>
      </c>
    </row>
    <row r="1512" spans="1:27" ht="15" customHeight="1" x14ac:dyDescent="0.25">
      <c r="A1512" s="14">
        <v>692</v>
      </c>
      <c r="B1512" s="14">
        <v>692</v>
      </c>
      <c r="C1512" s="36">
        <v>-12270.058836</v>
      </c>
      <c r="D1512" s="16">
        <v>-12271.430813000001</v>
      </c>
      <c r="E1512" s="14"/>
      <c r="F1512" s="37">
        <v>0.99667799999999995</v>
      </c>
      <c r="G1512" s="16">
        <v>0.19273000000000001</v>
      </c>
      <c r="H1512" s="14">
        <v>6</v>
      </c>
      <c r="I1512" s="14">
        <v>7</v>
      </c>
      <c r="J1512" s="32"/>
      <c r="K1512" s="8">
        <f t="shared" si="161"/>
        <v>-0.90150523076954414</v>
      </c>
      <c r="L1512" s="8">
        <f t="shared" si="162"/>
        <v>-6.9346556213041852E-2</v>
      </c>
      <c r="M1512" s="8">
        <f t="shared" si="163"/>
        <v>-0.79722084615423228</v>
      </c>
      <c r="N1512" s="8">
        <f t="shared" si="164"/>
        <v>-6.1324680473402483E-2</v>
      </c>
      <c r="O1512" s="8"/>
      <c r="P1512" t="s">
        <v>1799</v>
      </c>
      <c r="Q1512">
        <v>36</v>
      </c>
      <c r="R1512" s="8">
        <v>2.8358599999999998</v>
      </c>
      <c r="S1512">
        <v>11</v>
      </c>
      <c r="T1512" s="8">
        <f t="shared" si="165"/>
        <v>0.30555555555555558</v>
      </c>
      <c r="U1512" s="8">
        <v>2.86015</v>
      </c>
      <c r="V1512">
        <v>17</v>
      </c>
      <c r="W1512" s="8">
        <f t="shared" si="166"/>
        <v>0.47222222222222221</v>
      </c>
      <c r="X1512" s="8">
        <v>2.8363999999999998</v>
      </c>
      <c r="Y1512">
        <v>8</v>
      </c>
      <c r="Z1512" s="8">
        <f t="shared" si="167"/>
        <v>0.22222222222222221</v>
      </c>
      <c r="AA1512" s="8">
        <v>2.80132</v>
      </c>
    </row>
    <row r="1513" spans="1:27" ht="15" customHeight="1" x14ac:dyDescent="0.25">
      <c r="A1513" s="14">
        <v>693</v>
      </c>
      <c r="B1513" s="14">
        <v>693</v>
      </c>
      <c r="C1513" s="36">
        <v>-12269.964652000001</v>
      </c>
      <c r="D1513" s="16">
        <v>-12271.548183000001</v>
      </c>
      <c r="E1513" s="14"/>
      <c r="F1513" s="37">
        <v>0.99689099999999997</v>
      </c>
      <c r="G1513" s="16">
        <v>0.19205999999999901</v>
      </c>
      <c r="H1513" s="14">
        <v>6</v>
      </c>
      <c r="I1513" s="14">
        <v>7</v>
      </c>
      <c r="J1513" s="32"/>
      <c r="K1513" s="8">
        <f t="shared" si="161"/>
        <v>-0.80732123076995777</v>
      </c>
      <c r="L1513" s="8">
        <f t="shared" si="162"/>
        <v>-6.2101633136150594E-2</v>
      </c>
      <c r="M1513" s="8">
        <f t="shared" si="163"/>
        <v>-0.91459084615416941</v>
      </c>
      <c r="N1513" s="8">
        <f t="shared" si="164"/>
        <v>-7.0353142011859188E-2</v>
      </c>
      <c r="O1513" s="8"/>
      <c r="P1513" t="s">
        <v>1800</v>
      </c>
      <c r="Q1513">
        <v>34</v>
      </c>
      <c r="R1513" s="8">
        <v>2.8210600000000001</v>
      </c>
      <c r="S1513">
        <v>12</v>
      </c>
      <c r="T1513" s="8">
        <f t="shared" si="165"/>
        <v>0.35294117647058826</v>
      </c>
      <c r="U1513" s="8">
        <v>2.8533300000000001</v>
      </c>
      <c r="V1513">
        <v>15</v>
      </c>
      <c r="W1513" s="8">
        <f t="shared" si="166"/>
        <v>0.44117647058823528</v>
      </c>
      <c r="X1513" s="8">
        <v>2.8119999999999998</v>
      </c>
      <c r="Y1513">
        <v>7</v>
      </c>
      <c r="Z1513" s="8">
        <f t="shared" si="167"/>
        <v>0.20588235294117646</v>
      </c>
      <c r="AA1513" s="8">
        <v>2.7851499999999998</v>
      </c>
    </row>
    <row r="1514" spans="1:27" ht="15" customHeight="1" x14ac:dyDescent="0.25">
      <c r="A1514" s="14">
        <v>694</v>
      </c>
      <c r="B1514" s="14">
        <v>694</v>
      </c>
      <c r="C1514" s="36">
        <v>-12270.062328</v>
      </c>
      <c r="D1514" s="16">
        <v>-12271.637814</v>
      </c>
      <c r="E1514" s="14"/>
      <c r="F1514" s="37">
        <v>0.99544699999999997</v>
      </c>
      <c r="G1514" s="16">
        <v>0.18096000000000001</v>
      </c>
      <c r="H1514" s="14">
        <v>6</v>
      </c>
      <c r="I1514" s="14">
        <v>7</v>
      </c>
      <c r="J1514" s="32"/>
      <c r="K1514" s="8">
        <f t="shared" si="161"/>
        <v>-0.90499723076936789</v>
      </c>
      <c r="L1514" s="8">
        <f t="shared" si="162"/>
        <v>-6.9615171597643688E-2</v>
      </c>
      <c r="M1514" s="8">
        <f t="shared" si="163"/>
        <v>-1.0042218461530865</v>
      </c>
      <c r="N1514" s="8">
        <f t="shared" si="164"/>
        <v>-7.7247834319468189E-2</v>
      </c>
      <c r="O1514" s="8"/>
      <c r="P1514" t="s">
        <v>1801</v>
      </c>
      <c r="Q1514">
        <v>34</v>
      </c>
      <c r="R1514" s="8">
        <v>2.8205499999999999</v>
      </c>
      <c r="S1514">
        <v>10</v>
      </c>
      <c r="T1514" s="8">
        <f t="shared" si="165"/>
        <v>0.29411764705882354</v>
      </c>
      <c r="U1514" s="8">
        <v>2.8313199999999998</v>
      </c>
      <c r="V1514">
        <v>18</v>
      </c>
      <c r="W1514" s="8">
        <f t="shared" si="166"/>
        <v>0.52941176470588236</v>
      </c>
      <c r="X1514" s="8">
        <v>2.8130199999999999</v>
      </c>
      <c r="Y1514">
        <v>6</v>
      </c>
      <c r="Z1514" s="8">
        <f t="shared" si="167"/>
        <v>0.17647058823529413</v>
      </c>
      <c r="AA1514" s="8">
        <v>2.82517</v>
      </c>
    </row>
    <row r="1515" spans="1:27" ht="15" customHeight="1" x14ac:dyDescent="0.25">
      <c r="A1515" s="14">
        <v>695</v>
      </c>
      <c r="B1515" s="14">
        <v>695</v>
      </c>
      <c r="C1515" s="36">
        <v>-12269.922219</v>
      </c>
      <c r="D1515" s="16">
        <v>-12271.378226999999</v>
      </c>
      <c r="E1515" s="14"/>
      <c r="F1515" s="37">
        <v>0.99694799999999995</v>
      </c>
      <c r="G1515" s="16">
        <v>0.12487999999999901</v>
      </c>
      <c r="H1515" s="14">
        <v>6</v>
      </c>
      <c r="I1515" s="14">
        <v>7</v>
      </c>
      <c r="J1515" s="32"/>
      <c r="K1515" s="8">
        <f t="shared" si="161"/>
        <v>-0.76488823076942936</v>
      </c>
      <c r="L1515" s="8">
        <f t="shared" si="162"/>
        <v>-5.8837556213033028E-2</v>
      </c>
      <c r="M1515" s="8">
        <f t="shared" si="163"/>
        <v>-0.74463484615262132</v>
      </c>
      <c r="N1515" s="8">
        <f t="shared" si="164"/>
        <v>-5.727960355020164E-2</v>
      </c>
      <c r="O1515" s="8"/>
      <c r="P1515" t="s">
        <v>1802</v>
      </c>
      <c r="Q1515">
        <v>36</v>
      </c>
      <c r="R1515" s="8">
        <v>2.8289</v>
      </c>
      <c r="S1515">
        <v>9</v>
      </c>
      <c r="T1515" s="8">
        <f t="shared" si="165"/>
        <v>0.25</v>
      </c>
      <c r="U1515" s="8">
        <v>2.86151</v>
      </c>
      <c r="V1515">
        <v>22</v>
      </c>
      <c r="W1515" s="8">
        <f t="shared" si="166"/>
        <v>0.61111111111111116</v>
      </c>
      <c r="X1515" s="8">
        <v>2.8142200000000002</v>
      </c>
      <c r="Y1515">
        <v>5</v>
      </c>
      <c r="Z1515" s="8">
        <f t="shared" si="167"/>
        <v>0.1388888888888889</v>
      </c>
      <c r="AA1515" s="8">
        <v>2.8348</v>
      </c>
    </row>
    <row r="1516" spans="1:27" ht="15" customHeight="1" x14ac:dyDescent="0.25">
      <c r="A1516" s="14">
        <v>696</v>
      </c>
      <c r="B1516" s="14">
        <v>696</v>
      </c>
      <c r="C1516" s="36">
        <v>-12269.872798</v>
      </c>
      <c r="D1516" s="16">
        <v>-12271.251849</v>
      </c>
      <c r="E1516" s="14"/>
      <c r="F1516" s="37">
        <v>0.99738599999999999</v>
      </c>
      <c r="G1516" s="16">
        <v>0.12656999999999999</v>
      </c>
      <c r="H1516" s="14">
        <v>6</v>
      </c>
      <c r="I1516" s="14">
        <v>7</v>
      </c>
      <c r="J1516" s="32"/>
      <c r="K1516" s="8">
        <f t="shared" si="161"/>
        <v>-0.7154672307697183</v>
      </c>
      <c r="L1516" s="8">
        <f t="shared" si="162"/>
        <v>-5.5035940828439871E-2</v>
      </c>
      <c r="M1516" s="8">
        <f t="shared" si="163"/>
        <v>-0.61825684615359933</v>
      </c>
      <c r="N1516" s="8">
        <f t="shared" si="164"/>
        <v>-4.7558218934892253E-2</v>
      </c>
      <c r="O1516" s="8"/>
      <c r="P1516" t="s">
        <v>1803</v>
      </c>
      <c r="Q1516">
        <v>36</v>
      </c>
      <c r="R1516" s="8">
        <v>2.83575</v>
      </c>
      <c r="S1516">
        <v>9</v>
      </c>
      <c r="T1516" s="8">
        <f t="shared" si="165"/>
        <v>0.25</v>
      </c>
      <c r="U1516" s="8">
        <v>2.87873</v>
      </c>
      <c r="V1516">
        <v>22</v>
      </c>
      <c r="W1516" s="8">
        <f t="shared" si="166"/>
        <v>0.61111111111111116</v>
      </c>
      <c r="X1516" s="8">
        <v>2.8191799999999998</v>
      </c>
      <c r="Y1516">
        <v>5</v>
      </c>
      <c r="Z1516" s="8">
        <f t="shared" si="167"/>
        <v>0.1388888888888889</v>
      </c>
      <c r="AA1516" s="8">
        <v>2.8313000000000001</v>
      </c>
    </row>
    <row r="1517" spans="1:27" ht="15" customHeight="1" x14ac:dyDescent="0.25">
      <c r="A1517" s="14">
        <v>697</v>
      </c>
      <c r="B1517" s="14">
        <v>697</v>
      </c>
      <c r="C1517" s="36">
        <v>-12269.808720000001</v>
      </c>
      <c r="D1517" s="16">
        <v>-12271.283486</v>
      </c>
      <c r="E1517" s="14"/>
      <c r="F1517" s="37">
        <v>0.99163100000000004</v>
      </c>
      <c r="G1517" s="16">
        <v>0.16658999999999999</v>
      </c>
      <c r="H1517" s="14">
        <v>6</v>
      </c>
      <c r="I1517" s="14">
        <v>7</v>
      </c>
      <c r="J1517" s="32"/>
      <c r="K1517" s="8">
        <f t="shared" si="161"/>
        <v>-0.65138923077029176</v>
      </c>
      <c r="L1517" s="8">
        <f t="shared" si="162"/>
        <v>-5.0106863905407056E-2</v>
      </c>
      <c r="M1517" s="8">
        <f t="shared" si="163"/>
        <v>-0.64989384615364543</v>
      </c>
      <c r="N1517" s="8">
        <f t="shared" si="164"/>
        <v>-4.9991834319511187E-2</v>
      </c>
      <c r="O1517" s="8"/>
      <c r="P1517" t="s">
        <v>1804</v>
      </c>
      <c r="Q1517">
        <v>35</v>
      </c>
      <c r="R1517" s="8">
        <v>2.82742</v>
      </c>
      <c r="S1517">
        <v>9</v>
      </c>
      <c r="T1517" s="8">
        <f t="shared" si="165"/>
        <v>0.25714285714285712</v>
      </c>
      <c r="U1517" s="8">
        <v>2.9301200000000001</v>
      </c>
      <c r="V1517">
        <v>22</v>
      </c>
      <c r="W1517" s="8">
        <f t="shared" si="166"/>
        <v>0.62857142857142856</v>
      </c>
      <c r="X1517" s="8">
        <v>2.77569</v>
      </c>
      <c r="Y1517">
        <v>4</v>
      </c>
      <c r="Z1517" s="8">
        <f t="shared" si="167"/>
        <v>0.11428571428571428</v>
      </c>
      <c r="AA1517" s="8">
        <v>2.8808699999999998</v>
      </c>
    </row>
    <row r="1518" spans="1:27" ht="15" customHeight="1" x14ac:dyDescent="0.25">
      <c r="A1518" s="14">
        <v>698</v>
      </c>
      <c r="B1518" s="14">
        <v>698</v>
      </c>
      <c r="C1518" s="36">
        <v>-12269.601085</v>
      </c>
      <c r="D1518" s="16">
        <v>-12271.319965999999</v>
      </c>
      <c r="E1518" s="14"/>
      <c r="F1518" s="37">
        <v>0.99611099999999997</v>
      </c>
      <c r="G1518" s="16">
        <v>0.186579999999999</v>
      </c>
      <c r="H1518" s="14">
        <v>6</v>
      </c>
      <c r="I1518" s="14">
        <v>7</v>
      </c>
      <c r="J1518" s="32"/>
      <c r="K1518" s="8">
        <f t="shared" si="161"/>
        <v>-0.44375423076962761</v>
      </c>
      <c r="L1518" s="8">
        <f t="shared" si="162"/>
        <v>-3.4134940828432894E-2</v>
      </c>
      <c r="M1518" s="8">
        <f t="shared" si="163"/>
        <v>-0.68637384615249175</v>
      </c>
      <c r="N1518" s="8">
        <f t="shared" si="164"/>
        <v>-5.2797988165576286E-2</v>
      </c>
      <c r="O1518" s="8"/>
      <c r="P1518" t="s">
        <v>1805</v>
      </c>
      <c r="Q1518">
        <v>35</v>
      </c>
      <c r="R1518" s="8">
        <v>2.82382</v>
      </c>
      <c r="S1518">
        <v>10</v>
      </c>
      <c r="T1518" s="8">
        <f t="shared" si="165"/>
        <v>0.2857142857142857</v>
      </c>
      <c r="U1518" s="8">
        <v>2.8443200000000002</v>
      </c>
      <c r="V1518">
        <v>19</v>
      </c>
      <c r="W1518" s="8">
        <f t="shared" si="166"/>
        <v>0.54285714285714282</v>
      </c>
      <c r="X1518" s="8">
        <v>2.80572</v>
      </c>
      <c r="Y1518">
        <v>6</v>
      </c>
      <c r="Z1518" s="8">
        <f t="shared" si="167"/>
        <v>0.17142857142857143</v>
      </c>
      <c r="AA1518" s="8">
        <v>2.8469600000000002</v>
      </c>
    </row>
    <row r="1519" spans="1:27" ht="15" customHeight="1" x14ac:dyDescent="0.25">
      <c r="A1519" s="14">
        <v>699</v>
      </c>
      <c r="B1519" s="14">
        <v>699</v>
      </c>
      <c r="C1519" s="36">
        <v>-12269.717965</v>
      </c>
      <c r="D1519" s="16">
        <v>-12271.466307000001</v>
      </c>
      <c r="E1519" s="14"/>
      <c r="F1519" s="37">
        <v>0.99527600000000005</v>
      </c>
      <c r="G1519" s="16">
        <v>0.18154000000000001</v>
      </c>
      <c r="H1519" s="14">
        <v>6</v>
      </c>
      <c r="I1519" s="14">
        <v>7</v>
      </c>
      <c r="J1519" s="32"/>
      <c r="K1519" s="8">
        <f t="shared" si="161"/>
        <v>-0.56063423076921026</v>
      </c>
      <c r="L1519" s="8">
        <f t="shared" si="162"/>
        <v>-4.3125710059170021E-2</v>
      </c>
      <c r="M1519" s="8">
        <f t="shared" si="163"/>
        <v>-0.8327148461539764</v>
      </c>
      <c r="N1519" s="8">
        <f t="shared" si="164"/>
        <v>-6.4054988165690496E-2</v>
      </c>
      <c r="O1519" s="8"/>
      <c r="P1519" t="s">
        <v>1806</v>
      </c>
      <c r="Q1519">
        <v>36</v>
      </c>
      <c r="R1519" s="8">
        <v>2.8359999999999999</v>
      </c>
      <c r="S1519">
        <v>11</v>
      </c>
      <c r="T1519" s="8">
        <f t="shared" si="165"/>
        <v>0.30555555555555558</v>
      </c>
      <c r="U1519" s="8">
        <v>2.89601</v>
      </c>
      <c r="V1519">
        <v>20</v>
      </c>
      <c r="W1519" s="8">
        <f t="shared" si="166"/>
        <v>0.55555555555555558</v>
      </c>
      <c r="X1519" s="8">
        <v>2.7953100000000002</v>
      </c>
      <c r="Y1519">
        <v>5</v>
      </c>
      <c r="Z1519" s="8">
        <f t="shared" si="167"/>
        <v>0.1388888888888889</v>
      </c>
      <c r="AA1519" s="8">
        <v>2.8667199999999999</v>
      </c>
    </row>
    <row r="1520" spans="1:27" ht="15" customHeight="1" x14ac:dyDescent="0.25">
      <c r="A1520" s="14">
        <v>700</v>
      </c>
      <c r="B1520" s="14">
        <v>700</v>
      </c>
      <c r="C1520" s="36">
        <v>-12269.406779000001</v>
      </c>
      <c r="D1520" s="16">
        <v>-12270.868225</v>
      </c>
      <c r="E1520" s="14"/>
      <c r="F1520" s="37">
        <v>0.99189899999999998</v>
      </c>
      <c r="G1520" s="16">
        <v>0.16733999999999899</v>
      </c>
      <c r="H1520" s="14">
        <v>6</v>
      </c>
      <c r="I1520" s="14">
        <v>7</v>
      </c>
      <c r="J1520" s="32"/>
      <c r="K1520" s="8">
        <f t="shared" si="161"/>
        <v>-0.24944823077021283</v>
      </c>
      <c r="L1520" s="8">
        <f t="shared" si="162"/>
        <v>-1.9188325443862526E-2</v>
      </c>
      <c r="M1520" s="8">
        <f t="shared" si="163"/>
        <v>-0.23463284615354496</v>
      </c>
      <c r="N1520" s="8">
        <f t="shared" si="164"/>
        <v>-1.8048680473349614E-2</v>
      </c>
      <c r="O1520" s="8"/>
      <c r="P1520" t="s">
        <v>1807</v>
      </c>
      <c r="Q1520">
        <v>36</v>
      </c>
      <c r="R1520" s="8">
        <v>2.8333300000000001</v>
      </c>
      <c r="S1520">
        <v>14</v>
      </c>
      <c r="T1520" s="8">
        <f t="shared" si="165"/>
        <v>0.3888888888888889</v>
      </c>
      <c r="U1520" s="8">
        <v>2.8767800000000001</v>
      </c>
      <c r="V1520">
        <v>16</v>
      </c>
      <c r="W1520" s="8">
        <f t="shared" si="166"/>
        <v>0.44444444444444442</v>
      </c>
      <c r="X1520" s="8">
        <v>2.7835800000000002</v>
      </c>
      <c r="Y1520">
        <v>6</v>
      </c>
      <c r="Z1520" s="8">
        <f t="shared" si="167"/>
        <v>0.16666666666666666</v>
      </c>
      <c r="AA1520" s="8">
        <v>2.86463</v>
      </c>
    </row>
    <row r="1521" spans="1:27" ht="15" customHeight="1" x14ac:dyDescent="0.25">
      <c r="A1521" s="14">
        <v>701</v>
      </c>
      <c r="B1521" s="14">
        <v>701</v>
      </c>
      <c r="C1521" s="36">
        <v>-12269.930426999999</v>
      </c>
      <c r="D1521" s="16">
        <v>-12271.92988</v>
      </c>
      <c r="E1521" s="14"/>
      <c r="F1521" s="37">
        <v>0.99113899999999999</v>
      </c>
      <c r="G1521" s="16">
        <v>0.161829999999999</v>
      </c>
      <c r="H1521" s="14">
        <v>6</v>
      </c>
      <c r="I1521" s="14">
        <v>7</v>
      </c>
      <c r="J1521" s="32"/>
      <c r="K1521" s="8">
        <f t="shared" si="161"/>
        <v>-0.77309623076871503</v>
      </c>
      <c r="L1521" s="8">
        <f t="shared" si="162"/>
        <v>-5.9468940828362696E-2</v>
      </c>
      <c r="M1521" s="8">
        <f t="shared" si="163"/>
        <v>-1.2962878461530636</v>
      </c>
      <c r="N1521" s="8">
        <f t="shared" si="164"/>
        <v>-9.9714449704081817E-2</v>
      </c>
      <c r="O1521" s="8"/>
      <c r="P1521" t="s">
        <v>1808</v>
      </c>
      <c r="Q1521">
        <v>35</v>
      </c>
      <c r="R1521" s="8">
        <v>2.8226200000000001</v>
      </c>
      <c r="S1521">
        <v>9</v>
      </c>
      <c r="T1521" s="8">
        <f t="shared" si="165"/>
        <v>0.25714285714285712</v>
      </c>
      <c r="U1521" s="8">
        <v>2.8341400000000001</v>
      </c>
      <c r="V1521">
        <v>20</v>
      </c>
      <c r="W1521" s="8">
        <f t="shared" si="166"/>
        <v>0.5714285714285714</v>
      </c>
      <c r="X1521" s="8">
        <v>2.8222900000000002</v>
      </c>
      <c r="Y1521">
        <v>6</v>
      </c>
      <c r="Z1521" s="8">
        <f t="shared" si="167"/>
        <v>0.17142857142857143</v>
      </c>
      <c r="AA1521" s="8">
        <v>2.80646</v>
      </c>
    </row>
    <row r="1522" spans="1:27" ht="15" customHeight="1" x14ac:dyDescent="0.25">
      <c r="A1522" s="14">
        <v>702</v>
      </c>
      <c r="B1522" s="14">
        <v>702</v>
      </c>
      <c r="C1522" s="36">
        <v>-12270.027149</v>
      </c>
      <c r="D1522" s="16">
        <v>-12272.110962000001</v>
      </c>
      <c r="E1522" s="14"/>
      <c r="F1522" s="37">
        <v>0.998942</v>
      </c>
      <c r="G1522" s="16">
        <v>0.22670999999999999</v>
      </c>
      <c r="H1522" s="14">
        <v>6</v>
      </c>
      <c r="I1522" s="14">
        <v>7</v>
      </c>
      <c r="J1522" s="32"/>
      <c r="K1522" s="8">
        <f t="shared" si="161"/>
        <v>-0.86981823076894216</v>
      </c>
      <c r="L1522" s="8">
        <f t="shared" si="162"/>
        <v>-6.6909094674534014E-2</v>
      </c>
      <c r="M1522" s="8">
        <f t="shared" si="163"/>
        <v>-1.4773698461540334</v>
      </c>
      <c r="N1522" s="8">
        <f t="shared" si="164"/>
        <v>-0.11364383431954103</v>
      </c>
      <c r="O1522" s="8"/>
      <c r="P1522" t="s">
        <v>1809</v>
      </c>
      <c r="Q1522">
        <v>35</v>
      </c>
      <c r="R1522" s="8">
        <v>2.8271799999999998</v>
      </c>
      <c r="S1522">
        <v>8</v>
      </c>
      <c r="T1522" s="8">
        <f t="shared" si="165"/>
        <v>0.22857142857142856</v>
      </c>
      <c r="U1522" s="8">
        <v>2.8809399999999998</v>
      </c>
      <c r="V1522">
        <v>22</v>
      </c>
      <c r="W1522" s="8">
        <f t="shared" si="166"/>
        <v>0.62857142857142856</v>
      </c>
      <c r="X1522" s="8">
        <v>2.8012999999999999</v>
      </c>
      <c r="Y1522">
        <v>5</v>
      </c>
      <c r="Z1522" s="8">
        <f t="shared" si="167"/>
        <v>0.14285714285714285</v>
      </c>
      <c r="AA1522" s="8">
        <v>2.8550599999999999</v>
      </c>
    </row>
    <row r="1523" spans="1:27" ht="15" customHeight="1" x14ac:dyDescent="0.25">
      <c r="A1523" s="14">
        <v>703</v>
      </c>
      <c r="B1523" s="14">
        <v>703</v>
      </c>
      <c r="C1523" s="36">
        <v>-12269.677438999999</v>
      </c>
      <c r="D1523" s="16">
        <v>-12271.394487</v>
      </c>
      <c r="E1523" s="14"/>
      <c r="F1523" s="37">
        <v>0.99466100000000002</v>
      </c>
      <c r="G1523" s="16">
        <v>0.17976</v>
      </c>
      <c r="H1523" s="14">
        <v>6</v>
      </c>
      <c r="I1523" s="14">
        <v>7</v>
      </c>
      <c r="J1523" s="32"/>
      <c r="K1523" s="8">
        <f t="shared" si="161"/>
        <v>-0.5201082307685283</v>
      </c>
      <c r="L1523" s="8">
        <f t="shared" si="162"/>
        <v>-4.0008325443732944E-2</v>
      </c>
      <c r="M1523" s="8">
        <f t="shared" si="163"/>
        <v>-0.76089484615295078</v>
      </c>
      <c r="N1523" s="8">
        <f t="shared" si="164"/>
        <v>-5.8530372780996216E-2</v>
      </c>
      <c r="O1523" s="8"/>
      <c r="P1523" t="s">
        <v>1810</v>
      </c>
      <c r="Q1523">
        <v>36</v>
      </c>
      <c r="R1523" s="8">
        <v>2.83514</v>
      </c>
      <c r="S1523">
        <v>12</v>
      </c>
      <c r="T1523" s="8">
        <f t="shared" si="165"/>
        <v>0.33333333333333331</v>
      </c>
      <c r="U1523" s="8">
        <v>2.8464399999999999</v>
      </c>
      <c r="V1523">
        <v>17</v>
      </c>
      <c r="W1523" s="8">
        <f t="shared" si="166"/>
        <v>0.47222222222222221</v>
      </c>
      <c r="X1523" s="8">
        <v>2.83432</v>
      </c>
      <c r="Y1523">
        <v>7</v>
      </c>
      <c r="Z1523" s="8">
        <f t="shared" si="167"/>
        <v>0.19444444444444445</v>
      </c>
      <c r="AA1523" s="8">
        <v>2.81778</v>
      </c>
    </row>
    <row r="1524" spans="1:27" ht="15" customHeight="1" x14ac:dyDescent="0.25">
      <c r="A1524" s="14">
        <v>704</v>
      </c>
      <c r="B1524" s="14">
        <v>704</v>
      </c>
      <c r="C1524" s="36">
        <v>-12269.808408000001</v>
      </c>
      <c r="D1524" s="16">
        <v>-12271.787377000001</v>
      </c>
      <c r="E1524" s="14"/>
      <c r="F1524" s="37">
        <v>0.99519100000000005</v>
      </c>
      <c r="G1524" s="16">
        <v>0.17585000000000001</v>
      </c>
      <c r="H1524" s="14">
        <v>6</v>
      </c>
      <c r="I1524" s="14">
        <v>7</v>
      </c>
      <c r="J1524" s="32"/>
      <c r="K1524" s="8">
        <f t="shared" si="161"/>
        <v>-0.65107723077016999</v>
      </c>
      <c r="L1524" s="8">
        <f t="shared" si="162"/>
        <v>-5.0082863905397693E-2</v>
      </c>
      <c r="M1524" s="8">
        <f t="shared" si="163"/>
        <v>-1.1537848461539397</v>
      </c>
      <c r="N1524" s="8">
        <f t="shared" si="164"/>
        <v>-8.8752680473379975E-2</v>
      </c>
      <c r="O1524" s="8"/>
      <c r="P1524" t="s">
        <v>1811</v>
      </c>
      <c r="Q1524">
        <v>36</v>
      </c>
      <c r="R1524" s="8">
        <v>2.8356400000000002</v>
      </c>
      <c r="S1524">
        <v>11</v>
      </c>
      <c r="T1524" s="8">
        <f t="shared" si="165"/>
        <v>0.30555555555555558</v>
      </c>
      <c r="U1524" s="8">
        <v>2.8488199999999999</v>
      </c>
      <c r="V1524">
        <v>19</v>
      </c>
      <c r="W1524" s="8">
        <f t="shared" si="166"/>
        <v>0.52777777777777779</v>
      </c>
      <c r="X1524" s="8">
        <v>2.8266399999999998</v>
      </c>
      <c r="Y1524">
        <v>6</v>
      </c>
      <c r="Z1524" s="8">
        <f t="shared" si="167"/>
        <v>0.16666666666666666</v>
      </c>
      <c r="AA1524" s="8">
        <v>2.84</v>
      </c>
    </row>
    <row r="1525" spans="1:27" ht="15" customHeight="1" x14ac:dyDescent="0.25">
      <c r="A1525" s="14">
        <v>705</v>
      </c>
      <c r="B1525" s="14">
        <v>705</v>
      </c>
      <c r="C1525" s="36">
        <v>-12270.0805</v>
      </c>
      <c r="D1525" s="16">
        <v>-12272.116846999999</v>
      </c>
      <c r="E1525" s="14"/>
      <c r="F1525" s="37">
        <v>0.99908300000000005</v>
      </c>
      <c r="G1525" s="16">
        <v>0.23005</v>
      </c>
      <c r="H1525" s="14">
        <v>6</v>
      </c>
      <c r="I1525" s="14">
        <v>7</v>
      </c>
      <c r="J1525" s="32"/>
      <c r="K1525" s="8">
        <f t="shared" si="161"/>
        <v>-0.92316923076941748</v>
      </c>
      <c r="L1525" s="8">
        <f t="shared" si="162"/>
        <v>-7.1013017751493657E-2</v>
      </c>
      <c r="M1525" s="8">
        <f t="shared" si="163"/>
        <v>-1.483254846152704</v>
      </c>
      <c r="N1525" s="8">
        <f t="shared" si="164"/>
        <v>-0.11409652662713107</v>
      </c>
      <c r="O1525" s="8"/>
      <c r="P1525" t="s">
        <v>1812</v>
      </c>
      <c r="Q1525">
        <v>35</v>
      </c>
      <c r="R1525" s="8">
        <v>2.8256199999999998</v>
      </c>
      <c r="S1525">
        <v>8</v>
      </c>
      <c r="T1525" s="8">
        <f t="shared" si="165"/>
        <v>0.22857142857142856</v>
      </c>
      <c r="U1525" s="8">
        <v>2.8622899999999998</v>
      </c>
      <c r="V1525">
        <v>22</v>
      </c>
      <c r="W1525" s="8">
        <f t="shared" si="166"/>
        <v>0.62857142857142856</v>
      </c>
      <c r="X1525" s="8">
        <v>2.8130999999999999</v>
      </c>
      <c r="Y1525">
        <v>5</v>
      </c>
      <c r="Z1525" s="8">
        <f t="shared" si="167"/>
        <v>0.14285714285714285</v>
      </c>
      <c r="AA1525" s="8">
        <v>2.82206</v>
      </c>
    </row>
    <row r="1526" spans="1:27" ht="15" customHeight="1" x14ac:dyDescent="0.25">
      <c r="A1526" s="14">
        <v>706</v>
      </c>
      <c r="B1526" s="14">
        <v>706</v>
      </c>
      <c r="C1526" s="36">
        <v>-12269.562934</v>
      </c>
      <c r="D1526" s="16">
        <v>-12271.696297</v>
      </c>
      <c r="E1526" s="14"/>
      <c r="F1526" s="37">
        <v>0.99369399999999997</v>
      </c>
      <c r="G1526" s="16">
        <v>0.17125000000000001</v>
      </c>
      <c r="H1526" s="14">
        <v>6</v>
      </c>
      <c r="I1526" s="14">
        <v>7</v>
      </c>
      <c r="J1526" s="32"/>
      <c r="K1526" s="8">
        <f t="shared" si="161"/>
        <v>-0.40560323076897475</v>
      </c>
      <c r="L1526" s="8">
        <f t="shared" si="162"/>
        <v>-3.1200248520690366E-2</v>
      </c>
      <c r="M1526" s="8">
        <f t="shared" si="163"/>
        <v>-1.0627048461537925</v>
      </c>
      <c r="N1526" s="8">
        <f t="shared" si="164"/>
        <v>-8.1746526627214808E-2</v>
      </c>
      <c r="O1526" s="8"/>
      <c r="P1526" t="s">
        <v>1813</v>
      </c>
      <c r="Q1526">
        <v>35</v>
      </c>
      <c r="R1526" s="8">
        <v>2.82463</v>
      </c>
      <c r="S1526">
        <v>12</v>
      </c>
      <c r="T1526" s="8">
        <f t="shared" si="165"/>
        <v>0.34285714285714286</v>
      </c>
      <c r="U1526" s="8">
        <v>2.8216299999999999</v>
      </c>
      <c r="V1526">
        <v>15</v>
      </c>
      <c r="W1526" s="8">
        <f t="shared" si="166"/>
        <v>0.42857142857142855</v>
      </c>
      <c r="X1526" s="8">
        <v>2.8371300000000002</v>
      </c>
      <c r="Y1526">
        <v>8</v>
      </c>
      <c r="Z1526" s="8">
        <f t="shared" si="167"/>
        <v>0.22857142857142856</v>
      </c>
      <c r="AA1526" s="8">
        <v>2.8057099999999999</v>
      </c>
    </row>
    <row r="1527" spans="1:27" ht="15" customHeight="1" x14ac:dyDescent="0.25">
      <c r="A1527" s="14">
        <v>707</v>
      </c>
      <c r="B1527" s="14">
        <v>707</v>
      </c>
      <c r="C1527" s="36">
        <v>-12269.935006</v>
      </c>
      <c r="D1527" s="16">
        <v>-12272.085682999999</v>
      </c>
      <c r="E1527" s="14"/>
      <c r="F1527" s="37">
        <v>0.99104400000000004</v>
      </c>
      <c r="G1527" s="16">
        <v>0.16278999999999999</v>
      </c>
      <c r="H1527" s="14">
        <v>6</v>
      </c>
      <c r="I1527" s="14">
        <v>7</v>
      </c>
      <c r="J1527" s="32"/>
      <c r="K1527" s="8">
        <f t="shared" si="161"/>
        <v>-0.77767523076909129</v>
      </c>
      <c r="L1527" s="8">
        <f t="shared" si="162"/>
        <v>-5.9821171597622409E-2</v>
      </c>
      <c r="M1527" s="8">
        <f t="shared" si="163"/>
        <v>-1.4520908461527142</v>
      </c>
      <c r="N1527" s="8">
        <f t="shared" si="164"/>
        <v>-0.11169929585790109</v>
      </c>
      <c r="O1527" s="8"/>
      <c r="P1527" t="s">
        <v>1814</v>
      </c>
      <c r="Q1527">
        <v>35</v>
      </c>
      <c r="R1527" s="8">
        <v>2.8256600000000001</v>
      </c>
      <c r="S1527">
        <v>9</v>
      </c>
      <c r="T1527" s="8">
        <f t="shared" si="165"/>
        <v>0.25714285714285712</v>
      </c>
      <c r="U1527" s="8">
        <v>2.8430599999999999</v>
      </c>
      <c r="V1527">
        <v>21</v>
      </c>
      <c r="W1527" s="8">
        <f t="shared" si="166"/>
        <v>0.6</v>
      </c>
      <c r="X1527" s="8">
        <v>2.8112900000000001</v>
      </c>
      <c r="Y1527">
        <v>5</v>
      </c>
      <c r="Z1527" s="8">
        <f t="shared" si="167"/>
        <v>0.14285714285714285</v>
      </c>
      <c r="AA1527" s="8">
        <v>2.8546900000000002</v>
      </c>
    </row>
    <row r="1528" spans="1:27" ht="15" customHeight="1" x14ac:dyDescent="0.25">
      <c r="A1528" s="14">
        <v>708</v>
      </c>
      <c r="B1528" s="14">
        <v>708</v>
      </c>
      <c r="C1528" s="36">
        <v>-12269.793</v>
      </c>
      <c r="D1528" s="16">
        <v>-12271.555077000001</v>
      </c>
      <c r="E1528" s="14"/>
      <c r="F1528" s="37">
        <v>0.99080900000000005</v>
      </c>
      <c r="G1528" s="16">
        <v>0.16131000000000001</v>
      </c>
      <c r="H1528" s="14">
        <v>6</v>
      </c>
      <c r="I1528" s="14">
        <v>7</v>
      </c>
      <c r="J1528" s="32"/>
      <c r="K1528" s="8">
        <f t="shared" si="161"/>
        <v>-0.63566923076905368</v>
      </c>
      <c r="L1528" s="8">
        <f t="shared" si="162"/>
        <v>-4.8897633136081052E-2</v>
      </c>
      <c r="M1528" s="8">
        <f t="shared" si="163"/>
        <v>-0.92148484615427151</v>
      </c>
      <c r="N1528" s="8">
        <f t="shared" si="164"/>
        <v>-7.0883449704174734E-2</v>
      </c>
      <c r="O1528" s="8"/>
      <c r="P1528" t="s">
        <v>1815</v>
      </c>
      <c r="Q1528">
        <v>36</v>
      </c>
      <c r="R1528" s="8">
        <v>2.83507</v>
      </c>
      <c r="S1528">
        <v>10</v>
      </c>
      <c r="T1528" s="8">
        <f t="shared" si="165"/>
        <v>0.27777777777777779</v>
      </c>
      <c r="U1528" s="8">
        <v>2.8851200000000001</v>
      </c>
      <c r="V1528">
        <v>21</v>
      </c>
      <c r="W1528" s="8">
        <f t="shared" si="166"/>
        <v>0.58333333333333337</v>
      </c>
      <c r="X1528" s="8">
        <v>2.8119800000000001</v>
      </c>
      <c r="Y1528">
        <v>5</v>
      </c>
      <c r="Z1528" s="8">
        <f t="shared" si="167"/>
        <v>0.1388888888888889</v>
      </c>
      <c r="AA1528" s="8">
        <v>2.8319200000000002</v>
      </c>
    </row>
    <row r="1529" spans="1:27" ht="15" customHeight="1" x14ac:dyDescent="0.25">
      <c r="A1529" s="14">
        <v>709</v>
      </c>
      <c r="B1529" s="14">
        <v>709</v>
      </c>
      <c r="C1529" s="36">
        <v>-12269.932722</v>
      </c>
      <c r="D1529" s="16">
        <v>-12271.60563</v>
      </c>
      <c r="E1529" s="14"/>
      <c r="F1529" s="37">
        <v>0.99446199999999996</v>
      </c>
      <c r="G1529" s="16">
        <v>0.17860999999999899</v>
      </c>
      <c r="H1529" s="14">
        <v>6</v>
      </c>
      <c r="I1529" s="14">
        <v>7</v>
      </c>
      <c r="J1529" s="32"/>
      <c r="K1529" s="8">
        <f t="shared" si="161"/>
        <v>-0.77539123076894612</v>
      </c>
      <c r="L1529" s="8">
        <f t="shared" si="162"/>
        <v>-5.964547928991893E-2</v>
      </c>
      <c r="M1529" s="8">
        <f t="shared" si="163"/>
        <v>-0.97203784615339828</v>
      </c>
      <c r="N1529" s="8">
        <f t="shared" si="164"/>
        <v>-7.4772142011799866E-2</v>
      </c>
      <c r="O1529" s="8"/>
      <c r="P1529" t="s">
        <v>1816</v>
      </c>
      <c r="Q1529">
        <v>35</v>
      </c>
      <c r="R1529" s="8">
        <v>2.8308800000000001</v>
      </c>
      <c r="S1529">
        <v>10</v>
      </c>
      <c r="T1529" s="8">
        <f t="shared" si="165"/>
        <v>0.2857142857142857</v>
      </c>
      <c r="U1529" s="8">
        <v>2.9219400000000002</v>
      </c>
      <c r="V1529">
        <v>21</v>
      </c>
      <c r="W1529" s="8">
        <f t="shared" si="166"/>
        <v>0.6</v>
      </c>
      <c r="X1529" s="8">
        <v>2.78485</v>
      </c>
      <c r="Y1529">
        <v>4</v>
      </c>
      <c r="Z1529" s="8">
        <f t="shared" si="167"/>
        <v>0.11428571428571428</v>
      </c>
      <c r="AA1529" s="8">
        <v>2.8449300000000002</v>
      </c>
    </row>
    <row r="1530" spans="1:27" ht="15" customHeight="1" x14ac:dyDescent="0.25">
      <c r="A1530" s="14">
        <v>710</v>
      </c>
      <c r="B1530" s="14">
        <v>710</v>
      </c>
      <c r="C1530" s="36">
        <v>-12269.567604</v>
      </c>
      <c r="D1530" s="16">
        <v>-12271.318735999999</v>
      </c>
      <c r="E1530" s="14"/>
      <c r="F1530" s="37">
        <v>0.99137699999999995</v>
      </c>
      <c r="G1530" s="16">
        <v>0.165069999999999</v>
      </c>
      <c r="H1530" s="14">
        <v>6</v>
      </c>
      <c r="I1530" s="14">
        <v>7</v>
      </c>
      <c r="J1530" s="32"/>
      <c r="K1530" s="8">
        <f t="shared" si="161"/>
        <v>-0.41027323076923494</v>
      </c>
      <c r="L1530" s="8">
        <f t="shared" si="162"/>
        <v>-3.1559479289941149E-2</v>
      </c>
      <c r="M1530" s="8">
        <f t="shared" si="163"/>
        <v>-0.68514384615264134</v>
      </c>
      <c r="N1530" s="8">
        <f t="shared" si="164"/>
        <v>-5.270337278097241E-2</v>
      </c>
      <c r="O1530" s="8"/>
      <c r="P1530" t="s">
        <v>1817</v>
      </c>
      <c r="Q1530">
        <v>34</v>
      </c>
      <c r="R1530" s="8">
        <v>2.8172199999999998</v>
      </c>
      <c r="S1530">
        <v>11</v>
      </c>
      <c r="T1530" s="8">
        <f t="shared" si="165"/>
        <v>0.3235294117647059</v>
      </c>
      <c r="U1530" s="8">
        <v>2.8401000000000001</v>
      </c>
      <c r="V1530">
        <v>18</v>
      </c>
      <c r="W1530" s="8">
        <f t="shared" si="166"/>
        <v>0.52941176470588236</v>
      </c>
      <c r="X1530" s="8">
        <v>2.79949</v>
      </c>
      <c r="Y1530">
        <v>5</v>
      </c>
      <c r="Z1530" s="8">
        <f t="shared" si="167"/>
        <v>0.14705882352941177</v>
      </c>
      <c r="AA1530" s="8">
        <v>2.8307199999999999</v>
      </c>
    </row>
    <row r="1531" spans="1:27" ht="15" customHeight="1" x14ac:dyDescent="0.25">
      <c r="A1531" s="14">
        <v>711</v>
      </c>
      <c r="B1531" s="14">
        <v>711</v>
      </c>
      <c r="C1531" s="36">
        <v>-12270.169092</v>
      </c>
      <c r="D1531" s="16">
        <v>-12271.955067999999</v>
      </c>
      <c r="E1531" s="14"/>
      <c r="F1531" s="37">
        <v>0.99720699999999995</v>
      </c>
      <c r="G1531" s="16">
        <v>0.20133000000000001</v>
      </c>
      <c r="H1531" s="14">
        <v>6</v>
      </c>
      <c r="I1531" s="14">
        <v>7</v>
      </c>
      <c r="J1531" s="32"/>
      <c r="K1531" s="8">
        <f t="shared" si="161"/>
        <v>-1.0117612307694799</v>
      </c>
      <c r="L1531" s="8">
        <f t="shared" si="162"/>
        <v>-7.782778698226768E-2</v>
      </c>
      <c r="M1531" s="8">
        <f t="shared" si="163"/>
        <v>-1.3214758461526799</v>
      </c>
      <c r="N1531" s="8">
        <f t="shared" si="164"/>
        <v>-0.10165198816559076</v>
      </c>
      <c r="O1531" s="8"/>
      <c r="P1531" t="s">
        <v>1818</v>
      </c>
      <c r="Q1531">
        <v>35</v>
      </c>
      <c r="R1531" s="8">
        <v>2.8228300000000002</v>
      </c>
      <c r="S1531">
        <v>8</v>
      </c>
      <c r="T1531" s="8">
        <f t="shared" si="165"/>
        <v>0.22857142857142856</v>
      </c>
      <c r="U1531" s="8">
        <v>2.8429000000000002</v>
      </c>
      <c r="V1531">
        <v>22</v>
      </c>
      <c r="W1531" s="8">
        <f t="shared" si="166"/>
        <v>0.62857142857142856</v>
      </c>
      <c r="X1531" s="8">
        <v>2.8143600000000002</v>
      </c>
      <c r="Y1531">
        <v>5</v>
      </c>
      <c r="Z1531" s="8">
        <f t="shared" si="167"/>
        <v>0.14285714285714285</v>
      </c>
      <c r="AA1531" s="8">
        <v>2.8279700000000001</v>
      </c>
    </row>
    <row r="1532" spans="1:27" ht="15" customHeight="1" x14ac:dyDescent="0.25">
      <c r="A1532" s="14">
        <v>712</v>
      </c>
      <c r="B1532" s="14">
        <v>712</v>
      </c>
      <c r="C1532" s="36">
        <v>-12269.808913999999</v>
      </c>
      <c r="D1532" s="16">
        <v>-12271.769322</v>
      </c>
      <c r="E1532" s="14"/>
      <c r="F1532" s="37">
        <v>0.99907699999999999</v>
      </c>
      <c r="G1532" s="16">
        <v>0.239539999999999</v>
      </c>
      <c r="H1532" s="14">
        <v>6</v>
      </c>
      <c r="I1532" s="14">
        <v>7</v>
      </c>
      <c r="J1532" s="32"/>
      <c r="K1532" s="8">
        <f t="shared" si="161"/>
        <v>-0.65158323076866509</v>
      </c>
      <c r="L1532" s="8">
        <f t="shared" si="162"/>
        <v>-5.0121786982205006E-2</v>
      </c>
      <c r="M1532" s="8">
        <f t="shared" si="163"/>
        <v>-1.135729846153481</v>
      </c>
      <c r="N1532" s="8">
        <f t="shared" si="164"/>
        <v>-8.736383431949854E-2</v>
      </c>
      <c r="O1532" s="8"/>
      <c r="P1532" t="s">
        <v>1819</v>
      </c>
      <c r="Q1532">
        <v>36</v>
      </c>
      <c r="R1532" s="8">
        <v>2.8362400000000001</v>
      </c>
      <c r="S1532">
        <v>11</v>
      </c>
      <c r="T1532" s="8">
        <f t="shared" si="165"/>
        <v>0.30555555555555558</v>
      </c>
      <c r="U1532" s="8">
        <v>2.85365</v>
      </c>
      <c r="V1532">
        <v>19</v>
      </c>
      <c r="W1532" s="8">
        <f t="shared" si="166"/>
        <v>0.52777777777777779</v>
      </c>
      <c r="X1532" s="8">
        <v>2.8282799999999999</v>
      </c>
      <c r="Y1532">
        <v>6</v>
      </c>
      <c r="Z1532" s="8">
        <f t="shared" si="167"/>
        <v>0.16666666666666666</v>
      </c>
      <c r="AA1532" s="8">
        <v>2.82951</v>
      </c>
    </row>
    <row r="1533" spans="1:27" ht="15" customHeight="1" x14ac:dyDescent="0.25">
      <c r="A1533" s="14">
        <v>713</v>
      </c>
      <c r="B1533" s="14">
        <v>713</v>
      </c>
      <c r="C1533" s="36">
        <v>-12269.926627999999</v>
      </c>
      <c r="D1533" s="16">
        <v>-12271.647442</v>
      </c>
      <c r="E1533" s="14"/>
      <c r="F1533" s="37">
        <v>0.99445099999999997</v>
      </c>
      <c r="G1533" s="16">
        <v>0.174539999999999</v>
      </c>
      <c r="H1533" s="14">
        <v>6</v>
      </c>
      <c r="I1533" s="14">
        <v>7</v>
      </c>
      <c r="J1533" s="32"/>
      <c r="K1533" s="8">
        <f t="shared" si="161"/>
        <v>-0.7692972307686432</v>
      </c>
      <c r="L1533" s="8">
        <f t="shared" si="162"/>
        <v>-5.9176710059126399E-2</v>
      </c>
      <c r="M1533" s="8">
        <f t="shared" si="163"/>
        <v>-1.0138498461528798</v>
      </c>
      <c r="N1533" s="8">
        <f t="shared" si="164"/>
        <v>-7.7988449704067681E-2</v>
      </c>
      <c r="O1533" s="8"/>
      <c r="P1533" t="s">
        <v>1820</v>
      </c>
      <c r="Q1533">
        <v>36</v>
      </c>
      <c r="R1533" s="8">
        <v>2.8340200000000002</v>
      </c>
      <c r="S1533">
        <v>10</v>
      </c>
      <c r="T1533" s="8">
        <f t="shared" si="165"/>
        <v>0.27777777777777779</v>
      </c>
      <c r="U1533" s="8">
        <v>2.8682500000000002</v>
      </c>
      <c r="V1533">
        <v>21</v>
      </c>
      <c r="W1533" s="8">
        <f t="shared" si="166"/>
        <v>0.58333333333333337</v>
      </c>
      <c r="X1533" s="8">
        <v>2.8100800000000001</v>
      </c>
      <c r="Y1533">
        <v>5</v>
      </c>
      <c r="Z1533" s="8">
        <f t="shared" si="167"/>
        <v>0.1388888888888889</v>
      </c>
      <c r="AA1533" s="8">
        <v>2.8660999999999999</v>
      </c>
    </row>
    <row r="1534" spans="1:27" ht="15" customHeight="1" x14ac:dyDescent="0.25">
      <c r="A1534" s="14">
        <v>714</v>
      </c>
      <c r="B1534" s="14">
        <v>714</v>
      </c>
      <c r="C1534" s="36">
        <v>-12269.983877000001</v>
      </c>
      <c r="D1534" s="16">
        <v>-12271.98473</v>
      </c>
      <c r="E1534" s="14"/>
      <c r="F1534" s="37">
        <v>0.99807699999999999</v>
      </c>
      <c r="G1534" s="16">
        <v>0.21465000000000001</v>
      </c>
      <c r="H1534" s="14">
        <v>6</v>
      </c>
      <c r="I1534" s="14">
        <v>7</v>
      </c>
      <c r="J1534" s="32"/>
      <c r="K1534" s="8">
        <f t="shared" si="161"/>
        <v>-0.82654623076996359</v>
      </c>
      <c r="L1534" s="8">
        <f t="shared" si="162"/>
        <v>-6.3580479289997202E-2</v>
      </c>
      <c r="M1534" s="8">
        <f t="shared" si="163"/>
        <v>-1.351137846153506</v>
      </c>
      <c r="N1534" s="8">
        <f t="shared" si="164"/>
        <v>-0.10393368047334661</v>
      </c>
      <c r="O1534" s="8"/>
      <c r="P1534" t="s">
        <v>1821</v>
      </c>
      <c r="Q1534">
        <v>35</v>
      </c>
      <c r="R1534" s="8">
        <v>2.8250500000000001</v>
      </c>
      <c r="S1534">
        <v>9</v>
      </c>
      <c r="T1534" s="8">
        <f t="shared" si="165"/>
        <v>0.25714285714285712</v>
      </c>
      <c r="U1534" s="8">
        <v>2.8540100000000002</v>
      </c>
      <c r="V1534">
        <v>21</v>
      </c>
      <c r="W1534" s="8">
        <f t="shared" si="166"/>
        <v>0.6</v>
      </c>
      <c r="X1534" s="8">
        <v>2.8064200000000001</v>
      </c>
      <c r="Y1534">
        <v>5</v>
      </c>
      <c r="Z1534" s="8">
        <f t="shared" si="167"/>
        <v>0.14285714285714285</v>
      </c>
      <c r="AA1534" s="8">
        <v>2.85114</v>
      </c>
    </row>
    <row r="1535" spans="1:27" ht="15" customHeight="1" x14ac:dyDescent="0.25">
      <c r="A1535" s="14">
        <v>715</v>
      </c>
      <c r="B1535" s="14">
        <v>715</v>
      </c>
      <c r="C1535" s="36">
        <v>-12269.872135</v>
      </c>
      <c r="D1535" s="16">
        <v>-12271.501174999999</v>
      </c>
      <c r="E1535" s="14"/>
      <c r="F1535" s="37">
        <v>0.99646100000000004</v>
      </c>
      <c r="G1535" s="16">
        <v>0.17777000000000001</v>
      </c>
      <c r="H1535" s="14">
        <v>6</v>
      </c>
      <c r="I1535" s="14">
        <v>7</v>
      </c>
      <c r="J1535" s="32"/>
      <c r="K1535" s="8">
        <f t="shared" si="161"/>
        <v>-0.71480423076900479</v>
      </c>
      <c r="L1535" s="8">
        <f t="shared" si="162"/>
        <v>-5.4984940828384982E-2</v>
      </c>
      <c r="M1535" s="8">
        <f t="shared" si="163"/>
        <v>-0.8675828461527999</v>
      </c>
      <c r="N1535" s="8">
        <f t="shared" si="164"/>
        <v>-6.6737142011753833E-2</v>
      </c>
      <c r="O1535" s="8"/>
      <c r="P1535" t="s">
        <v>1822</v>
      </c>
      <c r="Q1535">
        <v>36</v>
      </c>
      <c r="R1535" s="8">
        <v>2.8353600000000001</v>
      </c>
      <c r="S1535">
        <v>11</v>
      </c>
      <c r="T1535" s="8">
        <f t="shared" si="165"/>
        <v>0.30555555555555558</v>
      </c>
      <c r="U1535" s="8">
        <v>2.8564500000000002</v>
      </c>
      <c r="V1535">
        <v>19</v>
      </c>
      <c r="W1535" s="8">
        <f t="shared" si="166"/>
        <v>0.52777777777777779</v>
      </c>
      <c r="X1535" s="8">
        <v>2.8164199999999999</v>
      </c>
      <c r="Y1535">
        <v>6</v>
      </c>
      <c r="Z1535" s="8">
        <f t="shared" si="167"/>
        <v>0.16666666666666666</v>
      </c>
      <c r="AA1535" s="8">
        <v>2.8566500000000001</v>
      </c>
    </row>
    <row r="1536" spans="1:27" ht="15" customHeight="1" x14ac:dyDescent="0.25">
      <c r="A1536" s="14">
        <v>716</v>
      </c>
      <c r="B1536" s="14">
        <v>716</v>
      </c>
      <c r="C1536" s="36">
        <v>-12269.665166999999</v>
      </c>
      <c r="D1536" s="16">
        <v>-12271.384916999999</v>
      </c>
      <c r="E1536" s="14"/>
      <c r="F1536" s="37">
        <v>0.99393200000000004</v>
      </c>
      <c r="G1536" s="16">
        <v>0.17387</v>
      </c>
      <c r="H1536" s="14">
        <v>6</v>
      </c>
      <c r="I1536" s="14">
        <v>7</v>
      </c>
      <c r="J1536" s="32"/>
      <c r="K1536" s="8">
        <f t="shared" si="161"/>
        <v>-0.5078362307685893</v>
      </c>
      <c r="L1536" s="8">
        <f t="shared" si="162"/>
        <v>-3.9064325443737641E-2</v>
      </c>
      <c r="M1536" s="8">
        <f t="shared" si="163"/>
        <v>-0.75132484615278372</v>
      </c>
      <c r="N1536" s="8">
        <f t="shared" si="164"/>
        <v>-5.7794218934829514E-2</v>
      </c>
      <c r="O1536" s="8"/>
      <c r="P1536" t="s">
        <v>1823</v>
      </c>
      <c r="Q1536">
        <v>35</v>
      </c>
      <c r="R1536" s="8">
        <v>2.8244199999999999</v>
      </c>
      <c r="S1536">
        <v>11</v>
      </c>
      <c r="T1536" s="8">
        <f t="shared" si="165"/>
        <v>0.31428571428571428</v>
      </c>
      <c r="U1536" s="8">
        <v>2.8264</v>
      </c>
      <c r="V1536">
        <v>18</v>
      </c>
      <c r="W1536" s="8">
        <f t="shared" si="166"/>
        <v>0.51428571428571423</v>
      </c>
      <c r="X1536" s="8">
        <v>2.8103799999999999</v>
      </c>
      <c r="Y1536">
        <v>6</v>
      </c>
      <c r="Z1536" s="8">
        <f t="shared" si="167"/>
        <v>0.17142857142857143</v>
      </c>
      <c r="AA1536" s="8">
        <v>2.8628900000000002</v>
      </c>
    </row>
    <row r="1537" spans="1:27" ht="15" customHeight="1" x14ac:dyDescent="0.25">
      <c r="A1537" s="14">
        <v>717</v>
      </c>
      <c r="B1537" s="14">
        <v>717</v>
      </c>
      <c r="C1537" s="36">
        <v>-12269.919760999999</v>
      </c>
      <c r="D1537" s="16">
        <v>-12271.567781</v>
      </c>
      <c r="E1537" s="14"/>
      <c r="F1537" s="37">
        <v>0.99675100000000005</v>
      </c>
      <c r="G1537" s="16">
        <v>0.19716999999999901</v>
      </c>
      <c r="H1537" s="14">
        <v>6</v>
      </c>
      <c r="I1537" s="14">
        <v>7</v>
      </c>
      <c r="J1537" s="32"/>
      <c r="K1537" s="8">
        <f t="shared" si="161"/>
        <v>-0.76243023076858663</v>
      </c>
      <c r="L1537" s="8">
        <f t="shared" si="162"/>
        <v>-5.8648479289891281E-2</v>
      </c>
      <c r="M1537" s="8">
        <f t="shared" si="163"/>
        <v>-0.93418884615311981</v>
      </c>
      <c r="N1537" s="8">
        <f t="shared" si="164"/>
        <v>-7.186068047331691E-2</v>
      </c>
      <c r="O1537" s="8"/>
      <c r="P1537" t="s">
        <v>1824</v>
      </c>
      <c r="Q1537">
        <v>36</v>
      </c>
      <c r="R1537" s="8">
        <v>2.8345500000000001</v>
      </c>
      <c r="S1537">
        <v>11</v>
      </c>
      <c r="T1537" s="8">
        <f t="shared" si="165"/>
        <v>0.30555555555555558</v>
      </c>
      <c r="U1537" s="8">
        <v>2.85947</v>
      </c>
      <c r="V1537">
        <v>19</v>
      </c>
      <c r="W1537" s="8">
        <f t="shared" si="166"/>
        <v>0.52777777777777779</v>
      </c>
      <c r="X1537" s="8">
        <v>2.8248199999999999</v>
      </c>
      <c r="Y1537">
        <v>6</v>
      </c>
      <c r="Z1537" s="8">
        <f t="shared" si="167"/>
        <v>0.16666666666666666</v>
      </c>
      <c r="AA1537" s="8">
        <v>2.81969</v>
      </c>
    </row>
    <row r="1538" spans="1:27" ht="15" customHeight="1" x14ac:dyDescent="0.25">
      <c r="A1538" s="14">
        <v>718</v>
      </c>
      <c r="B1538" s="14">
        <v>718</v>
      </c>
      <c r="C1538" s="36">
        <v>-12270.058591000001</v>
      </c>
      <c r="D1538" s="16">
        <v>-12271.708860999999</v>
      </c>
      <c r="E1538" s="14"/>
      <c r="F1538" s="37">
        <v>0.99583600000000005</v>
      </c>
      <c r="G1538" s="16">
        <v>0.18961</v>
      </c>
      <c r="H1538" s="14">
        <v>6</v>
      </c>
      <c r="I1538" s="14">
        <v>7</v>
      </c>
      <c r="J1538" s="32"/>
      <c r="K1538" s="8">
        <f t="shared" si="161"/>
        <v>-0.90126023077027639</v>
      </c>
      <c r="L1538" s="8">
        <f t="shared" si="162"/>
        <v>-6.9327710059252035E-2</v>
      </c>
      <c r="M1538" s="8">
        <f t="shared" si="163"/>
        <v>-1.0752688461525395</v>
      </c>
      <c r="N1538" s="8">
        <f t="shared" si="164"/>
        <v>-8.2712988165579954E-2</v>
      </c>
      <c r="O1538" s="8"/>
      <c r="P1538" t="s">
        <v>1825</v>
      </c>
      <c r="Q1538">
        <v>35</v>
      </c>
      <c r="R1538" s="8">
        <v>2.8248600000000001</v>
      </c>
      <c r="S1538">
        <v>9</v>
      </c>
      <c r="T1538" s="8">
        <f t="shared" si="165"/>
        <v>0.25714285714285712</v>
      </c>
      <c r="U1538" s="8">
        <v>2.8422800000000001</v>
      </c>
      <c r="V1538">
        <v>21</v>
      </c>
      <c r="W1538" s="8">
        <f t="shared" si="166"/>
        <v>0.6</v>
      </c>
      <c r="X1538" s="8">
        <v>2.8110400000000002</v>
      </c>
      <c r="Y1538">
        <v>5</v>
      </c>
      <c r="Z1538" s="8">
        <f t="shared" si="167"/>
        <v>0.14285714285714285</v>
      </c>
      <c r="AA1538" s="8">
        <v>2.85154</v>
      </c>
    </row>
    <row r="1539" spans="1:27" ht="15" customHeight="1" x14ac:dyDescent="0.25">
      <c r="A1539" s="14">
        <v>719</v>
      </c>
      <c r="B1539" s="14">
        <v>719</v>
      </c>
      <c r="C1539" s="36">
        <v>-12269.713734000001</v>
      </c>
      <c r="D1539" s="16">
        <v>-12271.471579999999</v>
      </c>
      <c r="E1539" s="14"/>
      <c r="F1539" s="37">
        <v>0.99526400000000004</v>
      </c>
      <c r="G1539" s="16">
        <v>0.181699999999999</v>
      </c>
      <c r="H1539" s="14">
        <v>6</v>
      </c>
      <c r="I1539" s="14">
        <v>7</v>
      </c>
      <c r="J1539" s="32"/>
      <c r="K1539" s="8">
        <f t="shared" ref="K1539:K1602" si="168">IF(ISNUMBER(C1539),C1539-(($C$3-$C$2236)/($H$3-$H$2236)*H1539+$C$2236),"")</f>
        <v>-0.55640323077022913</v>
      </c>
      <c r="L1539" s="8">
        <f t="shared" ref="L1539:L1602" si="169">IF(ISNUMBER(C1539),K1539/(H1539+I1539),"")</f>
        <v>-4.2800248520786857E-2</v>
      </c>
      <c r="M1539" s="8">
        <f t="shared" ref="M1539:M1602" si="170">IF(ISNUMBER(D1539),D1539-(($D$3-$D$2236)/($H$3-$H$2236)*H1539+$D$2236),"")</f>
        <v>-0.83798784615282784</v>
      </c>
      <c r="N1539" s="8">
        <f t="shared" ref="N1539:N1602" si="171">IF(ISNUMBER(D1539),M1539/(H1539+I1539),"")</f>
        <v>-6.446060355021753E-2</v>
      </c>
      <c r="O1539" s="8"/>
      <c r="P1539" t="s">
        <v>1826</v>
      </c>
      <c r="Q1539">
        <v>35</v>
      </c>
      <c r="R1539" s="8">
        <v>2.8237000000000001</v>
      </c>
      <c r="S1539">
        <v>11</v>
      </c>
      <c r="T1539" s="8">
        <f t="shared" ref="T1539:T1602" si="172">IF(ISNUMBER(S1539),S1539/(Q1539),"")</f>
        <v>0.31428571428571428</v>
      </c>
      <c r="U1539" s="8">
        <v>2.83474</v>
      </c>
      <c r="V1539">
        <v>18</v>
      </c>
      <c r="W1539" s="8">
        <f t="shared" ref="W1539:W1602" si="173">IF(ISNUMBER(V1539),V1539/($Q1539),"")</f>
        <v>0.51428571428571423</v>
      </c>
      <c r="X1539" s="8">
        <v>2.8025699999999998</v>
      </c>
      <c r="Y1539">
        <v>6</v>
      </c>
      <c r="Z1539" s="8">
        <f t="shared" ref="Z1539:Z1602" si="174">IF(ISNUMBER(Y1539),Y1539/($Q1539),"")</f>
        <v>0.17142857142857143</v>
      </c>
      <c r="AA1539" s="8">
        <v>2.8668300000000002</v>
      </c>
    </row>
    <row r="1540" spans="1:27" ht="15" customHeight="1" x14ac:dyDescent="0.25">
      <c r="A1540" s="14">
        <v>720</v>
      </c>
      <c r="B1540" s="14">
        <v>720</v>
      </c>
      <c r="C1540" s="36">
        <v>-12269.8097</v>
      </c>
      <c r="D1540" s="16">
        <v>-12271.551449000001</v>
      </c>
      <c r="E1540" s="14"/>
      <c r="F1540" s="37">
        <v>0.99595299999999998</v>
      </c>
      <c r="G1540" s="16">
        <v>0.18607000000000001</v>
      </c>
      <c r="H1540" s="14">
        <v>6</v>
      </c>
      <c r="I1540" s="14">
        <v>7</v>
      </c>
      <c r="J1540" s="32"/>
      <c r="K1540" s="8">
        <f t="shared" si="168"/>
        <v>-0.65236923076918174</v>
      </c>
      <c r="L1540" s="8">
        <f t="shared" si="169"/>
        <v>-5.0182248520706289E-2</v>
      </c>
      <c r="M1540" s="8">
        <f t="shared" si="170"/>
        <v>-0.91785684615388163</v>
      </c>
      <c r="N1540" s="8">
        <f t="shared" si="171"/>
        <v>-7.060437278106782E-2</v>
      </c>
      <c r="O1540" s="8"/>
      <c r="P1540" t="s">
        <v>1827</v>
      </c>
      <c r="Q1540">
        <v>35</v>
      </c>
      <c r="R1540" s="8">
        <v>2.8269899999999999</v>
      </c>
      <c r="S1540">
        <v>11</v>
      </c>
      <c r="T1540" s="8">
        <f t="shared" si="172"/>
        <v>0.31428571428571428</v>
      </c>
      <c r="U1540" s="8">
        <v>2.86537</v>
      </c>
      <c r="V1540">
        <v>19</v>
      </c>
      <c r="W1540" s="8">
        <f t="shared" si="173"/>
        <v>0.54285714285714282</v>
      </c>
      <c r="X1540" s="8">
        <v>2.7930899999999999</v>
      </c>
      <c r="Y1540">
        <v>5</v>
      </c>
      <c r="Z1540" s="8">
        <f t="shared" si="174"/>
        <v>0.14285714285714285</v>
      </c>
      <c r="AA1540" s="8">
        <v>2.87134</v>
      </c>
    </row>
    <row r="1541" spans="1:27" ht="15" customHeight="1" x14ac:dyDescent="0.25">
      <c r="A1541" s="14">
        <v>721</v>
      </c>
      <c r="B1541" s="14">
        <v>721</v>
      </c>
      <c r="C1541" s="36">
        <v>-12270.018099999999</v>
      </c>
      <c r="D1541" s="16">
        <v>-12271.362696</v>
      </c>
      <c r="E1541" s="14"/>
      <c r="F1541" s="37">
        <v>0.99402400000000002</v>
      </c>
      <c r="G1541" s="16">
        <v>0.174259999999999</v>
      </c>
      <c r="H1541" s="14">
        <v>6</v>
      </c>
      <c r="I1541" s="14">
        <v>7</v>
      </c>
      <c r="J1541" s="32"/>
      <c r="K1541" s="8">
        <f t="shared" si="168"/>
        <v>-0.86076923076871026</v>
      </c>
      <c r="L1541" s="8">
        <f t="shared" si="169"/>
        <v>-6.6213017751439257E-2</v>
      </c>
      <c r="M1541" s="8">
        <f t="shared" si="170"/>
        <v>-0.72910384615352086</v>
      </c>
      <c r="N1541" s="8">
        <f t="shared" si="171"/>
        <v>-5.6084911242578528E-2</v>
      </c>
      <c r="O1541" s="8"/>
      <c r="P1541" t="s">
        <v>1828</v>
      </c>
      <c r="Q1541">
        <v>36</v>
      </c>
      <c r="R1541" s="8">
        <v>2.83602</v>
      </c>
      <c r="S1541">
        <v>9</v>
      </c>
      <c r="T1541" s="8">
        <f t="shared" si="172"/>
        <v>0.25</v>
      </c>
      <c r="U1541" s="8">
        <v>2.8421799999999999</v>
      </c>
      <c r="V1541">
        <v>20</v>
      </c>
      <c r="W1541" s="8">
        <f t="shared" si="173"/>
        <v>0.55555555555555558</v>
      </c>
      <c r="X1541" s="8">
        <v>2.8394300000000001</v>
      </c>
      <c r="Y1541">
        <v>7</v>
      </c>
      <c r="Z1541" s="8">
        <f t="shared" si="174"/>
        <v>0.19444444444444445</v>
      </c>
      <c r="AA1541" s="8">
        <v>2.8183500000000001</v>
      </c>
    </row>
    <row r="1542" spans="1:27" ht="15" customHeight="1" x14ac:dyDescent="0.25">
      <c r="A1542" s="14">
        <v>722</v>
      </c>
      <c r="B1542" s="14">
        <v>722</v>
      </c>
      <c r="C1542" s="36">
        <v>-12269.614057000001</v>
      </c>
      <c r="D1542" s="16">
        <v>-12271.293388</v>
      </c>
      <c r="E1542" s="14"/>
      <c r="F1542" s="37">
        <v>0.99614899999999995</v>
      </c>
      <c r="G1542" s="16">
        <v>0.19011999999999901</v>
      </c>
      <c r="H1542" s="14">
        <v>6</v>
      </c>
      <c r="I1542" s="14">
        <v>7</v>
      </c>
      <c r="J1542" s="32"/>
      <c r="K1542" s="8">
        <f t="shared" si="168"/>
        <v>-0.45672623077007302</v>
      </c>
      <c r="L1542" s="8">
        <f t="shared" si="169"/>
        <v>-3.5132786982313306E-2</v>
      </c>
      <c r="M1542" s="8">
        <f t="shared" si="170"/>
        <v>-0.65979584615342901</v>
      </c>
      <c r="N1542" s="8">
        <f t="shared" si="171"/>
        <v>-5.0753526627186844E-2</v>
      </c>
      <c r="O1542" s="8"/>
      <c r="P1542" t="s">
        <v>1829</v>
      </c>
      <c r="Q1542">
        <v>35</v>
      </c>
      <c r="R1542" s="8">
        <v>2.82884</v>
      </c>
      <c r="S1542">
        <v>13</v>
      </c>
      <c r="T1542" s="8">
        <f t="shared" si="172"/>
        <v>0.37142857142857144</v>
      </c>
      <c r="U1542" s="8">
        <v>2.8324500000000001</v>
      </c>
      <c r="V1542">
        <v>13</v>
      </c>
      <c r="W1542" s="8">
        <f t="shared" si="173"/>
        <v>0.37142857142857144</v>
      </c>
      <c r="X1542" s="8">
        <v>2.8286699999999998</v>
      </c>
      <c r="Y1542">
        <v>9</v>
      </c>
      <c r="Z1542" s="8">
        <f t="shared" si="174"/>
        <v>0.25714285714285712</v>
      </c>
      <c r="AA1542" s="8">
        <v>2.82389</v>
      </c>
    </row>
    <row r="1543" spans="1:27" ht="15" customHeight="1" x14ac:dyDescent="0.25">
      <c r="A1543" s="14">
        <v>723</v>
      </c>
      <c r="B1543" s="14">
        <v>723</v>
      </c>
      <c r="C1543" s="36">
        <v>-12270.027636000001</v>
      </c>
      <c r="D1543" s="16">
        <v>-12271.635920999999</v>
      </c>
      <c r="E1543" s="14"/>
      <c r="F1543" s="37">
        <v>0.99335499999999999</v>
      </c>
      <c r="G1543" s="16">
        <v>0.17069999999999999</v>
      </c>
      <c r="H1543" s="14">
        <v>6</v>
      </c>
      <c r="I1543" s="14">
        <v>7</v>
      </c>
      <c r="J1543" s="32"/>
      <c r="K1543" s="8">
        <f t="shared" si="168"/>
        <v>-0.87030523077010002</v>
      </c>
      <c r="L1543" s="8">
        <f t="shared" si="169"/>
        <v>-6.6946556213084624E-2</v>
      </c>
      <c r="M1543" s="8">
        <f t="shared" si="170"/>
        <v>-1.0023288461525226</v>
      </c>
      <c r="N1543" s="8">
        <f t="shared" si="171"/>
        <v>-7.7102218934809424E-2</v>
      </c>
      <c r="O1543" s="8"/>
      <c r="P1543" t="s">
        <v>1830</v>
      </c>
      <c r="Q1543">
        <v>35</v>
      </c>
      <c r="R1543" s="8">
        <v>2.8231099999999998</v>
      </c>
      <c r="S1543">
        <v>10</v>
      </c>
      <c r="T1543" s="8">
        <f t="shared" si="172"/>
        <v>0.2857142857142857</v>
      </c>
      <c r="U1543" s="8">
        <v>2.8428</v>
      </c>
      <c r="V1543">
        <v>19</v>
      </c>
      <c r="W1543" s="8">
        <f t="shared" si="173"/>
        <v>0.54285714285714282</v>
      </c>
      <c r="X1543" s="8">
        <v>2.8062</v>
      </c>
      <c r="Y1543">
        <v>6</v>
      </c>
      <c r="Z1543" s="8">
        <f t="shared" si="174"/>
        <v>0.17142857142857143</v>
      </c>
      <c r="AA1543" s="8">
        <v>2.8438400000000001</v>
      </c>
    </row>
    <row r="1544" spans="1:27" ht="15" customHeight="1" x14ac:dyDescent="0.25">
      <c r="A1544" s="14">
        <v>724</v>
      </c>
      <c r="B1544" s="14">
        <v>724</v>
      </c>
      <c r="C1544" s="36">
        <v>-12269.897392999999</v>
      </c>
      <c r="D1544" s="16">
        <v>-12271.711665999999</v>
      </c>
      <c r="E1544" s="14"/>
      <c r="F1544" s="37">
        <v>0.99245300000000003</v>
      </c>
      <c r="G1544" s="16">
        <v>0.17116999999999999</v>
      </c>
      <c r="H1544" s="14">
        <v>6</v>
      </c>
      <c r="I1544" s="14">
        <v>7</v>
      </c>
      <c r="J1544" s="32"/>
      <c r="K1544" s="8">
        <f t="shared" si="168"/>
        <v>-0.74006223076867172</v>
      </c>
      <c r="L1544" s="8">
        <f t="shared" si="169"/>
        <v>-5.6927863905282441E-2</v>
      </c>
      <c r="M1544" s="8">
        <f t="shared" si="170"/>
        <v>-1.0780738461526198</v>
      </c>
      <c r="N1544" s="8">
        <f t="shared" si="171"/>
        <v>-8.2928757396355371E-2</v>
      </c>
      <c r="O1544" s="8"/>
      <c r="P1544" t="s">
        <v>1831</v>
      </c>
      <c r="Q1544">
        <v>36</v>
      </c>
      <c r="R1544" s="8">
        <v>2.8368199999999999</v>
      </c>
      <c r="S1544">
        <v>11</v>
      </c>
      <c r="T1544" s="8">
        <f t="shared" si="172"/>
        <v>0.30555555555555558</v>
      </c>
      <c r="U1544" s="8">
        <v>2.8528699999999998</v>
      </c>
      <c r="V1544">
        <v>18</v>
      </c>
      <c r="W1544" s="8">
        <f t="shared" si="173"/>
        <v>0.5</v>
      </c>
      <c r="X1544" s="8">
        <v>2.8294600000000001</v>
      </c>
      <c r="Y1544">
        <v>7</v>
      </c>
      <c r="Z1544" s="8">
        <f t="shared" si="174"/>
        <v>0.19444444444444445</v>
      </c>
      <c r="AA1544" s="8">
        <v>2.8305099999999999</v>
      </c>
    </row>
    <row r="1545" spans="1:27" ht="15" customHeight="1" x14ac:dyDescent="0.25">
      <c r="A1545" s="14">
        <v>725</v>
      </c>
      <c r="B1545" s="14">
        <v>725</v>
      </c>
      <c r="C1545" s="36">
        <v>-12270.0605</v>
      </c>
      <c r="D1545" s="16">
        <v>-12271.428451</v>
      </c>
      <c r="E1545" s="14"/>
      <c r="F1545" s="37">
        <v>0.99400699999999997</v>
      </c>
      <c r="G1545" s="16">
        <v>0.17412</v>
      </c>
      <c r="H1545" s="14">
        <v>6</v>
      </c>
      <c r="I1545" s="14">
        <v>7</v>
      </c>
      <c r="J1545" s="32"/>
      <c r="K1545" s="8">
        <f t="shared" si="168"/>
        <v>-0.90316923076898092</v>
      </c>
      <c r="L1545" s="8">
        <f t="shared" si="169"/>
        <v>-6.9474556212998528E-2</v>
      </c>
      <c r="M1545" s="8">
        <f t="shared" si="170"/>
        <v>-0.79485884615314717</v>
      </c>
      <c r="N1545" s="8">
        <f t="shared" si="171"/>
        <v>-6.1142988165626702E-2</v>
      </c>
      <c r="O1545" s="8"/>
      <c r="P1545" t="s">
        <v>1832</v>
      </c>
      <c r="Q1545">
        <v>36</v>
      </c>
      <c r="R1545" s="8">
        <v>2.8366899999999999</v>
      </c>
      <c r="S1545">
        <v>10</v>
      </c>
      <c r="T1545" s="8">
        <f t="shared" si="172"/>
        <v>0.27777777777777779</v>
      </c>
      <c r="U1545" s="8">
        <v>2.84734</v>
      </c>
      <c r="V1545">
        <v>20</v>
      </c>
      <c r="W1545" s="8">
        <f t="shared" si="173"/>
        <v>0.55555555555555558</v>
      </c>
      <c r="X1545" s="8">
        <v>2.8303199999999999</v>
      </c>
      <c r="Y1545">
        <v>6</v>
      </c>
      <c r="Z1545" s="8">
        <f t="shared" si="174"/>
        <v>0.16666666666666666</v>
      </c>
      <c r="AA1545" s="8">
        <v>2.84015</v>
      </c>
    </row>
    <row r="1546" spans="1:27" ht="15" customHeight="1" x14ac:dyDescent="0.25">
      <c r="A1546" s="14">
        <v>726</v>
      </c>
      <c r="B1546" s="14">
        <v>726</v>
      </c>
      <c r="C1546" s="36">
        <v>-12269.811900000001</v>
      </c>
      <c r="D1546" s="16">
        <v>-12271.492560000001</v>
      </c>
      <c r="E1546" s="14"/>
      <c r="F1546" s="37">
        <v>0.99252899999999999</v>
      </c>
      <c r="G1546" s="16">
        <v>0.16758000000000001</v>
      </c>
      <c r="H1546" s="14">
        <v>6</v>
      </c>
      <c r="I1546" s="14">
        <v>7</v>
      </c>
      <c r="J1546" s="32"/>
      <c r="K1546" s="8">
        <f t="shared" si="168"/>
        <v>-0.65456923076999374</v>
      </c>
      <c r="L1546" s="8">
        <f t="shared" si="169"/>
        <v>-5.0351479289999515E-2</v>
      </c>
      <c r="M1546" s="8">
        <f t="shared" si="170"/>
        <v>-0.85896784615397337</v>
      </c>
      <c r="N1546" s="8">
        <f t="shared" si="171"/>
        <v>-6.60744497041518E-2</v>
      </c>
      <c r="O1546" s="8"/>
      <c r="P1546" t="s">
        <v>1833</v>
      </c>
      <c r="Q1546">
        <v>35</v>
      </c>
      <c r="R1546" s="8">
        <v>2.8281499999999999</v>
      </c>
      <c r="S1546">
        <v>12</v>
      </c>
      <c r="T1546" s="8">
        <f t="shared" si="172"/>
        <v>0.34285714285714286</v>
      </c>
      <c r="U1546" s="8">
        <v>2.82307</v>
      </c>
      <c r="V1546">
        <v>16</v>
      </c>
      <c r="W1546" s="8">
        <f t="shared" si="173"/>
        <v>0.45714285714285713</v>
      </c>
      <c r="X1546" s="8">
        <v>2.8203900000000002</v>
      </c>
      <c r="Y1546">
        <v>7</v>
      </c>
      <c r="Z1546" s="8">
        <f t="shared" si="174"/>
        <v>0.2</v>
      </c>
      <c r="AA1546" s="8">
        <v>2.8546100000000001</v>
      </c>
    </row>
    <row r="1547" spans="1:27" ht="15" customHeight="1" x14ac:dyDescent="0.25">
      <c r="A1547" s="14">
        <v>727</v>
      </c>
      <c r="B1547" s="14">
        <v>727</v>
      </c>
      <c r="C1547" s="36">
        <v>-12269.589900000001</v>
      </c>
      <c r="D1547" s="16">
        <v>-12271.003703</v>
      </c>
      <c r="E1547" s="14"/>
      <c r="F1547" s="37">
        <v>0.992367</v>
      </c>
      <c r="G1547" s="16">
        <v>0.16694999999999899</v>
      </c>
      <c r="H1547" s="14">
        <v>6</v>
      </c>
      <c r="I1547" s="14">
        <v>7</v>
      </c>
      <c r="J1547" s="32"/>
      <c r="K1547" s="8">
        <f t="shared" si="168"/>
        <v>-0.43256923077024112</v>
      </c>
      <c r="L1547" s="8">
        <f t="shared" si="169"/>
        <v>-3.3274556213095469E-2</v>
      </c>
      <c r="M1547" s="8">
        <f t="shared" si="170"/>
        <v>-0.37011084615369327</v>
      </c>
      <c r="N1547" s="8">
        <f t="shared" si="171"/>
        <v>-2.8470065088745635E-2</v>
      </c>
      <c r="O1547" s="8"/>
      <c r="P1547" t="s">
        <v>1834</v>
      </c>
      <c r="Q1547">
        <v>36</v>
      </c>
      <c r="R1547" s="8">
        <v>2.8357000000000001</v>
      </c>
      <c r="S1547">
        <v>14</v>
      </c>
      <c r="T1547" s="8">
        <f t="shared" si="172"/>
        <v>0.3888888888888889</v>
      </c>
      <c r="U1547" s="8">
        <v>2.85737</v>
      </c>
      <c r="V1547">
        <v>14</v>
      </c>
      <c r="W1547" s="8">
        <f t="shared" si="173"/>
        <v>0.3888888888888889</v>
      </c>
      <c r="X1547" s="8">
        <v>2.8266300000000002</v>
      </c>
      <c r="Y1547">
        <v>8</v>
      </c>
      <c r="Z1547" s="8">
        <f t="shared" si="174"/>
        <v>0.22222222222222221</v>
      </c>
      <c r="AA1547" s="8">
        <v>2.81365</v>
      </c>
    </row>
    <row r="1548" spans="1:27" ht="15" customHeight="1" x14ac:dyDescent="0.25">
      <c r="A1548" s="14">
        <v>728</v>
      </c>
      <c r="B1548" s="14">
        <v>728</v>
      </c>
      <c r="C1548" s="36">
        <v>-12269.811400000001</v>
      </c>
      <c r="D1548" s="16">
        <v>-12271.520565000001</v>
      </c>
      <c r="E1548" s="14"/>
      <c r="F1548" s="37">
        <v>0.99096499999999998</v>
      </c>
      <c r="G1548" s="16">
        <v>0.16188</v>
      </c>
      <c r="H1548" s="14">
        <v>6</v>
      </c>
      <c r="I1548" s="14">
        <v>7</v>
      </c>
      <c r="J1548" s="32"/>
      <c r="K1548" s="8">
        <f t="shared" si="168"/>
        <v>-0.65406923076989187</v>
      </c>
      <c r="L1548" s="8">
        <f t="shared" si="169"/>
        <v>-5.0313017751530145E-2</v>
      </c>
      <c r="M1548" s="8">
        <f t="shared" si="170"/>
        <v>-0.88697284615409444</v>
      </c>
      <c r="N1548" s="8">
        <f t="shared" si="171"/>
        <v>-6.8228680473391881E-2</v>
      </c>
      <c r="O1548" s="8"/>
      <c r="P1548" t="s">
        <v>1835</v>
      </c>
      <c r="Q1548">
        <v>36</v>
      </c>
      <c r="R1548" s="8">
        <v>2.8372899999999999</v>
      </c>
      <c r="S1548">
        <v>12</v>
      </c>
      <c r="T1548" s="8">
        <f t="shared" si="172"/>
        <v>0.33333333333333331</v>
      </c>
      <c r="U1548" s="8">
        <v>2.8796300000000001</v>
      </c>
      <c r="V1548">
        <v>18</v>
      </c>
      <c r="W1548" s="8">
        <f t="shared" si="173"/>
        <v>0.5</v>
      </c>
      <c r="X1548" s="8">
        <v>2.8058700000000001</v>
      </c>
      <c r="Y1548">
        <v>6</v>
      </c>
      <c r="Z1548" s="8">
        <f t="shared" si="174"/>
        <v>0.16666666666666666</v>
      </c>
      <c r="AA1548" s="8">
        <v>2.8468800000000001</v>
      </c>
    </row>
    <row r="1549" spans="1:27" ht="15" customHeight="1" x14ac:dyDescent="0.25">
      <c r="A1549" s="14">
        <v>729</v>
      </c>
      <c r="B1549" s="14">
        <v>729</v>
      </c>
      <c r="C1549" s="36">
        <v>-12269.903700000001</v>
      </c>
      <c r="D1549" s="16">
        <v>-12271.283959</v>
      </c>
      <c r="E1549" s="14"/>
      <c r="F1549" s="37">
        <v>0.99622900000000003</v>
      </c>
      <c r="G1549" s="16">
        <v>0.18817999999999999</v>
      </c>
      <c r="H1549" s="14">
        <v>6</v>
      </c>
      <c r="I1549" s="14">
        <v>7</v>
      </c>
      <c r="J1549" s="32"/>
      <c r="K1549" s="8">
        <f t="shared" si="168"/>
        <v>-0.74636923077014217</v>
      </c>
      <c r="L1549" s="8">
        <f t="shared" si="169"/>
        <v>-5.7413017751549396E-2</v>
      </c>
      <c r="M1549" s="8">
        <f t="shared" si="170"/>
        <v>-0.65036684615370177</v>
      </c>
      <c r="N1549" s="8">
        <f t="shared" si="171"/>
        <v>-5.0028218934900136E-2</v>
      </c>
      <c r="O1549" s="8"/>
      <c r="P1549" t="s">
        <v>1836</v>
      </c>
      <c r="Q1549">
        <v>36</v>
      </c>
      <c r="R1549" s="8">
        <v>2.8372000000000002</v>
      </c>
      <c r="S1549">
        <v>12</v>
      </c>
      <c r="T1549" s="8">
        <f t="shared" si="172"/>
        <v>0.33333333333333331</v>
      </c>
      <c r="U1549" s="8">
        <v>2.87378</v>
      </c>
      <c r="V1549">
        <v>18</v>
      </c>
      <c r="W1549" s="8">
        <f t="shared" si="173"/>
        <v>0.5</v>
      </c>
      <c r="X1549" s="8">
        <v>2.8086899999999999</v>
      </c>
      <c r="Y1549">
        <v>6</v>
      </c>
      <c r="Z1549" s="8">
        <f t="shared" si="174"/>
        <v>0.16666666666666666</v>
      </c>
      <c r="AA1549" s="8">
        <v>2.8496000000000001</v>
      </c>
    </row>
    <row r="1550" spans="1:27" ht="15" customHeight="1" x14ac:dyDescent="0.25">
      <c r="A1550" s="14">
        <v>730</v>
      </c>
      <c r="B1550" s="14">
        <v>730</v>
      </c>
      <c r="C1550" s="36">
        <v>-12270.2032</v>
      </c>
      <c r="D1550" s="16">
        <v>-12271.57645</v>
      </c>
      <c r="E1550" s="14"/>
      <c r="F1550" s="37">
        <v>0.99812199999999995</v>
      </c>
      <c r="G1550" s="16">
        <v>0.12820999999999999</v>
      </c>
      <c r="H1550" s="14">
        <v>6</v>
      </c>
      <c r="I1550" s="14">
        <v>7</v>
      </c>
      <c r="J1550" s="32"/>
      <c r="K1550" s="8">
        <f t="shared" si="168"/>
        <v>-1.0458692307693127</v>
      </c>
      <c r="L1550" s="8">
        <f t="shared" si="169"/>
        <v>-8.0451479289947128E-2</v>
      </c>
      <c r="M1550" s="8">
        <f t="shared" si="170"/>
        <v>-0.94285784615385637</v>
      </c>
      <c r="N1550" s="8">
        <f t="shared" si="171"/>
        <v>-7.2527526627219716E-2</v>
      </c>
      <c r="O1550" s="8"/>
      <c r="P1550" t="s">
        <v>1837</v>
      </c>
      <c r="Q1550">
        <v>36</v>
      </c>
      <c r="R1550" s="8">
        <v>2.8323800000000001</v>
      </c>
      <c r="S1550">
        <v>8</v>
      </c>
      <c r="T1550" s="8">
        <f t="shared" si="172"/>
        <v>0.22222222222222221</v>
      </c>
      <c r="U1550" s="8">
        <v>2.8174199999999998</v>
      </c>
      <c r="V1550">
        <v>22</v>
      </c>
      <c r="W1550" s="8">
        <f t="shared" si="173"/>
        <v>0.61111111111111116</v>
      </c>
      <c r="X1550" s="8">
        <v>2.8469799999999998</v>
      </c>
      <c r="Y1550">
        <v>6</v>
      </c>
      <c r="Z1550" s="8">
        <f t="shared" si="174"/>
        <v>0.16666666666666666</v>
      </c>
      <c r="AA1550" s="8">
        <v>2.7988200000000001</v>
      </c>
    </row>
    <row r="1551" spans="1:27" ht="15" customHeight="1" x14ac:dyDescent="0.25">
      <c r="A1551" s="14">
        <v>731</v>
      </c>
      <c r="B1551" s="14">
        <v>731</v>
      </c>
      <c r="C1551" s="36">
        <v>-12269.873799999999</v>
      </c>
      <c r="D1551" s="16">
        <v>-12271.274673</v>
      </c>
      <c r="E1551" s="14"/>
      <c r="F1551" s="37">
        <v>0.99361200000000005</v>
      </c>
      <c r="G1551" s="16">
        <v>0.17223999999999901</v>
      </c>
      <c r="H1551" s="14">
        <v>6</v>
      </c>
      <c r="I1551" s="14">
        <v>7</v>
      </c>
      <c r="J1551" s="32"/>
      <c r="K1551" s="8">
        <f t="shared" si="168"/>
        <v>-0.71646923076878011</v>
      </c>
      <c r="L1551" s="8">
        <f t="shared" si="169"/>
        <v>-5.5113017751444622E-2</v>
      </c>
      <c r="M1551" s="8">
        <f t="shared" si="170"/>
        <v>-0.64108084615327243</v>
      </c>
      <c r="N1551" s="8">
        <f t="shared" si="171"/>
        <v>-4.9313911242559419E-2</v>
      </c>
      <c r="O1551" s="8"/>
      <c r="P1551" t="s">
        <v>1838</v>
      </c>
      <c r="Q1551">
        <v>35</v>
      </c>
      <c r="R1551" s="8">
        <v>2.82457</v>
      </c>
      <c r="S1551">
        <v>11</v>
      </c>
      <c r="T1551" s="8">
        <f t="shared" si="172"/>
        <v>0.31428571428571428</v>
      </c>
      <c r="U1551" s="8">
        <v>2.8268599999999999</v>
      </c>
      <c r="V1551">
        <v>17</v>
      </c>
      <c r="W1551" s="8">
        <f t="shared" si="173"/>
        <v>0.48571428571428571</v>
      </c>
      <c r="X1551" s="8">
        <v>2.83508</v>
      </c>
      <c r="Y1551">
        <v>7</v>
      </c>
      <c r="Z1551" s="8">
        <f t="shared" si="174"/>
        <v>0.2</v>
      </c>
      <c r="AA1551" s="8">
        <v>2.7954699999999999</v>
      </c>
    </row>
    <row r="1552" spans="1:27" ht="15" customHeight="1" x14ac:dyDescent="0.25">
      <c r="A1552" s="14">
        <v>732</v>
      </c>
      <c r="B1552" s="14">
        <v>732</v>
      </c>
      <c r="C1552" s="36">
        <v>-12269.987999999999</v>
      </c>
      <c r="D1552" s="16">
        <v>-12271.695921</v>
      </c>
      <c r="E1552" s="14"/>
      <c r="F1552" s="37">
        <v>0.99621199999999999</v>
      </c>
      <c r="G1552" s="16">
        <v>0.18801999999999899</v>
      </c>
      <c r="H1552" s="14">
        <v>6</v>
      </c>
      <c r="I1552" s="14">
        <v>7</v>
      </c>
      <c r="J1552" s="32"/>
      <c r="K1552" s="8">
        <f t="shared" si="168"/>
        <v>-0.83066923076876265</v>
      </c>
      <c r="L1552" s="8">
        <f t="shared" si="169"/>
        <v>-6.389763313605866E-2</v>
      </c>
      <c r="M1552" s="8">
        <f t="shared" si="170"/>
        <v>-1.0623288461538323</v>
      </c>
      <c r="N1552" s="8">
        <f t="shared" si="171"/>
        <v>-8.1717603550294796E-2</v>
      </c>
      <c r="O1552" s="8"/>
      <c r="P1552" t="s">
        <v>1839</v>
      </c>
      <c r="Q1552">
        <v>35</v>
      </c>
      <c r="R1552" s="8">
        <v>2.82429</v>
      </c>
      <c r="S1552">
        <v>10</v>
      </c>
      <c r="T1552" s="8">
        <f t="shared" si="172"/>
        <v>0.2857142857142857</v>
      </c>
      <c r="U1552" s="8">
        <v>2.835</v>
      </c>
      <c r="V1552">
        <v>19</v>
      </c>
      <c r="W1552" s="8">
        <f t="shared" si="173"/>
        <v>0.54285714285714282</v>
      </c>
      <c r="X1552" s="8">
        <v>2.8177099999999999</v>
      </c>
      <c r="Y1552">
        <v>6</v>
      </c>
      <c r="Z1552" s="8">
        <f t="shared" si="174"/>
        <v>0.17142857142857143</v>
      </c>
      <c r="AA1552" s="8">
        <v>2.8272900000000001</v>
      </c>
    </row>
    <row r="1553" spans="1:27" ht="15" customHeight="1" x14ac:dyDescent="0.25">
      <c r="A1553" s="14">
        <v>733</v>
      </c>
      <c r="B1553" s="14">
        <v>733</v>
      </c>
      <c r="C1553" s="36">
        <v>-12269.6998</v>
      </c>
      <c r="D1553" s="16">
        <v>-12271.124126000001</v>
      </c>
      <c r="E1553" s="14"/>
      <c r="F1553" s="37">
        <v>0.99194400000000005</v>
      </c>
      <c r="G1553" s="16">
        <v>0.16528000000000001</v>
      </c>
      <c r="H1553" s="14">
        <v>6</v>
      </c>
      <c r="I1553" s="14">
        <v>7</v>
      </c>
      <c r="J1553" s="32"/>
      <c r="K1553" s="8">
        <f t="shared" si="168"/>
        <v>-0.54246923076971143</v>
      </c>
      <c r="L1553" s="8">
        <f t="shared" si="169"/>
        <v>-4.1728402366900882E-2</v>
      </c>
      <c r="M1553" s="8">
        <f t="shared" si="170"/>
        <v>-0.49053384615399409</v>
      </c>
      <c r="N1553" s="8">
        <f t="shared" si="171"/>
        <v>-3.7733372781076469E-2</v>
      </c>
      <c r="O1553" s="8"/>
      <c r="P1553" t="s">
        <v>1840</v>
      </c>
      <c r="Q1553">
        <v>36</v>
      </c>
      <c r="R1553" s="8">
        <v>2.84273</v>
      </c>
      <c r="S1553">
        <v>13</v>
      </c>
      <c r="T1553" s="8">
        <f t="shared" si="172"/>
        <v>0.3611111111111111</v>
      </c>
      <c r="U1553" s="8">
        <v>2.8650500000000001</v>
      </c>
      <c r="V1553">
        <v>16</v>
      </c>
      <c r="W1553" s="8">
        <f t="shared" si="173"/>
        <v>0.44444444444444442</v>
      </c>
      <c r="X1553" s="8">
        <v>2.82687</v>
      </c>
      <c r="Y1553">
        <v>7</v>
      </c>
      <c r="Z1553" s="8">
        <f t="shared" si="174"/>
        <v>0.19444444444444445</v>
      </c>
      <c r="AA1553" s="8">
        <v>2.83752</v>
      </c>
    </row>
    <row r="1554" spans="1:27" ht="15" customHeight="1" x14ac:dyDescent="0.25">
      <c r="A1554" s="14">
        <v>734</v>
      </c>
      <c r="B1554" s="14">
        <v>734</v>
      </c>
      <c r="C1554" s="36">
        <v>-12270.033100000001</v>
      </c>
      <c r="D1554" s="16">
        <v>-12271.693407999999</v>
      </c>
      <c r="E1554" s="14"/>
      <c r="F1554" s="37">
        <v>0.99625600000000003</v>
      </c>
      <c r="G1554" s="16">
        <v>0.18812000000000001</v>
      </c>
      <c r="H1554" s="14">
        <v>6</v>
      </c>
      <c r="I1554" s="14">
        <v>7</v>
      </c>
      <c r="J1554" s="32"/>
      <c r="K1554" s="8">
        <f t="shared" si="168"/>
        <v>-0.87576923076994717</v>
      </c>
      <c r="L1554" s="8">
        <f t="shared" si="169"/>
        <v>-6.7366863905380547E-2</v>
      </c>
      <c r="M1554" s="8">
        <f t="shared" si="170"/>
        <v>-1.05981584615256</v>
      </c>
      <c r="N1554" s="8">
        <f t="shared" si="171"/>
        <v>-8.1524295857889229E-2</v>
      </c>
      <c r="O1554" s="8"/>
      <c r="P1554" t="s">
        <v>1841</v>
      </c>
      <c r="Q1554">
        <v>35</v>
      </c>
      <c r="R1554" s="8">
        <v>2.82545</v>
      </c>
      <c r="S1554">
        <v>10</v>
      </c>
      <c r="T1554" s="8">
        <f t="shared" si="172"/>
        <v>0.2857142857142857</v>
      </c>
      <c r="U1554" s="8">
        <v>2.8449599999999999</v>
      </c>
      <c r="V1554">
        <v>19</v>
      </c>
      <c r="W1554" s="8">
        <f t="shared" si="173"/>
        <v>0.54285714285714282</v>
      </c>
      <c r="X1554" s="8">
        <v>2.8167599999999999</v>
      </c>
      <c r="Y1554">
        <v>6</v>
      </c>
      <c r="Z1554" s="8">
        <f t="shared" si="174"/>
        <v>0.17142857142857143</v>
      </c>
      <c r="AA1554" s="8">
        <v>2.8204500000000001</v>
      </c>
    </row>
    <row r="1555" spans="1:27" ht="15" customHeight="1" x14ac:dyDescent="0.25">
      <c r="A1555" s="14">
        <v>735</v>
      </c>
      <c r="B1555" s="14">
        <v>735</v>
      </c>
      <c r="C1555" s="36">
        <v>-12270.1633</v>
      </c>
      <c r="D1555" s="16">
        <v>-12272.000515</v>
      </c>
      <c r="E1555" s="14"/>
      <c r="F1555" s="37">
        <v>0.99780899999999995</v>
      </c>
      <c r="G1555" s="16">
        <v>0.20441999999999999</v>
      </c>
      <c r="H1555" s="14">
        <v>6</v>
      </c>
      <c r="I1555" s="14">
        <v>7</v>
      </c>
      <c r="J1555" s="32"/>
      <c r="K1555" s="8">
        <f t="shared" si="168"/>
        <v>-1.0059692307695514</v>
      </c>
      <c r="L1555" s="8">
        <f t="shared" si="169"/>
        <v>-7.738224852073472E-2</v>
      </c>
      <c r="M1555" s="8">
        <f t="shared" si="170"/>
        <v>-1.366922846153102</v>
      </c>
      <c r="N1555" s="8">
        <f t="shared" si="171"/>
        <v>-0.10514791124254631</v>
      </c>
      <c r="O1555" s="8"/>
      <c r="P1555" t="s">
        <v>1842</v>
      </c>
      <c r="Q1555">
        <v>35</v>
      </c>
      <c r="R1555" s="8">
        <v>2.8228399999999998</v>
      </c>
      <c r="S1555">
        <v>9</v>
      </c>
      <c r="T1555" s="8">
        <f t="shared" si="172"/>
        <v>0.25714285714285712</v>
      </c>
      <c r="U1555" s="8">
        <v>2.8315000000000001</v>
      </c>
      <c r="V1555">
        <v>21</v>
      </c>
      <c r="W1555" s="8">
        <f t="shared" si="173"/>
        <v>0.6</v>
      </c>
      <c r="X1555" s="8">
        <v>2.8204899999999999</v>
      </c>
      <c r="Y1555">
        <v>5</v>
      </c>
      <c r="Z1555" s="8">
        <f t="shared" si="174"/>
        <v>0.14285714285714285</v>
      </c>
      <c r="AA1555" s="8">
        <v>2.8171200000000001</v>
      </c>
    </row>
    <row r="1556" spans="1:27" ht="15" customHeight="1" x14ac:dyDescent="0.25">
      <c r="A1556" s="14">
        <v>736</v>
      </c>
      <c r="B1556" s="14">
        <v>736</v>
      </c>
      <c r="C1556" s="36">
        <v>-12269.856900000001</v>
      </c>
      <c r="D1556" s="16">
        <v>-12271.862203999999</v>
      </c>
      <c r="E1556" s="14"/>
      <c r="F1556" s="37">
        <v>0.99422200000000005</v>
      </c>
      <c r="G1556" s="16">
        <v>0.175319999999999</v>
      </c>
      <c r="H1556" s="14">
        <v>6</v>
      </c>
      <c r="I1556" s="14">
        <v>7</v>
      </c>
      <c r="J1556" s="32"/>
      <c r="K1556" s="8">
        <f t="shared" si="168"/>
        <v>-0.6995692307700665</v>
      </c>
      <c r="L1556" s="8">
        <f t="shared" si="169"/>
        <v>-5.3813017751543575E-2</v>
      </c>
      <c r="M1556" s="8">
        <f t="shared" si="170"/>
        <v>-1.2286118461524893</v>
      </c>
      <c r="N1556" s="8">
        <f t="shared" si="171"/>
        <v>-9.4508603550191486E-2</v>
      </c>
      <c r="O1556" s="8"/>
      <c r="P1556" t="s">
        <v>1843</v>
      </c>
      <c r="Q1556">
        <v>35</v>
      </c>
      <c r="R1556" s="8">
        <v>2.8275199999999998</v>
      </c>
      <c r="S1556">
        <v>11</v>
      </c>
      <c r="T1556" s="8">
        <f t="shared" si="172"/>
        <v>0.31428571428571428</v>
      </c>
      <c r="U1556" s="8">
        <v>2.8349199999999999</v>
      </c>
      <c r="V1556">
        <v>18</v>
      </c>
      <c r="W1556" s="8">
        <f t="shared" si="173"/>
        <v>0.51428571428571423</v>
      </c>
      <c r="X1556" s="8">
        <v>2.8071999999999999</v>
      </c>
      <c r="Y1556">
        <v>6</v>
      </c>
      <c r="Z1556" s="8">
        <f t="shared" si="174"/>
        <v>0.17142857142857143</v>
      </c>
      <c r="AA1556" s="8">
        <v>2.8749099999999999</v>
      </c>
    </row>
    <row r="1557" spans="1:27" ht="15" customHeight="1" x14ac:dyDescent="0.25">
      <c r="A1557" s="14">
        <v>737</v>
      </c>
      <c r="B1557" s="14">
        <v>737</v>
      </c>
      <c r="C1557" s="36">
        <v>-12269.9385</v>
      </c>
      <c r="D1557" s="16">
        <v>-12271.643113</v>
      </c>
      <c r="E1557" s="14"/>
      <c r="F1557" s="37">
        <v>0.99426000000000003</v>
      </c>
      <c r="G1557" s="16">
        <v>0.17549999999999999</v>
      </c>
      <c r="H1557" s="14">
        <v>6</v>
      </c>
      <c r="I1557" s="14">
        <v>7</v>
      </c>
      <c r="J1557" s="32"/>
      <c r="K1557" s="8">
        <f t="shared" si="168"/>
        <v>-0.7811692307695921</v>
      </c>
      <c r="L1557" s="8">
        <f t="shared" si="169"/>
        <v>-6.0089940828430159E-2</v>
      </c>
      <c r="M1557" s="8">
        <f t="shared" si="170"/>
        <v>-1.0095208461534639</v>
      </c>
      <c r="N1557" s="8">
        <f t="shared" si="171"/>
        <v>-7.7655449704112617E-2</v>
      </c>
      <c r="O1557" s="8"/>
      <c r="P1557" t="s">
        <v>1844</v>
      </c>
      <c r="Q1557">
        <v>36</v>
      </c>
      <c r="R1557" s="8">
        <v>2.8417699999999999</v>
      </c>
      <c r="S1557">
        <v>11</v>
      </c>
      <c r="T1557" s="8">
        <f t="shared" si="172"/>
        <v>0.30555555555555558</v>
      </c>
      <c r="U1557" s="8">
        <v>2.8968400000000001</v>
      </c>
      <c r="V1557">
        <v>20</v>
      </c>
      <c r="W1557" s="8">
        <f t="shared" si="173"/>
        <v>0.55555555555555558</v>
      </c>
      <c r="X1557" s="8">
        <v>2.8088500000000001</v>
      </c>
      <c r="Y1557">
        <v>5</v>
      </c>
      <c r="Z1557" s="8">
        <f t="shared" si="174"/>
        <v>0.1388888888888889</v>
      </c>
      <c r="AA1557" s="8">
        <v>2.85229</v>
      </c>
    </row>
    <row r="1558" spans="1:27" ht="15" customHeight="1" x14ac:dyDescent="0.25">
      <c r="A1558" s="14">
        <v>738</v>
      </c>
      <c r="B1558" s="14">
        <v>738</v>
      </c>
      <c r="C1558" s="36">
        <v>-12270.0579</v>
      </c>
      <c r="D1558" s="16">
        <v>-12271.466467</v>
      </c>
      <c r="E1558" s="14"/>
      <c r="F1558" s="37">
        <v>0.99676100000000001</v>
      </c>
      <c r="G1558" s="16">
        <v>0.17302000000000001</v>
      </c>
      <c r="H1558" s="14">
        <v>6</v>
      </c>
      <c r="I1558" s="14">
        <v>7</v>
      </c>
      <c r="J1558" s="32"/>
      <c r="K1558" s="8">
        <f t="shared" si="168"/>
        <v>-0.90056923076917883</v>
      </c>
      <c r="L1558" s="8">
        <f t="shared" si="169"/>
        <v>-6.927455621301376E-2</v>
      </c>
      <c r="M1558" s="8">
        <f t="shared" si="170"/>
        <v>-0.83287484615357243</v>
      </c>
      <c r="N1558" s="8">
        <f t="shared" si="171"/>
        <v>-6.406729585796711E-2</v>
      </c>
      <c r="O1558" s="8"/>
      <c r="P1558" t="s">
        <v>1845</v>
      </c>
      <c r="Q1558">
        <v>36</v>
      </c>
      <c r="R1558" s="8">
        <v>2.8377300000000001</v>
      </c>
      <c r="S1558">
        <v>11</v>
      </c>
      <c r="T1558" s="8">
        <f t="shared" si="172"/>
        <v>0.30555555555555558</v>
      </c>
      <c r="U1558" s="8">
        <v>2.8692799999999998</v>
      </c>
      <c r="V1558">
        <v>20</v>
      </c>
      <c r="W1558" s="8">
        <f t="shared" si="173"/>
        <v>0.55555555555555558</v>
      </c>
      <c r="X1558" s="8">
        <v>2.8303400000000001</v>
      </c>
      <c r="Y1558">
        <v>5</v>
      </c>
      <c r="Z1558" s="8">
        <f t="shared" si="174"/>
        <v>0.1388888888888889</v>
      </c>
      <c r="AA1558" s="8">
        <v>2.7978700000000001</v>
      </c>
    </row>
    <row r="1559" spans="1:27" ht="15" customHeight="1" x14ac:dyDescent="0.25">
      <c r="A1559" s="14">
        <v>739</v>
      </c>
      <c r="B1559" s="14">
        <v>739</v>
      </c>
      <c r="C1559" s="36">
        <v>-12270.0666</v>
      </c>
      <c r="D1559" s="16">
        <v>-12272.196362999999</v>
      </c>
      <c r="E1559" s="14"/>
      <c r="F1559" s="37">
        <v>0.99768500000000004</v>
      </c>
      <c r="G1559" s="16">
        <v>0.20280999999999899</v>
      </c>
      <c r="H1559" s="14">
        <v>6</v>
      </c>
      <c r="I1559" s="14">
        <v>7</v>
      </c>
      <c r="J1559" s="32"/>
      <c r="K1559" s="8">
        <f t="shared" si="168"/>
        <v>-0.90926923076949606</v>
      </c>
      <c r="L1559" s="8">
        <f t="shared" si="169"/>
        <v>-6.9943786982268927E-2</v>
      </c>
      <c r="M1559" s="8">
        <f t="shared" si="170"/>
        <v>-1.562770846152489</v>
      </c>
      <c r="N1559" s="8">
        <f t="shared" si="171"/>
        <v>-0.12021314201172992</v>
      </c>
      <c r="O1559" s="8"/>
      <c r="P1559" t="s">
        <v>1846</v>
      </c>
      <c r="Q1559">
        <v>36</v>
      </c>
      <c r="R1559" s="8">
        <v>2.8347899999999999</v>
      </c>
      <c r="S1559">
        <v>8</v>
      </c>
      <c r="T1559" s="8">
        <f t="shared" si="172"/>
        <v>0.22222222222222221</v>
      </c>
      <c r="U1559" s="8">
        <v>2.8306499999999999</v>
      </c>
      <c r="V1559">
        <v>22</v>
      </c>
      <c r="W1559" s="8">
        <f t="shared" si="173"/>
        <v>0.61111111111111116</v>
      </c>
      <c r="X1559" s="8">
        <v>2.84612</v>
      </c>
      <c r="Y1559">
        <v>6</v>
      </c>
      <c r="Z1559" s="8">
        <f t="shared" si="174"/>
        <v>0.16666666666666666</v>
      </c>
      <c r="AA1559" s="8">
        <v>2.7987799999999998</v>
      </c>
    </row>
    <row r="1560" spans="1:27" ht="15" customHeight="1" x14ac:dyDescent="0.25">
      <c r="A1560" s="14">
        <v>740</v>
      </c>
      <c r="B1560" s="14">
        <v>740</v>
      </c>
      <c r="C1560" s="36">
        <v>-12269.8948</v>
      </c>
      <c r="D1560" s="16">
        <v>-12271.314188</v>
      </c>
      <c r="E1560" s="14"/>
      <c r="F1560" s="37">
        <v>0.99571600000000005</v>
      </c>
      <c r="G1560" s="16">
        <v>0.18426000000000001</v>
      </c>
      <c r="H1560" s="14">
        <v>6</v>
      </c>
      <c r="I1560" s="14">
        <v>7</v>
      </c>
      <c r="J1560" s="32"/>
      <c r="K1560" s="8">
        <f t="shared" si="168"/>
        <v>-0.73746923076942039</v>
      </c>
      <c r="L1560" s="8">
        <f t="shared" si="169"/>
        <v>-5.672840236687849E-2</v>
      </c>
      <c r="M1560" s="8">
        <f t="shared" si="170"/>
        <v>-0.68059584615366475</v>
      </c>
      <c r="N1560" s="8">
        <f t="shared" si="171"/>
        <v>-5.235352662720498E-2</v>
      </c>
      <c r="O1560" s="8"/>
      <c r="P1560" t="s">
        <v>1847</v>
      </c>
      <c r="Q1560">
        <v>35</v>
      </c>
      <c r="R1560" s="8">
        <v>2.8292700000000002</v>
      </c>
      <c r="S1560">
        <v>10</v>
      </c>
      <c r="T1560" s="8">
        <f t="shared" si="172"/>
        <v>0.2857142857142857</v>
      </c>
      <c r="U1560" s="8">
        <v>2.8654299999999999</v>
      </c>
      <c r="V1560">
        <v>19</v>
      </c>
      <c r="W1560" s="8">
        <f t="shared" si="173"/>
        <v>0.54285714285714282</v>
      </c>
      <c r="X1560" s="8">
        <v>2.8218299999999998</v>
      </c>
      <c r="Y1560">
        <v>6</v>
      </c>
      <c r="Z1560" s="8">
        <f t="shared" si="174"/>
        <v>0.17142857142857143</v>
      </c>
      <c r="AA1560" s="8">
        <v>2.7925499999999999</v>
      </c>
    </row>
    <row r="1561" spans="1:27" ht="15" customHeight="1" x14ac:dyDescent="0.25">
      <c r="A1561" s="14">
        <v>741</v>
      </c>
      <c r="B1561" s="14">
        <v>741</v>
      </c>
      <c r="C1561" s="36">
        <v>-12270.013499999999</v>
      </c>
      <c r="D1561" s="16">
        <v>-12271.599351000001</v>
      </c>
      <c r="E1561" s="14"/>
      <c r="F1561" s="37">
        <v>0.99641100000000005</v>
      </c>
      <c r="G1561" s="16">
        <v>0.18964999999999901</v>
      </c>
      <c r="H1561" s="14">
        <v>6</v>
      </c>
      <c r="I1561" s="14">
        <v>7</v>
      </c>
      <c r="J1561" s="32"/>
      <c r="K1561" s="8">
        <f t="shared" si="168"/>
        <v>-0.85616923076850071</v>
      </c>
      <c r="L1561" s="8">
        <f t="shared" si="169"/>
        <v>-6.5859171597576982E-2</v>
      </c>
      <c r="M1561" s="8">
        <f t="shared" si="170"/>
        <v>-0.96575884615413088</v>
      </c>
      <c r="N1561" s="8">
        <f t="shared" si="171"/>
        <v>-7.4289142011856227E-2</v>
      </c>
      <c r="O1561" s="8"/>
      <c r="P1561" t="s">
        <v>1848</v>
      </c>
      <c r="Q1561">
        <v>35</v>
      </c>
      <c r="R1561" s="8">
        <v>2.8258299999999998</v>
      </c>
      <c r="S1561">
        <v>8</v>
      </c>
      <c r="T1561" s="8">
        <f t="shared" si="172"/>
        <v>0.22857142857142856</v>
      </c>
      <c r="U1561" s="8">
        <v>2.8242600000000002</v>
      </c>
      <c r="V1561">
        <v>21</v>
      </c>
      <c r="W1561" s="8">
        <f t="shared" si="173"/>
        <v>0.6</v>
      </c>
      <c r="X1561" s="8">
        <v>2.8212799999999998</v>
      </c>
      <c r="Y1561">
        <v>6</v>
      </c>
      <c r="Z1561" s="8">
        <f t="shared" si="174"/>
        <v>0.17142857142857143</v>
      </c>
      <c r="AA1561" s="8">
        <v>2.8438699999999999</v>
      </c>
    </row>
    <row r="1562" spans="1:27" ht="15" customHeight="1" x14ac:dyDescent="0.25">
      <c r="A1562" s="14">
        <v>742</v>
      </c>
      <c r="B1562" s="14">
        <v>742</v>
      </c>
      <c r="C1562" s="36">
        <v>-12270.028399999999</v>
      </c>
      <c r="D1562" s="16">
        <v>-12271.842434</v>
      </c>
      <c r="E1562" s="14"/>
      <c r="F1562" s="37">
        <v>0.99649299999999996</v>
      </c>
      <c r="G1562" s="16">
        <v>0.18823999999999999</v>
      </c>
      <c r="H1562" s="14">
        <v>6</v>
      </c>
      <c r="I1562" s="14">
        <v>7</v>
      </c>
      <c r="J1562" s="32"/>
      <c r="K1562" s="8">
        <f t="shared" si="168"/>
        <v>-0.87106923076862586</v>
      </c>
      <c r="L1562" s="8">
        <f t="shared" si="169"/>
        <v>-6.7005325443740452E-2</v>
      </c>
      <c r="M1562" s="8">
        <f t="shared" si="170"/>
        <v>-1.2088418461535184</v>
      </c>
      <c r="N1562" s="8">
        <f t="shared" si="171"/>
        <v>-9.2987834319501417E-2</v>
      </c>
      <c r="O1562" s="8"/>
      <c r="P1562" t="s">
        <v>1849</v>
      </c>
      <c r="Q1562">
        <v>36</v>
      </c>
      <c r="R1562" s="8">
        <v>2.8345799999999999</v>
      </c>
      <c r="S1562">
        <v>10</v>
      </c>
      <c r="T1562" s="8">
        <f t="shared" si="172"/>
        <v>0.27777777777777779</v>
      </c>
      <c r="U1562" s="8">
        <v>2.8418600000000001</v>
      </c>
      <c r="V1562">
        <v>20</v>
      </c>
      <c r="W1562" s="8">
        <f t="shared" si="173"/>
        <v>0.55555555555555558</v>
      </c>
      <c r="X1562" s="8">
        <v>2.8405800000000001</v>
      </c>
      <c r="Y1562">
        <v>6</v>
      </c>
      <c r="Z1562" s="8">
        <f t="shared" si="174"/>
        <v>0.16666666666666666</v>
      </c>
      <c r="AA1562" s="8">
        <v>2.80246</v>
      </c>
    </row>
    <row r="1563" spans="1:27" ht="15" customHeight="1" x14ac:dyDescent="0.25">
      <c r="A1563" s="14">
        <v>743</v>
      </c>
      <c r="B1563" s="14">
        <v>743</v>
      </c>
      <c r="C1563" s="36">
        <v>-12269.900299999999</v>
      </c>
      <c r="D1563" s="16">
        <v>-12271.320695</v>
      </c>
      <c r="E1563" s="14"/>
      <c r="F1563" s="37">
        <v>0.99668199999999996</v>
      </c>
      <c r="G1563" s="16">
        <v>0.19198000000000001</v>
      </c>
      <c r="H1563" s="14">
        <v>6</v>
      </c>
      <c r="I1563" s="14">
        <v>7</v>
      </c>
      <c r="J1563" s="32"/>
      <c r="K1563" s="8">
        <f t="shared" si="168"/>
        <v>-0.7429692307687219</v>
      </c>
      <c r="L1563" s="8">
        <f t="shared" si="169"/>
        <v>-5.7151479289901684E-2</v>
      </c>
      <c r="M1563" s="8">
        <f t="shared" si="170"/>
        <v>-0.68710284615372075</v>
      </c>
      <c r="N1563" s="8">
        <f t="shared" si="171"/>
        <v>-5.2854065088747751E-2</v>
      </c>
      <c r="O1563" s="8"/>
      <c r="P1563" t="s">
        <v>1850</v>
      </c>
      <c r="Q1563">
        <v>36</v>
      </c>
      <c r="R1563" s="8">
        <v>2.8345600000000002</v>
      </c>
      <c r="S1563">
        <v>11</v>
      </c>
      <c r="T1563" s="8">
        <f t="shared" si="172"/>
        <v>0.30555555555555558</v>
      </c>
      <c r="U1563" s="8">
        <v>2.8268399999999998</v>
      </c>
      <c r="V1563">
        <v>18</v>
      </c>
      <c r="W1563" s="8">
        <f t="shared" si="173"/>
        <v>0.5</v>
      </c>
      <c r="X1563" s="8">
        <v>2.84944</v>
      </c>
      <c r="Y1563">
        <v>7</v>
      </c>
      <c r="Z1563" s="8">
        <f t="shared" si="174"/>
        <v>0.19444444444444445</v>
      </c>
      <c r="AA1563" s="8">
        <v>2.80843</v>
      </c>
    </row>
    <row r="1564" spans="1:27" ht="15" customHeight="1" x14ac:dyDescent="0.25">
      <c r="A1564" s="14">
        <v>744</v>
      </c>
      <c r="B1564" s="14">
        <v>744</v>
      </c>
      <c r="C1564" s="36">
        <v>-12269.877399999999</v>
      </c>
      <c r="D1564" s="16">
        <v>-12271.343317000001</v>
      </c>
      <c r="E1564" s="14"/>
      <c r="F1564" s="37">
        <v>0.99507500000000004</v>
      </c>
      <c r="G1564" s="16">
        <v>0.18014999999999901</v>
      </c>
      <c r="H1564" s="14">
        <v>6</v>
      </c>
      <c r="I1564" s="14">
        <v>7</v>
      </c>
      <c r="J1564" s="32"/>
      <c r="K1564" s="8">
        <f t="shared" si="168"/>
        <v>-0.72006923076878593</v>
      </c>
      <c r="L1564" s="8">
        <f t="shared" si="169"/>
        <v>-5.538994082836815E-2</v>
      </c>
      <c r="M1564" s="8">
        <f t="shared" si="170"/>
        <v>-0.70972484615413123</v>
      </c>
      <c r="N1564" s="8">
        <f t="shared" si="171"/>
        <v>-5.4594218934933172E-2</v>
      </c>
      <c r="O1564" s="8"/>
      <c r="P1564" t="s">
        <v>1851</v>
      </c>
      <c r="Q1564">
        <v>34</v>
      </c>
      <c r="R1564" s="8">
        <v>2.8154300000000001</v>
      </c>
      <c r="S1564">
        <v>12</v>
      </c>
      <c r="T1564" s="8">
        <f t="shared" si="172"/>
        <v>0.35294117647058826</v>
      </c>
      <c r="U1564" s="8">
        <v>2.8487100000000001</v>
      </c>
      <c r="V1564">
        <v>17</v>
      </c>
      <c r="W1564" s="8">
        <f t="shared" si="173"/>
        <v>0.5</v>
      </c>
      <c r="X1564" s="8">
        <v>2.80193</v>
      </c>
      <c r="Y1564">
        <v>5</v>
      </c>
      <c r="Z1564" s="8">
        <f t="shared" si="174"/>
        <v>0.14705882352941177</v>
      </c>
      <c r="AA1564" s="8">
        <v>2.7814899999999998</v>
      </c>
    </row>
    <row r="1565" spans="1:27" ht="15" customHeight="1" x14ac:dyDescent="0.25">
      <c r="A1565" s="14">
        <v>745</v>
      </c>
      <c r="B1565" s="14">
        <v>745</v>
      </c>
      <c r="C1565" s="36">
        <v>-12269.8053</v>
      </c>
      <c r="D1565" s="16">
        <v>-12271.405669</v>
      </c>
      <c r="E1565" s="14"/>
      <c r="F1565" s="37">
        <v>0.99398399999999998</v>
      </c>
      <c r="G1565" s="16">
        <v>0.17410999999999899</v>
      </c>
      <c r="H1565" s="14">
        <v>6</v>
      </c>
      <c r="I1565" s="14">
        <v>7</v>
      </c>
      <c r="J1565" s="32"/>
      <c r="K1565" s="8">
        <f t="shared" si="168"/>
        <v>-0.64796923076937674</v>
      </c>
      <c r="L1565" s="8">
        <f t="shared" si="169"/>
        <v>-4.9843786982259747E-2</v>
      </c>
      <c r="M1565" s="8">
        <f t="shared" si="170"/>
        <v>-0.77207684615314065</v>
      </c>
      <c r="N1565" s="8">
        <f t="shared" si="171"/>
        <v>-5.9390526627164666E-2</v>
      </c>
      <c r="O1565" s="8"/>
      <c r="P1565" t="s">
        <v>1852</v>
      </c>
      <c r="Q1565">
        <v>34</v>
      </c>
      <c r="R1565" s="8">
        <v>2.81223</v>
      </c>
      <c r="S1565">
        <v>11</v>
      </c>
      <c r="T1565" s="8">
        <f t="shared" si="172"/>
        <v>0.3235294117647059</v>
      </c>
      <c r="U1565" s="8">
        <v>2.8304399999999998</v>
      </c>
      <c r="V1565">
        <v>18</v>
      </c>
      <c r="W1565" s="8">
        <f t="shared" si="173"/>
        <v>0.52941176470588236</v>
      </c>
      <c r="X1565" s="8">
        <v>2.7990200000000001</v>
      </c>
      <c r="Y1565">
        <v>5</v>
      </c>
      <c r="Z1565" s="8">
        <f t="shared" si="174"/>
        <v>0.14705882352941177</v>
      </c>
      <c r="AA1565" s="8">
        <v>2.8197299999999998</v>
      </c>
    </row>
    <row r="1566" spans="1:27" ht="15" customHeight="1" x14ac:dyDescent="0.25">
      <c r="A1566" s="14">
        <v>746</v>
      </c>
      <c r="B1566" s="14">
        <v>746</v>
      </c>
      <c r="C1566" s="36">
        <v>-12269.8369</v>
      </c>
      <c r="D1566" s="16">
        <v>-12271.519340000001</v>
      </c>
      <c r="E1566" s="14"/>
      <c r="F1566" s="37">
        <v>0.99387000000000003</v>
      </c>
      <c r="G1566" s="16">
        <v>0.17352999999999999</v>
      </c>
      <c r="H1566" s="14">
        <v>6</v>
      </c>
      <c r="I1566" s="14">
        <v>7</v>
      </c>
      <c r="J1566" s="32"/>
      <c r="K1566" s="8">
        <f t="shared" si="168"/>
        <v>-0.67956923076962994</v>
      </c>
      <c r="L1566" s="8">
        <f t="shared" si="169"/>
        <v>-5.2274556213048454E-2</v>
      </c>
      <c r="M1566" s="8">
        <f t="shared" si="170"/>
        <v>-0.88574784615411772</v>
      </c>
      <c r="N1566" s="8">
        <f t="shared" si="171"/>
        <v>-6.8134449704162908E-2</v>
      </c>
      <c r="O1566" s="8"/>
      <c r="P1566" t="s">
        <v>1853</v>
      </c>
      <c r="Q1566">
        <v>36</v>
      </c>
      <c r="R1566" s="8">
        <v>2.8442099999999999</v>
      </c>
      <c r="S1566">
        <v>12</v>
      </c>
      <c r="T1566" s="8">
        <f t="shared" si="172"/>
        <v>0.33333333333333331</v>
      </c>
      <c r="U1566" s="8">
        <v>2.87616</v>
      </c>
      <c r="V1566">
        <v>18</v>
      </c>
      <c r="W1566" s="8">
        <f t="shared" si="173"/>
        <v>0.5</v>
      </c>
      <c r="X1566" s="8">
        <v>2.80389</v>
      </c>
      <c r="Y1566">
        <v>6</v>
      </c>
      <c r="Z1566" s="8">
        <f t="shared" si="174"/>
        <v>0.16666666666666666</v>
      </c>
      <c r="AA1566" s="8">
        <v>2.9012500000000001</v>
      </c>
    </row>
    <row r="1567" spans="1:27" ht="15" customHeight="1" x14ac:dyDescent="0.25">
      <c r="A1567" s="14">
        <v>747</v>
      </c>
      <c r="B1567" s="14">
        <v>747</v>
      </c>
      <c r="C1567" s="36">
        <v>-12269.8606</v>
      </c>
      <c r="D1567" s="16">
        <v>-12271.585498</v>
      </c>
      <c r="E1567" s="14"/>
      <c r="F1567" s="37">
        <v>0.99045700000000003</v>
      </c>
      <c r="G1567" s="16">
        <v>0.16023999999999899</v>
      </c>
      <c r="H1567" s="14">
        <v>6</v>
      </c>
      <c r="I1567" s="14">
        <v>7</v>
      </c>
      <c r="J1567" s="32"/>
      <c r="K1567" s="8">
        <f t="shared" si="168"/>
        <v>-0.70326923076936509</v>
      </c>
      <c r="L1567" s="8">
        <f t="shared" si="169"/>
        <v>-5.4097633136105008E-2</v>
      </c>
      <c r="M1567" s="8">
        <f t="shared" si="170"/>
        <v>-0.95190584615374974</v>
      </c>
      <c r="N1567" s="8">
        <f t="shared" si="171"/>
        <v>-7.3223526627211516E-2</v>
      </c>
      <c r="O1567" s="8"/>
      <c r="P1567" t="s">
        <v>1854</v>
      </c>
      <c r="Q1567">
        <v>34</v>
      </c>
      <c r="R1567" s="8">
        <v>2.81264</v>
      </c>
      <c r="S1567">
        <v>9</v>
      </c>
      <c r="T1567" s="8">
        <f t="shared" si="172"/>
        <v>0.26470588235294118</v>
      </c>
      <c r="U1567" s="8">
        <v>2.8370600000000001</v>
      </c>
      <c r="V1567">
        <v>21</v>
      </c>
      <c r="W1567" s="8">
        <f t="shared" si="173"/>
        <v>0.61764705882352944</v>
      </c>
      <c r="X1567" s="8">
        <v>2.80349</v>
      </c>
      <c r="Y1567">
        <v>4</v>
      </c>
      <c r="Z1567" s="8">
        <f t="shared" si="174"/>
        <v>0.11764705882352941</v>
      </c>
      <c r="AA1567" s="8">
        <v>2.80579</v>
      </c>
    </row>
    <row r="1568" spans="1:27" ht="15" customHeight="1" x14ac:dyDescent="0.25">
      <c r="A1568" s="14">
        <v>748</v>
      </c>
      <c r="B1568" s="14">
        <v>748</v>
      </c>
      <c r="C1568" s="36">
        <v>-12269.9411</v>
      </c>
      <c r="D1568" s="16">
        <v>-12271.295851999999</v>
      </c>
      <c r="E1568" s="14"/>
      <c r="F1568" s="37">
        <v>0.99733300000000003</v>
      </c>
      <c r="G1568" s="16">
        <v>0.19852999999999901</v>
      </c>
      <c r="H1568" s="14">
        <v>6</v>
      </c>
      <c r="I1568" s="14">
        <v>7</v>
      </c>
      <c r="J1568" s="32"/>
      <c r="K1568" s="8">
        <f t="shared" si="168"/>
        <v>-0.7837692307693942</v>
      </c>
      <c r="L1568" s="8">
        <f t="shared" si="169"/>
        <v>-6.0289940828414941E-2</v>
      </c>
      <c r="M1568" s="8">
        <f t="shared" si="170"/>
        <v>-0.66225984615266498</v>
      </c>
      <c r="N1568" s="8">
        <f t="shared" si="171"/>
        <v>-5.0943065088666535E-2</v>
      </c>
      <c r="O1568" s="8"/>
      <c r="P1568" t="s">
        <v>1855</v>
      </c>
      <c r="Q1568">
        <v>35</v>
      </c>
      <c r="R1568" s="8">
        <v>2.8259300000000001</v>
      </c>
      <c r="S1568">
        <v>11</v>
      </c>
      <c r="T1568" s="8">
        <f t="shared" si="172"/>
        <v>0.31428571428571428</v>
      </c>
      <c r="U1568" s="8">
        <v>2.8208299999999999</v>
      </c>
      <c r="V1568">
        <v>15</v>
      </c>
      <c r="W1568" s="8">
        <f t="shared" si="173"/>
        <v>0.42857142857142855</v>
      </c>
      <c r="X1568" s="8">
        <v>2.8224200000000002</v>
      </c>
      <c r="Y1568">
        <v>9</v>
      </c>
      <c r="Z1568" s="8">
        <f t="shared" si="174"/>
        <v>0.25714285714285712</v>
      </c>
      <c r="AA1568" s="8">
        <v>2.8380200000000002</v>
      </c>
    </row>
    <row r="1569" spans="1:27" ht="15" customHeight="1" x14ac:dyDescent="0.25">
      <c r="A1569" s="14">
        <v>749</v>
      </c>
      <c r="B1569" s="14">
        <v>749</v>
      </c>
      <c r="C1569" s="36">
        <v>-12270.090200000001</v>
      </c>
      <c r="D1569" s="16">
        <v>-12271.450005999999</v>
      </c>
      <c r="E1569" s="14"/>
      <c r="F1569" s="37">
        <v>0.99382999999999999</v>
      </c>
      <c r="G1569" s="16">
        <v>0.1734</v>
      </c>
      <c r="H1569" s="14">
        <v>6</v>
      </c>
      <c r="I1569" s="14">
        <v>7</v>
      </c>
      <c r="J1569" s="32"/>
      <c r="K1569" s="8">
        <f t="shared" si="168"/>
        <v>-0.93286923076993844</v>
      </c>
      <c r="L1569" s="8">
        <f t="shared" si="169"/>
        <v>-7.1759171597687577E-2</v>
      </c>
      <c r="M1569" s="8">
        <f t="shared" si="170"/>
        <v>-0.8164138461524999</v>
      </c>
      <c r="N1569" s="8">
        <f t="shared" si="171"/>
        <v>-6.2801065088653837E-2</v>
      </c>
      <c r="O1569" s="8"/>
      <c r="P1569" t="s">
        <v>1856</v>
      </c>
      <c r="Q1569">
        <v>35</v>
      </c>
      <c r="R1569" s="8">
        <v>2.8248199999999999</v>
      </c>
      <c r="S1569">
        <v>10</v>
      </c>
      <c r="T1569" s="8">
        <f t="shared" si="172"/>
        <v>0.2857142857142857</v>
      </c>
      <c r="U1569" s="8">
        <v>2.8290999999999999</v>
      </c>
      <c r="V1569">
        <v>18</v>
      </c>
      <c r="W1569" s="8">
        <f t="shared" si="173"/>
        <v>0.51428571428571423</v>
      </c>
      <c r="X1569" s="8">
        <v>2.8342800000000001</v>
      </c>
      <c r="Y1569">
        <v>7</v>
      </c>
      <c r="Z1569" s="8">
        <f t="shared" si="174"/>
        <v>0.2</v>
      </c>
      <c r="AA1569" s="8">
        <v>2.79433</v>
      </c>
    </row>
    <row r="1570" spans="1:27" ht="15" customHeight="1" x14ac:dyDescent="0.25">
      <c r="A1570" s="14">
        <v>750</v>
      </c>
      <c r="B1570" s="14">
        <v>750</v>
      </c>
      <c r="C1570" s="36">
        <v>-12269.8598</v>
      </c>
      <c r="D1570" s="16">
        <v>-12271.437518000001</v>
      </c>
      <c r="E1570" s="14"/>
      <c r="F1570" s="37">
        <v>0.99300900000000003</v>
      </c>
      <c r="G1570" s="16">
        <v>0.1696</v>
      </c>
      <c r="H1570" s="14">
        <v>6</v>
      </c>
      <c r="I1570" s="14">
        <v>7</v>
      </c>
      <c r="J1570" s="32"/>
      <c r="K1570" s="8">
        <f t="shared" si="168"/>
        <v>-0.70246923076956591</v>
      </c>
      <c r="L1570" s="8">
        <f t="shared" si="169"/>
        <v>-5.4036094674581994E-2</v>
      </c>
      <c r="M1570" s="8">
        <f t="shared" si="170"/>
        <v>-0.80392584615401574</v>
      </c>
      <c r="N1570" s="8">
        <f t="shared" si="171"/>
        <v>-6.1840449704155059E-2</v>
      </c>
      <c r="O1570" s="8"/>
      <c r="P1570" t="s">
        <v>1857</v>
      </c>
      <c r="Q1570">
        <v>35</v>
      </c>
      <c r="R1570" s="8">
        <v>2.8337300000000001</v>
      </c>
      <c r="S1570">
        <v>11</v>
      </c>
      <c r="T1570" s="8">
        <f t="shared" si="172"/>
        <v>0.31428571428571428</v>
      </c>
      <c r="U1570" s="8">
        <v>2.8336700000000001</v>
      </c>
      <c r="V1570">
        <v>17</v>
      </c>
      <c r="W1570" s="8">
        <f t="shared" si="173"/>
        <v>0.48571428571428571</v>
      </c>
      <c r="X1570" s="8">
        <v>2.8459500000000002</v>
      </c>
      <c r="Y1570">
        <v>7</v>
      </c>
      <c r="Z1570" s="8">
        <f t="shared" si="174"/>
        <v>0.2</v>
      </c>
      <c r="AA1570" s="8">
        <v>2.8041399999999999</v>
      </c>
    </row>
    <row r="1571" spans="1:27" ht="15" customHeight="1" x14ac:dyDescent="0.25">
      <c r="A1571" s="14">
        <v>751</v>
      </c>
      <c r="B1571" s="14">
        <v>751</v>
      </c>
      <c r="C1571" s="36">
        <v>-12269.9233</v>
      </c>
      <c r="D1571" s="16">
        <v>-12271.453024</v>
      </c>
      <c r="E1571" s="14"/>
      <c r="F1571" s="37">
        <v>0.99508700000000005</v>
      </c>
      <c r="G1571" s="16">
        <v>0.180169999999999</v>
      </c>
      <c r="H1571" s="14">
        <v>6</v>
      </c>
      <c r="I1571" s="14">
        <v>7</v>
      </c>
      <c r="J1571" s="32"/>
      <c r="K1571" s="8">
        <f t="shared" si="168"/>
        <v>-0.76596923076976964</v>
      </c>
      <c r="L1571" s="8">
        <f t="shared" si="169"/>
        <v>-5.8920710059213052E-2</v>
      </c>
      <c r="M1571" s="8">
        <f t="shared" si="170"/>
        <v>-0.81943184615374776</v>
      </c>
      <c r="N1571" s="8">
        <f t="shared" si="171"/>
        <v>-6.303321893490367E-2</v>
      </c>
      <c r="O1571" s="8"/>
      <c r="P1571" t="s">
        <v>1858</v>
      </c>
      <c r="Q1571">
        <v>35</v>
      </c>
      <c r="R1571" s="8">
        <v>2.8270400000000002</v>
      </c>
      <c r="S1571">
        <v>11</v>
      </c>
      <c r="T1571" s="8">
        <f t="shared" si="172"/>
        <v>0.31428571428571428</v>
      </c>
      <c r="U1571" s="8">
        <v>2.8373200000000001</v>
      </c>
      <c r="V1571">
        <v>18</v>
      </c>
      <c r="W1571" s="8">
        <f t="shared" si="173"/>
        <v>0.51428571428571423</v>
      </c>
      <c r="X1571" s="8">
        <v>2.8299400000000001</v>
      </c>
      <c r="Y1571">
        <v>6</v>
      </c>
      <c r="Z1571" s="8">
        <f t="shared" si="174"/>
        <v>0.17142857142857143</v>
      </c>
      <c r="AA1571" s="8">
        <v>2.79949</v>
      </c>
    </row>
    <row r="1572" spans="1:27" ht="15" customHeight="1" x14ac:dyDescent="0.25">
      <c r="A1572" s="14">
        <v>752</v>
      </c>
      <c r="B1572" s="14">
        <v>752</v>
      </c>
      <c r="C1572" s="36">
        <v>-12269.947</v>
      </c>
      <c r="D1572" s="16">
        <v>-12271.527263</v>
      </c>
      <c r="E1572" s="14"/>
      <c r="F1572" s="37">
        <v>0.99511499999999997</v>
      </c>
      <c r="G1572" s="16">
        <v>0.18029999999999899</v>
      </c>
      <c r="H1572" s="14">
        <v>6</v>
      </c>
      <c r="I1572" s="14">
        <v>7</v>
      </c>
      <c r="J1572" s="32"/>
      <c r="K1572" s="8">
        <f t="shared" si="168"/>
        <v>-0.78966923076950479</v>
      </c>
      <c r="L1572" s="8">
        <f t="shared" si="169"/>
        <v>-6.07437869822696E-2</v>
      </c>
      <c r="M1572" s="8">
        <f t="shared" si="170"/>
        <v>-0.89367084615332715</v>
      </c>
      <c r="N1572" s="8">
        <f t="shared" si="171"/>
        <v>-6.8743911242563627E-2</v>
      </c>
      <c r="O1572" s="8"/>
      <c r="P1572" t="s">
        <v>1859</v>
      </c>
      <c r="Q1572">
        <v>35</v>
      </c>
      <c r="R1572" s="8">
        <v>2.8288799999999998</v>
      </c>
      <c r="S1572">
        <v>13</v>
      </c>
      <c r="T1572" s="8">
        <f t="shared" si="172"/>
        <v>0.37142857142857144</v>
      </c>
      <c r="U1572" s="8">
        <v>2.8498999999999999</v>
      </c>
      <c r="V1572">
        <v>16</v>
      </c>
      <c r="W1572" s="8">
        <f t="shared" si="173"/>
        <v>0.45714285714285713</v>
      </c>
      <c r="X1572" s="8">
        <v>2.8198799999999999</v>
      </c>
      <c r="Y1572">
        <v>6</v>
      </c>
      <c r="Z1572" s="8">
        <f t="shared" si="174"/>
        <v>0.17142857142857143</v>
      </c>
      <c r="AA1572" s="8">
        <v>2.8073299999999999</v>
      </c>
    </row>
    <row r="1573" spans="1:27" ht="15" customHeight="1" x14ac:dyDescent="0.25">
      <c r="A1573" s="14">
        <v>753</v>
      </c>
      <c r="B1573" s="14">
        <v>753</v>
      </c>
      <c r="C1573" s="36">
        <v>-12270.0216</v>
      </c>
      <c r="D1573" s="16">
        <v>-12271.605852999999</v>
      </c>
      <c r="E1573" s="14"/>
      <c r="F1573" s="37">
        <v>0.99522200000000005</v>
      </c>
      <c r="G1573" s="16">
        <v>0.18101</v>
      </c>
      <c r="H1573" s="14">
        <v>6</v>
      </c>
      <c r="I1573" s="14">
        <v>7</v>
      </c>
      <c r="J1573" s="32"/>
      <c r="K1573" s="8">
        <f t="shared" si="168"/>
        <v>-0.8642692307694233</v>
      </c>
      <c r="L1573" s="8">
        <f t="shared" si="169"/>
        <v>-6.6482248520724874E-2</v>
      </c>
      <c r="M1573" s="8">
        <f t="shared" si="170"/>
        <v>-0.9722608461524942</v>
      </c>
      <c r="N1573" s="8">
        <f t="shared" si="171"/>
        <v>-7.4789295857884172E-2</v>
      </c>
      <c r="O1573" s="8"/>
      <c r="P1573" t="s">
        <v>1860</v>
      </c>
      <c r="Q1573">
        <v>35</v>
      </c>
      <c r="R1573" s="8">
        <v>2.8285200000000001</v>
      </c>
      <c r="S1573">
        <v>11</v>
      </c>
      <c r="T1573" s="8">
        <f t="shared" si="172"/>
        <v>0.31428571428571428</v>
      </c>
      <c r="U1573" s="8">
        <v>2.8422100000000001</v>
      </c>
      <c r="V1573">
        <v>18</v>
      </c>
      <c r="W1573" s="8">
        <f t="shared" si="173"/>
        <v>0.51428571428571423</v>
      </c>
      <c r="X1573" s="8">
        <v>2.8287499999999999</v>
      </c>
      <c r="Y1573">
        <v>6</v>
      </c>
      <c r="Z1573" s="8">
        <f t="shared" si="174"/>
        <v>0.17142857142857143</v>
      </c>
      <c r="AA1573" s="8">
        <v>2.8027299999999999</v>
      </c>
    </row>
    <row r="1574" spans="1:27" ht="15" customHeight="1" x14ac:dyDescent="0.25">
      <c r="A1574" s="14">
        <v>754</v>
      </c>
      <c r="B1574" s="14">
        <v>754</v>
      </c>
      <c r="C1574" s="36">
        <v>-12269.982099999999</v>
      </c>
      <c r="D1574" s="16">
        <v>-12271.3053</v>
      </c>
      <c r="E1574" s="14"/>
      <c r="F1574" s="37">
        <v>0.99701799999999996</v>
      </c>
      <c r="G1574" s="16">
        <v>0.19536000000000001</v>
      </c>
      <c r="H1574" s="14">
        <v>6</v>
      </c>
      <c r="I1574" s="14">
        <v>7</v>
      </c>
      <c r="J1574" s="32"/>
      <c r="K1574" s="8">
        <f t="shared" si="168"/>
        <v>-0.82476923076865205</v>
      </c>
      <c r="L1574" s="8">
        <f t="shared" si="169"/>
        <v>-6.3443786982204001E-2</v>
      </c>
      <c r="M1574" s="8">
        <f t="shared" si="170"/>
        <v>-0.67170784615336743</v>
      </c>
      <c r="N1574" s="8">
        <f t="shared" si="171"/>
        <v>-5.16698343194898E-2</v>
      </c>
      <c r="O1574" s="8"/>
      <c r="P1574" t="s">
        <v>1861</v>
      </c>
      <c r="Q1574">
        <v>36</v>
      </c>
      <c r="R1574" s="8">
        <v>2.8311099999999998</v>
      </c>
      <c r="S1574">
        <v>12</v>
      </c>
      <c r="T1574" s="8">
        <f t="shared" si="172"/>
        <v>0.33333333333333331</v>
      </c>
      <c r="U1574" s="8">
        <v>2.8473899999999999</v>
      </c>
      <c r="V1574">
        <v>16</v>
      </c>
      <c r="W1574" s="8">
        <f t="shared" si="173"/>
        <v>0.44444444444444442</v>
      </c>
      <c r="X1574" s="8">
        <v>2.83961</v>
      </c>
      <c r="Y1574">
        <v>8</v>
      </c>
      <c r="Z1574" s="8">
        <f t="shared" si="174"/>
        <v>0.22222222222222221</v>
      </c>
      <c r="AA1574" s="8">
        <v>2.7896999999999998</v>
      </c>
    </row>
    <row r="1575" spans="1:27" ht="15" customHeight="1" x14ac:dyDescent="0.25">
      <c r="J1575" s="32"/>
      <c r="K1575" s="8" t="str">
        <f t="shared" si="168"/>
        <v/>
      </c>
      <c r="L1575" s="8" t="str">
        <f t="shared" si="169"/>
        <v/>
      </c>
      <c r="M1575" s="8" t="str">
        <f t="shared" si="170"/>
        <v/>
      </c>
      <c r="N1575" s="8" t="str">
        <f t="shared" si="171"/>
        <v/>
      </c>
      <c r="O1575" s="8"/>
      <c r="T1575" s="8" t="str">
        <f t="shared" si="172"/>
        <v/>
      </c>
      <c r="W1575" s="8" t="str">
        <f t="shared" si="173"/>
        <v/>
      </c>
      <c r="Z1575" s="8" t="str">
        <f t="shared" si="174"/>
        <v/>
      </c>
    </row>
    <row r="1576" spans="1:27" ht="15" customHeight="1" x14ac:dyDescent="0.25">
      <c r="B1576" s="35" t="s">
        <v>1407</v>
      </c>
      <c r="C1576" s="5" t="s">
        <v>0</v>
      </c>
      <c r="D1576" s="6" t="s">
        <v>1</v>
      </c>
      <c r="E1576" s="7"/>
      <c r="F1576" s="7" t="s">
        <v>2</v>
      </c>
      <c r="G1576" s="7" t="s">
        <v>3</v>
      </c>
      <c r="H1576" s="7" t="s">
        <v>4</v>
      </c>
      <c r="I1576" s="7" t="s">
        <v>5</v>
      </c>
      <c r="J1576" s="32"/>
      <c r="K1576" s="8" t="str">
        <f t="shared" si="168"/>
        <v/>
      </c>
      <c r="L1576" s="8" t="str">
        <f t="shared" si="169"/>
        <v/>
      </c>
      <c r="M1576" s="8" t="str">
        <f t="shared" si="170"/>
        <v/>
      </c>
      <c r="N1576" s="8" t="str">
        <f t="shared" si="171"/>
        <v/>
      </c>
      <c r="O1576" s="8"/>
      <c r="T1576" s="8" t="str">
        <f t="shared" si="172"/>
        <v/>
      </c>
      <c r="W1576" s="8" t="str">
        <f t="shared" si="173"/>
        <v/>
      </c>
      <c r="Z1576" s="8" t="str">
        <f t="shared" si="174"/>
        <v/>
      </c>
    </row>
    <row r="1577" spans="1:27" ht="15" customHeight="1" x14ac:dyDescent="0.25">
      <c r="A1577" s="7" t="s">
        <v>1862</v>
      </c>
      <c r="B1577">
        <v>301</v>
      </c>
      <c r="C1577" s="8">
        <v>-12176.694799999999</v>
      </c>
      <c r="D1577" s="2">
        <v>-12178.211767000001</v>
      </c>
      <c r="F1577" s="3">
        <v>0.99555300000000002</v>
      </c>
      <c r="G1577" s="2">
        <v>0.183169999999999</v>
      </c>
      <c r="H1577">
        <v>5</v>
      </c>
      <c r="I1577">
        <v>8</v>
      </c>
      <c r="J1577" s="32"/>
      <c r="K1577" s="8">
        <f t="shared" si="168"/>
        <v>-0.82280769230783335</v>
      </c>
      <c r="L1577" s="8">
        <f t="shared" si="169"/>
        <v>-6.329289940829487E-2</v>
      </c>
      <c r="M1577" s="8">
        <f t="shared" si="170"/>
        <v>-0.81337453846208518</v>
      </c>
      <c r="N1577" s="8">
        <f t="shared" si="171"/>
        <v>-6.2567272189391163E-2</v>
      </c>
      <c r="O1577" s="8"/>
      <c r="P1577" t="s">
        <v>1863</v>
      </c>
      <c r="Q1577">
        <v>36</v>
      </c>
      <c r="R1577" s="8">
        <v>2.8361900000000002</v>
      </c>
      <c r="S1577">
        <v>13</v>
      </c>
      <c r="T1577" s="8">
        <f t="shared" si="172"/>
        <v>0.3611111111111111</v>
      </c>
      <c r="U1577" s="8">
        <v>2.7899799999999999</v>
      </c>
      <c r="V1577">
        <v>16</v>
      </c>
      <c r="W1577" s="8">
        <f t="shared" si="173"/>
        <v>0.44444444444444442</v>
      </c>
      <c r="X1577" s="8">
        <v>2.8725399999999999</v>
      </c>
      <c r="Y1577">
        <v>7</v>
      </c>
      <c r="Z1577" s="8">
        <f t="shared" si="174"/>
        <v>0.19444444444444445</v>
      </c>
      <c r="AA1577" s="8">
        <v>2.83893</v>
      </c>
    </row>
    <row r="1578" spans="1:27" ht="15" customHeight="1" x14ac:dyDescent="0.25">
      <c r="B1578">
        <v>302</v>
      </c>
      <c r="C1578" s="8">
        <v>-12176.8395</v>
      </c>
      <c r="D1578" s="2">
        <v>-12178.381187999999</v>
      </c>
      <c r="F1578" s="3">
        <v>0.994062</v>
      </c>
      <c r="G1578" s="2">
        <v>0.17444999999999999</v>
      </c>
      <c r="H1578">
        <v>5</v>
      </c>
      <c r="I1578">
        <v>8</v>
      </c>
      <c r="J1578" s="32"/>
      <c r="K1578" s="8">
        <f t="shared" si="168"/>
        <v>-0.96750769230857259</v>
      </c>
      <c r="L1578" s="8">
        <f t="shared" si="169"/>
        <v>-7.4423668639120963E-2</v>
      </c>
      <c r="M1578" s="8">
        <f t="shared" si="170"/>
        <v>-0.98279553846077761</v>
      </c>
      <c r="N1578" s="8">
        <f t="shared" si="171"/>
        <v>-7.5599656804675203E-2</v>
      </c>
      <c r="O1578" s="8"/>
      <c r="P1578" t="s">
        <v>1864</v>
      </c>
      <c r="Q1578">
        <v>36</v>
      </c>
      <c r="R1578" s="8">
        <v>2.83148</v>
      </c>
      <c r="S1578">
        <v>12</v>
      </c>
      <c r="T1578" s="8">
        <f t="shared" si="172"/>
        <v>0.33333333333333331</v>
      </c>
      <c r="U1578" s="8">
        <v>2.78165</v>
      </c>
      <c r="V1578">
        <v>18</v>
      </c>
      <c r="W1578" s="8">
        <f t="shared" si="173"/>
        <v>0.5</v>
      </c>
      <c r="X1578" s="8">
        <v>2.8766099999999999</v>
      </c>
      <c r="Y1578">
        <v>6</v>
      </c>
      <c r="Z1578" s="8">
        <f t="shared" si="174"/>
        <v>0.16666666666666666</v>
      </c>
      <c r="AA1578" s="8">
        <v>2.7957800000000002</v>
      </c>
    </row>
    <row r="1579" spans="1:27" ht="15" customHeight="1" x14ac:dyDescent="0.25">
      <c r="B1579">
        <v>303</v>
      </c>
      <c r="C1579" s="8">
        <v>-12176.747600000001</v>
      </c>
      <c r="D1579" s="2">
        <v>-12178.288916</v>
      </c>
      <c r="F1579" s="3">
        <v>0.98988600000000004</v>
      </c>
      <c r="G1579" s="2">
        <v>0.15742999999999999</v>
      </c>
      <c r="H1579">
        <v>5</v>
      </c>
      <c r="I1579">
        <v>8</v>
      </c>
      <c r="J1579" s="32"/>
      <c r="K1579" s="8">
        <f t="shared" si="168"/>
        <v>-0.87560769230913138</v>
      </c>
      <c r="L1579" s="8">
        <f t="shared" si="169"/>
        <v>-6.7354437869933184E-2</v>
      </c>
      <c r="M1579" s="8">
        <f t="shared" si="170"/>
        <v>-0.89052353846091137</v>
      </c>
      <c r="N1579" s="8">
        <f t="shared" si="171"/>
        <v>-6.8501810650839337E-2</v>
      </c>
      <c r="O1579" s="8"/>
      <c r="P1579" t="s">
        <v>1865</v>
      </c>
      <c r="Q1579">
        <v>36</v>
      </c>
      <c r="R1579" s="8">
        <v>2.8300800000000002</v>
      </c>
      <c r="S1579">
        <v>12</v>
      </c>
      <c r="T1579" s="8">
        <f t="shared" si="172"/>
        <v>0.33333333333333331</v>
      </c>
      <c r="U1579" s="8">
        <v>2.7780399999999998</v>
      </c>
      <c r="V1579">
        <v>18</v>
      </c>
      <c r="W1579" s="8">
        <f t="shared" si="173"/>
        <v>0.5</v>
      </c>
      <c r="X1579" s="8">
        <v>2.8765200000000002</v>
      </c>
      <c r="Y1579">
        <v>6</v>
      </c>
      <c r="Z1579" s="8">
        <f t="shared" si="174"/>
        <v>0.16666666666666666</v>
      </c>
      <c r="AA1579" s="8">
        <v>2.79488</v>
      </c>
    </row>
    <row r="1580" spans="1:27" ht="15" customHeight="1" x14ac:dyDescent="0.25">
      <c r="B1580">
        <v>304</v>
      </c>
      <c r="C1580" s="8">
        <v>-12176.863799999999</v>
      </c>
      <c r="D1580" s="2">
        <v>-12178.621848999999</v>
      </c>
      <c r="F1580" s="3">
        <v>0.99411400000000005</v>
      </c>
      <c r="G1580" s="2">
        <v>0.17483000000000001</v>
      </c>
      <c r="H1580">
        <v>5</v>
      </c>
      <c r="I1580">
        <v>8</v>
      </c>
      <c r="J1580" s="32"/>
      <c r="K1580" s="8">
        <f t="shared" si="168"/>
        <v>-0.99180769230770238</v>
      </c>
      <c r="L1580" s="8">
        <f t="shared" si="169"/>
        <v>-7.6292899408284792E-2</v>
      </c>
      <c r="M1580" s="8">
        <f t="shared" si="170"/>
        <v>-1.2234565384605958</v>
      </c>
      <c r="N1580" s="8">
        <f t="shared" si="171"/>
        <v>-9.4112041420045825E-2</v>
      </c>
      <c r="O1580" s="8"/>
      <c r="P1580" t="s">
        <v>1866</v>
      </c>
      <c r="Q1580">
        <v>36</v>
      </c>
      <c r="R1580" s="8">
        <v>2.83847</v>
      </c>
      <c r="S1580">
        <v>12</v>
      </c>
      <c r="T1580" s="8">
        <f t="shared" si="172"/>
        <v>0.33333333333333331</v>
      </c>
      <c r="U1580" s="8">
        <v>2.7953899999999998</v>
      </c>
      <c r="V1580">
        <v>17</v>
      </c>
      <c r="W1580" s="8">
        <f t="shared" si="173"/>
        <v>0.47222222222222221</v>
      </c>
      <c r="X1580" s="8">
        <v>2.86199</v>
      </c>
      <c r="Y1580">
        <v>7</v>
      </c>
      <c r="Z1580" s="8">
        <f t="shared" si="174"/>
        <v>0.19444444444444445</v>
      </c>
      <c r="AA1580" s="8">
        <v>2.8551899999999999</v>
      </c>
    </row>
    <row r="1581" spans="1:27" ht="15" customHeight="1" x14ac:dyDescent="0.25">
      <c r="B1581">
        <v>305</v>
      </c>
      <c r="C1581" s="8">
        <v>-12176.9823</v>
      </c>
      <c r="D1581" s="2">
        <v>-12178.56306</v>
      </c>
      <c r="F1581" s="3">
        <v>0.99593900000000002</v>
      </c>
      <c r="G1581" s="2">
        <v>0.18590999999999899</v>
      </c>
      <c r="H1581">
        <v>5</v>
      </c>
      <c r="I1581">
        <v>8</v>
      </c>
      <c r="J1581" s="32"/>
      <c r="K1581" s="8">
        <f t="shared" si="168"/>
        <v>-1.1103076923081971</v>
      </c>
      <c r="L1581" s="8">
        <f t="shared" si="169"/>
        <v>-8.5408284023707468E-2</v>
      </c>
      <c r="M1581" s="8">
        <f t="shared" si="170"/>
        <v>-1.1646675384617993</v>
      </c>
      <c r="N1581" s="8">
        <f t="shared" si="171"/>
        <v>-8.9589810650907639E-2</v>
      </c>
      <c r="O1581" s="8"/>
      <c r="P1581" t="s">
        <v>1867</v>
      </c>
      <c r="Q1581">
        <v>36</v>
      </c>
      <c r="R1581" s="8">
        <v>2.8403499999999999</v>
      </c>
      <c r="S1581">
        <v>11</v>
      </c>
      <c r="T1581" s="8">
        <f t="shared" si="172"/>
        <v>0.30555555555555558</v>
      </c>
      <c r="U1581" s="8">
        <v>2.7926000000000002</v>
      </c>
      <c r="V1581">
        <v>19</v>
      </c>
      <c r="W1581" s="8">
        <f t="shared" si="173"/>
        <v>0.52777777777777779</v>
      </c>
      <c r="X1581" s="8">
        <v>2.8632499999999999</v>
      </c>
      <c r="Y1581">
        <v>6</v>
      </c>
      <c r="Z1581" s="8">
        <f t="shared" si="174"/>
        <v>0.16666666666666666</v>
      </c>
      <c r="AA1581" s="8">
        <v>2.8553700000000002</v>
      </c>
    </row>
    <row r="1582" spans="1:27" ht="15" customHeight="1" x14ac:dyDescent="0.25">
      <c r="B1582">
        <v>306</v>
      </c>
      <c r="C1582" s="8">
        <v>-12176.9941</v>
      </c>
      <c r="D1582" s="2">
        <v>-12178.501896</v>
      </c>
      <c r="F1582" s="3">
        <v>0.99660499999999996</v>
      </c>
      <c r="G1582" s="2">
        <v>0.19131999999999899</v>
      </c>
      <c r="H1582">
        <v>5</v>
      </c>
      <c r="I1582">
        <v>8</v>
      </c>
      <c r="J1582" s="32"/>
      <c r="K1582" s="8">
        <f t="shared" si="168"/>
        <v>-1.1221076923084183</v>
      </c>
      <c r="L1582" s="8">
        <f t="shared" si="169"/>
        <v>-8.6315976331416799E-2</v>
      </c>
      <c r="M1582" s="8">
        <f t="shared" si="170"/>
        <v>-1.1035035384611547</v>
      </c>
      <c r="N1582" s="8">
        <f t="shared" si="171"/>
        <v>-8.4884887573934975E-2</v>
      </c>
      <c r="O1582" s="8"/>
      <c r="P1582" t="s">
        <v>1868</v>
      </c>
      <c r="Q1582">
        <v>35</v>
      </c>
      <c r="R1582" s="8">
        <v>2.8320099999999999</v>
      </c>
      <c r="S1582">
        <v>12</v>
      </c>
      <c r="T1582" s="8">
        <f t="shared" si="172"/>
        <v>0.34285714285714286</v>
      </c>
      <c r="U1582" s="8">
        <v>2.8248500000000001</v>
      </c>
      <c r="V1582">
        <v>18</v>
      </c>
      <c r="W1582" s="8">
        <f t="shared" si="173"/>
        <v>0.51428571428571423</v>
      </c>
      <c r="X1582" s="8">
        <v>2.83738</v>
      </c>
      <c r="Y1582">
        <v>5</v>
      </c>
      <c r="Z1582" s="8">
        <f t="shared" si="174"/>
        <v>0.14285714285714285</v>
      </c>
      <c r="AA1582" s="8">
        <v>2.8298999999999999</v>
      </c>
    </row>
    <row r="1583" spans="1:27" ht="15" customHeight="1" x14ac:dyDescent="0.25">
      <c r="B1583">
        <v>307</v>
      </c>
      <c r="C1583" s="8">
        <v>-12177.062599999999</v>
      </c>
      <c r="D1583" s="2">
        <v>-12178.569162</v>
      </c>
      <c r="F1583" s="3">
        <v>0.99615100000000001</v>
      </c>
      <c r="G1583" s="2">
        <v>0.18759000000000001</v>
      </c>
      <c r="H1583">
        <v>5</v>
      </c>
      <c r="I1583">
        <v>8</v>
      </c>
      <c r="J1583" s="32"/>
      <c r="K1583" s="8">
        <f t="shared" si="168"/>
        <v>-1.1906076923078217</v>
      </c>
      <c r="L1583" s="8">
        <f t="shared" si="169"/>
        <v>-9.1585207100601668E-2</v>
      </c>
      <c r="M1583" s="8">
        <f t="shared" si="170"/>
        <v>-1.1707695384611725</v>
      </c>
      <c r="N1583" s="8">
        <f t="shared" si="171"/>
        <v>-9.0059195266244035E-2</v>
      </c>
      <c r="O1583" s="8"/>
      <c r="P1583" t="s">
        <v>1869</v>
      </c>
      <c r="Q1583">
        <v>35</v>
      </c>
      <c r="R1583" s="8">
        <v>2.8325900000000002</v>
      </c>
      <c r="S1583">
        <v>13</v>
      </c>
      <c r="T1583" s="8">
        <f t="shared" si="172"/>
        <v>0.37142857142857144</v>
      </c>
      <c r="U1583" s="8">
        <v>2.8121999999999998</v>
      </c>
      <c r="V1583">
        <v>17</v>
      </c>
      <c r="W1583" s="8">
        <f t="shared" si="173"/>
        <v>0.48571428571428571</v>
      </c>
      <c r="X1583" s="8">
        <v>2.8278099999999999</v>
      </c>
      <c r="Y1583">
        <v>5</v>
      </c>
      <c r="Z1583" s="8">
        <f t="shared" si="174"/>
        <v>0.14285714285714285</v>
      </c>
      <c r="AA1583" s="8">
        <v>2.9018799999999998</v>
      </c>
    </row>
    <row r="1584" spans="1:27" ht="15" customHeight="1" x14ac:dyDescent="0.25">
      <c r="B1584">
        <v>308</v>
      </c>
      <c r="C1584" s="8">
        <v>-12176.757600000001</v>
      </c>
      <c r="D1584" s="2">
        <v>-12178.274643000001</v>
      </c>
      <c r="F1584" s="3">
        <v>0.99579300000000004</v>
      </c>
      <c r="G1584" s="2">
        <v>0.18482000000000001</v>
      </c>
      <c r="H1584">
        <v>5</v>
      </c>
      <c r="I1584">
        <v>8</v>
      </c>
      <c r="J1584" s="32"/>
      <c r="K1584" s="8">
        <f t="shared" si="168"/>
        <v>-0.88560769230934966</v>
      </c>
      <c r="L1584" s="8">
        <f t="shared" si="169"/>
        <v>-6.8123668639180748E-2</v>
      </c>
      <c r="M1584" s="8">
        <f t="shared" si="170"/>
        <v>-0.87625053846204537</v>
      </c>
      <c r="N1584" s="8">
        <f t="shared" si="171"/>
        <v>-6.7403887574003493E-2</v>
      </c>
      <c r="O1584" s="8"/>
      <c r="P1584" t="s">
        <v>1870</v>
      </c>
      <c r="Q1584">
        <v>35</v>
      </c>
      <c r="R1584" s="8">
        <v>2.8253400000000002</v>
      </c>
      <c r="S1584">
        <v>15</v>
      </c>
      <c r="T1584" s="8">
        <f t="shared" si="172"/>
        <v>0.42857142857142855</v>
      </c>
      <c r="U1584" s="8">
        <v>2.8433299999999999</v>
      </c>
      <c r="V1584">
        <v>16</v>
      </c>
      <c r="W1584" s="8">
        <f t="shared" si="173"/>
        <v>0.45714285714285713</v>
      </c>
      <c r="X1584" s="8">
        <v>2.7970999999999999</v>
      </c>
      <c r="Y1584">
        <v>4</v>
      </c>
      <c r="Z1584" s="8">
        <f t="shared" si="174"/>
        <v>0.11428571428571428</v>
      </c>
      <c r="AA1584" s="8">
        <v>2.8708300000000002</v>
      </c>
    </row>
    <row r="1585" spans="2:27" ht="15" customHeight="1" x14ac:dyDescent="0.25">
      <c r="B1585">
        <v>309</v>
      </c>
      <c r="C1585" s="8">
        <v>-12176.896000000001</v>
      </c>
      <c r="D1585" s="2">
        <v>-12178.401626999999</v>
      </c>
      <c r="F1585" s="3">
        <v>0.99560599999999999</v>
      </c>
      <c r="G1585" s="2">
        <v>0.18354999999999899</v>
      </c>
      <c r="H1585">
        <v>5</v>
      </c>
      <c r="I1585">
        <v>8</v>
      </c>
      <c r="J1585" s="32"/>
      <c r="K1585" s="8">
        <f t="shared" si="168"/>
        <v>-1.0240076923091692</v>
      </c>
      <c r="L1585" s="8">
        <f t="shared" si="169"/>
        <v>-7.8769822485320704E-2</v>
      </c>
      <c r="M1585" s="8">
        <f t="shared" si="170"/>
        <v>-1.0032345384606742</v>
      </c>
      <c r="N1585" s="8">
        <f t="shared" si="171"/>
        <v>-7.7171887573898021E-2</v>
      </c>
      <c r="O1585" s="8"/>
      <c r="P1585" t="s">
        <v>1871</v>
      </c>
      <c r="Q1585">
        <v>34</v>
      </c>
      <c r="R1585" s="8">
        <v>2.8173499999999998</v>
      </c>
      <c r="S1585">
        <v>11</v>
      </c>
      <c r="T1585" s="8">
        <f t="shared" si="172"/>
        <v>0.3235294117647059</v>
      </c>
      <c r="U1585" s="8">
        <v>2.77745</v>
      </c>
      <c r="V1585">
        <v>19</v>
      </c>
      <c r="W1585" s="8">
        <f t="shared" si="173"/>
        <v>0.55882352941176472</v>
      </c>
      <c r="X1585" s="8">
        <v>2.8431999999999999</v>
      </c>
      <c r="Y1585">
        <v>4</v>
      </c>
      <c r="Z1585" s="8">
        <f t="shared" si="174"/>
        <v>0.11764705882352941</v>
      </c>
      <c r="AA1585" s="8">
        <v>2.8042699999999998</v>
      </c>
    </row>
    <row r="1586" spans="2:27" ht="15" customHeight="1" x14ac:dyDescent="0.25">
      <c r="B1586">
        <v>310</v>
      </c>
      <c r="C1586" s="8">
        <v>-12177.138300000001</v>
      </c>
      <c r="D1586" s="2">
        <v>-12178.578018</v>
      </c>
      <c r="F1586" s="3">
        <v>0.99802199999999996</v>
      </c>
      <c r="G1586" s="2">
        <v>0.20735999999999999</v>
      </c>
      <c r="H1586">
        <v>5</v>
      </c>
      <c r="I1586">
        <v>8</v>
      </c>
      <c r="J1586" s="32"/>
      <c r="K1586" s="8">
        <f t="shared" si="168"/>
        <v>-1.2663076923090557</v>
      </c>
      <c r="L1586" s="8">
        <f t="shared" si="169"/>
        <v>-9.7408284023773523E-2</v>
      </c>
      <c r="M1586" s="8">
        <f t="shared" si="170"/>
        <v>-1.1796255384615506</v>
      </c>
      <c r="N1586" s="8">
        <f t="shared" si="171"/>
        <v>-9.0740426035503891E-2</v>
      </c>
      <c r="O1586" s="8"/>
      <c r="P1586" t="s">
        <v>1872</v>
      </c>
      <c r="Q1586">
        <v>32</v>
      </c>
      <c r="R1586" s="8">
        <v>2.79732</v>
      </c>
      <c r="S1586">
        <v>11</v>
      </c>
      <c r="T1586" s="8">
        <f t="shared" si="172"/>
        <v>0.34375</v>
      </c>
      <c r="U1586" s="8">
        <v>2.7791899999999998</v>
      </c>
      <c r="V1586">
        <v>16</v>
      </c>
      <c r="W1586" s="8">
        <f t="shared" si="173"/>
        <v>0.5</v>
      </c>
      <c r="X1586" s="8">
        <v>2.8155000000000001</v>
      </c>
      <c r="Y1586">
        <v>5</v>
      </c>
      <c r="Z1586" s="8">
        <f t="shared" si="174"/>
        <v>0.15625</v>
      </c>
      <c r="AA1586" s="8">
        <v>2.77902</v>
      </c>
    </row>
    <row r="1587" spans="2:27" ht="15" customHeight="1" x14ac:dyDescent="0.25">
      <c r="B1587">
        <v>311</v>
      </c>
      <c r="C1587" s="8">
        <v>-12177.084199999999</v>
      </c>
      <c r="D1587" s="2">
        <v>-12178.521565999999</v>
      </c>
      <c r="F1587" s="3">
        <v>0.99624900000000005</v>
      </c>
      <c r="G1587" s="2">
        <v>0.18833</v>
      </c>
      <c r="H1587">
        <v>5</v>
      </c>
      <c r="I1587">
        <v>8</v>
      </c>
      <c r="J1587" s="32"/>
      <c r="K1587" s="8">
        <f t="shared" si="168"/>
        <v>-1.2122076923078566</v>
      </c>
      <c r="L1587" s="8">
        <f t="shared" si="169"/>
        <v>-9.3246745562142824E-2</v>
      </c>
      <c r="M1587" s="8">
        <f t="shared" si="170"/>
        <v>-1.1231735384608328</v>
      </c>
      <c r="N1587" s="8">
        <f t="shared" si="171"/>
        <v>-8.639796449698714E-2</v>
      </c>
      <c r="O1587" s="8"/>
      <c r="P1587" t="s">
        <v>1873</v>
      </c>
      <c r="Q1587">
        <v>34</v>
      </c>
      <c r="R1587" s="8">
        <v>2.8206600000000002</v>
      </c>
      <c r="S1587">
        <v>11</v>
      </c>
      <c r="T1587" s="8">
        <f t="shared" si="172"/>
        <v>0.3235294117647059</v>
      </c>
      <c r="U1587" s="8">
        <v>2.8059699999999999</v>
      </c>
      <c r="V1587">
        <v>18</v>
      </c>
      <c r="W1587" s="8">
        <f t="shared" si="173"/>
        <v>0.52941176470588236</v>
      </c>
      <c r="X1587" s="8">
        <v>2.8328899999999999</v>
      </c>
      <c r="Y1587">
        <v>5</v>
      </c>
      <c r="Z1587" s="8">
        <f t="shared" si="174"/>
        <v>0.14705882352941177</v>
      </c>
      <c r="AA1587" s="8">
        <v>2.8089499999999998</v>
      </c>
    </row>
    <row r="1588" spans="2:27" ht="15" customHeight="1" x14ac:dyDescent="0.25">
      <c r="B1588">
        <v>312</v>
      </c>
      <c r="C1588" s="8">
        <v>-12177.113499999999</v>
      </c>
      <c r="D1588" s="2">
        <v>-12178.564565999999</v>
      </c>
      <c r="F1588" s="3">
        <v>0.99661699999999998</v>
      </c>
      <c r="G1588" s="2">
        <v>0.19137000000000001</v>
      </c>
      <c r="H1588">
        <v>5</v>
      </c>
      <c r="I1588">
        <v>8</v>
      </c>
      <c r="J1588" s="32"/>
      <c r="K1588" s="8">
        <f t="shared" si="168"/>
        <v>-1.2415076923080051</v>
      </c>
      <c r="L1588" s="8">
        <f t="shared" si="169"/>
        <v>-9.5500591716000394E-2</v>
      </c>
      <c r="M1588" s="8">
        <f t="shared" si="170"/>
        <v>-1.1661735384604981</v>
      </c>
      <c r="N1588" s="8">
        <f t="shared" si="171"/>
        <v>-8.97056568046537E-2</v>
      </c>
      <c r="O1588" s="8"/>
      <c r="P1588" t="s">
        <v>1874</v>
      </c>
      <c r="Q1588">
        <v>35</v>
      </c>
      <c r="R1588" s="8">
        <v>2.831</v>
      </c>
      <c r="S1588">
        <v>11</v>
      </c>
      <c r="T1588" s="8">
        <f t="shared" si="172"/>
        <v>0.31428571428571428</v>
      </c>
      <c r="U1588" s="8">
        <v>2.7991199999999998</v>
      </c>
      <c r="V1588">
        <v>20</v>
      </c>
      <c r="W1588" s="8">
        <f t="shared" si="173"/>
        <v>0.5714285714285714</v>
      </c>
      <c r="X1588" s="8">
        <v>2.8501699999999999</v>
      </c>
      <c r="Y1588">
        <v>4</v>
      </c>
      <c r="Z1588" s="8">
        <f t="shared" si="174"/>
        <v>0.11428571428571428</v>
      </c>
      <c r="AA1588" s="8">
        <v>2.8227500000000001</v>
      </c>
    </row>
    <row r="1589" spans="2:27" ht="15" customHeight="1" x14ac:dyDescent="0.25">
      <c r="B1589">
        <v>313</v>
      </c>
      <c r="C1589" s="8">
        <v>-12176.9768</v>
      </c>
      <c r="D1589" s="2">
        <v>-12178.559888</v>
      </c>
      <c r="F1589" s="3">
        <v>0.99751900000000004</v>
      </c>
      <c r="G1589" s="2">
        <v>0.20072000000000001</v>
      </c>
      <c r="H1589">
        <v>5</v>
      </c>
      <c r="I1589">
        <v>8</v>
      </c>
      <c r="J1589" s="32"/>
      <c r="K1589" s="8">
        <f t="shared" si="168"/>
        <v>-1.1048076923088956</v>
      </c>
      <c r="L1589" s="8">
        <f t="shared" si="169"/>
        <v>-8.4985207100684274E-2</v>
      </c>
      <c r="M1589" s="8">
        <f t="shared" si="170"/>
        <v>-1.1614955384611676</v>
      </c>
      <c r="N1589" s="8">
        <f t="shared" si="171"/>
        <v>-8.9345810650859045E-2</v>
      </c>
      <c r="O1589" s="8"/>
      <c r="P1589" t="s">
        <v>1875</v>
      </c>
      <c r="Q1589">
        <v>36</v>
      </c>
      <c r="R1589" s="8">
        <v>2.8391600000000001</v>
      </c>
      <c r="S1589">
        <v>13</v>
      </c>
      <c r="T1589" s="8">
        <f t="shared" si="172"/>
        <v>0.3611111111111111</v>
      </c>
      <c r="U1589" s="8">
        <v>2.8402500000000002</v>
      </c>
      <c r="V1589">
        <v>19</v>
      </c>
      <c r="W1589" s="8">
        <f t="shared" si="173"/>
        <v>0.52777777777777779</v>
      </c>
      <c r="X1589" s="8">
        <v>2.8397600000000001</v>
      </c>
      <c r="Y1589">
        <v>4</v>
      </c>
      <c r="Z1589" s="8">
        <f t="shared" si="174"/>
        <v>0.1111111111111111</v>
      </c>
      <c r="AA1589" s="8">
        <v>2.8328199999999999</v>
      </c>
    </row>
    <row r="1590" spans="2:27" ht="15" customHeight="1" x14ac:dyDescent="0.25">
      <c r="B1590">
        <v>314</v>
      </c>
      <c r="C1590" s="8">
        <v>-12177.0643</v>
      </c>
      <c r="D1590" s="2">
        <v>-12178.64912</v>
      </c>
      <c r="F1590" s="3">
        <v>0.99838899999999997</v>
      </c>
      <c r="G1590" s="2">
        <v>0.21378</v>
      </c>
      <c r="H1590">
        <v>5</v>
      </c>
      <c r="I1590">
        <v>8</v>
      </c>
      <c r="J1590" s="32"/>
      <c r="K1590" s="8">
        <f t="shared" si="168"/>
        <v>-1.1923076923085318</v>
      </c>
      <c r="L1590" s="8">
        <f t="shared" si="169"/>
        <v>-9.1715976331425531E-2</v>
      </c>
      <c r="M1590" s="8">
        <f t="shared" si="170"/>
        <v>-1.2507275384614331</v>
      </c>
      <c r="N1590" s="8">
        <f t="shared" si="171"/>
        <v>-9.6209810650879468E-2</v>
      </c>
      <c r="O1590" s="8"/>
      <c r="P1590" t="s">
        <v>1876</v>
      </c>
      <c r="Q1590">
        <v>34</v>
      </c>
      <c r="R1590" s="8">
        <v>2.8147099999999998</v>
      </c>
      <c r="S1590">
        <v>10</v>
      </c>
      <c r="T1590" s="8">
        <f t="shared" si="172"/>
        <v>0.29411764705882354</v>
      </c>
      <c r="U1590" s="8">
        <v>2.7953399999999999</v>
      </c>
      <c r="V1590">
        <v>21</v>
      </c>
      <c r="W1590" s="8">
        <f t="shared" si="173"/>
        <v>0.61764705882352944</v>
      </c>
      <c r="X1590" s="8">
        <v>2.8200699999999999</v>
      </c>
      <c r="Y1590">
        <v>3</v>
      </c>
      <c r="Z1590" s="8">
        <f t="shared" si="174"/>
        <v>8.8235294117647065E-2</v>
      </c>
      <c r="AA1590" s="8">
        <v>2.84172</v>
      </c>
    </row>
    <row r="1591" spans="2:27" ht="15" customHeight="1" x14ac:dyDescent="0.25">
      <c r="B1591">
        <v>315</v>
      </c>
      <c r="C1591" s="8">
        <v>-12176.891100000001</v>
      </c>
      <c r="D1591" s="2">
        <v>-12178.314323000001</v>
      </c>
      <c r="F1591" s="3">
        <v>0.99407299999999998</v>
      </c>
      <c r="G1591" s="2">
        <v>0.17459999999999901</v>
      </c>
      <c r="H1591">
        <v>5</v>
      </c>
      <c r="I1591">
        <v>8</v>
      </c>
      <c r="J1591" s="32"/>
      <c r="K1591" s="8">
        <f t="shared" si="168"/>
        <v>-1.0191076923092623</v>
      </c>
      <c r="L1591" s="8">
        <f t="shared" si="169"/>
        <v>-7.8392899408404798E-2</v>
      </c>
      <c r="M1591" s="8">
        <f t="shared" si="170"/>
        <v>-0.91593053846190742</v>
      </c>
      <c r="N1591" s="8">
        <f t="shared" si="171"/>
        <v>-7.0456195266300564E-2</v>
      </c>
      <c r="O1591" s="8"/>
      <c r="P1591" t="s">
        <v>1877</v>
      </c>
      <c r="Q1591">
        <v>34</v>
      </c>
      <c r="R1591" s="8">
        <v>2.8227500000000001</v>
      </c>
      <c r="S1591">
        <v>12</v>
      </c>
      <c r="T1591" s="8">
        <f t="shared" si="172"/>
        <v>0.35294117647058826</v>
      </c>
      <c r="U1591" s="8">
        <v>2.8265099999999999</v>
      </c>
      <c r="V1591">
        <v>20</v>
      </c>
      <c r="W1591" s="8">
        <f t="shared" si="173"/>
        <v>0.58823529411764708</v>
      </c>
      <c r="X1591" s="8">
        <v>2.8060900000000002</v>
      </c>
      <c r="Y1591">
        <v>2</v>
      </c>
      <c r="Z1591" s="8">
        <f t="shared" si="174"/>
        <v>5.8823529411764705E-2</v>
      </c>
      <c r="AA1591" s="8">
        <v>2.96679</v>
      </c>
    </row>
    <row r="1592" spans="2:27" ht="15" customHeight="1" x14ac:dyDescent="0.25">
      <c r="B1592">
        <v>316</v>
      </c>
      <c r="C1592" s="8">
        <v>-12176.6041</v>
      </c>
      <c r="D1592" s="2">
        <v>-12178.117195000001</v>
      </c>
      <c r="F1592" s="3">
        <v>0.99468100000000004</v>
      </c>
      <c r="G1592" s="2">
        <v>0.17766999999999999</v>
      </c>
      <c r="H1592">
        <v>5</v>
      </c>
      <c r="I1592">
        <v>8</v>
      </c>
      <c r="J1592" s="32"/>
      <c r="K1592" s="8">
        <f t="shared" si="168"/>
        <v>-0.73210769230900041</v>
      </c>
      <c r="L1592" s="8">
        <f t="shared" si="169"/>
        <v>-5.631597633146157E-2</v>
      </c>
      <c r="M1592" s="8">
        <f t="shared" si="170"/>
        <v>-0.71880253846211417</v>
      </c>
      <c r="N1592" s="8">
        <f t="shared" si="171"/>
        <v>-5.5292502958624166E-2</v>
      </c>
      <c r="O1592" s="8"/>
      <c r="P1592" t="s">
        <v>1878</v>
      </c>
      <c r="Q1592">
        <v>36</v>
      </c>
      <c r="R1592" s="8">
        <v>2.8362500000000002</v>
      </c>
      <c r="S1592">
        <v>13</v>
      </c>
      <c r="T1592" s="8">
        <f t="shared" si="172"/>
        <v>0.3611111111111111</v>
      </c>
      <c r="U1592" s="8">
        <v>2.8105000000000002</v>
      </c>
      <c r="V1592">
        <v>16</v>
      </c>
      <c r="W1592" s="8">
        <f t="shared" si="173"/>
        <v>0.44444444444444442</v>
      </c>
      <c r="X1592" s="8">
        <v>2.8529200000000001</v>
      </c>
      <c r="Y1592">
        <v>7</v>
      </c>
      <c r="Z1592" s="8">
        <f t="shared" si="174"/>
        <v>0.19444444444444445</v>
      </c>
      <c r="AA1592" s="8">
        <v>2.8459599999999998</v>
      </c>
    </row>
    <row r="1593" spans="2:27" ht="15" customHeight="1" x14ac:dyDescent="0.25">
      <c r="B1593">
        <v>317</v>
      </c>
      <c r="C1593" s="8">
        <v>-12176.7048</v>
      </c>
      <c r="D1593" s="2">
        <v>-12178.629836</v>
      </c>
      <c r="F1593" s="3">
        <v>0.99585999999999997</v>
      </c>
      <c r="G1593" s="2">
        <v>0.185559999999999</v>
      </c>
      <c r="H1593">
        <v>5</v>
      </c>
      <c r="I1593">
        <v>8</v>
      </c>
      <c r="J1593" s="32"/>
      <c r="K1593" s="8">
        <f t="shared" si="168"/>
        <v>-0.83280769230805163</v>
      </c>
      <c r="L1593" s="8">
        <f t="shared" si="169"/>
        <v>-6.4062130177542434E-2</v>
      </c>
      <c r="M1593" s="8">
        <f t="shared" si="170"/>
        <v>-1.2314435384614626</v>
      </c>
      <c r="N1593" s="8">
        <f t="shared" si="171"/>
        <v>-9.4726426035497122E-2</v>
      </c>
      <c r="O1593" s="8"/>
      <c r="P1593" t="s">
        <v>1879</v>
      </c>
      <c r="Q1593">
        <v>36</v>
      </c>
      <c r="R1593" s="8">
        <v>2.83392</v>
      </c>
      <c r="S1593">
        <v>12</v>
      </c>
      <c r="T1593" s="8">
        <f t="shared" si="172"/>
        <v>0.33333333333333331</v>
      </c>
      <c r="U1593" s="8">
        <v>2.80369</v>
      </c>
      <c r="V1593">
        <v>18</v>
      </c>
      <c r="W1593" s="8">
        <f t="shared" si="173"/>
        <v>0.5</v>
      </c>
      <c r="X1593" s="8">
        <v>2.8512400000000002</v>
      </c>
      <c r="Y1593">
        <v>6</v>
      </c>
      <c r="Z1593" s="8">
        <f t="shared" si="174"/>
        <v>0.16666666666666666</v>
      </c>
      <c r="AA1593" s="8">
        <v>2.8424299999999998</v>
      </c>
    </row>
    <row r="1594" spans="2:27" ht="15" customHeight="1" x14ac:dyDescent="0.25">
      <c r="B1594">
        <v>318</v>
      </c>
      <c r="C1594" s="8">
        <v>-12176.670099999999</v>
      </c>
      <c r="D1594" s="2">
        <v>-12178.729880000001</v>
      </c>
      <c r="F1594" s="3">
        <v>0.99793600000000005</v>
      </c>
      <c r="G1594" s="2">
        <v>0.20621</v>
      </c>
      <c r="H1594">
        <v>5</v>
      </c>
      <c r="I1594">
        <v>8</v>
      </c>
      <c r="J1594" s="32"/>
      <c r="K1594" s="8">
        <f t="shared" si="168"/>
        <v>-0.79810769230789447</v>
      </c>
      <c r="L1594" s="8">
        <f t="shared" si="169"/>
        <v>-6.1392899408299575E-2</v>
      </c>
      <c r="M1594" s="8">
        <f t="shared" si="170"/>
        <v>-1.3314875384621701</v>
      </c>
      <c r="N1594" s="8">
        <f t="shared" si="171"/>
        <v>-0.10242211834324386</v>
      </c>
      <c r="O1594" s="8"/>
      <c r="P1594" t="s">
        <v>1880</v>
      </c>
      <c r="Q1594">
        <v>34</v>
      </c>
      <c r="R1594" s="8">
        <v>2.8217099999999999</v>
      </c>
      <c r="S1594">
        <v>13</v>
      </c>
      <c r="T1594" s="8">
        <f t="shared" si="172"/>
        <v>0.38235294117647056</v>
      </c>
      <c r="U1594" s="8">
        <v>2.81521</v>
      </c>
      <c r="V1594">
        <v>14</v>
      </c>
      <c r="W1594" s="8">
        <f t="shared" si="173"/>
        <v>0.41176470588235292</v>
      </c>
      <c r="X1594" s="8">
        <v>2.8081100000000001</v>
      </c>
      <c r="Y1594">
        <v>7</v>
      </c>
      <c r="Z1594" s="8">
        <f t="shared" si="174"/>
        <v>0.20588235294117646</v>
      </c>
      <c r="AA1594" s="8">
        <v>2.8610000000000002</v>
      </c>
    </row>
    <row r="1595" spans="2:27" ht="15" customHeight="1" x14ac:dyDescent="0.25">
      <c r="B1595">
        <v>319</v>
      </c>
      <c r="C1595" s="8">
        <v>-12176.866599999999</v>
      </c>
      <c r="D1595" s="2">
        <v>-12178.721242</v>
      </c>
      <c r="F1595" s="3">
        <v>0.98792999999999997</v>
      </c>
      <c r="G1595" s="2">
        <v>0.15312999999999999</v>
      </c>
      <c r="H1595">
        <v>5</v>
      </c>
      <c r="I1595">
        <v>8</v>
      </c>
      <c r="J1595" s="32"/>
      <c r="K1595" s="8">
        <f t="shared" si="168"/>
        <v>-0.99460769230790902</v>
      </c>
      <c r="L1595" s="8">
        <f t="shared" si="169"/>
        <v>-7.6508284023685313E-2</v>
      </c>
      <c r="M1595" s="8">
        <f t="shared" si="170"/>
        <v>-1.3228495384610142</v>
      </c>
      <c r="N1595" s="8">
        <f t="shared" si="171"/>
        <v>-0.1017576568046934</v>
      </c>
      <c r="O1595" s="8"/>
      <c r="P1595" t="s">
        <v>1881</v>
      </c>
      <c r="Q1595">
        <v>35</v>
      </c>
      <c r="R1595" s="8">
        <v>2.8267199999999999</v>
      </c>
      <c r="S1595">
        <v>13</v>
      </c>
      <c r="T1595" s="8">
        <f t="shared" si="172"/>
        <v>0.37142857142857144</v>
      </c>
      <c r="U1595" s="8">
        <v>2.8144100000000001</v>
      </c>
      <c r="V1595">
        <v>16</v>
      </c>
      <c r="W1595" s="8">
        <f t="shared" si="173"/>
        <v>0.45714285714285713</v>
      </c>
      <c r="X1595" s="8">
        <v>2.8381599999999998</v>
      </c>
      <c r="Y1595">
        <v>6</v>
      </c>
      <c r="Z1595" s="8">
        <f t="shared" si="174"/>
        <v>0.17142857142857143</v>
      </c>
      <c r="AA1595" s="8">
        <v>2.8228900000000001</v>
      </c>
    </row>
    <row r="1596" spans="2:27" ht="15" customHeight="1" x14ac:dyDescent="0.25">
      <c r="B1596">
        <v>320</v>
      </c>
      <c r="C1596" s="8">
        <v>-12176.7693</v>
      </c>
      <c r="D1596" s="2">
        <v>-12178.235848</v>
      </c>
      <c r="F1596" s="3">
        <v>0.99700900000000003</v>
      </c>
      <c r="G1596" s="2">
        <v>0.1951</v>
      </c>
      <c r="H1596">
        <v>5</v>
      </c>
      <c r="I1596">
        <v>8</v>
      </c>
      <c r="J1596" s="32"/>
      <c r="K1596" s="8">
        <f t="shared" si="168"/>
        <v>-0.89730769230845908</v>
      </c>
      <c r="L1596" s="8">
        <f t="shared" si="169"/>
        <v>-6.9023668639112232E-2</v>
      </c>
      <c r="M1596" s="8">
        <f t="shared" si="170"/>
        <v>-0.83745553846165421</v>
      </c>
      <c r="N1596" s="8">
        <f t="shared" si="171"/>
        <v>-6.4419656804742625E-2</v>
      </c>
      <c r="O1596" s="8"/>
      <c r="P1596" t="s">
        <v>1882</v>
      </c>
      <c r="Q1596">
        <v>35</v>
      </c>
      <c r="R1596" s="8">
        <v>2.8279200000000002</v>
      </c>
      <c r="S1596">
        <v>13</v>
      </c>
      <c r="T1596" s="8">
        <f t="shared" si="172"/>
        <v>0.37142857142857144</v>
      </c>
      <c r="U1596" s="8">
        <v>2.827</v>
      </c>
      <c r="V1596">
        <v>16</v>
      </c>
      <c r="W1596" s="8">
        <f t="shared" si="173"/>
        <v>0.45714285714285713</v>
      </c>
      <c r="X1596" s="8">
        <v>2.81603</v>
      </c>
      <c r="Y1596">
        <v>6</v>
      </c>
      <c r="Z1596" s="8">
        <f t="shared" si="174"/>
        <v>0.17142857142857143</v>
      </c>
      <c r="AA1596" s="8">
        <v>2.86164</v>
      </c>
    </row>
    <row r="1597" spans="2:27" ht="15" customHeight="1" x14ac:dyDescent="0.25">
      <c r="B1597" s="40">
        <v>321</v>
      </c>
      <c r="C1597" s="40">
        <v>-12176.958681</v>
      </c>
      <c r="D1597" s="41">
        <v>-12178.517564</v>
      </c>
      <c r="E1597" s="40"/>
      <c r="F1597" s="42">
        <v>0.99702100000000005</v>
      </c>
      <c r="G1597" s="41">
        <v>0.195269999999999</v>
      </c>
      <c r="H1597" s="40">
        <v>5</v>
      </c>
      <c r="I1597" s="40">
        <v>8</v>
      </c>
      <c r="J1597" s="32"/>
      <c r="K1597" s="8">
        <f t="shared" si="168"/>
        <v>-1.0866886923085985</v>
      </c>
      <c r="L1597" s="8">
        <f t="shared" si="169"/>
        <v>-8.3591437869892191E-2</v>
      </c>
      <c r="M1597" s="8">
        <f t="shared" si="170"/>
        <v>-1.1191715384611598</v>
      </c>
      <c r="N1597" s="8">
        <f t="shared" si="171"/>
        <v>-8.6090118343166142E-2</v>
      </c>
      <c r="O1597" s="8"/>
      <c r="P1597" t="s">
        <v>1883</v>
      </c>
      <c r="Q1597">
        <v>34</v>
      </c>
      <c r="R1597" s="8">
        <v>2.8153299999999999</v>
      </c>
      <c r="S1597">
        <v>12</v>
      </c>
      <c r="T1597" s="8">
        <f t="shared" si="172"/>
        <v>0.35294117647058826</v>
      </c>
      <c r="U1597" s="8">
        <v>2.7887300000000002</v>
      </c>
      <c r="V1597">
        <v>17</v>
      </c>
      <c r="W1597" s="8">
        <f t="shared" si="173"/>
        <v>0.5</v>
      </c>
      <c r="X1597" s="8">
        <v>2.8317600000000001</v>
      </c>
      <c r="Y1597">
        <v>5</v>
      </c>
      <c r="Z1597" s="8">
        <f t="shared" si="174"/>
        <v>0.14705882352941177</v>
      </c>
      <c r="AA1597" s="8">
        <v>2.8233199999999998</v>
      </c>
    </row>
    <row r="1598" spans="2:27" ht="15" customHeight="1" x14ac:dyDescent="0.25">
      <c r="B1598">
        <v>322</v>
      </c>
      <c r="C1598" s="8">
        <v>-12176.505499999999</v>
      </c>
      <c r="D1598" s="2">
        <v>-12178.108435</v>
      </c>
      <c r="F1598" s="3">
        <v>0.99543800000000005</v>
      </c>
      <c r="G1598" s="2">
        <v>0.18243999999999999</v>
      </c>
      <c r="H1598">
        <v>5</v>
      </c>
      <c r="I1598">
        <v>8</v>
      </c>
      <c r="J1598" s="32"/>
      <c r="K1598" s="8">
        <f t="shared" si="168"/>
        <v>-0.63350769230783044</v>
      </c>
      <c r="L1598" s="8">
        <f t="shared" si="169"/>
        <v>-4.8731360946756189E-2</v>
      </c>
      <c r="M1598" s="8">
        <f t="shared" si="170"/>
        <v>-0.71004253846149368</v>
      </c>
      <c r="N1598" s="8">
        <f t="shared" si="171"/>
        <v>-5.4618656804730284E-2</v>
      </c>
      <c r="O1598" s="8"/>
      <c r="P1598" t="s">
        <v>1884</v>
      </c>
      <c r="Q1598">
        <v>35</v>
      </c>
      <c r="R1598" s="8">
        <v>2.8288199999999999</v>
      </c>
      <c r="S1598">
        <v>14</v>
      </c>
      <c r="T1598" s="8">
        <f t="shared" si="172"/>
        <v>0.4</v>
      </c>
      <c r="U1598" s="8">
        <v>2.79826</v>
      </c>
      <c r="V1598">
        <v>14</v>
      </c>
      <c r="W1598" s="8">
        <f t="shared" si="173"/>
        <v>0.4</v>
      </c>
      <c r="X1598" s="8">
        <v>2.8544399999999999</v>
      </c>
      <c r="Y1598">
        <v>7</v>
      </c>
      <c r="Z1598" s="8">
        <f t="shared" si="174"/>
        <v>0.2</v>
      </c>
      <c r="AA1598" s="8">
        <v>2.8387099999999998</v>
      </c>
    </row>
    <row r="1599" spans="2:27" ht="15" customHeight="1" x14ac:dyDescent="0.25">
      <c r="B1599">
        <v>323</v>
      </c>
      <c r="C1599" s="8">
        <v>-12176.7657</v>
      </c>
      <c r="D1599" s="2">
        <v>-12178.272945000001</v>
      </c>
      <c r="F1599" s="3">
        <v>0.99476500000000001</v>
      </c>
      <c r="G1599" s="2">
        <v>0.17824999999999999</v>
      </c>
      <c r="H1599">
        <v>5</v>
      </c>
      <c r="I1599">
        <v>8</v>
      </c>
      <c r="J1599" s="32"/>
      <c r="K1599" s="8">
        <f t="shared" si="168"/>
        <v>-0.89370769230845326</v>
      </c>
      <c r="L1599" s="8">
        <f t="shared" si="169"/>
        <v>-6.874674556218871E-2</v>
      </c>
      <c r="M1599" s="8">
        <f t="shared" si="170"/>
        <v>-0.87455253846201231</v>
      </c>
      <c r="N1599" s="8">
        <f t="shared" si="171"/>
        <v>-6.7273272189385558E-2</v>
      </c>
      <c r="O1599" s="8"/>
      <c r="P1599" t="s">
        <v>1885</v>
      </c>
      <c r="Q1599">
        <v>36</v>
      </c>
      <c r="R1599" s="8">
        <v>2.8387099999999998</v>
      </c>
      <c r="S1599">
        <v>12</v>
      </c>
      <c r="T1599" s="8">
        <f t="shared" si="172"/>
        <v>0.33333333333333331</v>
      </c>
      <c r="U1599" s="8">
        <v>2.8058900000000002</v>
      </c>
      <c r="V1599">
        <v>19</v>
      </c>
      <c r="W1599" s="8">
        <f t="shared" si="173"/>
        <v>0.52777777777777779</v>
      </c>
      <c r="X1599" s="8">
        <v>2.8460000000000001</v>
      </c>
      <c r="Y1599">
        <v>5</v>
      </c>
      <c r="Z1599" s="8">
        <f t="shared" si="174"/>
        <v>0.1388888888888889</v>
      </c>
      <c r="AA1599" s="8">
        <v>2.8897400000000002</v>
      </c>
    </row>
    <row r="1600" spans="2:27" ht="15" customHeight="1" x14ac:dyDescent="0.25">
      <c r="B1600">
        <v>324</v>
      </c>
      <c r="C1600" s="8">
        <v>-12176.720300000001</v>
      </c>
      <c r="D1600" s="2">
        <v>-12178.380111</v>
      </c>
      <c r="F1600" s="3">
        <v>0.99240700000000004</v>
      </c>
      <c r="G1600" s="2">
        <v>0.16700000000000001</v>
      </c>
      <c r="H1600">
        <v>5</v>
      </c>
      <c r="I1600">
        <v>8</v>
      </c>
      <c r="J1600" s="32"/>
      <c r="K1600" s="8">
        <f t="shared" si="168"/>
        <v>-0.8483076923093904</v>
      </c>
      <c r="L1600" s="8">
        <f t="shared" si="169"/>
        <v>-6.5254437869953108E-2</v>
      </c>
      <c r="M1600" s="8">
        <f t="shared" si="170"/>
        <v>-0.98171853846179147</v>
      </c>
      <c r="N1600" s="8">
        <f t="shared" si="171"/>
        <v>-7.551681065090704E-2</v>
      </c>
      <c r="O1600" s="8"/>
      <c r="P1600" t="s">
        <v>1886</v>
      </c>
      <c r="Q1600">
        <v>34</v>
      </c>
      <c r="R1600" s="8">
        <v>2.8225600000000002</v>
      </c>
      <c r="S1600">
        <v>14</v>
      </c>
      <c r="T1600" s="8">
        <f t="shared" si="172"/>
        <v>0.41176470588235292</v>
      </c>
      <c r="U1600" s="8">
        <v>2.8086799999999998</v>
      </c>
      <c r="V1600">
        <v>13</v>
      </c>
      <c r="W1600" s="8">
        <f t="shared" si="173"/>
        <v>0.38235294117647056</v>
      </c>
      <c r="X1600" s="8">
        <v>2.81507</v>
      </c>
      <c r="Y1600">
        <v>7</v>
      </c>
      <c r="Z1600" s="8">
        <f t="shared" si="174"/>
        <v>0.20588235294117646</v>
      </c>
      <c r="AA1600" s="8">
        <v>2.8642400000000001</v>
      </c>
    </row>
    <row r="1601" spans="2:27" ht="15" customHeight="1" x14ac:dyDescent="0.25">
      <c r="B1601">
        <v>325</v>
      </c>
      <c r="C1601" s="8">
        <v>-12176.9936</v>
      </c>
      <c r="D1601" s="2">
        <v>-12178.560688</v>
      </c>
      <c r="F1601" s="3">
        <v>0.99745399999999995</v>
      </c>
      <c r="G1601" s="2">
        <v>0.20016999999999999</v>
      </c>
      <c r="H1601">
        <v>5</v>
      </c>
      <c r="I1601">
        <v>8</v>
      </c>
      <c r="J1601" s="32"/>
      <c r="K1601" s="8">
        <f t="shared" si="168"/>
        <v>-1.1216076923083165</v>
      </c>
      <c r="L1601" s="8">
        <f t="shared" si="169"/>
        <v>-8.6277514792947416E-2</v>
      </c>
      <c r="M1601" s="8">
        <f t="shared" si="170"/>
        <v>-1.1622955384609668</v>
      </c>
      <c r="N1601" s="8">
        <f t="shared" si="171"/>
        <v>-8.9407349112382059E-2</v>
      </c>
      <c r="O1601" s="8"/>
      <c r="P1601" t="s">
        <v>1887</v>
      </c>
      <c r="Q1601">
        <v>34</v>
      </c>
      <c r="R1601" s="8">
        <v>2.8164500000000001</v>
      </c>
      <c r="S1601">
        <v>13</v>
      </c>
      <c r="T1601" s="8">
        <f t="shared" si="172"/>
        <v>0.38235294117647056</v>
      </c>
      <c r="U1601" s="8">
        <v>2.8056199999999998</v>
      </c>
      <c r="V1601">
        <v>17</v>
      </c>
      <c r="W1601" s="8">
        <f t="shared" si="173"/>
        <v>0.5</v>
      </c>
      <c r="X1601" s="8">
        <v>2.8307899999999999</v>
      </c>
      <c r="Y1601">
        <v>4</v>
      </c>
      <c r="Z1601" s="8">
        <f t="shared" si="174"/>
        <v>0.11764705882352941</v>
      </c>
      <c r="AA1601" s="8">
        <v>2.7907099999999998</v>
      </c>
    </row>
    <row r="1602" spans="2:27" ht="15" customHeight="1" x14ac:dyDescent="0.25">
      <c r="B1602">
        <v>326</v>
      </c>
      <c r="C1602" s="8">
        <v>-12176.661400000001</v>
      </c>
      <c r="D1602" s="2">
        <v>-12178.185851</v>
      </c>
      <c r="F1602" s="3">
        <v>0.992452</v>
      </c>
      <c r="G1602" s="2">
        <v>0.16725999999999899</v>
      </c>
      <c r="H1602">
        <v>5</v>
      </c>
      <c r="I1602">
        <v>8</v>
      </c>
      <c r="J1602" s="32"/>
      <c r="K1602" s="8">
        <f t="shared" si="168"/>
        <v>-0.78940769230939623</v>
      </c>
      <c r="L1602" s="8">
        <f t="shared" si="169"/>
        <v>-6.0723668639184325E-2</v>
      </c>
      <c r="M1602" s="8">
        <f t="shared" si="170"/>
        <v>-0.78745853846157843</v>
      </c>
      <c r="N1602" s="8">
        <f t="shared" si="171"/>
        <v>-6.0573733727813724E-2</v>
      </c>
      <c r="O1602" s="8"/>
      <c r="P1602" t="s">
        <v>1888</v>
      </c>
      <c r="Q1602">
        <v>36</v>
      </c>
      <c r="R1602" s="8">
        <v>2.8381799999999999</v>
      </c>
      <c r="S1602">
        <v>13</v>
      </c>
      <c r="T1602" s="8">
        <f t="shared" si="172"/>
        <v>0.3611111111111111</v>
      </c>
      <c r="U1602" s="8">
        <v>2.8026900000000001</v>
      </c>
      <c r="V1602">
        <v>17</v>
      </c>
      <c r="W1602" s="8">
        <f t="shared" si="173"/>
        <v>0.47222222222222221</v>
      </c>
      <c r="X1602" s="8">
        <v>2.86619</v>
      </c>
      <c r="Y1602">
        <v>6</v>
      </c>
      <c r="Z1602" s="8">
        <f t="shared" si="174"/>
        <v>0.16666666666666666</v>
      </c>
      <c r="AA1602" s="8">
        <v>2.8357000000000001</v>
      </c>
    </row>
    <row r="1603" spans="2:27" ht="15" customHeight="1" x14ac:dyDescent="0.25">
      <c r="B1603">
        <v>327</v>
      </c>
      <c r="C1603" s="8">
        <v>-12176.804400000001</v>
      </c>
      <c r="D1603" s="2">
        <v>-12178.607566000001</v>
      </c>
      <c r="F1603" s="3">
        <v>0.99422200000000005</v>
      </c>
      <c r="G1603" s="2">
        <v>0.17526999999999901</v>
      </c>
      <c r="H1603">
        <v>5</v>
      </c>
      <c r="I1603">
        <v>8</v>
      </c>
      <c r="J1603" s="32"/>
      <c r="K1603" s="8">
        <f t="shared" ref="K1603:K1666" si="175">IF(ISNUMBER(C1603),C1603-(($C$3-$C$2236)/($H$3-$H$2236)*H1603+$C$2236),"")</f>
        <v>-0.93240769230942533</v>
      </c>
      <c r="L1603" s="8">
        <f t="shared" ref="L1603:L1666" si="176">IF(ISNUMBER(C1603),K1603/(H1603+I1603),"")</f>
        <v>-7.1723668639186569E-2</v>
      </c>
      <c r="M1603" s="8">
        <f t="shared" ref="M1603:M1666" si="177">IF(ISNUMBER(D1603),D1603-(($D$3-$D$2236)/($H$3-$H$2236)*H1603+$D$2236),"")</f>
        <v>-1.2091735384619824</v>
      </c>
      <c r="N1603" s="8">
        <f t="shared" ref="N1603:N1666" si="178">IF(ISNUMBER(D1603),M1603/(H1603+I1603),"")</f>
        <v>-9.3013349112460189E-2</v>
      </c>
      <c r="O1603" s="8"/>
      <c r="P1603" t="s">
        <v>1889</v>
      </c>
      <c r="Q1603">
        <v>34</v>
      </c>
      <c r="R1603" s="8">
        <v>2.8169</v>
      </c>
      <c r="S1603">
        <v>13</v>
      </c>
      <c r="T1603" s="8">
        <f t="shared" ref="T1603:T1666" si="179">IF(ISNUMBER(S1603),S1603/(Q1603),"")</f>
        <v>0.38235294117647056</v>
      </c>
      <c r="U1603" s="8">
        <v>2.8196300000000001</v>
      </c>
      <c r="V1603">
        <v>15</v>
      </c>
      <c r="W1603" s="8">
        <f t="shared" ref="W1603:W1666" si="180">IF(ISNUMBER(V1603),V1603/($Q1603),"")</f>
        <v>0.44117647058823528</v>
      </c>
      <c r="X1603" s="8">
        <v>2.81047</v>
      </c>
      <c r="Y1603">
        <v>6</v>
      </c>
      <c r="Z1603" s="8">
        <f t="shared" ref="Z1603:Z1666" si="181">IF(ISNUMBER(Y1603),Y1603/($Q1603),"")</f>
        <v>0.17647058823529413</v>
      </c>
      <c r="AA1603" s="8">
        <v>2.8270499999999998</v>
      </c>
    </row>
    <row r="1604" spans="2:27" ht="15" customHeight="1" x14ac:dyDescent="0.25">
      <c r="B1604" s="40">
        <v>328</v>
      </c>
      <c r="C1604" s="40">
        <v>-12176.873481000001</v>
      </c>
      <c r="D1604" s="41">
        <v>-12178.500796</v>
      </c>
      <c r="E1604" s="40"/>
      <c r="F1604" s="42">
        <v>-0.99180000000000001</v>
      </c>
      <c r="G1604" s="41">
        <v>0.16480999999999901</v>
      </c>
      <c r="H1604" s="40">
        <v>5</v>
      </c>
      <c r="I1604" s="40">
        <v>8</v>
      </c>
      <c r="J1604" s="32"/>
      <c r="K1604" s="8">
        <f t="shared" si="175"/>
        <v>-1.0014886923090671</v>
      </c>
      <c r="L1604" s="8">
        <f t="shared" si="176"/>
        <v>-7.7037591716082085E-2</v>
      </c>
      <c r="M1604" s="8">
        <f t="shared" si="177"/>
        <v>-1.1024035384616582</v>
      </c>
      <c r="N1604" s="8">
        <f t="shared" si="178"/>
        <v>-8.4800272189358317E-2</v>
      </c>
      <c r="O1604" s="8"/>
      <c r="P1604" t="s">
        <v>1890</v>
      </c>
      <c r="Q1604">
        <v>34</v>
      </c>
      <c r="R1604" s="8">
        <v>2.8210799999999998</v>
      </c>
      <c r="S1604">
        <v>12</v>
      </c>
      <c r="T1604" s="8">
        <f t="shared" si="179"/>
        <v>0.35294117647058826</v>
      </c>
      <c r="U1604" s="8">
        <v>2.8305600000000002</v>
      </c>
      <c r="V1604">
        <v>17</v>
      </c>
      <c r="W1604" s="8">
        <f t="shared" si="180"/>
        <v>0.5</v>
      </c>
      <c r="X1604" s="8">
        <v>2.8018399999999999</v>
      </c>
      <c r="Y1604">
        <v>5</v>
      </c>
      <c r="Z1604" s="8">
        <f t="shared" si="181"/>
        <v>0.14705882352941177</v>
      </c>
      <c r="AA1604" s="8">
        <v>2.8636900000000001</v>
      </c>
    </row>
    <row r="1605" spans="2:27" ht="15" customHeight="1" x14ac:dyDescent="0.25">
      <c r="B1605">
        <v>329</v>
      </c>
      <c r="C1605" s="8">
        <v>-12176.9583</v>
      </c>
      <c r="D1605" s="2">
        <v>-12178.456365</v>
      </c>
      <c r="F1605" s="3">
        <v>0.99621899999999997</v>
      </c>
      <c r="G1605" s="2">
        <v>0.18808</v>
      </c>
      <c r="H1605">
        <v>5</v>
      </c>
      <c r="I1605">
        <v>8</v>
      </c>
      <c r="J1605" s="32"/>
      <c r="K1605" s="8">
        <f t="shared" si="175"/>
        <v>-1.0863076923087647</v>
      </c>
      <c r="L1605" s="8">
        <f t="shared" si="176"/>
        <v>-8.3562130177597282E-2</v>
      </c>
      <c r="M1605" s="8">
        <f t="shared" si="177"/>
        <v>-1.0579725384613994</v>
      </c>
      <c r="N1605" s="8">
        <f t="shared" si="178"/>
        <v>-8.1382502958569178E-2</v>
      </c>
      <c r="O1605" s="8"/>
      <c r="P1605" t="s">
        <v>1891</v>
      </c>
      <c r="Q1605">
        <v>34</v>
      </c>
      <c r="R1605" s="8">
        <v>2.8188800000000001</v>
      </c>
      <c r="S1605">
        <v>11</v>
      </c>
      <c r="T1605" s="8">
        <f t="shared" si="179"/>
        <v>0.3235294117647059</v>
      </c>
      <c r="U1605" s="8">
        <v>2.8015500000000002</v>
      </c>
      <c r="V1605">
        <v>19</v>
      </c>
      <c r="W1605" s="8">
        <f t="shared" si="180"/>
        <v>0.55882352941176472</v>
      </c>
      <c r="X1605" s="8">
        <v>2.8319399999999999</v>
      </c>
      <c r="Y1605">
        <v>4</v>
      </c>
      <c r="Z1605" s="8">
        <f t="shared" si="181"/>
        <v>0.11764705882352941</v>
      </c>
      <c r="AA1605" s="8">
        <v>2.8045100000000001</v>
      </c>
    </row>
    <row r="1606" spans="2:27" ht="15" customHeight="1" x14ac:dyDescent="0.25">
      <c r="B1606">
        <v>330</v>
      </c>
      <c r="C1606" s="8">
        <v>-12176.911099999999</v>
      </c>
      <c r="D1606" s="2">
        <v>-12178.536550000001</v>
      </c>
      <c r="F1606" s="3">
        <v>0.99541199999999996</v>
      </c>
      <c r="G1606" s="2">
        <v>0.18226999999999899</v>
      </c>
      <c r="H1606">
        <v>5</v>
      </c>
      <c r="I1606">
        <v>8</v>
      </c>
      <c r="J1606" s="32"/>
      <c r="K1606" s="8">
        <f t="shared" si="175"/>
        <v>-1.0391076923078799</v>
      </c>
      <c r="L1606" s="8">
        <f t="shared" si="176"/>
        <v>-7.9931360946759997E-2</v>
      </c>
      <c r="M1606" s="8">
        <f t="shared" si="177"/>
        <v>-1.1381575384621101</v>
      </c>
      <c r="N1606" s="8">
        <f t="shared" si="178"/>
        <v>-8.7550579881700771E-2</v>
      </c>
      <c r="O1606" s="8"/>
      <c r="P1606" t="s">
        <v>1892</v>
      </c>
      <c r="Q1606">
        <v>34</v>
      </c>
      <c r="R1606" s="8">
        <v>2.8169599999999999</v>
      </c>
      <c r="S1606">
        <v>12</v>
      </c>
      <c r="T1606" s="8">
        <f t="shared" si="179"/>
        <v>0.35294117647058826</v>
      </c>
      <c r="U1606" s="8">
        <v>2.8031700000000002</v>
      </c>
      <c r="V1606">
        <v>17</v>
      </c>
      <c r="W1606" s="8">
        <f t="shared" si="180"/>
        <v>0.5</v>
      </c>
      <c r="X1606" s="8">
        <v>2.8217500000000002</v>
      </c>
      <c r="Y1606">
        <v>5</v>
      </c>
      <c r="Z1606" s="8">
        <f t="shared" si="181"/>
        <v>0.14705882352941177</v>
      </c>
      <c r="AA1606" s="8">
        <v>2.8337300000000001</v>
      </c>
    </row>
    <row r="1607" spans="2:27" ht="15" customHeight="1" x14ac:dyDescent="0.25">
      <c r="B1607">
        <v>331</v>
      </c>
      <c r="C1607" s="8">
        <v>-12176.7078</v>
      </c>
      <c r="D1607" s="2">
        <v>-12178.249591</v>
      </c>
      <c r="F1607" s="3">
        <v>0.99593100000000001</v>
      </c>
      <c r="G1607" s="2">
        <v>0.18587999999999999</v>
      </c>
      <c r="H1607">
        <v>5</v>
      </c>
      <c r="I1607">
        <v>8</v>
      </c>
      <c r="J1607" s="32"/>
      <c r="K1607" s="8">
        <f t="shared" si="175"/>
        <v>-0.83580769230866281</v>
      </c>
      <c r="L1607" s="8">
        <f t="shared" si="176"/>
        <v>-6.4292899408358681E-2</v>
      </c>
      <c r="M1607" s="8">
        <f t="shared" si="177"/>
        <v>-0.85119853846117621</v>
      </c>
      <c r="N1607" s="8">
        <f t="shared" si="178"/>
        <v>-6.547681065085971E-2</v>
      </c>
      <c r="O1607" s="8"/>
      <c r="P1607" t="s">
        <v>1893</v>
      </c>
      <c r="Q1607">
        <v>34</v>
      </c>
      <c r="R1607" s="8">
        <v>2.8161399999999999</v>
      </c>
      <c r="S1607">
        <v>13</v>
      </c>
      <c r="T1607" s="8">
        <f t="shared" si="179"/>
        <v>0.38235294117647056</v>
      </c>
      <c r="U1607" s="8">
        <v>2.80979</v>
      </c>
      <c r="V1607">
        <v>16</v>
      </c>
      <c r="W1607" s="8">
        <f t="shared" si="180"/>
        <v>0.47058823529411764</v>
      </c>
      <c r="X1607" s="8">
        <v>2.8169400000000002</v>
      </c>
      <c r="Y1607">
        <v>5</v>
      </c>
      <c r="Z1607" s="8">
        <f t="shared" si="181"/>
        <v>0.14705882352941177</v>
      </c>
      <c r="AA1607" s="8">
        <v>2.83012</v>
      </c>
    </row>
    <row r="1608" spans="2:27" ht="15" customHeight="1" x14ac:dyDescent="0.25">
      <c r="B1608">
        <v>332</v>
      </c>
      <c r="C1608" s="8">
        <v>-12176.6937</v>
      </c>
      <c r="D1608" s="2">
        <v>-12178.219574999999</v>
      </c>
      <c r="F1608" s="3">
        <v>0.995919</v>
      </c>
      <c r="G1608" s="2">
        <v>0.18576000000000001</v>
      </c>
      <c r="H1608">
        <v>5</v>
      </c>
      <c r="I1608">
        <v>8</v>
      </c>
      <c r="J1608" s="32"/>
      <c r="K1608" s="8">
        <f t="shared" si="175"/>
        <v>-0.82170769230833685</v>
      </c>
      <c r="L1608" s="8">
        <f t="shared" si="176"/>
        <v>-6.3208284023718225E-2</v>
      </c>
      <c r="M1608" s="8">
        <f t="shared" si="177"/>
        <v>-0.82118253846056177</v>
      </c>
      <c r="N1608" s="8">
        <f t="shared" si="178"/>
        <v>-6.3167887573889372E-2</v>
      </c>
      <c r="O1608" s="8"/>
      <c r="P1608" t="s">
        <v>1894</v>
      </c>
      <c r="Q1608">
        <v>34</v>
      </c>
      <c r="R1608" s="8">
        <v>2.8157299999999998</v>
      </c>
      <c r="S1608">
        <v>14</v>
      </c>
      <c r="T1608" s="8">
        <f t="shared" si="179"/>
        <v>0.41176470588235292</v>
      </c>
      <c r="U1608" s="8">
        <v>2.8294600000000001</v>
      </c>
      <c r="V1608">
        <v>16</v>
      </c>
      <c r="W1608" s="8">
        <f t="shared" si="180"/>
        <v>0.47058823529411764</v>
      </c>
      <c r="X1608" s="8">
        <v>2.8116400000000001</v>
      </c>
      <c r="Y1608">
        <v>4</v>
      </c>
      <c r="Z1608" s="8">
        <f t="shared" si="181"/>
        <v>0.11764705882352941</v>
      </c>
      <c r="AA1608" s="8">
        <v>2.7839700000000001</v>
      </c>
    </row>
    <row r="1609" spans="2:27" ht="15" customHeight="1" x14ac:dyDescent="0.25">
      <c r="B1609">
        <v>333</v>
      </c>
      <c r="C1609" s="8">
        <v>-12176.8343</v>
      </c>
      <c r="D1609" s="2">
        <v>-12178.309112000001</v>
      </c>
      <c r="F1609" s="3">
        <v>0.99786600000000003</v>
      </c>
      <c r="G1609" s="2">
        <v>0.204869999999999</v>
      </c>
      <c r="H1609">
        <v>5</v>
      </c>
      <c r="I1609">
        <v>8</v>
      </c>
      <c r="J1609" s="32"/>
      <c r="K1609" s="8">
        <f t="shared" si="175"/>
        <v>-0.9623076923089684</v>
      </c>
      <c r="L1609" s="8">
        <f t="shared" si="176"/>
        <v>-7.4023668639151413E-2</v>
      </c>
      <c r="M1609" s="8">
        <f t="shared" si="177"/>
        <v>-0.91071953846221732</v>
      </c>
      <c r="N1609" s="8">
        <f t="shared" si="178"/>
        <v>-7.0055349112478252E-2</v>
      </c>
      <c r="O1609" s="8"/>
      <c r="P1609" t="s">
        <v>1895</v>
      </c>
      <c r="Q1609">
        <v>33</v>
      </c>
      <c r="R1609" s="8">
        <v>2.81107</v>
      </c>
      <c r="S1609">
        <v>13</v>
      </c>
      <c r="T1609" s="8">
        <f t="shared" si="179"/>
        <v>0.39393939393939392</v>
      </c>
      <c r="U1609" s="8">
        <v>2.8222700000000001</v>
      </c>
      <c r="V1609">
        <v>14</v>
      </c>
      <c r="W1609" s="8">
        <f t="shared" si="180"/>
        <v>0.42424242424242425</v>
      </c>
      <c r="X1609" s="8">
        <v>2.7983600000000002</v>
      </c>
      <c r="Y1609">
        <v>6</v>
      </c>
      <c r="Z1609" s="8">
        <f t="shared" si="181"/>
        <v>0.18181818181818182</v>
      </c>
      <c r="AA1609" s="8">
        <v>2.8164600000000002</v>
      </c>
    </row>
    <row r="1610" spans="2:27" ht="15" customHeight="1" x14ac:dyDescent="0.25">
      <c r="B1610">
        <v>334</v>
      </c>
      <c r="C1610" s="8">
        <v>-12176.899799999999</v>
      </c>
      <c r="D1610" s="2">
        <v>-12178.473273</v>
      </c>
      <c r="F1610" s="3">
        <v>0.99690599999999996</v>
      </c>
      <c r="G1610" s="2">
        <v>0.19411</v>
      </c>
      <c r="H1610">
        <v>5</v>
      </c>
      <c r="I1610">
        <v>8</v>
      </c>
      <c r="J1610" s="32"/>
      <c r="K1610" s="8">
        <f t="shared" si="175"/>
        <v>-1.0278076923077606</v>
      </c>
      <c r="L1610" s="8">
        <f t="shared" si="176"/>
        <v>-7.9062130177520049E-2</v>
      </c>
      <c r="M1610" s="8">
        <f t="shared" si="177"/>
        <v>-1.0748805384610023</v>
      </c>
      <c r="N1610" s="8">
        <f t="shared" si="178"/>
        <v>-8.2683118343154019E-2</v>
      </c>
      <c r="O1610" s="8"/>
      <c r="P1610" t="s">
        <v>1896</v>
      </c>
      <c r="Q1610">
        <v>34</v>
      </c>
      <c r="R1610" s="8">
        <v>2.8213900000000001</v>
      </c>
      <c r="S1610">
        <v>12</v>
      </c>
      <c r="T1610" s="8">
        <f t="shared" si="179"/>
        <v>0.35294117647058826</v>
      </c>
      <c r="U1610" s="8">
        <v>2.81115</v>
      </c>
      <c r="V1610">
        <v>15</v>
      </c>
      <c r="W1610" s="8">
        <f t="shared" si="180"/>
        <v>0.44117647058823528</v>
      </c>
      <c r="X1610" s="8">
        <v>2.8016100000000002</v>
      </c>
      <c r="Y1610">
        <v>7</v>
      </c>
      <c r="Z1610" s="8">
        <f t="shared" si="181"/>
        <v>0.20588235294117646</v>
      </c>
      <c r="AA1610" s="8">
        <v>2.8813399999999998</v>
      </c>
    </row>
    <row r="1611" spans="2:27" ht="15" customHeight="1" x14ac:dyDescent="0.25">
      <c r="B1611">
        <v>335</v>
      </c>
      <c r="C1611" s="8">
        <v>-12176.986000000001</v>
      </c>
      <c r="D1611" s="2">
        <v>-12178.442187000001</v>
      </c>
      <c r="F1611" s="3">
        <v>0.99679600000000002</v>
      </c>
      <c r="G1611" s="2">
        <v>0.193049999999999</v>
      </c>
      <c r="H1611">
        <v>5</v>
      </c>
      <c r="I1611">
        <v>8</v>
      </c>
      <c r="J1611" s="32"/>
      <c r="K1611" s="8">
        <f t="shared" si="175"/>
        <v>-1.1140076923093147</v>
      </c>
      <c r="L1611" s="8">
        <f t="shared" si="176"/>
        <v>-8.5692899408408824E-2</v>
      </c>
      <c r="M1611" s="8">
        <f t="shared" si="177"/>
        <v>-1.0437945384619525</v>
      </c>
      <c r="N1611" s="8">
        <f t="shared" si="178"/>
        <v>-8.0291887573996343E-2</v>
      </c>
      <c r="O1611" s="8"/>
      <c r="P1611" t="s">
        <v>1897</v>
      </c>
      <c r="Q1611">
        <v>34</v>
      </c>
      <c r="R1611" s="8">
        <v>2.8171400000000002</v>
      </c>
      <c r="S1611">
        <v>12</v>
      </c>
      <c r="T1611" s="8">
        <f t="shared" si="179"/>
        <v>0.35294117647058826</v>
      </c>
      <c r="U1611" s="8">
        <v>2.78905</v>
      </c>
      <c r="V1611">
        <v>17</v>
      </c>
      <c r="W1611" s="8">
        <f t="shared" si="180"/>
        <v>0.5</v>
      </c>
      <c r="X1611" s="8">
        <v>2.8311600000000001</v>
      </c>
      <c r="Y1611">
        <v>5</v>
      </c>
      <c r="Z1611" s="8">
        <f t="shared" si="181"/>
        <v>0.14705882352941177</v>
      </c>
      <c r="AA1611" s="8">
        <v>2.8368500000000001</v>
      </c>
    </row>
    <row r="1612" spans="2:27" ht="15" customHeight="1" x14ac:dyDescent="0.25">
      <c r="B1612">
        <v>336</v>
      </c>
      <c r="C1612" s="8">
        <v>-12176.6183</v>
      </c>
      <c r="D1612" s="2">
        <v>-12178.234331</v>
      </c>
      <c r="F1612" s="3">
        <v>0.99728300000000003</v>
      </c>
      <c r="G1612" s="2">
        <v>0.19803999999999899</v>
      </c>
      <c r="H1612">
        <v>5</v>
      </c>
      <c r="I1612">
        <v>8</v>
      </c>
      <c r="J1612" s="32"/>
      <c r="K1612" s="8">
        <f t="shared" si="175"/>
        <v>-0.74630769230861915</v>
      </c>
      <c r="L1612" s="8">
        <f t="shared" si="176"/>
        <v>-5.7408284023739937E-2</v>
      </c>
      <c r="M1612" s="8">
        <f t="shared" si="177"/>
        <v>-0.83593853846105048</v>
      </c>
      <c r="N1612" s="8">
        <f t="shared" si="178"/>
        <v>-6.4302964497003887E-2</v>
      </c>
      <c r="O1612" s="8"/>
      <c r="P1612" t="s">
        <v>1898</v>
      </c>
      <c r="Q1612">
        <v>34</v>
      </c>
      <c r="R1612" s="8">
        <v>2.8224999999999998</v>
      </c>
      <c r="S1612">
        <v>14</v>
      </c>
      <c r="T1612" s="8">
        <f t="shared" si="179"/>
        <v>0.41176470588235292</v>
      </c>
      <c r="U1612" s="8">
        <v>2.8219699999999999</v>
      </c>
      <c r="V1612">
        <v>13</v>
      </c>
      <c r="W1612" s="8">
        <f t="shared" si="180"/>
        <v>0.38235294117647056</v>
      </c>
      <c r="X1612" s="8">
        <v>2.7983799999999999</v>
      </c>
      <c r="Y1612">
        <v>7</v>
      </c>
      <c r="Z1612" s="8">
        <f t="shared" si="181"/>
        <v>0.20588235294117646</v>
      </c>
      <c r="AA1612" s="8">
        <v>2.86836</v>
      </c>
    </row>
    <row r="1613" spans="2:27" ht="15" customHeight="1" x14ac:dyDescent="0.25">
      <c r="B1613">
        <v>337</v>
      </c>
      <c r="C1613" s="8">
        <v>-12176.838299999999</v>
      </c>
      <c r="D1613" s="2">
        <v>-12178.304424</v>
      </c>
      <c r="F1613" s="3">
        <v>0.99594499999999997</v>
      </c>
      <c r="G1613" s="2">
        <v>0.185999999999999</v>
      </c>
      <c r="H1613">
        <v>5</v>
      </c>
      <c r="I1613">
        <v>8</v>
      </c>
      <c r="J1613" s="32"/>
      <c r="K1613" s="8">
        <f t="shared" si="175"/>
        <v>-0.96630769230796432</v>
      </c>
      <c r="L1613" s="8">
        <f t="shared" si="176"/>
        <v>-7.4331360946766484E-2</v>
      </c>
      <c r="M1613" s="8">
        <f t="shared" si="177"/>
        <v>-0.90603153846132045</v>
      </c>
      <c r="N1613" s="8">
        <f t="shared" si="178"/>
        <v>-6.9694733727793876E-2</v>
      </c>
      <c r="O1613" s="8"/>
      <c r="P1613" t="s">
        <v>1899</v>
      </c>
      <c r="Q1613">
        <v>35</v>
      </c>
      <c r="R1613" s="8">
        <v>2.8256399999999999</v>
      </c>
      <c r="S1613">
        <v>12</v>
      </c>
      <c r="T1613" s="8">
        <f t="shared" si="179"/>
        <v>0.34285714285714286</v>
      </c>
      <c r="U1613" s="8">
        <v>2.8112200000000001</v>
      </c>
      <c r="V1613">
        <v>17</v>
      </c>
      <c r="W1613" s="8">
        <f t="shared" si="180"/>
        <v>0.48571428571428571</v>
      </c>
      <c r="X1613" s="8">
        <v>2.8078699999999999</v>
      </c>
      <c r="Y1613">
        <v>6</v>
      </c>
      <c r="Z1613" s="8">
        <f t="shared" si="181"/>
        <v>0.17142857142857143</v>
      </c>
      <c r="AA1613" s="8">
        <v>2.9048400000000001</v>
      </c>
    </row>
    <row r="1614" spans="2:27" ht="15" customHeight="1" x14ac:dyDescent="0.25">
      <c r="B1614">
        <v>338</v>
      </c>
      <c r="C1614" s="8">
        <v>-12177.0301</v>
      </c>
      <c r="D1614" s="2">
        <v>-12178.482438999999</v>
      </c>
      <c r="F1614" s="3">
        <v>0.99666500000000002</v>
      </c>
      <c r="G1614" s="2">
        <v>0.19186</v>
      </c>
      <c r="H1614">
        <v>5</v>
      </c>
      <c r="I1614">
        <v>8</v>
      </c>
      <c r="J1614" s="32"/>
      <c r="K1614" s="8">
        <f t="shared" si="175"/>
        <v>-1.1581076923084765</v>
      </c>
      <c r="L1614" s="8">
        <f t="shared" si="176"/>
        <v>-8.9085207100652042E-2</v>
      </c>
      <c r="M1614" s="8">
        <f t="shared" si="177"/>
        <v>-1.0840465384608251</v>
      </c>
      <c r="N1614" s="8">
        <f t="shared" si="178"/>
        <v>-8.338819526621731E-2</v>
      </c>
      <c r="O1614" s="8"/>
      <c r="P1614" t="s">
        <v>1900</v>
      </c>
      <c r="Q1614">
        <v>34</v>
      </c>
      <c r="R1614" s="8">
        <v>2.8214899999999998</v>
      </c>
      <c r="S1614">
        <v>12</v>
      </c>
      <c r="T1614" s="8">
        <f t="shared" si="179"/>
        <v>0.35294117647058826</v>
      </c>
      <c r="U1614" s="8">
        <v>2.8359299999999998</v>
      </c>
      <c r="V1614">
        <v>19</v>
      </c>
      <c r="W1614" s="8">
        <f t="shared" si="180"/>
        <v>0.55882352941176472</v>
      </c>
      <c r="X1614" s="8">
        <v>2.8180700000000001</v>
      </c>
      <c r="Y1614">
        <v>3</v>
      </c>
      <c r="Z1614" s="8">
        <f t="shared" si="181"/>
        <v>8.8235294117647065E-2</v>
      </c>
      <c r="AA1614" s="8">
        <v>2.7854100000000002</v>
      </c>
    </row>
    <row r="1615" spans="2:27" ht="15" customHeight="1" x14ac:dyDescent="0.25">
      <c r="B1615">
        <v>339</v>
      </c>
      <c r="C1615" s="8">
        <v>-12177.063700000001</v>
      </c>
      <c r="D1615" s="2">
        <v>-12178.692231000001</v>
      </c>
      <c r="F1615" s="3">
        <v>0.99620500000000001</v>
      </c>
      <c r="G1615" s="2">
        <v>0.18794999999999901</v>
      </c>
      <c r="H1615">
        <v>5</v>
      </c>
      <c r="I1615">
        <v>8</v>
      </c>
      <c r="J1615" s="32"/>
      <c r="K1615" s="8">
        <f t="shared" si="175"/>
        <v>-1.1917076923091372</v>
      </c>
      <c r="L1615" s="8">
        <f t="shared" si="176"/>
        <v>-9.1669822485318242E-2</v>
      </c>
      <c r="M1615" s="8">
        <f t="shared" si="177"/>
        <v>-1.2938385384622961</v>
      </c>
      <c r="N1615" s="8">
        <f t="shared" si="178"/>
        <v>-9.9526041420176625E-2</v>
      </c>
      <c r="O1615" s="8"/>
      <c r="P1615" t="s">
        <v>1901</v>
      </c>
      <c r="Q1615">
        <v>34</v>
      </c>
      <c r="R1615" s="8">
        <v>2.81894</v>
      </c>
      <c r="S1615">
        <v>11</v>
      </c>
      <c r="T1615" s="8">
        <f t="shared" si="179"/>
        <v>0.3235294117647059</v>
      </c>
      <c r="U1615" s="8">
        <v>2.7991999999999999</v>
      </c>
      <c r="V1615">
        <v>17</v>
      </c>
      <c r="W1615" s="8">
        <f t="shared" si="180"/>
        <v>0.5</v>
      </c>
      <c r="X1615" s="8">
        <v>2.80762</v>
      </c>
      <c r="Y1615">
        <v>6</v>
      </c>
      <c r="Z1615" s="8">
        <f t="shared" si="181"/>
        <v>0.17647058823529413</v>
      </c>
      <c r="AA1615" s="8">
        <v>2.8871899999999999</v>
      </c>
    </row>
    <row r="1616" spans="2:27" ht="15" customHeight="1" x14ac:dyDescent="0.25">
      <c r="B1616">
        <v>340</v>
      </c>
      <c r="C1616" s="8">
        <v>-12176.8164</v>
      </c>
      <c r="D1616" s="2">
        <v>-12178.323356000001</v>
      </c>
      <c r="F1616" s="3">
        <v>0.99322500000000002</v>
      </c>
      <c r="G1616" s="2">
        <v>0.17052999999999999</v>
      </c>
      <c r="H1616">
        <v>5</v>
      </c>
      <c r="I1616">
        <v>8</v>
      </c>
      <c r="J1616" s="32"/>
      <c r="K1616" s="8">
        <f t="shared" si="175"/>
        <v>-0.94440769230823207</v>
      </c>
      <c r="L1616" s="8">
        <f t="shared" si="176"/>
        <v>-7.2646745562171697E-2</v>
      </c>
      <c r="M1616" s="8">
        <f t="shared" si="177"/>
        <v>-0.92496353846217971</v>
      </c>
      <c r="N1616" s="8">
        <f t="shared" si="178"/>
        <v>-7.1151041420167677E-2</v>
      </c>
      <c r="O1616" s="8"/>
      <c r="P1616" t="s">
        <v>1902</v>
      </c>
      <c r="Q1616">
        <v>35</v>
      </c>
      <c r="R1616" s="8">
        <v>2.8271099999999998</v>
      </c>
      <c r="S1616">
        <v>13</v>
      </c>
      <c r="T1616" s="8">
        <f t="shared" si="179"/>
        <v>0.37142857142857144</v>
      </c>
      <c r="U1616" s="8">
        <v>2.8305699999999998</v>
      </c>
      <c r="V1616">
        <v>17</v>
      </c>
      <c r="W1616" s="8">
        <f t="shared" si="180"/>
        <v>0.48571428571428571</v>
      </c>
      <c r="X1616" s="8">
        <v>2.8004600000000002</v>
      </c>
      <c r="Y1616">
        <v>5</v>
      </c>
      <c r="Z1616" s="8">
        <f t="shared" si="181"/>
        <v>0.14285714285714285</v>
      </c>
      <c r="AA1616" s="8">
        <v>2.9087000000000001</v>
      </c>
    </row>
    <row r="1617" spans="2:27" ht="15" customHeight="1" x14ac:dyDescent="0.25">
      <c r="B1617">
        <v>341</v>
      </c>
      <c r="C1617" s="8">
        <v>-12176.860500000001</v>
      </c>
      <c r="D1617" s="2">
        <v>-12178.62069</v>
      </c>
      <c r="F1617" s="3">
        <v>0.99093699999999996</v>
      </c>
      <c r="G1617" s="2">
        <v>0.16177</v>
      </c>
      <c r="H1617">
        <v>5</v>
      </c>
      <c r="I1617">
        <v>8</v>
      </c>
      <c r="J1617" s="32"/>
      <c r="K1617" s="8">
        <f t="shared" si="175"/>
        <v>-0.98850769230921287</v>
      </c>
      <c r="L1617" s="8">
        <f t="shared" si="176"/>
        <v>-7.6039053254554831E-2</v>
      </c>
      <c r="M1617" s="8">
        <f t="shared" si="177"/>
        <v>-1.2222975384611345</v>
      </c>
      <c r="N1617" s="8">
        <f t="shared" si="178"/>
        <v>-9.4022887573933428E-2</v>
      </c>
      <c r="O1617" s="8"/>
      <c r="P1617" t="s">
        <v>1903</v>
      </c>
      <c r="Q1617">
        <v>35</v>
      </c>
      <c r="R1617" s="8">
        <v>2.8277399999999999</v>
      </c>
      <c r="S1617">
        <v>12</v>
      </c>
      <c r="T1617" s="8">
        <f t="shared" si="179"/>
        <v>0.34285714285714286</v>
      </c>
      <c r="U1617" s="8">
        <v>2.8085200000000001</v>
      </c>
      <c r="V1617">
        <v>17</v>
      </c>
      <c r="W1617" s="8">
        <f t="shared" si="180"/>
        <v>0.48571428571428571</v>
      </c>
      <c r="X1617" s="8">
        <v>2.8231600000000001</v>
      </c>
      <c r="Y1617">
        <v>6</v>
      </c>
      <c r="Z1617" s="8">
        <f t="shared" si="181"/>
        <v>0.17142857142857143</v>
      </c>
      <c r="AA1617" s="8">
        <v>2.8791699999999998</v>
      </c>
    </row>
    <row r="1618" spans="2:27" ht="15" customHeight="1" x14ac:dyDescent="0.25">
      <c r="B1618">
        <v>342</v>
      </c>
      <c r="C1618" s="8">
        <v>-12177.215700000001</v>
      </c>
      <c r="D1618" s="2">
        <v>-12178.634352999999</v>
      </c>
      <c r="F1618" s="3">
        <v>0.996282</v>
      </c>
      <c r="G1618" s="2">
        <v>0.18865999999999999</v>
      </c>
      <c r="H1618">
        <v>5</v>
      </c>
      <c r="I1618">
        <v>8</v>
      </c>
      <c r="J1618" s="32"/>
      <c r="K1618" s="8">
        <f t="shared" si="175"/>
        <v>-1.3437076923091809</v>
      </c>
      <c r="L1618" s="8">
        <f t="shared" si="176"/>
        <v>-0.1033621301776293</v>
      </c>
      <c r="M1618" s="8">
        <f t="shared" si="177"/>
        <v>-1.2359605384608585</v>
      </c>
      <c r="N1618" s="8">
        <f t="shared" si="178"/>
        <v>-9.5073887573912191E-2</v>
      </c>
      <c r="O1618" s="8"/>
      <c r="P1618" t="s">
        <v>1904</v>
      </c>
      <c r="Q1618">
        <v>34</v>
      </c>
      <c r="R1618" s="8">
        <v>2.8138299999999998</v>
      </c>
      <c r="S1618">
        <v>10</v>
      </c>
      <c r="T1618" s="8">
        <f t="shared" si="179"/>
        <v>0.29411764705882354</v>
      </c>
      <c r="U1618" s="8">
        <v>2.7634799999999999</v>
      </c>
      <c r="V1618">
        <v>20</v>
      </c>
      <c r="W1618" s="8">
        <f t="shared" si="180"/>
        <v>0.58823529411764708</v>
      </c>
      <c r="X1618" s="8">
        <v>2.8328500000000001</v>
      </c>
      <c r="Y1618">
        <v>4</v>
      </c>
      <c r="Z1618" s="8">
        <f t="shared" si="181"/>
        <v>0.11764705882352941</v>
      </c>
      <c r="AA1618" s="8">
        <v>2.84456</v>
      </c>
    </row>
    <row r="1619" spans="2:27" ht="15" customHeight="1" x14ac:dyDescent="0.25">
      <c r="B1619">
        <v>343</v>
      </c>
      <c r="C1619" s="8">
        <v>-12176.8233</v>
      </c>
      <c r="D1619" s="2">
        <v>-12178.28269</v>
      </c>
      <c r="F1619" s="3">
        <v>0.99577499999999997</v>
      </c>
      <c r="G1619" s="2">
        <v>0.18475</v>
      </c>
      <c r="H1619">
        <v>5</v>
      </c>
      <c r="I1619">
        <v>8</v>
      </c>
      <c r="J1619" s="32"/>
      <c r="K1619" s="8">
        <f t="shared" si="175"/>
        <v>-0.95130769230854639</v>
      </c>
      <c r="L1619" s="8">
        <f t="shared" si="176"/>
        <v>-7.3177514792965109E-2</v>
      </c>
      <c r="M1619" s="8">
        <f t="shared" si="177"/>
        <v>-0.88429753846139647</v>
      </c>
      <c r="N1619" s="8">
        <f t="shared" si="178"/>
        <v>-6.8022887573953569E-2</v>
      </c>
      <c r="O1619" s="8"/>
      <c r="P1619" t="s">
        <v>1905</v>
      </c>
      <c r="Q1619">
        <v>34</v>
      </c>
      <c r="R1619" s="8">
        <v>2.82118</v>
      </c>
      <c r="S1619">
        <v>12</v>
      </c>
      <c r="T1619" s="8">
        <f t="shared" si="179"/>
        <v>0.35294117647058826</v>
      </c>
      <c r="U1619" s="8">
        <v>2.7973599999999998</v>
      </c>
      <c r="V1619">
        <v>17</v>
      </c>
      <c r="W1619" s="8">
        <f t="shared" si="180"/>
        <v>0.5</v>
      </c>
      <c r="X1619" s="8">
        <v>2.81839</v>
      </c>
      <c r="Y1619">
        <v>5</v>
      </c>
      <c r="Z1619" s="8">
        <f t="shared" si="181"/>
        <v>0.14705882352941177</v>
      </c>
      <c r="AA1619" s="8">
        <v>2.8878200000000001</v>
      </c>
    </row>
    <row r="1620" spans="2:27" ht="15" customHeight="1" x14ac:dyDescent="0.25">
      <c r="B1620">
        <v>344</v>
      </c>
      <c r="C1620" s="8">
        <v>-12177.0574</v>
      </c>
      <c r="D1620" s="2">
        <v>-12178.677105000001</v>
      </c>
      <c r="F1620" s="3">
        <v>0.99763000000000002</v>
      </c>
      <c r="G1620" s="2">
        <v>0.202129999999999</v>
      </c>
      <c r="H1620">
        <v>5</v>
      </c>
      <c r="I1620">
        <v>8</v>
      </c>
      <c r="J1620" s="32"/>
      <c r="K1620" s="8">
        <f t="shared" si="175"/>
        <v>-1.1854076923082175</v>
      </c>
      <c r="L1620" s="8">
        <f t="shared" si="176"/>
        <v>-9.1185207100632118E-2</v>
      </c>
      <c r="M1620" s="8">
        <f t="shared" si="177"/>
        <v>-1.2787125384620595</v>
      </c>
      <c r="N1620" s="8">
        <f t="shared" si="178"/>
        <v>-9.8362502958619952E-2</v>
      </c>
      <c r="O1620" s="8"/>
      <c r="P1620" t="s">
        <v>1906</v>
      </c>
      <c r="Q1620">
        <v>34</v>
      </c>
      <c r="R1620" s="8">
        <v>2.8109999999999999</v>
      </c>
      <c r="S1620">
        <v>10</v>
      </c>
      <c r="T1620" s="8">
        <f t="shared" si="179"/>
        <v>0.29411764705882354</v>
      </c>
      <c r="U1620" s="8">
        <v>2.7821500000000001</v>
      </c>
      <c r="V1620">
        <v>21</v>
      </c>
      <c r="W1620" s="8">
        <f t="shared" si="180"/>
        <v>0.61764705882352944</v>
      </c>
      <c r="X1620" s="8">
        <v>2.8226900000000001</v>
      </c>
      <c r="Y1620">
        <v>3</v>
      </c>
      <c r="Z1620" s="8">
        <f t="shared" si="181"/>
        <v>8.8235294117647065E-2</v>
      </c>
      <c r="AA1620" s="8">
        <v>2.8253900000000001</v>
      </c>
    </row>
    <row r="1621" spans="2:27" ht="15" customHeight="1" x14ac:dyDescent="0.25">
      <c r="B1621">
        <v>345</v>
      </c>
      <c r="C1621" s="8">
        <v>-12177.003000000001</v>
      </c>
      <c r="D1621" s="2">
        <v>-12178.468857</v>
      </c>
      <c r="F1621" s="3">
        <v>0.997089</v>
      </c>
      <c r="G1621" s="2">
        <v>0.195959999999999</v>
      </c>
      <c r="H1621">
        <v>5</v>
      </c>
      <c r="I1621">
        <v>8</v>
      </c>
      <c r="J1621" s="32"/>
      <c r="K1621" s="8">
        <f t="shared" si="175"/>
        <v>-1.1310076923091401</v>
      </c>
      <c r="L1621" s="8">
        <f t="shared" si="176"/>
        <v>-8.7000591716087705E-2</v>
      </c>
      <c r="M1621" s="8">
        <f t="shared" si="177"/>
        <v>-1.0704645384612377</v>
      </c>
      <c r="N1621" s="8">
        <f t="shared" si="178"/>
        <v>-8.2343426035479825E-2</v>
      </c>
      <c r="O1621" s="8"/>
      <c r="P1621" t="s">
        <v>1907</v>
      </c>
      <c r="Q1621">
        <v>35</v>
      </c>
      <c r="R1621" s="8">
        <v>2.8242799999999999</v>
      </c>
      <c r="S1621">
        <v>14</v>
      </c>
      <c r="T1621" s="8">
        <f t="shared" si="179"/>
        <v>0.4</v>
      </c>
      <c r="U1621" s="8">
        <v>2.8445</v>
      </c>
      <c r="V1621">
        <v>18</v>
      </c>
      <c r="W1621" s="8">
        <f t="shared" si="180"/>
        <v>0.51428571428571423</v>
      </c>
      <c r="X1621" s="8">
        <v>2.8090899999999999</v>
      </c>
      <c r="Y1621">
        <v>3</v>
      </c>
      <c r="Z1621" s="8">
        <f t="shared" si="181"/>
        <v>8.5714285714285715E-2</v>
      </c>
      <c r="AA1621" s="8">
        <v>2.8210299999999999</v>
      </c>
    </row>
    <row r="1622" spans="2:27" ht="15" customHeight="1" x14ac:dyDescent="0.25">
      <c r="B1622">
        <v>346</v>
      </c>
      <c r="C1622" s="8">
        <v>-12177.0218</v>
      </c>
      <c r="D1622" s="2">
        <v>-12178.485285999999</v>
      </c>
      <c r="F1622" s="3">
        <v>0.99635399999999996</v>
      </c>
      <c r="G1622" s="2">
        <v>0.18901000000000001</v>
      </c>
      <c r="H1622">
        <v>5</v>
      </c>
      <c r="I1622">
        <v>8</v>
      </c>
      <c r="J1622" s="32"/>
      <c r="K1622" s="8">
        <f t="shared" si="175"/>
        <v>-1.1498076923089684</v>
      </c>
      <c r="L1622" s="8">
        <f t="shared" si="176"/>
        <v>-8.844674556222834E-2</v>
      </c>
      <c r="M1622" s="8">
        <f t="shared" si="177"/>
        <v>-1.086893538460572</v>
      </c>
      <c r="N1622" s="8">
        <f t="shared" si="178"/>
        <v>-8.3607195266197851E-2</v>
      </c>
      <c r="O1622" s="8"/>
      <c r="P1622" t="s">
        <v>1908</v>
      </c>
      <c r="Q1622">
        <v>34</v>
      </c>
      <c r="R1622" s="8">
        <v>2.81433</v>
      </c>
      <c r="S1622">
        <v>12</v>
      </c>
      <c r="T1622" s="8">
        <f t="shared" si="179"/>
        <v>0.35294117647058826</v>
      </c>
      <c r="U1622" s="8">
        <v>2.7864100000000001</v>
      </c>
      <c r="V1622">
        <v>18</v>
      </c>
      <c r="W1622" s="8">
        <f t="shared" si="180"/>
        <v>0.52941176470588236</v>
      </c>
      <c r="X1622" s="8">
        <v>2.82626</v>
      </c>
      <c r="Y1622">
        <v>4</v>
      </c>
      <c r="Z1622" s="8">
        <f t="shared" si="181"/>
        <v>0.11764705882352941</v>
      </c>
      <c r="AA1622" s="8">
        <v>2.8444500000000001</v>
      </c>
    </row>
    <row r="1623" spans="2:27" ht="15" customHeight="1" x14ac:dyDescent="0.25">
      <c r="B1623">
        <v>347</v>
      </c>
      <c r="C1623" s="8">
        <v>-12176.747600000001</v>
      </c>
      <c r="D1623" s="2">
        <v>-12178.261101</v>
      </c>
      <c r="F1623" s="3">
        <v>0.99425600000000003</v>
      </c>
      <c r="G1623" s="2">
        <v>0.175479999999999</v>
      </c>
      <c r="H1623">
        <v>5</v>
      </c>
      <c r="I1623">
        <v>8</v>
      </c>
      <c r="J1623" s="32"/>
      <c r="K1623" s="8">
        <f t="shared" si="175"/>
        <v>-0.87560769230913138</v>
      </c>
      <c r="L1623" s="8">
        <f t="shared" si="176"/>
        <v>-6.7354437869933184E-2</v>
      </c>
      <c r="M1623" s="8">
        <f t="shared" si="177"/>
        <v>-0.86270853846144746</v>
      </c>
      <c r="N1623" s="8">
        <f t="shared" si="178"/>
        <v>-6.6362195266265189E-2</v>
      </c>
      <c r="O1623" s="8"/>
      <c r="P1623" t="s">
        <v>1909</v>
      </c>
      <c r="Q1623">
        <v>34</v>
      </c>
      <c r="R1623" s="8">
        <v>2.81168</v>
      </c>
      <c r="S1623">
        <v>14</v>
      </c>
      <c r="T1623" s="8">
        <f t="shared" si="179"/>
        <v>0.41176470588235292</v>
      </c>
      <c r="U1623" s="8">
        <v>2.82145</v>
      </c>
      <c r="V1623">
        <v>17</v>
      </c>
      <c r="W1623" s="8">
        <f t="shared" si="180"/>
        <v>0.5</v>
      </c>
      <c r="X1623" s="8">
        <v>2.8022900000000002</v>
      </c>
      <c r="Y1623">
        <v>3</v>
      </c>
      <c r="Z1623" s="8">
        <f t="shared" si="181"/>
        <v>8.8235294117647065E-2</v>
      </c>
      <c r="AA1623" s="8">
        <v>2.8192300000000001</v>
      </c>
    </row>
    <row r="1624" spans="2:27" ht="15" customHeight="1" x14ac:dyDescent="0.25">
      <c r="B1624">
        <v>348</v>
      </c>
      <c r="C1624" s="8">
        <v>-12177.108200000001</v>
      </c>
      <c r="D1624" s="2">
        <v>-12178.717731000001</v>
      </c>
      <c r="F1624" s="3">
        <v>0.99654900000000002</v>
      </c>
      <c r="G1624" s="2">
        <v>0.19084999999999899</v>
      </c>
      <c r="H1624">
        <v>5</v>
      </c>
      <c r="I1624">
        <v>8</v>
      </c>
      <c r="J1624" s="32"/>
      <c r="K1624" s="8">
        <f t="shared" si="175"/>
        <v>-1.2362076923091081</v>
      </c>
      <c r="L1624" s="8">
        <f t="shared" si="176"/>
        <v>-9.5092899408392925E-2</v>
      </c>
      <c r="M1624" s="8">
        <f t="shared" si="177"/>
        <v>-1.3193385384620342</v>
      </c>
      <c r="N1624" s="8">
        <f t="shared" si="178"/>
        <v>-0.10148757988169493</v>
      </c>
      <c r="O1624" s="8"/>
      <c r="P1624" t="s">
        <v>1910</v>
      </c>
      <c r="Q1624">
        <v>35</v>
      </c>
      <c r="R1624" s="8">
        <v>2.82653</v>
      </c>
      <c r="S1624">
        <v>11</v>
      </c>
      <c r="T1624" s="8">
        <f t="shared" si="179"/>
        <v>0.31428571428571428</v>
      </c>
      <c r="U1624" s="8">
        <v>2.8217599999999998</v>
      </c>
      <c r="V1624">
        <v>20</v>
      </c>
      <c r="W1624" s="8">
        <f t="shared" si="180"/>
        <v>0.5714285714285714</v>
      </c>
      <c r="X1624" s="8">
        <v>2.8286099999999998</v>
      </c>
      <c r="Y1624">
        <v>4</v>
      </c>
      <c r="Z1624" s="8">
        <f t="shared" si="181"/>
        <v>0.11428571428571428</v>
      </c>
      <c r="AA1624" s="8">
        <v>2.82924</v>
      </c>
    </row>
    <row r="1625" spans="2:27" ht="15" customHeight="1" x14ac:dyDescent="0.25">
      <c r="B1625">
        <v>349</v>
      </c>
      <c r="C1625" s="8">
        <v>-12177.0291</v>
      </c>
      <c r="D1625" s="2">
        <v>-12178.920149</v>
      </c>
      <c r="F1625" s="3">
        <v>0.99596600000000002</v>
      </c>
      <c r="G1625" s="2">
        <v>0.18612999999999999</v>
      </c>
      <c r="H1625">
        <v>5</v>
      </c>
      <c r="I1625">
        <v>8</v>
      </c>
      <c r="J1625" s="32"/>
      <c r="K1625" s="8">
        <f t="shared" si="175"/>
        <v>-1.1571076923082728</v>
      </c>
      <c r="L1625" s="8">
        <f t="shared" si="176"/>
        <v>-8.9008284023713288E-2</v>
      </c>
      <c r="M1625" s="8">
        <f t="shared" si="177"/>
        <v>-1.521756538460977</v>
      </c>
      <c r="N1625" s="8">
        <f t="shared" si="178"/>
        <v>-0.117058195266229</v>
      </c>
      <c r="O1625" s="8"/>
      <c r="P1625" t="s">
        <v>1911</v>
      </c>
      <c r="Q1625">
        <v>36</v>
      </c>
      <c r="R1625" s="8">
        <v>2.8397899999999998</v>
      </c>
      <c r="S1625">
        <v>10</v>
      </c>
      <c r="T1625" s="8">
        <f t="shared" si="179"/>
        <v>0.27777777777777779</v>
      </c>
      <c r="U1625" s="8">
        <v>2.7976000000000001</v>
      </c>
      <c r="V1625">
        <v>21</v>
      </c>
      <c r="W1625" s="8">
        <f t="shared" si="180"/>
        <v>0.58333333333333337</v>
      </c>
      <c r="X1625" s="8">
        <v>2.8532199999999999</v>
      </c>
      <c r="Y1625">
        <v>5</v>
      </c>
      <c r="Z1625" s="8">
        <f t="shared" si="181"/>
        <v>0.1388888888888889</v>
      </c>
      <c r="AA1625" s="8">
        <v>2.8677700000000002</v>
      </c>
    </row>
    <row r="1626" spans="2:27" ht="15" customHeight="1" x14ac:dyDescent="0.25">
      <c r="B1626">
        <v>350</v>
      </c>
      <c r="C1626" s="8">
        <v>-12176.862300000001</v>
      </c>
      <c r="D1626" s="2">
        <v>-12178.479459</v>
      </c>
      <c r="F1626" s="3">
        <v>0.99479399999999996</v>
      </c>
      <c r="G1626" s="2">
        <v>0.17849000000000001</v>
      </c>
      <c r="H1626">
        <v>5</v>
      </c>
      <c r="I1626">
        <v>8</v>
      </c>
      <c r="J1626" s="32"/>
      <c r="K1626" s="8">
        <f t="shared" si="175"/>
        <v>-0.99030769230921578</v>
      </c>
      <c r="L1626" s="8">
        <f t="shared" si="176"/>
        <v>-7.6177514793016599E-2</v>
      </c>
      <c r="M1626" s="8">
        <f t="shared" si="177"/>
        <v>-1.0810665384615277</v>
      </c>
      <c r="N1626" s="8">
        <f t="shared" si="178"/>
        <v>-8.3158964497040591E-2</v>
      </c>
      <c r="O1626" s="8"/>
      <c r="P1626" t="s">
        <v>1912</v>
      </c>
      <c r="Q1626">
        <v>35</v>
      </c>
      <c r="R1626" s="8">
        <v>2.8268499999999999</v>
      </c>
      <c r="S1626">
        <v>12</v>
      </c>
      <c r="T1626" s="8">
        <f t="shared" si="179"/>
        <v>0.34285714285714286</v>
      </c>
      <c r="U1626" s="8">
        <v>2.8172700000000002</v>
      </c>
      <c r="V1626">
        <v>19</v>
      </c>
      <c r="W1626" s="8">
        <f t="shared" si="180"/>
        <v>0.54285714285714282</v>
      </c>
      <c r="X1626" s="8">
        <v>2.8219799999999999</v>
      </c>
      <c r="Y1626">
        <v>4</v>
      </c>
      <c r="Z1626" s="8">
        <f t="shared" si="181"/>
        <v>0.11428571428571428</v>
      </c>
      <c r="AA1626" s="8">
        <v>2.8787199999999999</v>
      </c>
    </row>
    <row r="1627" spans="2:27" ht="15" customHeight="1" x14ac:dyDescent="0.25">
      <c r="B1627">
        <v>351</v>
      </c>
      <c r="C1627" s="8">
        <v>-12177.128199999999</v>
      </c>
      <c r="D1627" s="2">
        <v>-12178.708893999999</v>
      </c>
      <c r="F1627" s="3">
        <v>0.99711700000000003</v>
      </c>
      <c r="G1627" s="2">
        <v>0.19622000000000001</v>
      </c>
      <c r="H1627">
        <v>5</v>
      </c>
      <c r="I1627">
        <v>8</v>
      </c>
      <c r="J1627" s="32"/>
      <c r="K1627" s="8">
        <f t="shared" si="175"/>
        <v>-1.2562076923077257</v>
      </c>
      <c r="L1627" s="8">
        <f t="shared" si="176"/>
        <v>-9.6631360946748124E-2</v>
      </c>
      <c r="M1627" s="8">
        <f t="shared" si="177"/>
        <v>-1.3105015384608123</v>
      </c>
      <c r="N1627" s="8">
        <f t="shared" si="178"/>
        <v>-0.10080781065083172</v>
      </c>
      <c r="O1627" s="8"/>
      <c r="P1627" t="s">
        <v>1913</v>
      </c>
      <c r="Q1627">
        <v>34</v>
      </c>
      <c r="R1627" s="8">
        <v>2.8150200000000001</v>
      </c>
      <c r="S1627">
        <v>11</v>
      </c>
      <c r="T1627" s="8">
        <f t="shared" si="179"/>
        <v>0.3235294117647059</v>
      </c>
      <c r="U1627" s="8">
        <v>2.8004199999999999</v>
      </c>
      <c r="V1627">
        <v>18</v>
      </c>
      <c r="W1627" s="8">
        <f t="shared" si="180"/>
        <v>0.52941176470588236</v>
      </c>
      <c r="X1627" s="8">
        <v>2.8050299999999999</v>
      </c>
      <c r="Y1627">
        <v>5</v>
      </c>
      <c r="Z1627" s="8">
        <f t="shared" si="181"/>
        <v>0.14705882352941177</v>
      </c>
      <c r="AA1627" s="8">
        <v>2.8830900000000002</v>
      </c>
    </row>
    <row r="1628" spans="2:27" ht="15" customHeight="1" x14ac:dyDescent="0.25">
      <c r="B1628" s="40">
        <v>352</v>
      </c>
      <c r="C1628" s="40">
        <v>-12177.018839</v>
      </c>
      <c r="D1628" s="41">
        <v>-12178.645748000001</v>
      </c>
      <c r="E1628" s="40"/>
      <c r="F1628" s="42">
        <v>0.99634299999999998</v>
      </c>
      <c r="G1628" s="41">
        <v>0.189079999999999</v>
      </c>
      <c r="H1628" s="40">
        <v>5</v>
      </c>
      <c r="I1628" s="40">
        <v>8</v>
      </c>
      <c r="J1628" s="32"/>
      <c r="K1628" s="8">
        <f t="shared" si="175"/>
        <v>-1.1468466923088272</v>
      </c>
      <c r="L1628" s="8">
        <f t="shared" si="176"/>
        <v>-8.8218976331448248E-2</v>
      </c>
      <c r="M1628" s="8">
        <f t="shared" si="177"/>
        <v>-1.2473555384622159</v>
      </c>
      <c r="N1628" s="8">
        <f t="shared" si="178"/>
        <v>-9.5950426035555064E-2</v>
      </c>
      <c r="O1628" s="8"/>
      <c r="P1628" t="s">
        <v>1914</v>
      </c>
      <c r="Q1628">
        <v>34</v>
      </c>
      <c r="R1628" s="8">
        <v>2.8223600000000002</v>
      </c>
      <c r="S1628">
        <v>11</v>
      </c>
      <c r="T1628" s="8">
        <f t="shared" si="179"/>
        <v>0.3235294117647059</v>
      </c>
      <c r="U1628" s="8">
        <v>2.806</v>
      </c>
      <c r="V1628">
        <v>17</v>
      </c>
      <c r="W1628" s="8">
        <f t="shared" si="180"/>
        <v>0.5</v>
      </c>
      <c r="X1628" s="8">
        <v>2.7861600000000002</v>
      </c>
      <c r="Y1628">
        <v>6</v>
      </c>
      <c r="Z1628" s="8">
        <f t="shared" si="181"/>
        <v>0.17647058823529413</v>
      </c>
      <c r="AA1628" s="8">
        <v>2.95492</v>
      </c>
    </row>
    <row r="1629" spans="2:27" ht="15" customHeight="1" x14ac:dyDescent="0.25">
      <c r="B1629">
        <v>353</v>
      </c>
      <c r="C1629" s="8">
        <v>-12177.1355</v>
      </c>
      <c r="D1629" s="2">
        <v>-12178.615626999999</v>
      </c>
      <c r="F1629" s="3">
        <v>0.99716199999999999</v>
      </c>
      <c r="G1629" s="2">
        <v>0.19667999999999899</v>
      </c>
      <c r="H1629">
        <v>5</v>
      </c>
      <c r="I1629">
        <v>8</v>
      </c>
      <c r="J1629" s="32"/>
      <c r="K1629" s="8">
        <f t="shared" si="175"/>
        <v>-1.2635076923088491</v>
      </c>
      <c r="L1629" s="8">
        <f t="shared" si="176"/>
        <v>-9.7192899408373001E-2</v>
      </c>
      <c r="M1629" s="8">
        <f t="shared" si="177"/>
        <v>-1.217234538460616</v>
      </c>
      <c r="N1629" s="8">
        <f t="shared" si="178"/>
        <v>-9.3633426035431996E-2</v>
      </c>
      <c r="O1629" s="8"/>
      <c r="P1629" t="s">
        <v>1915</v>
      </c>
      <c r="Q1629">
        <v>33</v>
      </c>
      <c r="R1629" s="8">
        <v>2.8102999999999998</v>
      </c>
      <c r="S1629">
        <v>10</v>
      </c>
      <c r="T1629" s="8">
        <f t="shared" si="179"/>
        <v>0.30303030303030304</v>
      </c>
      <c r="U1629" s="8">
        <v>2.81813</v>
      </c>
      <c r="V1629">
        <v>20</v>
      </c>
      <c r="W1629" s="8">
        <f t="shared" si="180"/>
        <v>0.60606060606060608</v>
      </c>
      <c r="X1629" s="8">
        <v>2.7856900000000002</v>
      </c>
      <c r="Y1629">
        <v>3</v>
      </c>
      <c r="Z1629" s="8">
        <f t="shared" si="181"/>
        <v>9.0909090909090912E-2</v>
      </c>
      <c r="AA1629" s="8">
        <v>2.9482200000000001</v>
      </c>
    </row>
    <row r="1630" spans="2:27" ht="15" customHeight="1" x14ac:dyDescent="0.25">
      <c r="B1630">
        <v>354</v>
      </c>
      <c r="C1630" s="8">
        <v>-12176.842500000001</v>
      </c>
      <c r="D1630" s="2">
        <v>-12178.463932000001</v>
      </c>
      <c r="F1630" s="3">
        <v>0.99579700000000004</v>
      </c>
      <c r="G1630" s="2">
        <v>0.18489999999999901</v>
      </c>
      <c r="H1630">
        <v>5</v>
      </c>
      <c r="I1630">
        <v>8</v>
      </c>
      <c r="J1630" s="32"/>
      <c r="K1630" s="8">
        <f t="shared" si="175"/>
        <v>-0.97050769230918377</v>
      </c>
      <c r="L1630" s="8">
        <f t="shared" si="176"/>
        <v>-7.465443786993721E-2</v>
      </c>
      <c r="M1630" s="8">
        <f t="shared" si="177"/>
        <v>-1.0655395384619624</v>
      </c>
      <c r="N1630" s="8">
        <f t="shared" si="178"/>
        <v>-8.1964579881689412E-2</v>
      </c>
      <c r="O1630" s="8"/>
      <c r="P1630" t="s">
        <v>1916</v>
      </c>
      <c r="Q1630">
        <v>34</v>
      </c>
      <c r="R1630" s="8">
        <v>2.8190499999999998</v>
      </c>
      <c r="S1630">
        <v>12</v>
      </c>
      <c r="T1630" s="8">
        <f t="shared" si="179"/>
        <v>0.35294117647058826</v>
      </c>
      <c r="U1630" s="8">
        <v>2.8191999999999999</v>
      </c>
      <c r="V1630">
        <v>17</v>
      </c>
      <c r="W1630" s="8">
        <f t="shared" si="180"/>
        <v>0.5</v>
      </c>
      <c r="X1630" s="8">
        <v>2.7962699999999998</v>
      </c>
      <c r="Y1630">
        <v>5</v>
      </c>
      <c r="Z1630" s="8">
        <f t="shared" si="181"/>
        <v>0.14705882352941177</v>
      </c>
      <c r="AA1630" s="8">
        <v>2.8961600000000001</v>
      </c>
    </row>
    <row r="1631" spans="2:27" ht="15" customHeight="1" x14ac:dyDescent="0.25">
      <c r="B1631">
        <v>355</v>
      </c>
      <c r="C1631" s="8">
        <v>-12177.054</v>
      </c>
      <c r="D1631" s="2">
        <v>-12178.681467</v>
      </c>
      <c r="F1631" s="3">
        <v>0.99639699999999998</v>
      </c>
      <c r="G1631" s="2">
        <v>0.18951999999999899</v>
      </c>
      <c r="H1631">
        <v>5</v>
      </c>
      <c r="I1631">
        <v>8</v>
      </c>
      <c r="J1631" s="32"/>
      <c r="K1631" s="8">
        <f t="shared" si="175"/>
        <v>-1.1820076923086162</v>
      </c>
      <c r="L1631" s="8">
        <f t="shared" si="176"/>
        <v>-9.0923668639124322E-2</v>
      </c>
      <c r="M1631" s="8">
        <f t="shared" si="177"/>
        <v>-1.283074538461733</v>
      </c>
      <c r="N1631" s="8">
        <f t="shared" si="178"/>
        <v>-9.8698041420133303E-2</v>
      </c>
      <c r="O1631" s="8"/>
      <c r="P1631" t="s">
        <v>1917</v>
      </c>
      <c r="Q1631">
        <v>34</v>
      </c>
      <c r="R1631" s="8">
        <v>2.8176899999999998</v>
      </c>
      <c r="S1631">
        <v>11</v>
      </c>
      <c r="T1631" s="8">
        <f t="shared" si="179"/>
        <v>0.3235294117647059</v>
      </c>
      <c r="U1631" s="8">
        <v>2.83114</v>
      </c>
      <c r="V1631">
        <v>20</v>
      </c>
      <c r="W1631" s="8">
        <f t="shared" si="180"/>
        <v>0.58823529411764708</v>
      </c>
      <c r="X1631" s="8">
        <v>2.7982399999999998</v>
      </c>
      <c r="Y1631">
        <v>3</v>
      </c>
      <c r="Z1631" s="8">
        <f t="shared" si="181"/>
        <v>8.8235294117647065E-2</v>
      </c>
      <c r="AA1631" s="8">
        <v>2.8980399999999999</v>
      </c>
    </row>
    <row r="1632" spans="2:27" ht="15" customHeight="1" x14ac:dyDescent="0.25">
      <c r="B1632">
        <v>356</v>
      </c>
      <c r="C1632" s="8">
        <v>-12177.1039</v>
      </c>
      <c r="D1632" s="2">
        <v>-12178.601473000001</v>
      </c>
      <c r="F1632" s="3">
        <v>0.99736800000000003</v>
      </c>
      <c r="G1632" s="2">
        <v>0.19894999999999999</v>
      </c>
      <c r="H1632">
        <v>5</v>
      </c>
      <c r="I1632">
        <v>8</v>
      </c>
      <c r="J1632" s="32"/>
      <c r="K1632" s="8">
        <f t="shared" si="175"/>
        <v>-1.2319076923085959</v>
      </c>
      <c r="L1632" s="8">
        <f t="shared" si="176"/>
        <v>-9.4762130177584294E-2</v>
      </c>
      <c r="M1632" s="8">
        <f t="shared" si="177"/>
        <v>-1.203080538462018</v>
      </c>
      <c r="N1632" s="8">
        <f t="shared" si="178"/>
        <v>-9.2544656804770614E-2</v>
      </c>
      <c r="O1632" s="8"/>
      <c r="P1632" t="s">
        <v>1918</v>
      </c>
      <c r="Q1632">
        <v>34</v>
      </c>
      <c r="R1632" s="8">
        <v>2.8176700000000001</v>
      </c>
      <c r="S1632">
        <v>11</v>
      </c>
      <c r="T1632" s="8">
        <f t="shared" si="179"/>
        <v>0.3235294117647059</v>
      </c>
      <c r="U1632" s="8">
        <v>2.8162099999999999</v>
      </c>
      <c r="V1632">
        <v>19</v>
      </c>
      <c r="W1632" s="8">
        <f t="shared" si="180"/>
        <v>0.55882352941176472</v>
      </c>
      <c r="X1632" s="8">
        <v>2.80755</v>
      </c>
      <c r="Y1632">
        <v>4</v>
      </c>
      <c r="Z1632" s="8">
        <f t="shared" si="181"/>
        <v>0.11764705882352941</v>
      </c>
      <c r="AA1632" s="8">
        <v>2.8697900000000001</v>
      </c>
    </row>
    <row r="1633" spans="2:27" ht="15" customHeight="1" x14ac:dyDescent="0.25">
      <c r="B1633">
        <v>357</v>
      </c>
      <c r="C1633" s="8">
        <v>-12177.168100000001</v>
      </c>
      <c r="D1633" s="2">
        <v>-12178.782524</v>
      </c>
      <c r="F1633" s="3">
        <v>0.99645600000000001</v>
      </c>
      <c r="G1633" s="2">
        <v>0.18998999999999999</v>
      </c>
      <c r="H1633">
        <v>5</v>
      </c>
      <c r="I1633">
        <v>8</v>
      </c>
      <c r="J1633" s="32"/>
      <c r="K1633" s="8">
        <f t="shared" si="175"/>
        <v>-1.296107692309306</v>
      </c>
      <c r="L1633" s="8">
        <f t="shared" si="176"/>
        <v>-9.9700591716100462E-2</v>
      </c>
      <c r="M1633" s="8">
        <f t="shared" si="177"/>
        <v>-1.3841315384615882</v>
      </c>
      <c r="N1633" s="8">
        <f t="shared" si="178"/>
        <v>-0.10647165680473755</v>
      </c>
      <c r="O1633" s="8"/>
      <c r="P1633" t="s">
        <v>1919</v>
      </c>
      <c r="Q1633">
        <v>34</v>
      </c>
      <c r="R1633" s="8">
        <v>2.8163100000000001</v>
      </c>
      <c r="S1633">
        <v>10</v>
      </c>
      <c r="T1633" s="8">
        <f t="shared" si="179"/>
        <v>0.29411764705882354</v>
      </c>
      <c r="U1633" s="8">
        <v>2.7938800000000001</v>
      </c>
      <c r="V1633">
        <v>19</v>
      </c>
      <c r="W1633" s="8">
        <f t="shared" si="180"/>
        <v>0.55882352941176472</v>
      </c>
      <c r="X1633" s="8">
        <v>2.81243</v>
      </c>
      <c r="Y1633">
        <v>5</v>
      </c>
      <c r="Z1633" s="8">
        <f t="shared" si="181"/>
        <v>0.14705882352941177</v>
      </c>
      <c r="AA1633" s="8">
        <v>2.8759299999999999</v>
      </c>
    </row>
    <row r="1634" spans="2:27" ht="15" customHeight="1" x14ac:dyDescent="0.25">
      <c r="B1634">
        <v>358</v>
      </c>
      <c r="C1634" s="8">
        <v>-12176.9913</v>
      </c>
      <c r="D1634" s="2">
        <v>-12178.476559999999</v>
      </c>
      <c r="F1634" s="3">
        <v>0.99685999999999997</v>
      </c>
      <c r="G1634" s="2">
        <v>0.19378000000000001</v>
      </c>
      <c r="H1634">
        <v>5</v>
      </c>
      <c r="I1634">
        <v>8</v>
      </c>
      <c r="J1634" s="32"/>
      <c r="K1634" s="8">
        <f t="shared" si="175"/>
        <v>-1.1193076923082117</v>
      </c>
      <c r="L1634" s="8">
        <f t="shared" si="176"/>
        <v>-8.6100591716016278E-2</v>
      </c>
      <c r="M1634" s="8">
        <f t="shared" si="177"/>
        <v>-1.0781675384605478</v>
      </c>
      <c r="N1634" s="8">
        <f t="shared" si="178"/>
        <v>-8.293596449696522E-2</v>
      </c>
      <c r="O1634" s="8"/>
      <c r="P1634" t="s">
        <v>1920</v>
      </c>
      <c r="Q1634">
        <v>34</v>
      </c>
      <c r="R1634" s="8">
        <v>2.8188200000000001</v>
      </c>
      <c r="S1634">
        <v>13</v>
      </c>
      <c r="T1634" s="8">
        <f t="shared" si="179"/>
        <v>0.38235294117647056</v>
      </c>
      <c r="U1634" s="8">
        <v>2.8349199999999999</v>
      </c>
      <c r="V1634">
        <v>18</v>
      </c>
      <c r="W1634" s="8">
        <f t="shared" si="180"/>
        <v>0.52941176470588236</v>
      </c>
      <c r="X1634" s="8">
        <v>2.8001299999999998</v>
      </c>
      <c r="Y1634">
        <v>3</v>
      </c>
      <c r="Z1634" s="8">
        <f t="shared" si="181"/>
        <v>8.8235294117647065E-2</v>
      </c>
      <c r="AA1634" s="8">
        <v>2.8611599999999999</v>
      </c>
    </row>
    <row r="1635" spans="2:27" ht="15" customHeight="1" x14ac:dyDescent="0.25">
      <c r="B1635">
        <v>359</v>
      </c>
      <c r="C1635" s="8">
        <v>-12177.0538</v>
      </c>
      <c r="D1635" s="2">
        <v>-12178.626313000001</v>
      </c>
      <c r="F1635" s="3">
        <v>0.99768199999999996</v>
      </c>
      <c r="G1635" s="2">
        <v>0.20280999999999999</v>
      </c>
      <c r="H1635">
        <v>5</v>
      </c>
      <c r="I1635">
        <v>8</v>
      </c>
      <c r="J1635" s="32"/>
      <c r="K1635" s="8">
        <f t="shared" si="175"/>
        <v>-1.1818076923082117</v>
      </c>
      <c r="L1635" s="8">
        <f t="shared" si="176"/>
        <v>-9.0908284023708597E-2</v>
      </c>
      <c r="M1635" s="8">
        <f t="shared" si="177"/>
        <v>-1.2279205384620582</v>
      </c>
      <c r="N1635" s="8">
        <f t="shared" si="178"/>
        <v>-9.4455426035542939E-2</v>
      </c>
      <c r="O1635" s="8"/>
      <c r="P1635" t="s">
        <v>1921</v>
      </c>
      <c r="Q1635">
        <v>34</v>
      </c>
      <c r="R1635" s="8">
        <v>2.8181099999999999</v>
      </c>
      <c r="S1635">
        <v>11</v>
      </c>
      <c r="T1635" s="8">
        <f t="shared" si="179"/>
        <v>0.3235294117647059</v>
      </c>
      <c r="U1635" s="8">
        <v>2.7842799999999999</v>
      </c>
      <c r="V1635">
        <v>19</v>
      </c>
      <c r="W1635" s="8">
        <f t="shared" si="180"/>
        <v>0.55882352941176472</v>
      </c>
      <c r="X1635" s="8">
        <v>2.8348300000000002</v>
      </c>
      <c r="Y1635">
        <v>4</v>
      </c>
      <c r="Z1635" s="8">
        <f t="shared" si="181"/>
        <v>0.11764705882352941</v>
      </c>
      <c r="AA1635" s="8">
        <v>2.8317399999999999</v>
      </c>
    </row>
    <row r="1636" spans="2:27" ht="15" customHeight="1" x14ac:dyDescent="0.25">
      <c r="B1636">
        <v>360</v>
      </c>
      <c r="C1636" s="8">
        <v>-12177.1386</v>
      </c>
      <c r="D1636" s="2">
        <v>-12178.803449999999</v>
      </c>
      <c r="F1636" s="3">
        <v>0.997946</v>
      </c>
      <c r="G1636" s="2">
        <v>0.206259999999999</v>
      </c>
      <c r="H1636">
        <v>5</v>
      </c>
      <c r="I1636">
        <v>8</v>
      </c>
      <c r="J1636" s="32"/>
      <c r="K1636" s="8">
        <f t="shared" si="175"/>
        <v>-1.266607692308753</v>
      </c>
      <c r="L1636" s="8">
        <f t="shared" si="176"/>
        <v>-9.7431360946827153E-2</v>
      </c>
      <c r="M1636" s="8">
        <f t="shared" si="177"/>
        <v>-1.4050575384608237</v>
      </c>
      <c r="N1636" s="8">
        <f t="shared" si="178"/>
        <v>-0.10808134911237105</v>
      </c>
      <c r="O1636" s="8"/>
      <c r="P1636" t="s">
        <v>1922</v>
      </c>
      <c r="Q1636">
        <v>36</v>
      </c>
      <c r="R1636" s="8">
        <v>2.8328799999999998</v>
      </c>
      <c r="S1636">
        <v>13</v>
      </c>
      <c r="T1636" s="8">
        <f t="shared" si="179"/>
        <v>0.3611111111111111</v>
      </c>
      <c r="U1636" s="8">
        <v>2.8469199999999999</v>
      </c>
      <c r="V1636">
        <v>20</v>
      </c>
      <c r="W1636" s="8">
        <f t="shared" si="180"/>
        <v>0.55555555555555558</v>
      </c>
      <c r="X1636" s="8">
        <v>2.8210999999999999</v>
      </c>
      <c r="Y1636">
        <v>3</v>
      </c>
      <c r="Z1636" s="8">
        <f t="shared" si="181"/>
        <v>8.3333333333333329E-2</v>
      </c>
      <c r="AA1636" s="8">
        <v>2.8505400000000001</v>
      </c>
    </row>
    <row r="1637" spans="2:27" ht="15" customHeight="1" x14ac:dyDescent="0.25">
      <c r="B1637">
        <v>361</v>
      </c>
      <c r="C1637" s="8">
        <v>-12176.797200000001</v>
      </c>
      <c r="D1637" s="2">
        <v>-12178.3629</v>
      </c>
      <c r="F1637" s="3">
        <v>0.99714700000000001</v>
      </c>
      <c r="G1637" s="2">
        <v>0.196489999999999</v>
      </c>
      <c r="H1637">
        <v>5</v>
      </c>
      <c r="I1637">
        <v>8</v>
      </c>
      <c r="J1637" s="32"/>
      <c r="K1637" s="8">
        <f t="shared" si="175"/>
        <v>-0.92520769230941369</v>
      </c>
      <c r="L1637" s="8">
        <f t="shared" si="176"/>
        <v>-7.1169822485339512E-2</v>
      </c>
      <c r="M1637" s="8">
        <f t="shared" si="177"/>
        <v>-0.96450753846147563</v>
      </c>
      <c r="N1637" s="8">
        <f t="shared" si="178"/>
        <v>-7.419288757395967E-2</v>
      </c>
      <c r="O1637" s="8"/>
      <c r="P1637" t="s">
        <v>1923</v>
      </c>
      <c r="Q1637">
        <v>34</v>
      </c>
      <c r="R1637" s="8">
        <v>2.8157399999999999</v>
      </c>
      <c r="S1637">
        <v>13</v>
      </c>
      <c r="T1637" s="8">
        <f t="shared" si="179"/>
        <v>0.38235294117647056</v>
      </c>
      <c r="U1637" s="8">
        <v>2.8222499999999999</v>
      </c>
      <c r="V1637">
        <v>17</v>
      </c>
      <c r="W1637" s="8">
        <f t="shared" si="180"/>
        <v>0.5</v>
      </c>
      <c r="X1637" s="8">
        <v>2.8159399999999999</v>
      </c>
      <c r="Y1637">
        <v>4</v>
      </c>
      <c r="Z1637" s="8">
        <f t="shared" si="181"/>
        <v>0.11764705882352941</v>
      </c>
      <c r="AA1637" s="8">
        <v>2.7936899999999998</v>
      </c>
    </row>
    <row r="1638" spans="2:27" ht="15" customHeight="1" x14ac:dyDescent="0.25">
      <c r="B1638">
        <v>362</v>
      </c>
      <c r="C1638" s="8">
        <v>-12177.0718</v>
      </c>
      <c r="D1638" s="2">
        <v>-12178.648498</v>
      </c>
      <c r="F1638" s="3">
        <v>0.99583699999999997</v>
      </c>
      <c r="G1638" s="2">
        <v>0.185169999999999</v>
      </c>
      <c r="H1638">
        <v>5</v>
      </c>
      <c r="I1638">
        <v>8</v>
      </c>
      <c r="J1638" s="32"/>
      <c r="K1638" s="8">
        <f t="shared" si="175"/>
        <v>-1.1998076923082408</v>
      </c>
      <c r="L1638" s="8">
        <f t="shared" si="176"/>
        <v>-9.2292899408326218E-2</v>
      </c>
      <c r="M1638" s="8">
        <f t="shared" si="177"/>
        <v>-1.2501055384618667</v>
      </c>
      <c r="N1638" s="8">
        <f t="shared" si="178"/>
        <v>-9.6161964497066668E-2</v>
      </c>
      <c r="O1638" s="8"/>
      <c r="P1638" t="s">
        <v>1924</v>
      </c>
      <c r="Q1638">
        <v>34</v>
      </c>
      <c r="R1638" s="8">
        <v>2.81555</v>
      </c>
      <c r="S1638">
        <v>11</v>
      </c>
      <c r="T1638" s="8">
        <f t="shared" si="179"/>
        <v>0.3235294117647059</v>
      </c>
      <c r="U1638" s="8">
        <v>2.8376199999999998</v>
      </c>
      <c r="V1638">
        <v>20</v>
      </c>
      <c r="W1638" s="8">
        <f t="shared" si="180"/>
        <v>0.58823529411764708</v>
      </c>
      <c r="X1638" s="8">
        <v>2.7988599999999999</v>
      </c>
      <c r="Y1638">
        <v>3</v>
      </c>
      <c r="Z1638" s="8">
        <f t="shared" si="181"/>
        <v>8.8235294117647065E-2</v>
      </c>
      <c r="AA1638" s="8">
        <v>2.84592</v>
      </c>
    </row>
    <row r="1639" spans="2:27" ht="15" customHeight="1" x14ac:dyDescent="0.25">
      <c r="B1639">
        <v>363</v>
      </c>
      <c r="C1639" s="8">
        <v>-12177.025100000001</v>
      </c>
      <c r="D1639" s="2">
        <v>-12178.628323999999</v>
      </c>
      <c r="F1639" s="3">
        <v>0.99545399999999995</v>
      </c>
      <c r="G1639" s="2">
        <v>0.182499999999999</v>
      </c>
      <c r="H1639">
        <v>5</v>
      </c>
      <c r="I1639">
        <v>8</v>
      </c>
      <c r="J1639" s="32"/>
      <c r="K1639" s="8">
        <f t="shared" si="175"/>
        <v>-1.1531076923092769</v>
      </c>
      <c r="L1639" s="8">
        <f t="shared" si="176"/>
        <v>-8.8700591716098218E-2</v>
      </c>
      <c r="M1639" s="8">
        <f t="shared" si="177"/>
        <v>-1.2299315384607326</v>
      </c>
      <c r="N1639" s="8">
        <f t="shared" si="178"/>
        <v>-9.4610118343133279E-2</v>
      </c>
      <c r="O1639" s="8"/>
      <c r="P1639" t="s">
        <v>1925</v>
      </c>
      <c r="Q1639">
        <v>34</v>
      </c>
      <c r="R1639" s="8">
        <v>2.8162400000000001</v>
      </c>
      <c r="S1639">
        <v>11</v>
      </c>
      <c r="T1639" s="8">
        <f t="shared" si="179"/>
        <v>0.3235294117647059</v>
      </c>
      <c r="U1639" s="8">
        <v>2.82586</v>
      </c>
      <c r="V1639">
        <v>20</v>
      </c>
      <c r="W1639" s="8">
        <f t="shared" si="180"/>
        <v>0.58823529411764708</v>
      </c>
      <c r="X1639" s="8">
        <v>2.8011400000000002</v>
      </c>
      <c r="Y1639">
        <v>3</v>
      </c>
      <c r="Z1639" s="8">
        <f t="shared" si="181"/>
        <v>8.8235294117647065E-2</v>
      </c>
      <c r="AA1639" s="8">
        <v>2.8816099999999998</v>
      </c>
    </row>
    <row r="1640" spans="2:27" ht="15" customHeight="1" x14ac:dyDescent="0.25">
      <c r="B1640">
        <v>364</v>
      </c>
      <c r="C1640" s="8">
        <v>-12177.045400000001</v>
      </c>
      <c r="D1640" s="2">
        <v>-12178.651193</v>
      </c>
      <c r="F1640" s="3">
        <v>0.99524000000000001</v>
      </c>
      <c r="G1640" s="2">
        <v>0.18114999999999901</v>
      </c>
      <c r="H1640">
        <v>5</v>
      </c>
      <c r="I1640">
        <v>8</v>
      </c>
      <c r="J1640" s="32"/>
      <c r="K1640" s="8">
        <f t="shared" si="175"/>
        <v>-1.1734076923094108</v>
      </c>
      <c r="L1640" s="8">
        <f t="shared" si="176"/>
        <v>-9.0262130177646976E-2</v>
      </c>
      <c r="M1640" s="8">
        <f t="shared" si="177"/>
        <v>-1.2528005384610879</v>
      </c>
      <c r="N1640" s="8">
        <f t="shared" si="178"/>
        <v>-9.6369272189314445E-2</v>
      </c>
      <c r="O1640" s="8"/>
      <c r="P1640" t="s">
        <v>1926</v>
      </c>
      <c r="Q1640">
        <v>32</v>
      </c>
      <c r="R1640" s="8">
        <v>2.79589</v>
      </c>
      <c r="S1640">
        <v>10</v>
      </c>
      <c r="T1640" s="8">
        <f t="shared" si="179"/>
        <v>0.3125</v>
      </c>
      <c r="U1640" s="8">
        <v>2.7939099999999999</v>
      </c>
      <c r="V1640">
        <v>19</v>
      </c>
      <c r="W1640" s="8">
        <f t="shared" si="180"/>
        <v>0.59375</v>
      </c>
      <c r="X1640" s="8">
        <v>2.7940900000000002</v>
      </c>
      <c r="Y1640">
        <v>3</v>
      </c>
      <c r="Z1640" s="8">
        <f t="shared" si="181"/>
        <v>9.375E-2</v>
      </c>
      <c r="AA1640" s="8">
        <v>2.81386</v>
      </c>
    </row>
    <row r="1641" spans="2:27" ht="15" customHeight="1" x14ac:dyDescent="0.25">
      <c r="B1641">
        <v>365</v>
      </c>
      <c r="C1641" s="8">
        <v>-12176.8498</v>
      </c>
      <c r="D1641" s="2">
        <v>-12178.355820000001</v>
      </c>
      <c r="F1641" s="3">
        <v>0.99468100000000004</v>
      </c>
      <c r="G1641" s="2">
        <v>0.17780000000000001</v>
      </c>
      <c r="H1641">
        <v>5</v>
      </c>
      <c r="I1641">
        <v>8</v>
      </c>
      <c r="J1641" s="32"/>
      <c r="K1641" s="8">
        <f t="shared" si="175"/>
        <v>-0.97780769230848819</v>
      </c>
      <c r="L1641" s="8">
        <f t="shared" si="176"/>
        <v>-7.5215976331422171E-2</v>
      </c>
      <c r="M1641" s="8">
        <f t="shared" si="177"/>
        <v>-0.95742753846207052</v>
      </c>
      <c r="N1641" s="8">
        <f t="shared" si="178"/>
        <v>-7.3648272189390046E-2</v>
      </c>
      <c r="O1641" s="8"/>
      <c r="P1641" t="s">
        <v>1927</v>
      </c>
      <c r="Q1641">
        <v>34</v>
      </c>
      <c r="R1641" s="8">
        <v>2.82104</v>
      </c>
      <c r="S1641">
        <v>11</v>
      </c>
      <c r="T1641" s="8">
        <f t="shared" si="179"/>
        <v>0.3235294117647059</v>
      </c>
      <c r="U1641" s="8">
        <v>2.7977500000000002</v>
      </c>
      <c r="V1641">
        <v>20</v>
      </c>
      <c r="W1641" s="8">
        <f t="shared" si="180"/>
        <v>0.58823529411764708</v>
      </c>
      <c r="X1641" s="8">
        <v>2.8201200000000002</v>
      </c>
      <c r="Y1641">
        <v>3</v>
      </c>
      <c r="Z1641" s="8">
        <f t="shared" si="181"/>
        <v>8.8235294117647065E-2</v>
      </c>
      <c r="AA1641" s="8">
        <v>2.9125100000000002</v>
      </c>
    </row>
    <row r="1642" spans="2:27" ht="15" customHeight="1" x14ac:dyDescent="0.25">
      <c r="B1642">
        <v>366</v>
      </c>
      <c r="C1642" s="8">
        <v>-12177.117200000001</v>
      </c>
      <c r="D1642" s="2">
        <v>-12178.713432</v>
      </c>
      <c r="F1642" s="3">
        <v>0.99836899999999995</v>
      </c>
      <c r="G1642" s="2">
        <v>0.21318999999999999</v>
      </c>
      <c r="H1642">
        <v>5</v>
      </c>
      <c r="I1642">
        <v>8</v>
      </c>
      <c r="J1642" s="32"/>
      <c r="K1642" s="8">
        <f t="shared" si="175"/>
        <v>-1.2452076923091226</v>
      </c>
      <c r="L1642" s="8">
        <f t="shared" si="176"/>
        <v>-9.5785207100701736E-2</v>
      </c>
      <c r="M1642" s="8">
        <f t="shared" si="177"/>
        <v>-1.3150395384618605</v>
      </c>
      <c r="N1642" s="8">
        <f t="shared" si="178"/>
        <v>-0.10115688757398927</v>
      </c>
      <c r="O1642" s="8"/>
      <c r="P1642" t="s">
        <v>1928</v>
      </c>
      <c r="Q1642">
        <v>34</v>
      </c>
      <c r="R1642" s="8">
        <v>2.8164199999999999</v>
      </c>
      <c r="S1642">
        <v>11</v>
      </c>
      <c r="T1642" s="8">
        <f t="shared" si="179"/>
        <v>0.3235294117647059</v>
      </c>
      <c r="U1642" s="8">
        <v>2.80897</v>
      </c>
      <c r="V1642">
        <v>18</v>
      </c>
      <c r="W1642" s="8">
        <f t="shared" si="180"/>
        <v>0.52941176470588236</v>
      </c>
      <c r="X1642" s="8">
        <v>2.80741</v>
      </c>
      <c r="Y1642">
        <v>5</v>
      </c>
      <c r="Z1642" s="8">
        <f t="shared" si="181"/>
        <v>0.14705882352941177</v>
      </c>
      <c r="AA1642" s="8">
        <v>2.86524</v>
      </c>
    </row>
    <row r="1643" spans="2:27" ht="15" customHeight="1" x14ac:dyDescent="0.25">
      <c r="B1643">
        <v>367</v>
      </c>
      <c r="C1643" s="8">
        <v>-12177.011200000001</v>
      </c>
      <c r="D1643" s="2">
        <v>-12178.576805000001</v>
      </c>
      <c r="F1643" s="3">
        <v>0.99605999999999995</v>
      </c>
      <c r="G1643" s="2">
        <v>0.186859999999999</v>
      </c>
      <c r="H1643">
        <v>5</v>
      </c>
      <c r="I1643">
        <v>8</v>
      </c>
      <c r="J1643" s="32"/>
      <c r="K1643" s="8">
        <f t="shared" si="175"/>
        <v>-1.1392076923093555</v>
      </c>
      <c r="L1643" s="8">
        <f t="shared" si="176"/>
        <v>-8.7631360946873502E-2</v>
      </c>
      <c r="M1643" s="8">
        <f t="shared" si="177"/>
        <v>-1.1784125384619983</v>
      </c>
      <c r="N1643" s="8">
        <f t="shared" si="178"/>
        <v>-9.0647118343230637E-2</v>
      </c>
      <c r="O1643" s="8"/>
      <c r="P1643" t="s">
        <v>1929</v>
      </c>
      <c r="Q1643">
        <v>35</v>
      </c>
      <c r="R1643" s="8">
        <v>2.8308900000000001</v>
      </c>
      <c r="S1643">
        <v>13</v>
      </c>
      <c r="T1643" s="8">
        <f t="shared" si="179"/>
        <v>0.37142857142857144</v>
      </c>
      <c r="U1643" s="8">
        <v>2.8403700000000001</v>
      </c>
      <c r="V1643">
        <v>17</v>
      </c>
      <c r="W1643" s="8">
        <f t="shared" si="180"/>
        <v>0.48571428571428571</v>
      </c>
      <c r="X1643" s="8">
        <v>2.8076500000000002</v>
      </c>
      <c r="Y1643">
        <v>5</v>
      </c>
      <c r="Z1643" s="8">
        <f t="shared" si="181"/>
        <v>0.14285714285714285</v>
      </c>
      <c r="AA1643" s="8">
        <v>2.8852899999999999</v>
      </c>
    </row>
    <row r="1644" spans="2:27" ht="15" customHeight="1" x14ac:dyDescent="0.25">
      <c r="B1644">
        <v>368</v>
      </c>
      <c r="C1644" s="8">
        <v>-12177.2158</v>
      </c>
      <c r="D1644" s="2">
        <v>-12178.766428999999</v>
      </c>
      <c r="F1644" s="3">
        <v>0.99751999999999996</v>
      </c>
      <c r="G1644" s="2">
        <v>0.20069999999999999</v>
      </c>
      <c r="H1644">
        <v>5</v>
      </c>
      <c r="I1644">
        <v>8</v>
      </c>
      <c r="J1644" s="32"/>
      <c r="K1644" s="8">
        <f t="shared" si="175"/>
        <v>-1.3438076923084736</v>
      </c>
      <c r="L1644" s="8">
        <f t="shared" si="176"/>
        <v>-0.1033698224852672</v>
      </c>
      <c r="M1644" s="8">
        <f t="shared" si="177"/>
        <v>-1.3680365384607285</v>
      </c>
      <c r="N1644" s="8">
        <f t="shared" si="178"/>
        <v>-0.1052335798815945</v>
      </c>
      <c r="O1644" s="8"/>
      <c r="P1644" t="s">
        <v>1930</v>
      </c>
      <c r="Q1644">
        <v>35</v>
      </c>
      <c r="R1644" s="8">
        <v>2.8272200000000001</v>
      </c>
      <c r="S1644">
        <v>11</v>
      </c>
      <c r="T1644" s="8">
        <f t="shared" si="179"/>
        <v>0.31428571428571428</v>
      </c>
      <c r="U1644" s="8">
        <v>2.8163900000000002</v>
      </c>
      <c r="V1644">
        <v>20</v>
      </c>
      <c r="W1644" s="8">
        <f t="shared" si="180"/>
        <v>0.5714285714285714</v>
      </c>
      <c r="X1644" s="8">
        <v>2.8290000000000002</v>
      </c>
      <c r="Y1644">
        <v>4</v>
      </c>
      <c r="Z1644" s="8">
        <f t="shared" si="181"/>
        <v>0.11428571428571428</v>
      </c>
      <c r="AA1644" s="8">
        <v>2.8481399999999999</v>
      </c>
    </row>
    <row r="1645" spans="2:27" ht="15" customHeight="1" x14ac:dyDescent="0.25">
      <c r="B1645">
        <v>369</v>
      </c>
      <c r="C1645" s="8">
        <v>-12176.948200000001</v>
      </c>
      <c r="D1645" s="2">
        <v>-12178.534263</v>
      </c>
      <c r="F1645" s="3">
        <v>0.996973</v>
      </c>
      <c r="G1645" s="2">
        <v>0.194849999999999</v>
      </c>
      <c r="H1645">
        <v>5</v>
      </c>
      <c r="I1645">
        <v>8</v>
      </c>
      <c r="J1645" s="32"/>
      <c r="K1645" s="8">
        <f t="shared" si="175"/>
        <v>-1.0762076923092536</v>
      </c>
      <c r="L1645" s="8">
        <f t="shared" si="176"/>
        <v>-8.2785207100711813E-2</v>
      </c>
      <c r="M1645" s="8">
        <f t="shared" si="177"/>
        <v>-1.1358705384609493</v>
      </c>
      <c r="N1645" s="8">
        <f t="shared" si="178"/>
        <v>-8.7374656804688408E-2</v>
      </c>
      <c r="O1645" s="8"/>
      <c r="P1645" t="s">
        <v>1931</v>
      </c>
      <c r="Q1645">
        <v>34</v>
      </c>
      <c r="R1645" s="8">
        <v>2.8193800000000002</v>
      </c>
      <c r="S1645">
        <v>13</v>
      </c>
      <c r="T1645" s="8">
        <f t="shared" si="179"/>
        <v>0.38235294117647056</v>
      </c>
      <c r="U1645" s="8">
        <v>2.8288000000000002</v>
      </c>
      <c r="V1645">
        <v>17</v>
      </c>
      <c r="W1645" s="8">
        <f t="shared" si="180"/>
        <v>0.5</v>
      </c>
      <c r="X1645" s="8">
        <v>2.8052600000000001</v>
      </c>
      <c r="Y1645">
        <v>4</v>
      </c>
      <c r="Z1645" s="8">
        <f t="shared" si="181"/>
        <v>0.11764705882352941</v>
      </c>
      <c r="AA1645" s="8">
        <v>2.84876</v>
      </c>
    </row>
    <row r="1646" spans="2:27" ht="15" customHeight="1" x14ac:dyDescent="0.25">
      <c r="B1646">
        <v>370</v>
      </c>
      <c r="C1646" s="8">
        <v>-12177.1549</v>
      </c>
      <c r="D1646" s="2">
        <v>-12178.712582</v>
      </c>
      <c r="F1646" s="3">
        <v>0.99581799999999998</v>
      </c>
      <c r="G1646" s="2">
        <v>0.18507999999999999</v>
      </c>
      <c r="H1646">
        <v>5</v>
      </c>
      <c r="I1646">
        <v>8</v>
      </c>
      <c r="J1646" s="32"/>
      <c r="K1646" s="8">
        <f t="shared" si="175"/>
        <v>-1.282907692308072</v>
      </c>
      <c r="L1646" s="8">
        <f t="shared" si="176"/>
        <v>-9.8685207100620925E-2</v>
      </c>
      <c r="M1646" s="8">
        <f t="shared" si="177"/>
        <v>-1.3141895384615054</v>
      </c>
      <c r="N1646" s="8">
        <f t="shared" si="178"/>
        <v>-0.10109150295857734</v>
      </c>
      <c r="O1646" s="8"/>
      <c r="P1646" t="s">
        <v>1932</v>
      </c>
      <c r="Q1646">
        <v>34</v>
      </c>
      <c r="R1646" s="8">
        <v>2.8162600000000002</v>
      </c>
      <c r="S1646">
        <v>11</v>
      </c>
      <c r="T1646" s="8">
        <f t="shared" si="179"/>
        <v>0.3235294117647059</v>
      </c>
      <c r="U1646" s="8">
        <v>2.8285499999999999</v>
      </c>
      <c r="V1646">
        <v>21</v>
      </c>
      <c r="W1646" s="8">
        <f t="shared" si="180"/>
        <v>0.61764705882352944</v>
      </c>
      <c r="X1646" s="8">
        <v>2.8090999999999999</v>
      </c>
      <c r="Y1646">
        <v>2</v>
      </c>
      <c r="Z1646" s="8">
        <f t="shared" si="181"/>
        <v>5.8823529411764705E-2</v>
      </c>
      <c r="AA1646" s="8">
        <v>2.82375</v>
      </c>
    </row>
    <row r="1647" spans="2:27" ht="15" customHeight="1" x14ac:dyDescent="0.25">
      <c r="B1647">
        <v>371</v>
      </c>
      <c r="C1647" s="8">
        <v>-12177.122600000001</v>
      </c>
      <c r="D1647" s="2">
        <v>-12178.566183000001</v>
      </c>
      <c r="F1647" s="3">
        <v>0.99632699999999996</v>
      </c>
      <c r="G1647" s="2">
        <v>0.18892</v>
      </c>
      <c r="H1647">
        <v>5</v>
      </c>
      <c r="I1647">
        <v>8</v>
      </c>
      <c r="J1647" s="32"/>
      <c r="K1647" s="8">
        <f t="shared" si="175"/>
        <v>-1.2506076923091314</v>
      </c>
      <c r="L1647" s="8">
        <f t="shared" si="176"/>
        <v>-9.6200591716087025E-2</v>
      </c>
      <c r="M1647" s="8">
        <f t="shared" si="177"/>
        <v>-1.1677905384622136</v>
      </c>
      <c r="N1647" s="8">
        <f t="shared" si="178"/>
        <v>-8.9830041420170273E-2</v>
      </c>
      <c r="O1647" s="8"/>
      <c r="P1647" t="s">
        <v>1933</v>
      </c>
      <c r="Q1647">
        <v>34</v>
      </c>
      <c r="R1647" s="8">
        <v>2.8204400000000001</v>
      </c>
      <c r="S1647">
        <v>11</v>
      </c>
      <c r="T1647" s="8">
        <f t="shared" si="179"/>
        <v>0.3235294117647059</v>
      </c>
      <c r="U1647" s="8">
        <v>2.8328799999999998</v>
      </c>
      <c r="V1647">
        <v>20</v>
      </c>
      <c r="W1647" s="8">
        <f t="shared" si="180"/>
        <v>0.58823529411764708</v>
      </c>
      <c r="X1647" s="8">
        <v>2.81297</v>
      </c>
      <c r="Y1647">
        <v>3</v>
      </c>
      <c r="Z1647" s="8">
        <f t="shared" si="181"/>
        <v>8.8235294117647065E-2</v>
      </c>
      <c r="AA1647" s="8">
        <v>2.8246600000000002</v>
      </c>
    </row>
    <row r="1648" spans="2:27" ht="15" customHeight="1" x14ac:dyDescent="0.25">
      <c r="B1648">
        <v>372</v>
      </c>
      <c r="C1648" s="8">
        <v>-12177.093999999999</v>
      </c>
      <c r="D1648" s="2">
        <v>-12178.628607000001</v>
      </c>
      <c r="F1648" s="3">
        <v>0.99723499999999998</v>
      </c>
      <c r="G1648" s="2">
        <v>0.19757999999999901</v>
      </c>
      <c r="H1648">
        <v>5</v>
      </c>
      <c r="I1648">
        <v>8</v>
      </c>
      <c r="J1648" s="32"/>
      <c r="K1648" s="8">
        <f t="shared" si="175"/>
        <v>-1.2220076923076704</v>
      </c>
      <c r="L1648" s="8">
        <f t="shared" si="176"/>
        <v>-9.4000591715974649E-2</v>
      </c>
      <c r="M1648" s="8">
        <f t="shared" si="177"/>
        <v>-1.2302145384619507</v>
      </c>
      <c r="N1648" s="8">
        <f t="shared" si="178"/>
        <v>-9.463188757399621E-2</v>
      </c>
      <c r="O1648" s="8"/>
      <c r="P1648" t="s">
        <v>1934</v>
      </c>
      <c r="Q1648">
        <v>34</v>
      </c>
      <c r="R1648" s="8">
        <v>2.8198599999999998</v>
      </c>
      <c r="S1648">
        <v>11</v>
      </c>
      <c r="T1648" s="8">
        <f t="shared" si="179"/>
        <v>0.3235294117647059</v>
      </c>
      <c r="U1648" s="8">
        <v>2.8087900000000001</v>
      </c>
      <c r="V1648">
        <v>20</v>
      </c>
      <c r="W1648" s="8">
        <f t="shared" si="180"/>
        <v>0.58823529411764708</v>
      </c>
      <c r="X1648" s="8">
        <v>2.8197000000000001</v>
      </c>
      <c r="Y1648">
        <v>3</v>
      </c>
      <c r="Z1648" s="8">
        <f t="shared" si="181"/>
        <v>8.8235294117647065E-2</v>
      </c>
      <c r="AA1648" s="8">
        <v>2.8614600000000001</v>
      </c>
    </row>
    <row r="1649" spans="2:27" ht="15" customHeight="1" x14ac:dyDescent="0.25">
      <c r="B1649">
        <v>373</v>
      </c>
      <c r="C1649" s="8">
        <v>-12176.9678</v>
      </c>
      <c r="D1649" s="2">
        <v>-12178.563289</v>
      </c>
      <c r="F1649" s="3">
        <v>0.99791600000000003</v>
      </c>
      <c r="G1649" s="2">
        <v>0.20590999999999901</v>
      </c>
      <c r="H1649">
        <v>5</v>
      </c>
      <c r="I1649">
        <v>8</v>
      </c>
      <c r="J1649" s="32"/>
      <c r="K1649" s="8">
        <f t="shared" si="175"/>
        <v>-1.0958076923088811</v>
      </c>
      <c r="L1649" s="8">
        <f t="shared" si="176"/>
        <v>-8.4292899408375463E-2</v>
      </c>
      <c r="M1649" s="8">
        <f t="shared" si="177"/>
        <v>-1.1648965384611074</v>
      </c>
      <c r="N1649" s="8">
        <f t="shared" si="178"/>
        <v>-8.9607426035469798E-2</v>
      </c>
      <c r="O1649" s="8"/>
      <c r="P1649" t="s">
        <v>1935</v>
      </c>
      <c r="Q1649">
        <v>34</v>
      </c>
      <c r="R1649" s="8">
        <v>2.8203200000000002</v>
      </c>
      <c r="S1649">
        <v>12</v>
      </c>
      <c r="T1649" s="8">
        <f t="shared" si="179"/>
        <v>0.35294117647058826</v>
      </c>
      <c r="U1649" s="8">
        <v>2.8376999999999999</v>
      </c>
      <c r="V1649">
        <v>19</v>
      </c>
      <c r="W1649" s="8">
        <f t="shared" si="180"/>
        <v>0.55882352941176472</v>
      </c>
      <c r="X1649" s="8">
        <v>2.8007</v>
      </c>
      <c r="Y1649">
        <v>3</v>
      </c>
      <c r="Z1649" s="8">
        <f t="shared" si="181"/>
        <v>8.8235294117647065E-2</v>
      </c>
      <c r="AA1649" s="8">
        <v>2.8750200000000001</v>
      </c>
    </row>
    <row r="1650" spans="2:27" ht="15" customHeight="1" x14ac:dyDescent="0.25">
      <c r="B1650">
        <v>374</v>
      </c>
      <c r="C1650" s="8">
        <v>-12177.2017</v>
      </c>
      <c r="D1650" s="2">
        <v>-12178.597261000001</v>
      </c>
      <c r="F1650" s="3">
        <v>0.99602299999999999</v>
      </c>
      <c r="G1650" s="2">
        <v>0.18653999999999901</v>
      </c>
      <c r="H1650">
        <v>5</v>
      </c>
      <c r="I1650">
        <v>8</v>
      </c>
      <c r="J1650" s="32"/>
      <c r="K1650" s="8">
        <f t="shared" si="175"/>
        <v>-1.3297076923081477</v>
      </c>
      <c r="L1650" s="8">
        <f t="shared" si="176"/>
        <v>-0.10228520710062675</v>
      </c>
      <c r="M1650" s="8">
        <f t="shared" si="177"/>
        <v>-1.1988685384621931</v>
      </c>
      <c r="N1650" s="8">
        <f t="shared" si="178"/>
        <v>-9.2220656804784085E-2</v>
      </c>
      <c r="O1650" s="8"/>
      <c r="P1650" t="s">
        <v>1936</v>
      </c>
      <c r="Q1650">
        <v>34</v>
      </c>
      <c r="R1650" s="8">
        <v>2.8134100000000002</v>
      </c>
      <c r="S1650">
        <v>10</v>
      </c>
      <c r="T1650" s="8">
        <f t="shared" si="179"/>
        <v>0.29411764705882354</v>
      </c>
      <c r="U1650" s="8">
        <v>2.76912</v>
      </c>
      <c r="V1650">
        <v>21</v>
      </c>
      <c r="W1650" s="8">
        <f t="shared" si="180"/>
        <v>0.61764705882352944</v>
      </c>
      <c r="X1650" s="8">
        <v>2.8310900000000001</v>
      </c>
      <c r="Y1650">
        <v>3</v>
      </c>
      <c r="Z1650" s="8">
        <f t="shared" si="181"/>
        <v>8.8235294117647065E-2</v>
      </c>
      <c r="AA1650" s="8">
        <v>2.8372700000000002</v>
      </c>
    </row>
    <row r="1651" spans="2:27" ht="15" customHeight="1" x14ac:dyDescent="0.25">
      <c r="B1651">
        <v>375</v>
      </c>
      <c r="C1651" s="8">
        <v>-12177.061299999999</v>
      </c>
      <c r="D1651" s="2">
        <v>-12178.652697</v>
      </c>
      <c r="F1651" s="3">
        <v>0.99803799999999998</v>
      </c>
      <c r="G1651" s="2">
        <v>0.20788999999999899</v>
      </c>
      <c r="H1651">
        <v>5</v>
      </c>
      <c r="I1651">
        <v>8</v>
      </c>
      <c r="J1651" s="32"/>
      <c r="K1651" s="8">
        <f t="shared" si="175"/>
        <v>-1.1893076923079207</v>
      </c>
      <c r="L1651" s="8">
        <f t="shared" si="176"/>
        <v>-9.1485207100609284E-2</v>
      </c>
      <c r="M1651" s="8">
        <f t="shared" si="177"/>
        <v>-1.2543045384609286</v>
      </c>
      <c r="N1651" s="8">
        <f t="shared" si="178"/>
        <v>-9.6484964496994507E-2</v>
      </c>
      <c r="O1651" s="8"/>
      <c r="P1651" t="s">
        <v>1937</v>
      </c>
      <c r="Q1651">
        <v>34</v>
      </c>
      <c r="R1651" s="8">
        <v>2.81568</v>
      </c>
      <c r="S1651">
        <v>10</v>
      </c>
      <c r="T1651" s="8">
        <f t="shared" si="179"/>
        <v>0.29411764705882354</v>
      </c>
      <c r="U1651" s="8">
        <v>2.7846299999999999</v>
      </c>
      <c r="V1651">
        <v>22</v>
      </c>
      <c r="W1651" s="8">
        <f t="shared" si="180"/>
        <v>0.6470588235294118</v>
      </c>
      <c r="X1651" s="8">
        <v>2.83318</v>
      </c>
      <c r="Y1651">
        <v>2</v>
      </c>
      <c r="Z1651" s="8">
        <f t="shared" si="181"/>
        <v>5.8823529411764705E-2</v>
      </c>
      <c r="AA1651" s="8">
        <v>2.7785299999999999</v>
      </c>
    </row>
    <row r="1652" spans="2:27" ht="15" customHeight="1" x14ac:dyDescent="0.25">
      <c r="B1652">
        <v>376</v>
      </c>
      <c r="C1652" s="8">
        <v>-12176.511500000001</v>
      </c>
      <c r="D1652" s="2">
        <v>-12177.972266000001</v>
      </c>
      <c r="F1652" s="3">
        <v>0.99462300000000003</v>
      </c>
      <c r="G1652" s="2">
        <v>0.17671000000000001</v>
      </c>
      <c r="H1652">
        <v>5</v>
      </c>
      <c r="I1652">
        <v>8</v>
      </c>
      <c r="J1652" s="32"/>
      <c r="K1652" s="8">
        <f t="shared" si="175"/>
        <v>-0.6395076923090528</v>
      </c>
      <c r="L1652" s="8">
        <f t="shared" si="176"/>
        <v>-4.9192899408388675E-2</v>
      </c>
      <c r="M1652" s="8">
        <f t="shared" si="177"/>
        <v>-0.57387353846206679</v>
      </c>
      <c r="N1652" s="8">
        <f t="shared" si="178"/>
        <v>-4.4144118343235908E-2</v>
      </c>
      <c r="O1652" s="8"/>
      <c r="P1652" t="s">
        <v>1938</v>
      </c>
      <c r="Q1652">
        <v>36</v>
      </c>
      <c r="R1652" s="8">
        <v>2.8357899999999998</v>
      </c>
      <c r="S1652">
        <v>12</v>
      </c>
      <c r="T1652" s="8">
        <f t="shared" si="179"/>
        <v>0.33333333333333331</v>
      </c>
      <c r="U1652" s="8">
        <v>2.8361200000000002</v>
      </c>
      <c r="V1652">
        <v>18</v>
      </c>
      <c r="W1652" s="8">
        <f t="shared" si="180"/>
        <v>0.5</v>
      </c>
      <c r="X1652" s="8">
        <v>2.81867</v>
      </c>
      <c r="Y1652">
        <v>6</v>
      </c>
      <c r="Z1652" s="8">
        <f t="shared" si="181"/>
        <v>0.16666666666666666</v>
      </c>
      <c r="AA1652" s="8">
        <v>2.8865099999999999</v>
      </c>
    </row>
    <row r="1653" spans="2:27" ht="15" customHeight="1" x14ac:dyDescent="0.25">
      <c r="B1653">
        <v>377</v>
      </c>
      <c r="C1653" s="8">
        <v>-12176.712600000001</v>
      </c>
      <c r="D1653" s="2">
        <v>-12178.522772</v>
      </c>
      <c r="F1653" s="3">
        <v>0.99352300000000004</v>
      </c>
      <c r="G1653" s="2">
        <v>0.17186999999999999</v>
      </c>
      <c r="H1653">
        <v>5</v>
      </c>
      <c r="I1653">
        <v>8</v>
      </c>
      <c r="J1653" s="32"/>
      <c r="K1653" s="8">
        <f t="shared" si="175"/>
        <v>-0.8406076923092769</v>
      </c>
      <c r="L1653" s="8">
        <f t="shared" si="176"/>
        <v>-6.4662130177636681E-2</v>
      </c>
      <c r="M1653" s="8">
        <f t="shared" si="177"/>
        <v>-1.1243795384616533</v>
      </c>
      <c r="N1653" s="8">
        <f t="shared" si="178"/>
        <v>-8.6490733727819485E-2</v>
      </c>
      <c r="O1653" s="8"/>
      <c r="P1653" t="s">
        <v>1939</v>
      </c>
      <c r="Q1653">
        <v>36</v>
      </c>
      <c r="R1653" s="8">
        <v>2.8393099999999998</v>
      </c>
      <c r="S1653">
        <v>11</v>
      </c>
      <c r="T1653" s="8">
        <f t="shared" si="179"/>
        <v>0.30555555555555558</v>
      </c>
      <c r="U1653" s="8">
        <v>2.8277999999999999</v>
      </c>
      <c r="V1653">
        <v>19</v>
      </c>
      <c r="W1653" s="8">
        <f t="shared" si="180"/>
        <v>0.52777777777777779</v>
      </c>
      <c r="X1653" s="8">
        <v>2.8270400000000002</v>
      </c>
      <c r="Y1653">
        <v>6</v>
      </c>
      <c r="Z1653" s="8">
        <f t="shared" si="181"/>
        <v>0.16666666666666666</v>
      </c>
      <c r="AA1653" s="8">
        <v>2.8992900000000001</v>
      </c>
    </row>
    <row r="1654" spans="2:27" ht="15" customHeight="1" x14ac:dyDescent="0.25">
      <c r="B1654">
        <v>378</v>
      </c>
      <c r="C1654" s="8">
        <v>-12176.831099999999</v>
      </c>
      <c r="D1654" s="2">
        <v>-12178.790344999999</v>
      </c>
      <c r="F1654" s="3">
        <v>0.99884200000000001</v>
      </c>
      <c r="G1654" s="2">
        <v>0.22377</v>
      </c>
      <c r="H1654">
        <v>5</v>
      </c>
      <c r="I1654">
        <v>8</v>
      </c>
      <c r="J1654" s="32"/>
      <c r="K1654" s="8">
        <f t="shared" si="175"/>
        <v>-0.95910769230795268</v>
      </c>
      <c r="L1654" s="8">
        <f t="shared" si="176"/>
        <v>-7.3777514792919441E-2</v>
      </c>
      <c r="M1654" s="8">
        <f t="shared" si="177"/>
        <v>-1.3919525384608278</v>
      </c>
      <c r="N1654" s="8">
        <f t="shared" si="178"/>
        <v>-0.10707327218929444</v>
      </c>
      <c r="O1654" s="8"/>
      <c r="P1654" t="s">
        <v>1940</v>
      </c>
      <c r="Q1654">
        <v>36</v>
      </c>
      <c r="R1654" s="8">
        <v>2.8394400000000002</v>
      </c>
      <c r="S1654">
        <v>11</v>
      </c>
      <c r="T1654" s="8">
        <f t="shared" si="179"/>
        <v>0.30555555555555558</v>
      </c>
      <c r="U1654" s="8">
        <v>2.8137699999999999</v>
      </c>
      <c r="V1654">
        <v>19</v>
      </c>
      <c r="W1654" s="8">
        <f t="shared" si="180"/>
        <v>0.52777777777777779</v>
      </c>
      <c r="X1654" s="8">
        <v>2.82666</v>
      </c>
      <c r="Y1654">
        <v>6</v>
      </c>
      <c r="Z1654" s="8">
        <f t="shared" si="181"/>
        <v>0.16666666666666666</v>
      </c>
      <c r="AA1654" s="8">
        <v>2.92699</v>
      </c>
    </row>
    <row r="1655" spans="2:27" ht="15" customHeight="1" x14ac:dyDescent="0.25">
      <c r="B1655">
        <v>379</v>
      </c>
      <c r="C1655" s="8">
        <v>-12176.856900000001</v>
      </c>
      <c r="D1655" s="2">
        <v>-12178.451996</v>
      </c>
      <c r="F1655" s="3">
        <v>0.99494400000000005</v>
      </c>
      <c r="G1655" s="2">
        <v>0.17935999999999999</v>
      </c>
      <c r="H1655">
        <v>5</v>
      </c>
      <c r="I1655">
        <v>8</v>
      </c>
      <c r="J1655" s="32"/>
      <c r="K1655" s="8">
        <f t="shared" si="175"/>
        <v>-0.98490769230920705</v>
      </c>
      <c r="L1655" s="8">
        <f t="shared" si="176"/>
        <v>-7.5762130177631309E-2</v>
      </c>
      <c r="M1655" s="8">
        <f t="shared" si="177"/>
        <v>-1.053603538461175</v>
      </c>
      <c r="N1655" s="8">
        <f t="shared" si="178"/>
        <v>-8.1046426035475003E-2</v>
      </c>
      <c r="O1655" s="8"/>
      <c r="P1655" t="s">
        <v>1941</v>
      </c>
      <c r="Q1655">
        <v>34</v>
      </c>
      <c r="R1655" s="8">
        <v>2.8185799999999999</v>
      </c>
      <c r="S1655">
        <v>12</v>
      </c>
      <c r="T1655" s="8">
        <f t="shared" si="179"/>
        <v>0.35294117647058826</v>
      </c>
      <c r="U1655" s="8">
        <v>2.8216999999999999</v>
      </c>
      <c r="V1655">
        <v>17</v>
      </c>
      <c r="W1655" s="8">
        <f t="shared" si="180"/>
        <v>0.5</v>
      </c>
      <c r="X1655" s="8">
        <v>2.8037899999999998</v>
      </c>
      <c r="Y1655">
        <v>5</v>
      </c>
      <c r="Z1655" s="8">
        <f t="shared" si="181"/>
        <v>0.14705882352941177</v>
      </c>
      <c r="AA1655" s="8">
        <v>2.86137</v>
      </c>
    </row>
    <row r="1656" spans="2:27" ht="15" customHeight="1" x14ac:dyDescent="0.25">
      <c r="B1656">
        <v>380</v>
      </c>
      <c r="C1656" s="8">
        <v>-12176.9638</v>
      </c>
      <c r="D1656" s="2">
        <v>-12178.540069000001</v>
      </c>
      <c r="F1656" s="3">
        <v>0.99503299999999995</v>
      </c>
      <c r="G1656" s="2">
        <v>0.1799</v>
      </c>
      <c r="H1656">
        <v>5</v>
      </c>
      <c r="I1656">
        <v>8</v>
      </c>
      <c r="J1656" s="32"/>
      <c r="K1656" s="8">
        <f t="shared" si="175"/>
        <v>-1.0918076923080662</v>
      </c>
      <c r="L1656" s="8">
        <f t="shared" si="176"/>
        <v>-8.3985207100620476E-2</v>
      </c>
      <c r="M1656" s="8">
        <f t="shared" si="177"/>
        <v>-1.1416765384619794</v>
      </c>
      <c r="N1656" s="8">
        <f t="shared" si="178"/>
        <v>-8.7821272189383029E-2</v>
      </c>
      <c r="O1656" s="8"/>
      <c r="P1656" t="s">
        <v>1942</v>
      </c>
      <c r="Q1656">
        <v>34</v>
      </c>
      <c r="R1656" s="8">
        <v>2.8186</v>
      </c>
      <c r="S1656">
        <v>11</v>
      </c>
      <c r="T1656" s="8">
        <f t="shared" si="179"/>
        <v>0.3235294117647059</v>
      </c>
      <c r="U1656" s="8">
        <v>2.8268900000000001</v>
      </c>
      <c r="V1656">
        <v>19</v>
      </c>
      <c r="W1656" s="8">
        <f t="shared" si="180"/>
        <v>0.55882352941176472</v>
      </c>
      <c r="X1656" s="8">
        <v>2.7992400000000002</v>
      </c>
      <c r="Y1656">
        <v>4</v>
      </c>
      <c r="Z1656" s="8">
        <f t="shared" si="181"/>
        <v>0.11764705882352941</v>
      </c>
      <c r="AA1656" s="8">
        <v>2.8877999999999999</v>
      </c>
    </row>
    <row r="1657" spans="2:27" ht="15" customHeight="1" x14ac:dyDescent="0.25">
      <c r="B1657">
        <v>381</v>
      </c>
      <c r="C1657" s="8">
        <v>-12176.557199999999</v>
      </c>
      <c r="D1657" s="2">
        <v>-12178.150095000001</v>
      </c>
      <c r="F1657" s="3">
        <v>0.99360599999999999</v>
      </c>
      <c r="G1657" s="2">
        <v>0.17227000000000001</v>
      </c>
      <c r="H1657">
        <v>5</v>
      </c>
      <c r="I1657">
        <v>8</v>
      </c>
      <c r="J1657" s="32"/>
      <c r="K1657" s="8">
        <f t="shared" si="175"/>
        <v>-0.68520769230781298</v>
      </c>
      <c r="L1657" s="8">
        <f t="shared" si="176"/>
        <v>-5.2708284023677922E-2</v>
      </c>
      <c r="M1657" s="8">
        <f t="shared" si="177"/>
        <v>-0.75170253846226842</v>
      </c>
      <c r="N1657" s="8">
        <f t="shared" si="178"/>
        <v>-5.7823272189405264E-2</v>
      </c>
      <c r="O1657" s="8"/>
      <c r="P1657" t="s">
        <v>1943</v>
      </c>
      <c r="Q1657">
        <v>36</v>
      </c>
      <c r="R1657" s="8">
        <v>2.8350599999999999</v>
      </c>
      <c r="S1657">
        <v>13</v>
      </c>
      <c r="T1657" s="8">
        <f t="shared" si="179"/>
        <v>0.3611111111111111</v>
      </c>
      <c r="U1657" s="8">
        <v>2.8108599999999999</v>
      </c>
      <c r="V1657">
        <v>17</v>
      </c>
      <c r="W1657" s="8">
        <f t="shared" si="180"/>
        <v>0.47222222222222221</v>
      </c>
      <c r="X1657" s="8">
        <v>2.8458399999999999</v>
      </c>
      <c r="Y1657">
        <v>6</v>
      </c>
      <c r="Z1657" s="8">
        <f t="shared" si="181"/>
        <v>0.16666666666666666</v>
      </c>
      <c r="AA1657" s="8">
        <v>2.8569100000000001</v>
      </c>
    </row>
    <row r="1658" spans="2:27" ht="15" customHeight="1" x14ac:dyDescent="0.25">
      <c r="B1658">
        <v>382</v>
      </c>
      <c r="C1658" s="8">
        <v>-12176.6697</v>
      </c>
      <c r="D1658" s="2">
        <v>-12178.284137000001</v>
      </c>
      <c r="F1658" s="3">
        <v>0.99655899999999997</v>
      </c>
      <c r="G1658" s="2">
        <v>0.19089999999999999</v>
      </c>
      <c r="H1658">
        <v>5</v>
      </c>
      <c r="I1658">
        <v>8</v>
      </c>
      <c r="J1658" s="32"/>
      <c r="K1658" s="8">
        <f t="shared" si="175"/>
        <v>-0.79770769230890437</v>
      </c>
      <c r="L1658" s="8">
        <f t="shared" si="176"/>
        <v>-6.1362130177608026E-2</v>
      </c>
      <c r="M1658" s="8">
        <f t="shared" si="177"/>
        <v>-0.88574453846194956</v>
      </c>
      <c r="N1658" s="8">
        <f t="shared" si="178"/>
        <v>-6.8134195266303807E-2</v>
      </c>
      <c r="O1658" s="8"/>
      <c r="P1658" t="s">
        <v>1944</v>
      </c>
      <c r="Q1658">
        <v>36</v>
      </c>
      <c r="R1658" s="8">
        <v>2.8343099999999999</v>
      </c>
      <c r="S1658">
        <v>12</v>
      </c>
      <c r="T1658" s="8">
        <f t="shared" si="179"/>
        <v>0.33333333333333331</v>
      </c>
      <c r="U1658" s="8">
        <v>2.8244699999999998</v>
      </c>
      <c r="V1658">
        <v>19</v>
      </c>
      <c r="W1658" s="8">
        <f t="shared" si="180"/>
        <v>0.52777777777777779</v>
      </c>
      <c r="X1658" s="8">
        <v>2.8229799999999998</v>
      </c>
      <c r="Y1658">
        <v>5</v>
      </c>
      <c r="Z1658" s="8">
        <f t="shared" si="181"/>
        <v>0.1388888888888889</v>
      </c>
      <c r="AA1658" s="8">
        <v>2.9009800000000001</v>
      </c>
    </row>
    <row r="1659" spans="2:27" ht="15" customHeight="1" x14ac:dyDescent="0.25">
      <c r="B1659">
        <v>383</v>
      </c>
      <c r="C1659" s="8">
        <v>-12176.993200000001</v>
      </c>
      <c r="D1659" s="2">
        <v>-12178.571212999999</v>
      </c>
      <c r="F1659" s="3">
        <v>0.99710299999999996</v>
      </c>
      <c r="G1659" s="2">
        <v>0.196099999999999</v>
      </c>
      <c r="H1659">
        <v>5</v>
      </c>
      <c r="I1659">
        <v>8</v>
      </c>
      <c r="J1659" s="32"/>
      <c r="K1659" s="8">
        <f t="shared" si="175"/>
        <v>-1.1212076923093264</v>
      </c>
      <c r="L1659" s="8">
        <f t="shared" si="176"/>
        <v>-8.624674556225588E-2</v>
      </c>
      <c r="M1659" s="8">
        <f t="shared" si="177"/>
        <v>-1.1728205384606554</v>
      </c>
      <c r="N1659" s="8">
        <f t="shared" si="178"/>
        <v>-9.0216964496973487E-2</v>
      </c>
      <c r="O1659" s="8"/>
      <c r="P1659" t="s">
        <v>1945</v>
      </c>
      <c r="Q1659">
        <v>34</v>
      </c>
      <c r="R1659" s="8">
        <v>2.8199700000000001</v>
      </c>
      <c r="S1659">
        <v>11</v>
      </c>
      <c r="T1659" s="8">
        <f t="shared" si="179"/>
        <v>0.3235294117647059</v>
      </c>
      <c r="U1659" s="8">
        <v>2.7959399999999999</v>
      </c>
      <c r="V1659">
        <v>18</v>
      </c>
      <c r="W1659" s="8">
        <f t="shared" si="180"/>
        <v>0.52941176470588236</v>
      </c>
      <c r="X1659" s="8">
        <v>2.8266</v>
      </c>
      <c r="Y1659">
        <v>5</v>
      </c>
      <c r="Z1659" s="8">
        <f t="shared" si="181"/>
        <v>0.14705882352941177</v>
      </c>
      <c r="AA1659" s="8">
        <v>2.8489800000000001</v>
      </c>
    </row>
    <row r="1660" spans="2:27" ht="15" customHeight="1" x14ac:dyDescent="0.25">
      <c r="B1660">
        <v>384</v>
      </c>
      <c r="C1660" s="8">
        <v>-12176.760200000001</v>
      </c>
      <c r="D1660" s="2">
        <v>-12178.201241999999</v>
      </c>
      <c r="F1660" s="3">
        <v>0.99538800000000005</v>
      </c>
      <c r="G1660" s="2">
        <v>0.18210999999999999</v>
      </c>
      <c r="H1660">
        <v>5</v>
      </c>
      <c r="I1660">
        <v>8</v>
      </c>
      <c r="J1660" s="32"/>
      <c r="K1660" s="8">
        <f t="shared" si="175"/>
        <v>-0.88820769230915175</v>
      </c>
      <c r="L1660" s="8">
        <f t="shared" si="176"/>
        <v>-6.8323668639165516E-2</v>
      </c>
      <c r="M1660" s="8">
        <f t="shared" si="177"/>
        <v>-0.80284953846057761</v>
      </c>
      <c r="N1660" s="8">
        <f t="shared" si="178"/>
        <v>-6.1757656804659819E-2</v>
      </c>
      <c r="O1660" s="8"/>
      <c r="P1660" t="s">
        <v>1946</v>
      </c>
      <c r="Q1660">
        <v>36</v>
      </c>
      <c r="R1660" s="8">
        <v>2.8415400000000002</v>
      </c>
      <c r="S1660">
        <v>12</v>
      </c>
      <c r="T1660" s="8">
        <f t="shared" si="179"/>
        <v>0.33333333333333331</v>
      </c>
      <c r="U1660" s="8">
        <v>2.8117000000000001</v>
      </c>
      <c r="V1660">
        <v>16</v>
      </c>
      <c r="W1660" s="8">
        <f t="shared" si="180"/>
        <v>0.44444444444444442</v>
      </c>
      <c r="X1660" s="8">
        <v>2.8270499999999998</v>
      </c>
      <c r="Y1660">
        <v>8</v>
      </c>
      <c r="Z1660" s="8">
        <f t="shared" si="181"/>
        <v>0.22222222222222221</v>
      </c>
      <c r="AA1660" s="8">
        <v>2.9152900000000002</v>
      </c>
    </row>
    <row r="1661" spans="2:27" ht="15" customHeight="1" x14ac:dyDescent="0.25">
      <c r="B1661">
        <v>385</v>
      </c>
      <c r="C1661" s="8">
        <v>-12176.943799999999</v>
      </c>
      <c r="D1661" s="2">
        <v>-12179.066559000001</v>
      </c>
      <c r="F1661" s="3">
        <v>0.99717</v>
      </c>
      <c r="G1661" s="2">
        <v>0.19658</v>
      </c>
      <c r="H1661">
        <v>5</v>
      </c>
      <c r="I1661">
        <v>8</v>
      </c>
      <c r="J1661" s="32"/>
      <c r="K1661" s="8">
        <f t="shared" si="175"/>
        <v>-1.0718076923076296</v>
      </c>
      <c r="L1661" s="8">
        <f t="shared" si="176"/>
        <v>-8.2446745562125362E-2</v>
      </c>
      <c r="M1661" s="8">
        <f t="shared" si="177"/>
        <v>-1.6681665384621738</v>
      </c>
      <c r="N1661" s="8">
        <f t="shared" si="178"/>
        <v>-0.12832050295862876</v>
      </c>
      <c r="O1661" s="8"/>
      <c r="P1661" t="s">
        <v>1947</v>
      </c>
      <c r="Q1661">
        <v>34</v>
      </c>
      <c r="R1661" s="8">
        <v>2.8233899999999998</v>
      </c>
      <c r="S1661">
        <v>11</v>
      </c>
      <c r="T1661" s="8">
        <f t="shared" si="179"/>
        <v>0.3235294117647059</v>
      </c>
      <c r="U1661" s="8">
        <v>2.80999</v>
      </c>
      <c r="V1661">
        <v>19</v>
      </c>
      <c r="W1661" s="8">
        <f t="shared" si="180"/>
        <v>0.55882352941176472</v>
      </c>
      <c r="X1661" s="8">
        <v>2.8063799999999999</v>
      </c>
      <c r="Y1661">
        <v>4</v>
      </c>
      <c r="Z1661" s="8">
        <f t="shared" si="181"/>
        <v>0.11764705882352941</v>
      </c>
      <c r="AA1661" s="8">
        <v>2.9410500000000002</v>
      </c>
    </row>
    <row r="1662" spans="2:27" ht="15" customHeight="1" x14ac:dyDescent="0.25">
      <c r="B1662">
        <v>386</v>
      </c>
      <c r="C1662" s="8">
        <v>-12176.5357</v>
      </c>
      <c r="D1662" s="2">
        <v>-12178.160646</v>
      </c>
      <c r="F1662" s="3">
        <v>0.99509700000000001</v>
      </c>
      <c r="G1662" s="2">
        <v>0.18026999999999899</v>
      </c>
      <c r="H1662">
        <v>5</v>
      </c>
      <c r="I1662">
        <v>8</v>
      </c>
      <c r="J1662" s="32"/>
      <c r="K1662" s="8">
        <f t="shared" si="175"/>
        <v>-0.66370769230888982</v>
      </c>
      <c r="L1662" s="8">
        <f t="shared" si="176"/>
        <v>-5.10544378699146E-2</v>
      </c>
      <c r="M1662" s="8">
        <f t="shared" si="177"/>
        <v>-0.76225353846166399</v>
      </c>
      <c r="N1662" s="8">
        <f t="shared" si="178"/>
        <v>-5.8634887573974157E-2</v>
      </c>
      <c r="O1662" s="8"/>
      <c r="P1662" t="s">
        <v>1948</v>
      </c>
      <c r="Q1662">
        <v>33</v>
      </c>
      <c r="R1662" s="8">
        <v>2.8056100000000002</v>
      </c>
      <c r="S1662">
        <v>14</v>
      </c>
      <c r="T1662" s="8">
        <f t="shared" si="179"/>
        <v>0.42424242424242425</v>
      </c>
      <c r="U1662" s="8">
        <v>2.8118500000000002</v>
      </c>
      <c r="V1662">
        <v>14</v>
      </c>
      <c r="W1662" s="8">
        <f t="shared" si="180"/>
        <v>0.42424242424242425</v>
      </c>
      <c r="X1662" s="8">
        <v>2.8016700000000001</v>
      </c>
      <c r="Y1662">
        <v>5</v>
      </c>
      <c r="Z1662" s="8">
        <f t="shared" si="181"/>
        <v>0.15151515151515152</v>
      </c>
      <c r="AA1662" s="8">
        <v>2.79914</v>
      </c>
    </row>
    <row r="1663" spans="2:27" ht="15" customHeight="1" x14ac:dyDescent="0.25">
      <c r="B1663">
        <v>387</v>
      </c>
      <c r="C1663" s="8">
        <v>-12176.9018</v>
      </c>
      <c r="D1663" s="2">
        <v>-12178.53925</v>
      </c>
      <c r="F1663" s="3">
        <v>0.99574099999999999</v>
      </c>
      <c r="G1663" s="2">
        <v>0.18447999999999901</v>
      </c>
      <c r="H1663">
        <v>5</v>
      </c>
      <c r="I1663">
        <v>8</v>
      </c>
      <c r="J1663" s="32"/>
      <c r="K1663" s="8">
        <f t="shared" si="175"/>
        <v>-1.029807692308168</v>
      </c>
      <c r="L1663" s="8">
        <f t="shared" si="176"/>
        <v>-7.9215976331397542E-2</v>
      </c>
      <c r="M1663" s="8">
        <f t="shared" si="177"/>
        <v>-1.140857538461205</v>
      </c>
      <c r="N1663" s="8">
        <f t="shared" si="178"/>
        <v>-8.7758272189323458E-2</v>
      </c>
      <c r="O1663" s="8"/>
      <c r="P1663" t="s">
        <v>1949</v>
      </c>
      <c r="Q1663">
        <v>36</v>
      </c>
      <c r="R1663" s="8">
        <v>2.8399000000000001</v>
      </c>
      <c r="S1663">
        <v>11</v>
      </c>
      <c r="T1663" s="8">
        <f t="shared" si="179"/>
        <v>0.30555555555555558</v>
      </c>
      <c r="U1663" s="8">
        <v>2.8184900000000002</v>
      </c>
      <c r="V1663">
        <v>20</v>
      </c>
      <c r="W1663" s="8">
        <f t="shared" si="180"/>
        <v>0.55555555555555558</v>
      </c>
      <c r="X1663" s="8">
        <v>2.8267899999999999</v>
      </c>
      <c r="Y1663">
        <v>5</v>
      </c>
      <c r="Z1663" s="8">
        <f t="shared" si="181"/>
        <v>0.1388888888888889</v>
      </c>
      <c r="AA1663" s="8">
        <v>2.9394499999999999</v>
      </c>
    </row>
    <row r="1664" spans="2:27" ht="15" customHeight="1" x14ac:dyDescent="0.25">
      <c r="B1664">
        <v>388</v>
      </c>
      <c r="C1664" s="8">
        <v>-12177.106900000001</v>
      </c>
      <c r="D1664" s="2">
        <v>-12178.513687000001</v>
      </c>
      <c r="F1664" s="3">
        <v>0.99650000000000005</v>
      </c>
      <c r="G1664" s="2">
        <v>0.19039</v>
      </c>
      <c r="H1664">
        <v>5</v>
      </c>
      <c r="I1664">
        <v>8</v>
      </c>
      <c r="J1664" s="32"/>
      <c r="K1664" s="8">
        <f t="shared" si="175"/>
        <v>-1.2349076923092071</v>
      </c>
      <c r="L1664" s="8">
        <f t="shared" si="176"/>
        <v>-9.4992899408400541E-2</v>
      </c>
      <c r="M1664" s="8">
        <f t="shared" si="177"/>
        <v>-1.115294538461967</v>
      </c>
      <c r="N1664" s="8">
        <f t="shared" si="178"/>
        <v>-8.5791887573997458E-2</v>
      </c>
      <c r="O1664" s="8"/>
      <c r="P1664" t="s">
        <v>1950</v>
      </c>
      <c r="Q1664">
        <v>32</v>
      </c>
      <c r="R1664" s="8">
        <v>2.7983799999999999</v>
      </c>
      <c r="S1664">
        <v>10</v>
      </c>
      <c r="T1664" s="8">
        <f t="shared" si="179"/>
        <v>0.3125</v>
      </c>
      <c r="U1664" s="8">
        <v>2.8056100000000002</v>
      </c>
      <c r="V1664">
        <v>18</v>
      </c>
      <c r="W1664" s="8">
        <f t="shared" si="180"/>
        <v>0.5625</v>
      </c>
      <c r="X1664" s="8">
        <v>2.7760199999999999</v>
      </c>
      <c r="Y1664">
        <v>4</v>
      </c>
      <c r="Z1664" s="8">
        <f t="shared" si="181"/>
        <v>0.125</v>
      </c>
      <c r="AA1664" s="8">
        <v>2.8809</v>
      </c>
    </row>
    <row r="1665" spans="1:27" ht="15" customHeight="1" x14ac:dyDescent="0.25">
      <c r="B1665">
        <v>389</v>
      </c>
      <c r="C1665" s="8">
        <v>-12176.8192</v>
      </c>
      <c r="D1665" s="2">
        <v>-12178.287227999999</v>
      </c>
      <c r="F1665" s="3">
        <v>0.99476699999999996</v>
      </c>
      <c r="G1665" s="2">
        <v>0.17841000000000001</v>
      </c>
      <c r="H1665">
        <v>5</v>
      </c>
      <c r="I1665">
        <v>8</v>
      </c>
      <c r="J1665" s="32"/>
      <c r="K1665" s="8">
        <f t="shared" si="175"/>
        <v>-0.94720769230843871</v>
      </c>
      <c r="L1665" s="8">
        <f t="shared" si="176"/>
        <v>-7.2862130177572204E-2</v>
      </c>
      <c r="M1665" s="8">
        <f t="shared" si="177"/>
        <v>-0.88883553846062568</v>
      </c>
      <c r="N1665" s="8">
        <f t="shared" si="178"/>
        <v>-6.8371964496971208E-2</v>
      </c>
      <c r="O1665" s="8"/>
      <c r="P1665" t="s">
        <v>1951</v>
      </c>
      <c r="Q1665">
        <v>35</v>
      </c>
      <c r="R1665" s="8">
        <v>2.82152</v>
      </c>
      <c r="S1665">
        <v>14</v>
      </c>
      <c r="T1665" s="8">
        <f t="shared" si="179"/>
        <v>0.4</v>
      </c>
      <c r="U1665" s="8">
        <v>2.8307000000000002</v>
      </c>
      <c r="V1665">
        <v>17</v>
      </c>
      <c r="W1665" s="8">
        <f t="shared" si="180"/>
        <v>0.48571428571428571</v>
      </c>
      <c r="X1665" s="8">
        <v>2.8170999999999999</v>
      </c>
      <c r="Y1665">
        <v>4</v>
      </c>
      <c r="Z1665" s="8">
        <f t="shared" si="181"/>
        <v>0.11428571428571428</v>
      </c>
      <c r="AA1665" s="8">
        <v>2.8082199999999999</v>
      </c>
    </row>
    <row r="1666" spans="1:27" ht="15" customHeight="1" x14ac:dyDescent="0.25">
      <c r="B1666">
        <v>390</v>
      </c>
      <c r="C1666" s="8">
        <v>-12176.9692</v>
      </c>
      <c r="D1666" s="2">
        <v>-12178.569799000001</v>
      </c>
      <c r="F1666" s="3">
        <v>0.99576200000000004</v>
      </c>
      <c r="G1666" s="2">
        <v>0.184639999999999</v>
      </c>
      <c r="H1666">
        <v>5</v>
      </c>
      <c r="I1666">
        <v>8</v>
      </c>
      <c r="J1666" s="32"/>
      <c r="K1666" s="8">
        <f t="shared" si="175"/>
        <v>-1.0972076923080749</v>
      </c>
      <c r="L1666" s="8">
        <f t="shared" si="176"/>
        <v>-8.4400591716005766E-2</v>
      </c>
      <c r="M1666" s="8">
        <f t="shared" si="177"/>
        <v>-1.171406538462179</v>
      </c>
      <c r="N1666" s="8">
        <f t="shared" si="178"/>
        <v>-9.0108195266321467E-2</v>
      </c>
      <c r="O1666" s="8"/>
      <c r="P1666" t="s">
        <v>1952</v>
      </c>
      <c r="Q1666">
        <v>34</v>
      </c>
      <c r="R1666" s="8">
        <v>2.8157399999999999</v>
      </c>
      <c r="S1666">
        <v>12</v>
      </c>
      <c r="T1666" s="8">
        <f t="shared" si="179"/>
        <v>0.35294117647058826</v>
      </c>
      <c r="U1666" s="8">
        <v>2.8103400000000001</v>
      </c>
      <c r="V1666">
        <v>18</v>
      </c>
      <c r="W1666" s="8">
        <f t="shared" si="180"/>
        <v>0.52941176470588236</v>
      </c>
      <c r="X1666" s="8">
        <v>2.80816</v>
      </c>
      <c r="Y1666">
        <v>4</v>
      </c>
      <c r="Z1666" s="8">
        <f t="shared" si="181"/>
        <v>0.11764705882352941</v>
      </c>
      <c r="AA1666" s="8">
        <v>2.8660800000000002</v>
      </c>
    </row>
    <row r="1667" spans="1:27" ht="15" customHeight="1" x14ac:dyDescent="0.25">
      <c r="B1667">
        <v>391</v>
      </c>
      <c r="C1667" s="8">
        <v>-12176.646500000001</v>
      </c>
      <c r="D1667" s="2">
        <v>-12178.150666</v>
      </c>
      <c r="F1667" s="3">
        <v>0.99348199999999998</v>
      </c>
      <c r="G1667" s="2">
        <v>0.17165</v>
      </c>
      <c r="H1667">
        <v>5</v>
      </c>
      <c r="I1667">
        <v>8</v>
      </c>
      <c r="J1667" s="32"/>
      <c r="K1667" s="8">
        <f t="shared" ref="K1667:K1730" si="182">IF(ISNUMBER(C1667),C1667-(($C$3-$C$2236)/($H$3-$H$2236)*H1667+$C$2236),"")</f>
        <v>-0.77450769230927108</v>
      </c>
      <c r="L1667" s="8">
        <f t="shared" ref="L1667:L1730" si="183">IF(ISNUMBER(C1667),K1667/(H1667+I1667),"")</f>
        <v>-5.9577514793020855E-2</v>
      </c>
      <c r="M1667" s="8">
        <f t="shared" ref="M1667:M1730" si="184">IF(ISNUMBER(D1667),D1667-(($D$3-$D$2236)/($H$3-$H$2236)*H1667+$D$2236),"")</f>
        <v>-0.75227353846094047</v>
      </c>
      <c r="N1667" s="8">
        <f t="shared" ref="N1667:N1730" si="185">IF(ISNUMBER(D1667),M1667/(H1667+I1667),"")</f>
        <v>-5.786719526622619E-2</v>
      </c>
      <c r="O1667" s="8"/>
      <c r="P1667" t="s">
        <v>1953</v>
      </c>
      <c r="Q1667">
        <v>34</v>
      </c>
      <c r="R1667" s="8">
        <v>2.8097500000000002</v>
      </c>
      <c r="S1667">
        <v>14</v>
      </c>
      <c r="T1667" s="8">
        <f t="shared" ref="T1667:T1730" si="186">IF(ISNUMBER(S1667),S1667/(Q1667),"")</f>
        <v>0.41176470588235292</v>
      </c>
      <c r="U1667" s="8">
        <v>2.8043399999999998</v>
      </c>
      <c r="V1667">
        <v>16</v>
      </c>
      <c r="W1667" s="8">
        <f t="shared" ref="W1667:W1730" si="187">IF(ISNUMBER(V1667),V1667/($Q1667),"")</f>
        <v>0.47058823529411764</v>
      </c>
      <c r="X1667" s="8">
        <v>2.8149899999999999</v>
      </c>
      <c r="Y1667">
        <v>4</v>
      </c>
      <c r="Z1667" s="8">
        <f t="shared" ref="Z1667:Z1730" si="188">IF(ISNUMBER(Y1667),Y1667/($Q1667),"")</f>
        <v>0.11764705882352941</v>
      </c>
      <c r="AA1667" s="8">
        <v>2.80775</v>
      </c>
    </row>
    <row r="1668" spans="1:27" ht="15" customHeight="1" x14ac:dyDescent="0.25">
      <c r="B1668">
        <v>392</v>
      </c>
      <c r="C1668" s="8">
        <v>-12176.9449</v>
      </c>
      <c r="D1668" s="2">
        <v>-12178.413543999999</v>
      </c>
      <c r="F1668" s="3">
        <v>0.99592000000000003</v>
      </c>
      <c r="G1668" s="2">
        <v>0.18583999999999901</v>
      </c>
      <c r="H1668">
        <v>5</v>
      </c>
      <c r="I1668">
        <v>8</v>
      </c>
      <c r="J1668" s="32"/>
      <c r="K1668" s="8">
        <f t="shared" si="182"/>
        <v>-1.0729076923089451</v>
      </c>
      <c r="L1668" s="8">
        <f t="shared" si="183"/>
        <v>-8.2531360946841936E-2</v>
      </c>
      <c r="M1668" s="8">
        <f t="shared" si="184"/>
        <v>-1.0151515384604863</v>
      </c>
      <c r="N1668" s="8">
        <f t="shared" si="185"/>
        <v>-7.8088579881575873E-2</v>
      </c>
      <c r="O1668" s="8"/>
      <c r="P1668" t="s">
        <v>1954</v>
      </c>
      <c r="Q1668">
        <v>36</v>
      </c>
      <c r="R1668" s="8">
        <v>2.8399800000000002</v>
      </c>
      <c r="S1668">
        <v>11</v>
      </c>
      <c r="T1668" s="8">
        <f t="shared" si="186"/>
        <v>0.30555555555555558</v>
      </c>
      <c r="U1668" s="8">
        <v>2.8069799999999998</v>
      </c>
      <c r="V1668">
        <v>18</v>
      </c>
      <c r="W1668" s="8">
        <f t="shared" si="187"/>
        <v>0.5</v>
      </c>
      <c r="X1668" s="8">
        <v>2.8336700000000001</v>
      </c>
      <c r="Y1668">
        <v>7</v>
      </c>
      <c r="Z1668" s="8">
        <f t="shared" si="188"/>
        <v>0.19444444444444445</v>
      </c>
      <c r="AA1668" s="8">
        <v>2.9080599999999999</v>
      </c>
    </row>
    <row r="1669" spans="1:27" ht="15" customHeight="1" x14ac:dyDescent="0.25">
      <c r="B1669">
        <v>393</v>
      </c>
      <c r="C1669" s="8">
        <v>-12177.093999999999</v>
      </c>
      <c r="D1669" s="2">
        <v>-12178.983023000001</v>
      </c>
      <c r="F1669" s="3">
        <v>0.99721599999999999</v>
      </c>
      <c r="G1669" s="2">
        <v>0.19725999999999999</v>
      </c>
      <c r="H1669">
        <v>5</v>
      </c>
      <c r="I1669">
        <v>8</v>
      </c>
      <c r="J1669" s="32"/>
      <c r="K1669" s="8">
        <f t="shared" si="182"/>
        <v>-1.2220076923076704</v>
      </c>
      <c r="L1669" s="8">
        <f t="shared" si="183"/>
        <v>-9.4000591715974649E-2</v>
      </c>
      <c r="M1669" s="8">
        <f t="shared" si="184"/>
        <v>-1.5846305384620791</v>
      </c>
      <c r="N1669" s="8">
        <f t="shared" si="185"/>
        <v>-0.12189465680477532</v>
      </c>
      <c r="O1669" s="8"/>
      <c r="P1669" t="s">
        <v>1955</v>
      </c>
      <c r="Q1669">
        <v>33</v>
      </c>
      <c r="R1669" s="8">
        <v>2.80985</v>
      </c>
      <c r="S1669">
        <v>10</v>
      </c>
      <c r="T1669" s="8">
        <f t="shared" si="186"/>
        <v>0.30303030303030304</v>
      </c>
      <c r="U1669" s="8">
        <v>2.8030499999999998</v>
      </c>
      <c r="V1669">
        <v>19</v>
      </c>
      <c r="W1669" s="8">
        <f t="shared" si="187"/>
        <v>0.5757575757575758</v>
      </c>
      <c r="X1669" s="8">
        <v>2.8073700000000001</v>
      </c>
      <c r="Y1669">
        <v>4</v>
      </c>
      <c r="Z1669" s="8">
        <f t="shared" si="188"/>
        <v>0.12121212121212122</v>
      </c>
      <c r="AA1669" s="8">
        <v>2.8386300000000002</v>
      </c>
    </row>
    <row r="1670" spans="1:27" ht="15" customHeight="1" x14ac:dyDescent="0.25">
      <c r="B1670">
        <v>394</v>
      </c>
      <c r="C1670" s="8">
        <v>-12177.116099999999</v>
      </c>
      <c r="D1670" s="2">
        <v>-12178.722798000001</v>
      </c>
      <c r="F1670" s="3">
        <v>0.99591799999999997</v>
      </c>
      <c r="G1670" s="2">
        <v>0.18586</v>
      </c>
      <c r="H1670">
        <v>5</v>
      </c>
      <c r="I1670">
        <v>8</v>
      </c>
      <c r="J1670" s="32"/>
      <c r="K1670" s="8">
        <f t="shared" si="182"/>
        <v>-1.2441076923078072</v>
      </c>
      <c r="L1670" s="8">
        <f t="shared" si="183"/>
        <v>-9.5700591715985162E-2</v>
      </c>
      <c r="M1670" s="8">
        <f t="shared" si="184"/>
        <v>-1.3244055384620879</v>
      </c>
      <c r="N1670" s="8">
        <f t="shared" si="185"/>
        <v>-0.10187734911246829</v>
      </c>
      <c r="O1670" s="8"/>
      <c r="P1670" t="s">
        <v>1956</v>
      </c>
      <c r="Q1670">
        <v>34</v>
      </c>
      <c r="R1670" s="8">
        <v>2.8183500000000001</v>
      </c>
      <c r="S1670">
        <v>10</v>
      </c>
      <c r="T1670" s="8">
        <f t="shared" si="186"/>
        <v>0.29411764705882354</v>
      </c>
      <c r="U1670" s="8">
        <v>2.8121100000000001</v>
      </c>
      <c r="V1670">
        <v>21</v>
      </c>
      <c r="W1670" s="8">
        <f t="shared" si="187"/>
        <v>0.61764705882352944</v>
      </c>
      <c r="X1670" s="8">
        <v>2.8063400000000001</v>
      </c>
      <c r="Y1670">
        <v>3</v>
      </c>
      <c r="Z1670" s="8">
        <f t="shared" si="188"/>
        <v>8.8235294117647065E-2</v>
      </c>
      <c r="AA1670" s="8">
        <v>2.9232</v>
      </c>
    </row>
    <row r="1671" spans="1:27" ht="15" customHeight="1" x14ac:dyDescent="0.25">
      <c r="B1671">
        <v>395</v>
      </c>
      <c r="C1671" s="8">
        <v>-12176.779</v>
      </c>
      <c r="D1671" s="2">
        <v>-12178.416859999999</v>
      </c>
      <c r="F1671" s="3">
        <v>0.99495</v>
      </c>
      <c r="G1671" s="2">
        <v>0.17934999999999901</v>
      </c>
      <c r="H1671">
        <v>5</v>
      </c>
      <c r="I1671">
        <v>8</v>
      </c>
      <c r="J1671" s="32"/>
      <c r="K1671" s="8">
        <f t="shared" si="182"/>
        <v>-0.90700769230898004</v>
      </c>
      <c r="L1671" s="8">
        <f t="shared" si="183"/>
        <v>-6.9769822485306152E-2</v>
      </c>
      <c r="M1671" s="8">
        <f t="shared" si="184"/>
        <v>-1.0184675384607544</v>
      </c>
      <c r="N1671" s="8">
        <f t="shared" si="185"/>
        <v>-7.8343656804673423E-2</v>
      </c>
      <c r="O1671" s="8"/>
      <c r="P1671" t="s">
        <v>1957</v>
      </c>
      <c r="Q1671">
        <v>35</v>
      </c>
      <c r="R1671" s="8">
        <v>2.8323200000000002</v>
      </c>
      <c r="S1671">
        <v>12</v>
      </c>
      <c r="T1671" s="8">
        <f t="shared" si="186"/>
        <v>0.34285714285714286</v>
      </c>
      <c r="U1671" s="8">
        <v>2.8101500000000001</v>
      </c>
      <c r="V1671">
        <v>17</v>
      </c>
      <c r="W1671" s="8">
        <f t="shared" si="187"/>
        <v>0.48571428571428571</v>
      </c>
      <c r="X1671" s="8">
        <v>2.8233100000000002</v>
      </c>
      <c r="Y1671">
        <v>6</v>
      </c>
      <c r="Z1671" s="8">
        <f t="shared" si="188"/>
        <v>0.17142857142857143</v>
      </c>
      <c r="AA1671" s="8">
        <v>2.9022000000000001</v>
      </c>
    </row>
    <row r="1672" spans="1:27" ht="15" customHeight="1" x14ac:dyDescent="0.25">
      <c r="B1672">
        <v>396</v>
      </c>
      <c r="C1672" s="8">
        <v>-12176.9017</v>
      </c>
      <c r="D1672" s="2">
        <v>-12178.532827000001</v>
      </c>
      <c r="F1672" s="3">
        <v>0.991649</v>
      </c>
      <c r="G1672" s="2">
        <v>0.16421999999999901</v>
      </c>
      <c r="H1672">
        <v>5</v>
      </c>
      <c r="I1672">
        <v>8</v>
      </c>
      <c r="J1672" s="32"/>
      <c r="K1672" s="8">
        <f t="shared" si="182"/>
        <v>-1.0297076923088753</v>
      </c>
      <c r="L1672" s="8">
        <f t="shared" si="183"/>
        <v>-7.9208284023759637E-2</v>
      </c>
      <c r="M1672" s="8">
        <f t="shared" si="184"/>
        <v>-1.1344345384623011</v>
      </c>
      <c r="N1672" s="8">
        <f t="shared" si="185"/>
        <v>-8.7264195266330863E-2</v>
      </c>
      <c r="O1672" s="8"/>
      <c r="P1672" t="s">
        <v>1958</v>
      </c>
      <c r="Q1672">
        <v>35</v>
      </c>
      <c r="R1672" s="8">
        <v>2.8301400000000001</v>
      </c>
      <c r="S1672">
        <v>11</v>
      </c>
      <c r="T1672" s="8">
        <f t="shared" si="186"/>
        <v>0.31428571428571428</v>
      </c>
      <c r="U1672" s="8">
        <v>2.80992</v>
      </c>
      <c r="V1672">
        <v>19</v>
      </c>
      <c r="W1672" s="8">
        <f t="shared" si="187"/>
        <v>0.54285714285714282</v>
      </c>
      <c r="X1672" s="8">
        <v>2.81969</v>
      </c>
      <c r="Y1672">
        <v>5</v>
      </c>
      <c r="Z1672" s="8">
        <f t="shared" si="188"/>
        <v>0.14285714285714285</v>
      </c>
      <c r="AA1672" s="8">
        <v>2.91432</v>
      </c>
    </row>
    <row r="1673" spans="1:27" ht="15" customHeight="1" x14ac:dyDescent="0.25">
      <c r="B1673" s="7">
        <v>397</v>
      </c>
      <c r="C1673" s="5">
        <v>-12177.2755</v>
      </c>
      <c r="D1673" s="23">
        <v>-12178.669586</v>
      </c>
      <c r="E1673" s="7"/>
      <c r="F1673" s="34">
        <v>0.99648599999999998</v>
      </c>
      <c r="G1673" s="23">
        <v>0.18933</v>
      </c>
      <c r="H1673" s="7">
        <v>5</v>
      </c>
      <c r="I1673" s="7">
        <v>8</v>
      </c>
      <c r="J1673" s="32"/>
      <c r="K1673" s="8">
        <f t="shared" si="182"/>
        <v>-1.403507692308267</v>
      </c>
      <c r="L1673" s="8">
        <f t="shared" si="183"/>
        <v>-0.107962130177559</v>
      </c>
      <c r="M1673" s="8">
        <f t="shared" si="184"/>
        <v>-1.2711935384613753</v>
      </c>
      <c r="N1673" s="8">
        <f t="shared" si="185"/>
        <v>-9.7784118343182708E-2</v>
      </c>
      <c r="O1673" s="8"/>
      <c r="P1673" t="s">
        <v>1959</v>
      </c>
      <c r="Q1673">
        <v>32</v>
      </c>
      <c r="R1673" s="8">
        <v>2.7987899999999999</v>
      </c>
      <c r="S1673">
        <v>9</v>
      </c>
      <c r="T1673" s="8">
        <f t="shared" si="186"/>
        <v>0.28125</v>
      </c>
      <c r="U1673" s="8">
        <v>2.8109000000000002</v>
      </c>
      <c r="V1673">
        <v>20</v>
      </c>
      <c r="W1673" s="8">
        <f t="shared" si="187"/>
        <v>0.625</v>
      </c>
      <c r="X1673" s="8">
        <v>2.7910499999999998</v>
      </c>
      <c r="Y1673">
        <v>3</v>
      </c>
      <c r="Z1673" s="8">
        <f t="shared" si="188"/>
        <v>9.375E-2</v>
      </c>
      <c r="AA1673" s="8">
        <v>2.8140800000000001</v>
      </c>
    </row>
    <row r="1674" spans="1:27" ht="15" customHeight="1" x14ac:dyDescent="0.25">
      <c r="B1674">
        <v>398</v>
      </c>
      <c r="C1674" s="8">
        <v>-12176.983099999999</v>
      </c>
      <c r="D1674" s="2">
        <v>-12178.5905</v>
      </c>
      <c r="F1674" s="3">
        <v>0.99617299999999998</v>
      </c>
      <c r="G1674" s="2">
        <v>0.187689999999999</v>
      </c>
      <c r="H1674">
        <v>5</v>
      </c>
      <c r="I1674">
        <v>8</v>
      </c>
      <c r="J1674" s="32"/>
      <c r="K1674" s="8">
        <f t="shared" si="182"/>
        <v>-1.1111076923079963</v>
      </c>
      <c r="L1674" s="8">
        <f t="shared" si="183"/>
        <v>-8.5469822485230482E-2</v>
      </c>
      <c r="M1674" s="8">
        <f t="shared" si="184"/>
        <v>-1.1921075384616415</v>
      </c>
      <c r="N1674" s="8">
        <f t="shared" si="185"/>
        <v>-9.1700579881664732E-2</v>
      </c>
      <c r="O1674" s="8"/>
      <c r="P1674" t="s">
        <v>1960</v>
      </c>
      <c r="Q1674">
        <v>34</v>
      </c>
      <c r="R1674" s="8">
        <v>2.8128600000000001</v>
      </c>
      <c r="S1674">
        <v>11</v>
      </c>
      <c r="T1674" s="8">
        <f t="shared" si="186"/>
        <v>0.3235294117647059</v>
      </c>
      <c r="U1674" s="8">
        <v>2.7970700000000002</v>
      </c>
      <c r="V1674">
        <v>19</v>
      </c>
      <c r="W1674" s="8">
        <f t="shared" si="187"/>
        <v>0.55882352941176472</v>
      </c>
      <c r="X1674" s="8">
        <v>2.81101</v>
      </c>
      <c r="Y1674">
        <v>4</v>
      </c>
      <c r="Z1674" s="8">
        <f t="shared" si="188"/>
        <v>0.11764705882352941</v>
      </c>
      <c r="AA1674" s="8">
        <v>2.86504</v>
      </c>
    </row>
    <row r="1675" spans="1:27" ht="15" customHeight="1" x14ac:dyDescent="0.25">
      <c r="B1675">
        <v>399</v>
      </c>
      <c r="C1675" s="8">
        <v>-12177.078</v>
      </c>
      <c r="D1675" s="2">
        <v>-12178.689584</v>
      </c>
      <c r="F1675" s="3">
        <v>0.997166</v>
      </c>
      <c r="G1675" s="2">
        <v>0.19675000000000001</v>
      </c>
      <c r="H1675">
        <v>5</v>
      </c>
      <c r="I1675">
        <v>8</v>
      </c>
      <c r="J1675" s="32"/>
      <c r="K1675" s="8">
        <f t="shared" si="182"/>
        <v>-1.2060076923080487</v>
      </c>
      <c r="L1675" s="8">
        <f t="shared" si="183"/>
        <v>-9.2769822485234521E-2</v>
      </c>
      <c r="M1675" s="8">
        <f t="shared" si="184"/>
        <v>-1.2911915384611348</v>
      </c>
      <c r="N1675" s="8">
        <f t="shared" si="185"/>
        <v>-9.9322426035471909E-2</v>
      </c>
      <c r="O1675" s="8"/>
      <c r="P1675" t="s">
        <v>1961</v>
      </c>
      <c r="Q1675">
        <v>35</v>
      </c>
      <c r="R1675" s="8">
        <v>2.8293200000000001</v>
      </c>
      <c r="S1675">
        <v>11</v>
      </c>
      <c r="T1675" s="8">
        <f t="shared" si="186"/>
        <v>0.31428571428571428</v>
      </c>
      <c r="U1675" s="8">
        <v>2.8398099999999999</v>
      </c>
      <c r="V1675">
        <v>21</v>
      </c>
      <c r="W1675" s="8">
        <f t="shared" si="187"/>
        <v>0.6</v>
      </c>
      <c r="X1675" s="8">
        <v>2.8110200000000001</v>
      </c>
      <c r="Y1675">
        <v>3</v>
      </c>
      <c r="Z1675" s="8">
        <f t="shared" si="188"/>
        <v>8.5714285714285715E-2</v>
      </c>
      <c r="AA1675" s="8">
        <v>2.9190100000000001</v>
      </c>
    </row>
    <row r="1676" spans="1:27" ht="15" customHeight="1" x14ac:dyDescent="0.25">
      <c r="B1676">
        <v>400</v>
      </c>
      <c r="C1676" s="8">
        <v>-12176.7696</v>
      </c>
      <c r="D1676" s="2">
        <v>-12178.294937000001</v>
      </c>
      <c r="F1676" s="3">
        <v>0.99195</v>
      </c>
      <c r="G1676" s="2">
        <v>0.16533</v>
      </c>
      <c r="H1676">
        <v>5</v>
      </c>
      <c r="I1676">
        <v>8</v>
      </c>
      <c r="J1676" s="32"/>
      <c r="K1676" s="8">
        <f t="shared" si="182"/>
        <v>-0.8976076923081564</v>
      </c>
      <c r="L1676" s="8">
        <f t="shared" si="183"/>
        <v>-6.9046745562165876E-2</v>
      </c>
      <c r="M1676" s="8">
        <f t="shared" si="184"/>
        <v>-0.89654453846196702</v>
      </c>
      <c r="N1676" s="8">
        <f t="shared" si="185"/>
        <v>-6.8964964497074385E-2</v>
      </c>
      <c r="O1676" s="8"/>
      <c r="P1676" t="s">
        <v>1962</v>
      </c>
      <c r="Q1676">
        <v>36</v>
      </c>
      <c r="R1676" s="8">
        <v>2.84022</v>
      </c>
      <c r="S1676">
        <v>12</v>
      </c>
      <c r="T1676" s="8">
        <f t="shared" si="186"/>
        <v>0.33333333333333331</v>
      </c>
      <c r="U1676" s="8">
        <v>2.8165</v>
      </c>
      <c r="V1676">
        <v>20</v>
      </c>
      <c r="W1676" s="8">
        <f t="shared" si="187"/>
        <v>0.55555555555555558</v>
      </c>
      <c r="X1676" s="8">
        <v>2.8366099999999999</v>
      </c>
      <c r="Y1676">
        <v>4</v>
      </c>
      <c r="Z1676" s="8">
        <f t="shared" si="188"/>
        <v>0.1111111111111111</v>
      </c>
      <c r="AA1676" s="8">
        <v>2.9293800000000001</v>
      </c>
    </row>
    <row r="1677" spans="1:27" ht="15" customHeight="1" x14ac:dyDescent="0.25">
      <c r="A1677" s="8"/>
      <c r="B1677">
        <v>401</v>
      </c>
      <c r="C1677" s="8">
        <v>-12177.0807</v>
      </c>
      <c r="D1677" s="2">
        <v>-12178.692333999999</v>
      </c>
      <c r="F1677" s="3">
        <v>0.99681699999999995</v>
      </c>
      <c r="G1677" s="2">
        <v>0.19325000000000001</v>
      </c>
      <c r="H1677">
        <v>5</v>
      </c>
      <c r="I1677">
        <v>8</v>
      </c>
      <c r="J1677" s="32"/>
      <c r="K1677" s="8">
        <f t="shared" si="182"/>
        <v>-1.2087076923089626</v>
      </c>
      <c r="L1677" s="8">
        <f t="shared" si="183"/>
        <v>-9.2977514792997124E-2</v>
      </c>
      <c r="M1677" s="8">
        <f t="shared" si="184"/>
        <v>-1.2939415384607855</v>
      </c>
      <c r="N1677" s="8">
        <f t="shared" si="185"/>
        <v>-9.9533964496983499E-2</v>
      </c>
      <c r="O1677" s="8"/>
      <c r="P1677" t="s">
        <v>1963</v>
      </c>
      <c r="Q1677">
        <v>34</v>
      </c>
      <c r="R1677" s="8">
        <v>2.8170700000000002</v>
      </c>
      <c r="S1677">
        <v>10</v>
      </c>
      <c r="T1677" s="8">
        <f t="shared" si="186"/>
        <v>0.29411764705882354</v>
      </c>
      <c r="U1677" s="8">
        <v>2.8070200000000001</v>
      </c>
      <c r="V1677">
        <v>20</v>
      </c>
      <c r="W1677" s="8">
        <f t="shared" si="187"/>
        <v>0.58823529411764708</v>
      </c>
      <c r="X1677" s="8">
        <v>2.8121299999999998</v>
      </c>
      <c r="Y1677">
        <v>4</v>
      </c>
      <c r="Z1677" s="8">
        <f t="shared" si="188"/>
        <v>0.11764705882352941</v>
      </c>
      <c r="AA1677" s="8">
        <v>2.8668999999999998</v>
      </c>
    </row>
    <row r="1678" spans="1:27" ht="15" customHeight="1" x14ac:dyDescent="0.25">
      <c r="B1678">
        <v>402</v>
      </c>
      <c r="C1678" s="8">
        <v>-12177.0165</v>
      </c>
      <c r="D1678" s="2">
        <v>-12178.835518</v>
      </c>
      <c r="F1678" s="3">
        <v>0.99390500000000004</v>
      </c>
      <c r="G1678" s="2">
        <v>0.17365999999999901</v>
      </c>
      <c r="H1678">
        <v>5</v>
      </c>
      <c r="I1678">
        <v>8</v>
      </c>
      <c r="J1678" s="32"/>
      <c r="K1678" s="8">
        <f t="shared" si="182"/>
        <v>-1.1445076923082524</v>
      </c>
      <c r="L1678" s="8">
        <f t="shared" si="183"/>
        <v>-8.8039053254480956E-2</v>
      </c>
      <c r="M1678" s="8">
        <f t="shared" si="184"/>
        <v>-1.4371255384612596</v>
      </c>
      <c r="N1678" s="8">
        <f t="shared" si="185"/>
        <v>-0.11054811834317381</v>
      </c>
      <c r="O1678" s="8"/>
      <c r="P1678" t="s">
        <v>1964</v>
      </c>
      <c r="Q1678">
        <v>34</v>
      </c>
      <c r="R1678" s="8">
        <v>2.81637</v>
      </c>
      <c r="S1678">
        <v>10</v>
      </c>
      <c r="T1678" s="8">
        <f t="shared" si="186"/>
        <v>0.29411764705882354</v>
      </c>
      <c r="U1678" s="8">
        <v>2.8028400000000002</v>
      </c>
      <c r="V1678">
        <v>19</v>
      </c>
      <c r="W1678" s="8">
        <f t="shared" si="187"/>
        <v>0.55882352941176472</v>
      </c>
      <c r="X1678" s="8">
        <v>2.8036599999999998</v>
      </c>
      <c r="Y1678">
        <v>5</v>
      </c>
      <c r="Z1678" s="8">
        <f t="shared" si="188"/>
        <v>0.14705882352941177</v>
      </c>
      <c r="AA1678" s="8">
        <v>2.8917700000000002</v>
      </c>
    </row>
    <row r="1679" spans="1:27" ht="15" customHeight="1" x14ac:dyDescent="0.25">
      <c r="B1679">
        <v>403</v>
      </c>
      <c r="C1679" s="8">
        <v>-12176.9897</v>
      </c>
      <c r="D1679" s="2">
        <v>-12178.662764999999</v>
      </c>
      <c r="F1679" s="3">
        <v>0.99519800000000003</v>
      </c>
      <c r="G1679" s="2">
        <v>0.180889999999999</v>
      </c>
      <c r="H1679">
        <v>5</v>
      </c>
      <c r="I1679">
        <v>8</v>
      </c>
      <c r="J1679" s="32"/>
      <c r="K1679" s="8">
        <f t="shared" si="182"/>
        <v>-1.1177076923086133</v>
      </c>
      <c r="L1679" s="8">
        <f t="shared" si="183"/>
        <v>-8.597751479297025E-2</v>
      </c>
      <c r="M1679" s="8">
        <f t="shared" si="184"/>
        <v>-1.2643725384605204</v>
      </c>
      <c r="N1679" s="8">
        <f t="shared" si="185"/>
        <v>-9.7259426035424645E-2</v>
      </c>
      <c r="O1679" s="8"/>
      <c r="P1679" t="s">
        <v>1965</v>
      </c>
      <c r="Q1679">
        <v>33</v>
      </c>
      <c r="R1679" s="8">
        <v>2.8144900000000002</v>
      </c>
      <c r="S1679">
        <v>11</v>
      </c>
      <c r="T1679" s="8">
        <f t="shared" si="186"/>
        <v>0.33333333333333331</v>
      </c>
      <c r="U1679" s="8">
        <v>2.8266399999999998</v>
      </c>
      <c r="V1679">
        <v>18</v>
      </c>
      <c r="W1679" s="8">
        <f t="shared" si="187"/>
        <v>0.54545454545454541</v>
      </c>
      <c r="X1679" s="8">
        <v>2.76932</v>
      </c>
      <c r="Y1679">
        <v>4</v>
      </c>
      <c r="Z1679" s="8">
        <f t="shared" si="188"/>
        <v>0.12121212121212122</v>
      </c>
      <c r="AA1679" s="8">
        <v>2.9843500000000001</v>
      </c>
    </row>
    <row r="1680" spans="1:27" ht="15" customHeight="1" x14ac:dyDescent="0.25">
      <c r="B1680">
        <v>404</v>
      </c>
      <c r="C1680" s="8">
        <v>-12176.811100000001</v>
      </c>
      <c r="D1680" s="2">
        <v>-12178.415695</v>
      </c>
      <c r="F1680" s="3">
        <v>0.99510900000000002</v>
      </c>
      <c r="G1680" s="2">
        <v>0.18031</v>
      </c>
      <c r="H1680">
        <v>5</v>
      </c>
      <c r="I1680">
        <v>8</v>
      </c>
      <c r="J1680" s="32"/>
      <c r="K1680" s="8">
        <f t="shared" si="182"/>
        <v>-0.93910769230933511</v>
      </c>
      <c r="L1680" s="8">
        <f t="shared" si="183"/>
        <v>-7.2239053254564242E-2</v>
      </c>
      <c r="M1680" s="8">
        <f t="shared" si="184"/>
        <v>-1.017302538461081</v>
      </c>
      <c r="N1680" s="8">
        <f t="shared" si="185"/>
        <v>-7.8254041420083159E-2</v>
      </c>
      <c r="O1680" s="8"/>
      <c r="P1680" t="s">
        <v>1966</v>
      </c>
      <c r="Q1680">
        <v>34</v>
      </c>
      <c r="R1680" s="8">
        <v>2.8145899999999999</v>
      </c>
      <c r="S1680">
        <v>13</v>
      </c>
      <c r="T1680" s="8">
        <f t="shared" si="186"/>
        <v>0.38235294117647056</v>
      </c>
      <c r="U1680" s="8">
        <v>2.8056999999999999</v>
      </c>
      <c r="V1680">
        <v>16</v>
      </c>
      <c r="W1680" s="8">
        <f t="shared" si="187"/>
        <v>0.47058823529411764</v>
      </c>
      <c r="X1680" s="8">
        <v>2.81785</v>
      </c>
      <c r="Y1680">
        <v>5</v>
      </c>
      <c r="Z1680" s="8">
        <f t="shared" si="188"/>
        <v>0.14705882352941177</v>
      </c>
      <c r="AA1680" s="8">
        <v>2.8272599999999999</v>
      </c>
    </row>
    <row r="1681" spans="2:27" ht="15" customHeight="1" x14ac:dyDescent="0.25">
      <c r="B1681">
        <v>405</v>
      </c>
      <c r="C1681" s="8">
        <v>-12176.9177</v>
      </c>
      <c r="D1681" s="2">
        <v>-12178.515475</v>
      </c>
      <c r="F1681" s="3">
        <v>0.99561500000000003</v>
      </c>
      <c r="G1681" s="2">
        <v>0.18365999999999999</v>
      </c>
      <c r="H1681">
        <v>5</v>
      </c>
      <c r="I1681">
        <v>8</v>
      </c>
      <c r="J1681" s="32"/>
      <c r="K1681" s="8">
        <f t="shared" si="182"/>
        <v>-1.0457076923084969</v>
      </c>
      <c r="L1681" s="8">
        <f t="shared" si="183"/>
        <v>-8.0439053254499765E-2</v>
      </c>
      <c r="M1681" s="8">
        <f t="shared" si="184"/>
        <v>-1.1170825384615455</v>
      </c>
      <c r="N1681" s="8">
        <f t="shared" si="185"/>
        <v>-8.5929426035503492E-2</v>
      </c>
      <c r="O1681" s="8"/>
      <c r="P1681" t="s">
        <v>1967</v>
      </c>
      <c r="Q1681">
        <v>33</v>
      </c>
      <c r="R1681" s="8">
        <v>2.8081</v>
      </c>
      <c r="S1681">
        <v>12</v>
      </c>
      <c r="T1681" s="8">
        <f t="shared" si="186"/>
        <v>0.36363636363636365</v>
      </c>
      <c r="U1681" s="8">
        <v>2.8261599999999998</v>
      </c>
      <c r="V1681">
        <v>18</v>
      </c>
      <c r="W1681" s="8">
        <f t="shared" si="187"/>
        <v>0.54545454545454541</v>
      </c>
      <c r="X1681" s="8">
        <v>2.7908400000000002</v>
      </c>
      <c r="Y1681">
        <v>3</v>
      </c>
      <c r="Z1681" s="8">
        <f t="shared" si="188"/>
        <v>9.0909090909090912E-2</v>
      </c>
      <c r="AA1681" s="8">
        <v>2.8394699999999999</v>
      </c>
    </row>
    <row r="1682" spans="2:27" ht="15" customHeight="1" x14ac:dyDescent="0.25">
      <c r="B1682">
        <v>406</v>
      </c>
      <c r="C1682" s="8">
        <v>-12177.0044</v>
      </c>
      <c r="D1682" s="2">
        <v>-12178.810006</v>
      </c>
      <c r="F1682" s="3">
        <v>0.99751299999999998</v>
      </c>
      <c r="G1682" s="2">
        <v>0.20069999999999899</v>
      </c>
      <c r="H1682">
        <v>5</v>
      </c>
      <c r="I1682">
        <v>8</v>
      </c>
      <c r="J1682" s="32"/>
      <c r="K1682" s="8">
        <f t="shared" si="182"/>
        <v>-1.1324076923083339</v>
      </c>
      <c r="L1682" s="8">
        <f t="shared" si="183"/>
        <v>-8.7108284023717994E-2</v>
      </c>
      <c r="M1682" s="8">
        <f t="shared" si="184"/>
        <v>-1.4116135384610971</v>
      </c>
      <c r="N1682" s="8">
        <f t="shared" si="185"/>
        <v>-0.10858565680469977</v>
      </c>
      <c r="O1682" s="8"/>
      <c r="P1682" t="s">
        <v>1968</v>
      </c>
      <c r="Q1682">
        <v>35</v>
      </c>
      <c r="R1682" s="8">
        <v>2.8359399999999999</v>
      </c>
      <c r="S1682">
        <v>9</v>
      </c>
      <c r="T1682" s="8">
        <f t="shared" si="186"/>
        <v>0.25714285714285712</v>
      </c>
      <c r="U1682" s="8">
        <v>2.8839100000000002</v>
      </c>
      <c r="V1682">
        <v>24</v>
      </c>
      <c r="W1682" s="8">
        <f t="shared" si="187"/>
        <v>0.68571428571428572</v>
      </c>
      <c r="X1682" s="8">
        <v>2.8131200000000001</v>
      </c>
      <c r="Y1682">
        <v>2</v>
      </c>
      <c r="Z1682" s="8">
        <f t="shared" si="188"/>
        <v>5.7142857142857141E-2</v>
      </c>
      <c r="AA1682" s="8">
        <v>2.89392</v>
      </c>
    </row>
    <row r="1683" spans="2:27" ht="15" customHeight="1" x14ac:dyDescent="0.25">
      <c r="B1683">
        <v>407</v>
      </c>
      <c r="C1683" s="8">
        <v>-12176.954900000001</v>
      </c>
      <c r="D1683" s="2">
        <v>-12178.608778</v>
      </c>
      <c r="F1683" s="3">
        <v>0.99516300000000002</v>
      </c>
      <c r="G1683" s="2">
        <v>0.18068000000000001</v>
      </c>
      <c r="H1683">
        <v>5</v>
      </c>
      <c r="I1683">
        <v>8</v>
      </c>
      <c r="J1683" s="32"/>
      <c r="K1683" s="8">
        <f t="shared" si="182"/>
        <v>-1.0829076923091634</v>
      </c>
      <c r="L1683" s="8">
        <f t="shared" si="183"/>
        <v>-8.3300591716089487E-2</v>
      </c>
      <c r="M1683" s="8">
        <f t="shared" si="184"/>
        <v>-1.2103855384611961</v>
      </c>
      <c r="N1683" s="8">
        <f t="shared" si="185"/>
        <v>-9.3106579881630472E-2</v>
      </c>
      <c r="O1683" s="8"/>
      <c r="P1683" t="s">
        <v>1969</v>
      </c>
      <c r="Q1683">
        <v>33</v>
      </c>
      <c r="R1683" s="8">
        <v>2.8079700000000001</v>
      </c>
      <c r="S1683">
        <v>10</v>
      </c>
      <c r="T1683" s="8">
        <f t="shared" si="186"/>
        <v>0.30303030303030304</v>
      </c>
      <c r="U1683" s="8">
        <v>2.8209</v>
      </c>
      <c r="V1683">
        <v>20</v>
      </c>
      <c r="W1683" s="8">
        <f t="shared" si="187"/>
        <v>0.60606060606060608</v>
      </c>
      <c r="X1683" s="8">
        <v>2.77963</v>
      </c>
      <c r="Y1683">
        <v>3</v>
      </c>
      <c r="Z1683" s="8">
        <f t="shared" si="188"/>
        <v>9.0909090909090912E-2</v>
      </c>
      <c r="AA1683" s="8">
        <v>2.95384</v>
      </c>
    </row>
    <row r="1684" spans="2:27" ht="15" customHeight="1" x14ac:dyDescent="0.25">
      <c r="B1684">
        <v>408</v>
      </c>
      <c r="C1684" s="8">
        <v>-12176.8341</v>
      </c>
      <c r="D1684" s="2">
        <v>-12178.532255</v>
      </c>
      <c r="F1684" s="3">
        <v>0.99129400000000001</v>
      </c>
      <c r="G1684" s="2">
        <v>0.16297999999999899</v>
      </c>
      <c r="H1684">
        <v>5</v>
      </c>
      <c r="I1684">
        <v>8</v>
      </c>
      <c r="J1684" s="32"/>
      <c r="K1684" s="8">
        <f t="shared" si="182"/>
        <v>-0.96210769230856386</v>
      </c>
      <c r="L1684" s="8">
        <f t="shared" si="183"/>
        <v>-7.4008284023735688E-2</v>
      </c>
      <c r="M1684" s="8">
        <f t="shared" si="184"/>
        <v>-1.1338625384614716</v>
      </c>
      <c r="N1684" s="8">
        <f t="shared" si="185"/>
        <v>-8.7220195266267037E-2</v>
      </c>
      <c r="O1684" s="8"/>
      <c r="P1684" t="s">
        <v>1970</v>
      </c>
      <c r="Q1684">
        <v>34</v>
      </c>
      <c r="R1684" s="8">
        <v>2.8171200000000001</v>
      </c>
      <c r="S1684">
        <v>11</v>
      </c>
      <c r="T1684" s="8">
        <f t="shared" si="186"/>
        <v>0.3235294117647059</v>
      </c>
      <c r="U1684" s="8">
        <v>2.8113600000000001</v>
      </c>
      <c r="V1684">
        <v>19</v>
      </c>
      <c r="W1684" s="8">
        <f t="shared" si="187"/>
        <v>0.55882352941176472</v>
      </c>
      <c r="X1684" s="8">
        <v>2.7982499999999999</v>
      </c>
      <c r="Y1684">
        <v>4</v>
      </c>
      <c r="Z1684" s="8">
        <f t="shared" si="188"/>
        <v>0.11764705882352941</v>
      </c>
      <c r="AA1684" s="8">
        <v>2.92258</v>
      </c>
    </row>
    <row r="1685" spans="2:27" ht="15" customHeight="1" x14ac:dyDescent="0.25">
      <c r="B1685">
        <v>409</v>
      </c>
      <c r="C1685" s="8">
        <v>-12176.709000000001</v>
      </c>
      <c r="D1685" s="2">
        <v>-12178.319509000001</v>
      </c>
      <c r="F1685" s="3">
        <v>0.98955199999999999</v>
      </c>
      <c r="G1685" s="2">
        <v>0.15744999999999901</v>
      </c>
      <c r="H1685">
        <v>5</v>
      </c>
      <c r="I1685">
        <v>8</v>
      </c>
      <c r="J1685" s="32"/>
      <c r="K1685" s="8">
        <f t="shared" si="182"/>
        <v>-0.83700769230927108</v>
      </c>
      <c r="L1685" s="8">
        <f t="shared" si="183"/>
        <v>-6.438520710071316E-2</v>
      </c>
      <c r="M1685" s="8">
        <f t="shared" si="184"/>
        <v>-0.92111653846222907</v>
      </c>
      <c r="N1685" s="8">
        <f t="shared" si="185"/>
        <v>-7.0855118343248397E-2</v>
      </c>
      <c r="O1685" s="8"/>
      <c r="P1685" t="s">
        <v>1971</v>
      </c>
      <c r="Q1685">
        <v>33</v>
      </c>
      <c r="R1685" s="8">
        <v>2.8135699999999999</v>
      </c>
      <c r="S1685">
        <v>13</v>
      </c>
      <c r="T1685" s="8">
        <f t="shared" si="186"/>
        <v>0.39393939393939392</v>
      </c>
      <c r="U1685" s="8">
        <v>2.82585</v>
      </c>
      <c r="V1685">
        <v>18</v>
      </c>
      <c r="W1685" s="8">
        <f t="shared" si="187"/>
        <v>0.54545454545454541</v>
      </c>
      <c r="X1685" s="8">
        <v>2.8075000000000001</v>
      </c>
      <c r="Y1685">
        <v>2</v>
      </c>
      <c r="Z1685" s="8">
        <f t="shared" si="188"/>
        <v>6.0606060606060608E-2</v>
      </c>
      <c r="AA1685" s="8">
        <v>2.7883</v>
      </c>
    </row>
    <row r="1686" spans="2:27" ht="15" customHeight="1" x14ac:dyDescent="0.25">
      <c r="B1686">
        <v>410</v>
      </c>
      <c r="C1686" s="8">
        <v>-12177.0947</v>
      </c>
      <c r="D1686" s="2">
        <v>-12178.678024999999</v>
      </c>
      <c r="F1686" s="3">
        <v>0.997556</v>
      </c>
      <c r="G1686" s="2">
        <v>0.201179999999999</v>
      </c>
      <c r="H1686">
        <v>5</v>
      </c>
      <c r="I1686">
        <v>8</v>
      </c>
      <c r="J1686" s="32"/>
      <c r="K1686" s="8">
        <f t="shared" si="182"/>
        <v>-1.2227076923081768</v>
      </c>
      <c r="L1686" s="8">
        <f t="shared" si="183"/>
        <v>-9.4054437869859758E-2</v>
      </c>
      <c r="M1686" s="8">
        <f t="shared" si="184"/>
        <v>-1.2796325384606462</v>
      </c>
      <c r="N1686" s="8">
        <f t="shared" si="185"/>
        <v>-9.8433272189280469E-2</v>
      </c>
      <c r="O1686" s="8"/>
      <c r="P1686" t="s">
        <v>1972</v>
      </c>
      <c r="Q1686">
        <v>34</v>
      </c>
      <c r="R1686" s="8">
        <v>2.8174000000000001</v>
      </c>
      <c r="S1686">
        <v>10</v>
      </c>
      <c r="T1686" s="8">
        <f t="shared" si="186"/>
        <v>0.29411764705882354</v>
      </c>
      <c r="U1686" s="8">
        <v>2.8192499999999998</v>
      </c>
      <c r="V1686">
        <v>20</v>
      </c>
      <c r="W1686" s="8">
        <f t="shared" si="187"/>
        <v>0.58823529411764708</v>
      </c>
      <c r="X1686" s="8">
        <v>2.8043999999999998</v>
      </c>
      <c r="Y1686">
        <v>4</v>
      </c>
      <c r="Z1686" s="8">
        <f t="shared" si="188"/>
        <v>0.11764705882352941</v>
      </c>
      <c r="AA1686" s="8">
        <v>2.8778100000000002</v>
      </c>
    </row>
    <row r="1687" spans="2:27" ht="15" customHeight="1" x14ac:dyDescent="0.25">
      <c r="B1687">
        <v>411</v>
      </c>
      <c r="C1687" s="8">
        <v>-12177.1517</v>
      </c>
      <c r="D1687" s="2">
        <v>-12178.787114999999</v>
      </c>
      <c r="F1687" s="3">
        <v>0.99798200000000004</v>
      </c>
      <c r="G1687" s="2">
        <v>0.20688999999999999</v>
      </c>
      <c r="H1687">
        <v>5</v>
      </c>
      <c r="I1687">
        <v>8</v>
      </c>
      <c r="J1687" s="32"/>
      <c r="K1687" s="8">
        <f t="shared" si="182"/>
        <v>-1.2797076923088753</v>
      </c>
      <c r="L1687" s="8">
        <f t="shared" si="183"/>
        <v>-9.8439053254528869E-2</v>
      </c>
      <c r="M1687" s="8">
        <f t="shared" si="184"/>
        <v>-1.3887225384605699</v>
      </c>
      <c r="N1687" s="8">
        <f t="shared" si="185"/>
        <v>-0.10682481065081308</v>
      </c>
      <c r="O1687" s="8"/>
      <c r="P1687" t="s">
        <v>1973</v>
      </c>
      <c r="Q1687">
        <v>34</v>
      </c>
      <c r="R1687" s="8">
        <v>2.8189500000000001</v>
      </c>
      <c r="S1687">
        <v>10</v>
      </c>
      <c r="T1687" s="8">
        <f t="shared" si="186"/>
        <v>0.29411764705882354</v>
      </c>
      <c r="U1687" s="8">
        <v>2.7947899999999999</v>
      </c>
      <c r="V1687">
        <v>19</v>
      </c>
      <c r="W1687" s="8">
        <f t="shared" si="187"/>
        <v>0.55882352941176472</v>
      </c>
      <c r="X1687" s="8">
        <v>2.8096299999999998</v>
      </c>
      <c r="Y1687">
        <v>5</v>
      </c>
      <c r="Z1687" s="8">
        <f t="shared" si="188"/>
        <v>0.14705882352941177</v>
      </c>
      <c r="AA1687" s="8">
        <v>2.9026900000000002</v>
      </c>
    </row>
    <row r="1688" spans="2:27" ht="15" customHeight="1" x14ac:dyDescent="0.25">
      <c r="B1688">
        <v>412</v>
      </c>
      <c r="C1688" s="8">
        <v>-12176.915499999999</v>
      </c>
      <c r="D1688" s="2">
        <v>-12178.346439000001</v>
      </c>
      <c r="F1688" s="3">
        <v>0.995614</v>
      </c>
      <c r="G1688" s="2">
        <v>0.18357999999999999</v>
      </c>
      <c r="H1688">
        <v>5</v>
      </c>
      <c r="I1688">
        <v>8</v>
      </c>
      <c r="J1688" s="32"/>
      <c r="K1688" s="8">
        <f t="shared" si="182"/>
        <v>-1.0435076923076849</v>
      </c>
      <c r="L1688" s="8">
        <f t="shared" si="183"/>
        <v>-8.0269822485206532E-2</v>
      </c>
      <c r="M1688" s="8">
        <f t="shared" si="184"/>
        <v>-0.94804653846222209</v>
      </c>
      <c r="N1688" s="8">
        <f t="shared" si="185"/>
        <v>-7.2926656804786313E-2</v>
      </c>
      <c r="O1688" s="8"/>
      <c r="P1688" t="s">
        <v>1974</v>
      </c>
      <c r="Q1688">
        <v>34</v>
      </c>
      <c r="R1688" s="8">
        <v>2.8154300000000001</v>
      </c>
      <c r="S1688">
        <v>12</v>
      </c>
      <c r="T1688" s="8">
        <f t="shared" si="186"/>
        <v>0.35294117647058826</v>
      </c>
      <c r="U1688" s="8">
        <v>2.7972399999999999</v>
      </c>
      <c r="V1688">
        <v>17</v>
      </c>
      <c r="W1688" s="8">
        <f t="shared" si="187"/>
        <v>0.5</v>
      </c>
      <c r="X1688" s="8">
        <v>2.8167800000000001</v>
      </c>
      <c r="Y1688">
        <v>5</v>
      </c>
      <c r="Z1688" s="8">
        <f t="shared" si="188"/>
        <v>0.14705882352941177</v>
      </c>
      <c r="AA1688" s="8">
        <v>2.8544800000000001</v>
      </c>
    </row>
    <row r="1689" spans="2:27" ht="15" customHeight="1" x14ac:dyDescent="0.25">
      <c r="B1689">
        <v>413</v>
      </c>
      <c r="C1689" s="8">
        <v>-12177.057199999999</v>
      </c>
      <c r="D1689" s="2">
        <v>-12178.499804999999</v>
      </c>
      <c r="F1689" s="3">
        <v>0.99529699999999999</v>
      </c>
      <c r="G1689" s="2">
        <v>0.18154999999999999</v>
      </c>
      <c r="H1689">
        <v>5</v>
      </c>
      <c r="I1689">
        <v>8</v>
      </c>
      <c r="J1689" s="32"/>
      <c r="K1689" s="8">
        <f t="shared" si="182"/>
        <v>-1.185207692307813</v>
      </c>
      <c r="L1689" s="8">
        <f t="shared" si="183"/>
        <v>-9.1169822485216379E-2</v>
      </c>
      <c r="M1689" s="8">
        <f t="shared" si="184"/>
        <v>-1.1014125384608633</v>
      </c>
      <c r="N1689" s="8">
        <f t="shared" si="185"/>
        <v>-8.4724041420066412E-2</v>
      </c>
      <c r="O1689" s="8"/>
      <c r="P1689" t="s">
        <v>1975</v>
      </c>
      <c r="Q1689">
        <v>34</v>
      </c>
      <c r="R1689" s="8">
        <v>2.82152</v>
      </c>
      <c r="S1689">
        <v>11</v>
      </c>
      <c r="T1689" s="8">
        <f t="shared" si="186"/>
        <v>0.3235294117647059</v>
      </c>
      <c r="U1689" s="8">
        <v>2.80524</v>
      </c>
      <c r="V1689">
        <v>20</v>
      </c>
      <c r="W1689" s="8">
        <f t="shared" si="187"/>
        <v>0.58823529411764708</v>
      </c>
      <c r="X1689" s="8">
        <v>2.8276599999999998</v>
      </c>
      <c r="Y1689">
        <v>3</v>
      </c>
      <c r="Z1689" s="8">
        <f t="shared" si="188"/>
        <v>8.8235294117647065E-2</v>
      </c>
      <c r="AA1689" s="8">
        <v>2.8403200000000002</v>
      </c>
    </row>
    <row r="1690" spans="2:27" ht="15" customHeight="1" x14ac:dyDescent="0.25">
      <c r="B1690">
        <v>414</v>
      </c>
      <c r="C1690" s="8">
        <v>-12177.179599999999</v>
      </c>
      <c r="D1690" s="2">
        <v>-12178.808198000001</v>
      </c>
      <c r="F1690" s="3">
        <v>0.99745799999999996</v>
      </c>
      <c r="G1690" s="2">
        <v>0.19997000000000001</v>
      </c>
      <c r="H1690">
        <v>5</v>
      </c>
      <c r="I1690">
        <v>8</v>
      </c>
      <c r="J1690" s="32"/>
      <c r="K1690" s="8">
        <f t="shared" si="182"/>
        <v>-1.3076076923080109</v>
      </c>
      <c r="L1690" s="8">
        <f t="shared" si="183"/>
        <v>-0.10058520710061622</v>
      </c>
      <c r="M1690" s="8">
        <f t="shared" si="184"/>
        <v>-1.4098055384620238</v>
      </c>
      <c r="N1690" s="8">
        <f t="shared" si="185"/>
        <v>-0.10844657988169414</v>
      </c>
      <c r="O1690" s="8"/>
      <c r="P1690" t="s">
        <v>1976</v>
      </c>
      <c r="Q1690">
        <v>34</v>
      </c>
      <c r="R1690" s="8">
        <v>2.8138399999999999</v>
      </c>
      <c r="S1690">
        <v>10</v>
      </c>
      <c r="T1690" s="8">
        <f t="shared" si="186"/>
        <v>0.29411764705882354</v>
      </c>
      <c r="U1690" s="8">
        <v>2.7851900000000001</v>
      </c>
      <c r="V1690">
        <v>20</v>
      </c>
      <c r="W1690" s="8">
        <f t="shared" si="187"/>
        <v>0.58823529411764708</v>
      </c>
      <c r="X1690" s="8">
        <v>2.8169499999999998</v>
      </c>
      <c r="Y1690">
        <v>4</v>
      </c>
      <c r="Z1690" s="8">
        <f t="shared" si="188"/>
        <v>0.11764705882352941</v>
      </c>
      <c r="AA1690" s="8">
        <v>2.8698899999999998</v>
      </c>
    </row>
    <row r="1691" spans="2:27" ht="15" customHeight="1" x14ac:dyDescent="0.25">
      <c r="B1691">
        <v>415</v>
      </c>
      <c r="C1691" s="8">
        <v>-12176.768099999999</v>
      </c>
      <c r="D1691" s="2">
        <v>-12178.341656000001</v>
      </c>
      <c r="F1691" s="3">
        <v>0.99563299999999999</v>
      </c>
      <c r="G1691" s="2">
        <v>0.1837</v>
      </c>
      <c r="H1691">
        <v>5</v>
      </c>
      <c r="I1691">
        <v>8</v>
      </c>
      <c r="J1691" s="32"/>
      <c r="K1691" s="8">
        <f t="shared" si="182"/>
        <v>-0.89610769230785081</v>
      </c>
      <c r="L1691" s="8">
        <f t="shared" si="183"/>
        <v>-6.8931360946757753E-2</v>
      </c>
      <c r="M1691" s="8">
        <f t="shared" si="184"/>
        <v>-0.94326353846190614</v>
      </c>
      <c r="N1691" s="8">
        <f t="shared" si="185"/>
        <v>-7.2558733727838928E-2</v>
      </c>
      <c r="O1691" s="8"/>
      <c r="P1691" t="s">
        <v>1977</v>
      </c>
      <c r="Q1691">
        <v>35</v>
      </c>
      <c r="R1691" s="8">
        <v>2.8250700000000002</v>
      </c>
      <c r="S1691">
        <v>14</v>
      </c>
      <c r="T1691" s="8">
        <f t="shared" si="186"/>
        <v>0.4</v>
      </c>
      <c r="U1691" s="8">
        <v>2.8279000000000001</v>
      </c>
      <c r="V1691">
        <v>16</v>
      </c>
      <c r="W1691" s="8">
        <f t="shared" si="187"/>
        <v>0.45714285714285713</v>
      </c>
      <c r="X1691" s="8">
        <v>2.8163800000000001</v>
      </c>
      <c r="Y1691">
        <v>5</v>
      </c>
      <c r="Z1691" s="8">
        <f t="shared" si="188"/>
        <v>0.14285714285714285</v>
      </c>
      <c r="AA1691" s="8">
        <v>2.8449499999999999</v>
      </c>
    </row>
    <row r="1692" spans="2:27" ht="15" customHeight="1" x14ac:dyDescent="0.25">
      <c r="B1692">
        <v>416</v>
      </c>
      <c r="C1692" s="8">
        <v>-12177.1278</v>
      </c>
      <c r="D1692" s="2">
        <v>-12178.680832</v>
      </c>
      <c r="F1692" s="3">
        <v>0.99333899999999997</v>
      </c>
      <c r="G1692" s="2">
        <v>0.17110999999999901</v>
      </c>
      <c r="H1692">
        <v>5</v>
      </c>
      <c r="I1692">
        <v>8</v>
      </c>
      <c r="J1692" s="32"/>
      <c r="K1692" s="8">
        <f t="shared" si="182"/>
        <v>-1.2558076923087356</v>
      </c>
      <c r="L1692" s="8">
        <f t="shared" si="183"/>
        <v>-9.6600591716056589E-2</v>
      </c>
      <c r="M1692" s="8">
        <f t="shared" si="184"/>
        <v>-1.2824395384614036</v>
      </c>
      <c r="N1692" s="8">
        <f t="shared" si="185"/>
        <v>-9.8649195266261813E-2</v>
      </c>
      <c r="O1692" s="8"/>
      <c r="P1692" t="s">
        <v>1978</v>
      </c>
      <c r="Q1692">
        <v>34</v>
      </c>
      <c r="R1692" s="8">
        <v>2.8136299999999999</v>
      </c>
      <c r="S1692">
        <v>10</v>
      </c>
      <c r="T1692" s="8">
        <f t="shared" si="186"/>
        <v>0.29411764705882354</v>
      </c>
      <c r="U1692" s="8">
        <v>2.8061400000000001</v>
      </c>
      <c r="V1692">
        <v>21</v>
      </c>
      <c r="W1692" s="8">
        <f t="shared" si="187"/>
        <v>0.61764705882352944</v>
      </c>
      <c r="X1692" s="8">
        <v>2.8115000000000001</v>
      </c>
      <c r="Y1692">
        <v>3</v>
      </c>
      <c r="Z1692" s="8">
        <f t="shared" si="188"/>
        <v>8.8235294117647065E-2</v>
      </c>
      <c r="AA1692" s="8">
        <v>2.8534999999999999</v>
      </c>
    </row>
    <row r="1693" spans="2:27" ht="15" customHeight="1" x14ac:dyDescent="0.25">
      <c r="B1693">
        <v>417</v>
      </c>
      <c r="C1693" s="8">
        <v>-12176.983700000001</v>
      </c>
      <c r="D1693" s="2">
        <v>-12178.423237999999</v>
      </c>
      <c r="F1693" s="3">
        <v>0.99717500000000003</v>
      </c>
      <c r="G1693" s="2">
        <v>0.19682999999999901</v>
      </c>
      <c r="H1693">
        <v>5</v>
      </c>
      <c r="I1693">
        <v>8</v>
      </c>
      <c r="J1693" s="32"/>
      <c r="K1693" s="8">
        <f t="shared" si="182"/>
        <v>-1.11170769230921</v>
      </c>
      <c r="L1693" s="8">
        <f t="shared" si="183"/>
        <v>-8.5515976331477686E-2</v>
      </c>
      <c r="M1693" s="8">
        <f t="shared" si="184"/>
        <v>-1.0248455384607951</v>
      </c>
      <c r="N1693" s="8">
        <f t="shared" si="185"/>
        <v>-7.8834272189291926E-2</v>
      </c>
      <c r="O1693" s="8"/>
      <c r="P1693" t="s">
        <v>1979</v>
      </c>
      <c r="Q1693">
        <v>34</v>
      </c>
      <c r="R1693" s="8">
        <v>2.8166699999999998</v>
      </c>
      <c r="S1693">
        <v>12</v>
      </c>
      <c r="T1693" s="8">
        <f t="shared" si="186"/>
        <v>0.35294117647058826</v>
      </c>
      <c r="U1693" s="8">
        <v>2.8157999999999999</v>
      </c>
      <c r="V1693">
        <v>18</v>
      </c>
      <c r="W1693" s="8">
        <f t="shared" si="187"/>
        <v>0.52941176470588236</v>
      </c>
      <c r="X1693" s="8">
        <v>2.8080099999999999</v>
      </c>
      <c r="Y1693">
        <v>4</v>
      </c>
      <c r="Z1693" s="8">
        <f t="shared" si="188"/>
        <v>0.11764705882352941</v>
      </c>
      <c r="AA1693" s="8">
        <v>2.85826</v>
      </c>
    </row>
    <row r="1694" spans="2:27" ht="15" customHeight="1" x14ac:dyDescent="0.25">
      <c r="B1694">
        <v>418</v>
      </c>
      <c r="C1694" s="8">
        <v>-12177.1373</v>
      </c>
      <c r="D1694" s="2">
        <v>-12178.591050999999</v>
      </c>
      <c r="F1694" s="3">
        <v>0.99593100000000001</v>
      </c>
      <c r="G1694" s="2">
        <v>0.18583999999999901</v>
      </c>
      <c r="H1694">
        <v>5</v>
      </c>
      <c r="I1694">
        <v>8</v>
      </c>
      <c r="J1694" s="32"/>
      <c r="K1694" s="8">
        <f t="shared" si="182"/>
        <v>-1.265307692308852</v>
      </c>
      <c r="L1694" s="8">
        <f t="shared" si="183"/>
        <v>-9.7331360946834769E-2</v>
      </c>
      <c r="M1694" s="8">
        <f t="shared" si="184"/>
        <v>-1.1926585384608188</v>
      </c>
      <c r="N1694" s="8">
        <f t="shared" si="185"/>
        <v>-9.174296449698606E-2</v>
      </c>
      <c r="O1694" s="8"/>
      <c r="P1694" t="s">
        <v>1980</v>
      </c>
      <c r="Q1694">
        <v>34</v>
      </c>
      <c r="R1694" s="8">
        <v>2.8177400000000001</v>
      </c>
      <c r="S1694">
        <v>11</v>
      </c>
      <c r="T1694" s="8">
        <f t="shared" si="186"/>
        <v>0.3235294117647059</v>
      </c>
      <c r="U1694" s="8">
        <v>2.8132999999999999</v>
      </c>
      <c r="V1694">
        <v>20</v>
      </c>
      <c r="W1694" s="8">
        <f t="shared" si="187"/>
        <v>0.58823529411764708</v>
      </c>
      <c r="X1694" s="8">
        <v>2.8084799999999999</v>
      </c>
      <c r="Y1694">
        <v>3</v>
      </c>
      <c r="Z1694" s="8">
        <f t="shared" si="188"/>
        <v>8.8235294117647065E-2</v>
      </c>
      <c r="AA1694" s="8">
        <v>2.89574</v>
      </c>
    </row>
    <row r="1695" spans="2:27" ht="15" customHeight="1" x14ac:dyDescent="0.25">
      <c r="B1695">
        <v>419</v>
      </c>
      <c r="C1695" s="8">
        <v>-12176.8637</v>
      </c>
      <c r="D1695" s="2">
        <v>-12178.440552</v>
      </c>
      <c r="F1695" s="3">
        <v>0.99723600000000001</v>
      </c>
      <c r="G1695" s="2">
        <v>0.19744999999999899</v>
      </c>
      <c r="H1695">
        <v>5</v>
      </c>
      <c r="I1695">
        <v>8</v>
      </c>
      <c r="J1695" s="32"/>
      <c r="K1695" s="8">
        <f t="shared" si="182"/>
        <v>-0.99170769230840961</v>
      </c>
      <c r="L1695" s="8">
        <f t="shared" si="183"/>
        <v>-7.6285207100646887E-2</v>
      </c>
      <c r="M1695" s="8">
        <f t="shared" si="184"/>
        <v>-1.0421595384614193</v>
      </c>
      <c r="N1695" s="8">
        <f t="shared" si="185"/>
        <v>-8.0166118343186099E-2</v>
      </c>
      <c r="O1695" s="8"/>
      <c r="P1695" t="s">
        <v>1981</v>
      </c>
      <c r="Q1695">
        <v>34</v>
      </c>
      <c r="R1695" s="8">
        <v>2.82023</v>
      </c>
      <c r="S1695">
        <v>13</v>
      </c>
      <c r="T1695" s="8">
        <f t="shared" si="186"/>
        <v>0.38235294117647056</v>
      </c>
      <c r="U1695" s="8">
        <v>2.8360400000000001</v>
      </c>
      <c r="V1695">
        <v>18</v>
      </c>
      <c r="W1695" s="8">
        <f t="shared" si="187"/>
        <v>0.52941176470588236</v>
      </c>
      <c r="X1695" s="8">
        <v>2.8063699999999998</v>
      </c>
      <c r="Y1695">
        <v>3</v>
      </c>
      <c r="Z1695" s="8">
        <f t="shared" si="188"/>
        <v>8.8235294117647065E-2</v>
      </c>
      <c r="AA1695" s="8">
        <v>2.8348499999999999</v>
      </c>
    </row>
    <row r="1696" spans="2:27" ht="15" customHeight="1" x14ac:dyDescent="0.25">
      <c r="B1696">
        <v>420</v>
      </c>
      <c r="C1696" s="8">
        <v>-12177.2613</v>
      </c>
      <c r="D1696" s="2">
        <v>-12178.801899</v>
      </c>
      <c r="F1696" s="3">
        <v>0.996888</v>
      </c>
      <c r="G1696" s="2">
        <v>0.19392000000000001</v>
      </c>
      <c r="H1696">
        <v>5</v>
      </c>
      <c r="I1696">
        <v>8</v>
      </c>
      <c r="J1696" s="32"/>
      <c r="K1696" s="8">
        <f t="shared" si="182"/>
        <v>-1.3893076923086483</v>
      </c>
      <c r="L1696" s="8">
        <f t="shared" si="183"/>
        <v>-0.10686982248528064</v>
      </c>
      <c r="M1696" s="8">
        <f t="shared" si="184"/>
        <v>-1.4035065384614427</v>
      </c>
      <c r="N1696" s="8">
        <f t="shared" si="185"/>
        <v>-0.10796204142011098</v>
      </c>
      <c r="O1696" s="8"/>
      <c r="P1696" t="s">
        <v>1982</v>
      </c>
      <c r="Q1696">
        <v>34</v>
      </c>
      <c r="R1696" s="8">
        <v>2.81846</v>
      </c>
      <c r="S1696">
        <v>10</v>
      </c>
      <c r="T1696" s="8">
        <f t="shared" si="186"/>
        <v>0.29411764705882354</v>
      </c>
      <c r="U1696" s="8">
        <v>2.8237700000000001</v>
      </c>
      <c r="V1696">
        <v>22</v>
      </c>
      <c r="W1696" s="8">
        <f t="shared" si="187"/>
        <v>0.6470588235294118</v>
      </c>
      <c r="X1696" s="8">
        <v>2.80762</v>
      </c>
      <c r="Y1696">
        <v>2</v>
      </c>
      <c r="Z1696" s="8">
        <f t="shared" si="188"/>
        <v>5.8823529411764705E-2</v>
      </c>
      <c r="AA1696" s="8">
        <v>2.9110200000000002</v>
      </c>
    </row>
    <row r="1697" spans="2:27" ht="15" customHeight="1" x14ac:dyDescent="0.25">
      <c r="B1697">
        <v>421</v>
      </c>
      <c r="C1697" s="8">
        <v>-12177.0218</v>
      </c>
      <c r="D1697" s="2">
        <v>-12178.565807000001</v>
      </c>
      <c r="F1697" s="3">
        <v>0.99546500000000004</v>
      </c>
      <c r="G1697" s="2">
        <v>0.18262</v>
      </c>
      <c r="H1697">
        <v>5</v>
      </c>
      <c r="I1697">
        <v>8</v>
      </c>
      <c r="J1697" s="32"/>
      <c r="K1697" s="8">
        <f t="shared" si="182"/>
        <v>-1.1498076923089684</v>
      </c>
      <c r="L1697" s="8">
        <f t="shared" si="183"/>
        <v>-8.844674556222834E-2</v>
      </c>
      <c r="M1697" s="8">
        <f t="shared" si="184"/>
        <v>-1.1674145384622534</v>
      </c>
      <c r="N1697" s="8">
        <f t="shared" si="185"/>
        <v>-8.9801118343250261E-2</v>
      </c>
      <c r="O1697" s="8"/>
      <c r="P1697" t="s">
        <v>1983</v>
      </c>
      <c r="Q1697">
        <v>34</v>
      </c>
      <c r="R1697" s="8">
        <v>2.8213900000000001</v>
      </c>
      <c r="S1697">
        <v>12</v>
      </c>
      <c r="T1697" s="8">
        <f t="shared" si="186"/>
        <v>0.35294117647058826</v>
      </c>
      <c r="U1697" s="8">
        <v>2.8460899999999998</v>
      </c>
      <c r="V1697">
        <v>20</v>
      </c>
      <c r="W1697" s="8">
        <f t="shared" si="187"/>
        <v>0.58823529411764708</v>
      </c>
      <c r="X1697" s="8">
        <v>2.8027700000000002</v>
      </c>
      <c r="Y1697">
        <v>2</v>
      </c>
      <c r="Z1697" s="8">
        <f t="shared" si="188"/>
        <v>5.8823529411764705E-2</v>
      </c>
      <c r="AA1697" s="8">
        <v>2.8593099999999998</v>
      </c>
    </row>
    <row r="1698" spans="2:27" ht="15" customHeight="1" x14ac:dyDescent="0.25">
      <c r="B1698">
        <v>422</v>
      </c>
      <c r="C1698" s="8">
        <v>-12177.149100000001</v>
      </c>
      <c r="D1698" s="2">
        <v>-12178.727428</v>
      </c>
      <c r="F1698" s="3">
        <v>0.99534699999999998</v>
      </c>
      <c r="G1698" s="2">
        <v>0.18187</v>
      </c>
      <c r="H1698">
        <v>5</v>
      </c>
      <c r="I1698">
        <v>8</v>
      </c>
      <c r="J1698" s="32"/>
      <c r="K1698" s="8">
        <f t="shared" si="182"/>
        <v>-1.2771076923090732</v>
      </c>
      <c r="L1698" s="8">
        <f t="shared" si="183"/>
        <v>-9.8239053254544087E-2</v>
      </c>
      <c r="M1698" s="8">
        <f t="shared" si="184"/>
        <v>-1.3290355384615395</v>
      </c>
      <c r="N1698" s="8">
        <f t="shared" si="185"/>
        <v>-0.10223350295857997</v>
      </c>
      <c r="O1698" s="8"/>
      <c r="P1698" t="s">
        <v>1984</v>
      </c>
      <c r="Q1698">
        <v>34</v>
      </c>
      <c r="R1698" s="8">
        <v>2.8217599999999998</v>
      </c>
      <c r="S1698">
        <v>10</v>
      </c>
      <c r="T1698" s="8">
        <f t="shared" si="186"/>
        <v>0.29411764705882354</v>
      </c>
      <c r="U1698" s="8">
        <v>2.8123300000000002</v>
      </c>
      <c r="V1698">
        <v>22</v>
      </c>
      <c r="W1698" s="8">
        <f t="shared" si="187"/>
        <v>0.6470588235294118</v>
      </c>
      <c r="X1698" s="8">
        <v>2.81271</v>
      </c>
      <c r="Y1698">
        <v>2</v>
      </c>
      <c r="Z1698" s="8">
        <f t="shared" si="188"/>
        <v>5.8823529411764705E-2</v>
      </c>
      <c r="AA1698" s="8">
        <v>2.9685299999999999</v>
      </c>
    </row>
    <row r="1699" spans="2:27" ht="15" customHeight="1" x14ac:dyDescent="0.25">
      <c r="B1699">
        <v>423</v>
      </c>
      <c r="C1699" s="8">
        <v>-12177.1435</v>
      </c>
      <c r="D1699" s="2">
        <v>-12178.734050999999</v>
      </c>
      <c r="F1699" s="3">
        <v>0.99682400000000004</v>
      </c>
      <c r="G1699" s="2">
        <v>0.19334000000000001</v>
      </c>
      <c r="H1699">
        <v>5</v>
      </c>
      <c r="I1699">
        <v>8</v>
      </c>
      <c r="J1699" s="32"/>
      <c r="K1699" s="8">
        <f t="shared" si="182"/>
        <v>-1.2715076923086599</v>
      </c>
      <c r="L1699" s="8">
        <f t="shared" si="183"/>
        <v>-9.7808284023743072E-2</v>
      </c>
      <c r="M1699" s="8">
        <f t="shared" si="184"/>
        <v>-1.3356585384608479</v>
      </c>
      <c r="N1699" s="8">
        <f t="shared" si="185"/>
        <v>-0.1027429644969883</v>
      </c>
      <c r="O1699" s="8"/>
      <c r="P1699" t="s">
        <v>1985</v>
      </c>
      <c r="Q1699">
        <v>35</v>
      </c>
      <c r="R1699" s="8">
        <v>2.8265500000000001</v>
      </c>
      <c r="S1699">
        <v>11</v>
      </c>
      <c r="T1699" s="8">
        <f t="shared" si="186"/>
        <v>0.31428571428571428</v>
      </c>
      <c r="U1699" s="8">
        <v>2.8202600000000002</v>
      </c>
      <c r="V1699">
        <v>21</v>
      </c>
      <c r="W1699" s="8">
        <f t="shared" si="187"/>
        <v>0.6</v>
      </c>
      <c r="X1699" s="8">
        <v>2.8194499999999998</v>
      </c>
      <c r="Y1699">
        <v>3</v>
      </c>
      <c r="Z1699" s="8">
        <f t="shared" si="188"/>
        <v>8.5714285714285715E-2</v>
      </c>
      <c r="AA1699" s="8">
        <v>2.8993899999999999</v>
      </c>
    </row>
    <row r="1700" spans="2:27" ht="15" customHeight="1" x14ac:dyDescent="0.25">
      <c r="B1700">
        <v>424</v>
      </c>
      <c r="C1700" s="8">
        <v>-12177.0558</v>
      </c>
      <c r="D1700" s="2">
        <v>-12178.651603</v>
      </c>
      <c r="F1700" s="3">
        <v>0.99632399999999999</v>
      </c>
      <c r="G1700" s="2">
        <v>0.188909999999999</v>
      </c>
      <c r="H1700">
        <v>5</v>
      </c>
      <c r="I1700">
        <v>8</v>
      </c>
      <c r="J1700" s="32"/>
      <c r="K1700" s="8">
        <f t="shared" si="182"/>
        <v>-1.1838076923086192</v>
      </c>
      <c r="L1700" s="8">
        <f t="shared" si="183"/>
        <v>-9.106213017758609E-2</v>
      </c>
      <c r="M1700" s="8">
        <f t="shared" si="184"/>
        <v>-1.2532105384616443</v>
      </c>
      <c r="N1700" s="8">
        <f t="shared" si="185"/>
        <v>-9.6400810650895716E-2</v>
      </c>
      <c r="O1700" s="8"/>
      <c r="P1700" t="s">
        <v>1986</v>
      </c>
      <c r="Q1700">
        <v>34</v>
      </c>
      <c r="R1700" s="8">
        <v>2.8148599999999999</v>
      </c>
      <c r="S1700">
        <v>11</v>
      </c>
      <c r="T1700" s="8">
        <f t="shared" si="186"/>
        <v>0.3235294117647059</v>
      </c>
      <c r="U1700" s="8">
        <v>2.7867899999999999</v>
      </c>
      <c r="V1700">
        <v>18</v>
      </c>
      <c r="W1700" s="8">
        <f t="shared" si="187"/>
        <v>0.52941176470588236</v>
      </c>
      <c r="X1700" s="8">
        <v>2.8113199999999998</v>
      </c>
      <c r="Y1700">
        <v>5</v>
      </c>
      <c r="Z1700" s="8">
        <f t="shared" si="188"/>
        <v>0.14705882352941177</v>
      </c>
      <c r="AA1700" s="8">
        <v>2.88937</v>
      </c>
    </row>
    <row r="1701" spans="2:27" ht="15" customHeight="1" x14ac:dyDescent="0.25">
      <c r="B1701">
        <v>425</v>
      </c>
      <c r="C1701" s="8">
        <v>-12176.961499999999</v>
      </c>
      <c r="D1701" s="2">
        <v>-12178.604225999999</v>
      </c>
      <c r="F1701" s="3">
        <v>0.99361999999999995</v>
      </c>
      <c r="G1701" s="2">
        <v>0.17235</v>
      </c>
      <c r="H1701">
        <v>5</v>
      </c>
      <c r="I1701">
        <v>8</v>
      </c>
      <c r="J1701" s="32"/>
      <c r="K1701" s="8">
        <f t="shared" si="182"/>
        <v>-1.0895076923079614</v>
      </c>
      <c r="L1701" s="8">
        <f t="shared" si="183"/>
        <v>-8.3808284023689339E-2</v>
      </c>
      <c r="M1701" s="8">
        <f t="shared" si="184"/>
        <v>-1.2058335384608654</v>
      </c>
      <c r="N1701" s="8">
        <f t="shared" si="185"/>
        <v>-9.2756426035451187E-2</v>
      </c>
      <c r="O1701" s="8"/>
      <c r="P1701" t="s">
        <v>1987</v>
      </c>
      <c r="Q1701">
        <v>34</v>
      </c>
      <c r="R1701" s="8">
        <v>2.8110200000000001</v>
      </c>
      <c r="S1701">
        <v>12</v>
      </c>
      <c r="T1701" s="8">
        <f t="shared" si="186"/>
        <v>0.35294117647058826</v>
      </c>
      <c r="U1701" s="8">
        <v>2.81297</v>
      </c>
      <c r="V1701">
        <v>19</v>
      </c>
      <c r="W1701" s="8">
        <f t="shared" si="187"/>
        <v>0.55882352941176472</v>
      </c>
      <c r="X1701" s="8">
        <v>2.7939799999999999</v>
      </c>
      <c r="Y1701">
        <v>3</v>
      </c>
      <c r="Z1701" s="8">
        <f t="shared" si="188"/>
        <v>8.8235294117647065E-2</v>
      </c>
      <c r="AA1701" s="8">
        <v>2.9111400000000001</v>
      </c>
    </row>
    <row r="1702" spans="2:27" ht="15" customHeight="1" x14ac:dyDescent="0.25">
      <c r="B1702">
        <v>426</v>
      </c>
      <c r="C1702" s="8">
        <v>-12177.097</v>
      </c>
      <c r="D1702" s="2">
        <v>-12178.663696</v>
      </c>
      <c r="F1702" s="3">
        <v>0.99654500000000001</v>
      </c>
      <c r="G1702" s="2">
        <v>0.19080999999999901</v>
      </c>
      <c r="H1702">
        <v>5</v>
      </c>
      <c r="I1702">
        <v>8</v>
      </c>
      <c r="J1702" s="32"/>
      <c r="K1702" s="8">
        <f t="shared" si="182"/>
        <v>-1.2250076923082815</v>
      </c>
      <c r="L1702" s="8">
        <f t="shared" si="183"/>
        <v>-9.4231360946790882E-2</v>
      </c>
      <c r="M1702" s="8">
        <f t="shared" si="184"/>
        <v>-1.2653035384610121</v>
      </c>
      <c r="N1702" s="8">
        <f t="shared" si="185"/>
        <v>-9.7331041420077855E-2</v>
      </c>
      <c r="O1702" s="8"/>
      <c r="P1702" t="s">
        <v>1988</v>
      </c>
      <c r="Q1702">
        <v>34</v>
      </c>
      <c r="R1702" s="8">
        <v>2.8119800000000001</v>
      </c>
      <c r="S1702">
        <v>11</v>
      </c>
      <c r="T1702" s="8">
        <f t="shared" si="186"/>
        <v>0.3235294117647059</v>
      </c>
      <c r="U1702" s="8">
        <v>2.7925900000000001</v>
      </c>
      <c r="V1702">
        <v>19</v>
      </c>
      <c r="W1702" s="8">
        <f t="shared" si="187"/>
        <v>0.55882352941176472</v>
      </c>
      <c r="X1702" s="8">
        <v>2.8128299999999999</v>
      </c>
      <c r="Y1702">
        <v>4</v>
      </c>
      <c r="Z1702" s="8">
        <f t="shared" si="188"/>
        <v>0.11764705882352941</v>
      </c>
      <c r="AA1702" s="8">
        <v>2.86124</v>
      </c>
    </row>
    <row r="1703" spans="2:27" ht="15" customHeight="1" x14ac:dyDescent="0.25">
      <c r="B1703">
        <v>427</v>
      </c>
      <c r="C1703" s="8">
        <v>-12177.2214</v>
      </c>
      <c r="D1703" s="2">
        <v>-12178.742694</v>
      </c>
      <c r="F1703" s="3">
        <v>0.99381799999999998</v>
      </c>
      <c r="G1703" s="2">
        <v>0.17324999999999899</v>
      </c>
      <c r="H1703">
        <v>5</v>
      </c>
      <c r="I1703">
        <v>8</v>
      </c>
      <c r="J1703" s="32"/>
      <c r="K1703" s="8">
        <f t="shared" si="182"/>
        <v>-1.3494076923088869</v>
      </c>
      <c r="L1703" s="8">
        <f t="shared" si="183"/>
        <v>-0.10380059171606823</v>
      </c>
      <c r="M1703" s="8">
        <f t="shared" si="184"/>
        <v>-1.3443015384618775</v>
      </c>
      <c r="N1703" s="8">
        <f t="shared" si="185"/>
        <v>-0.10340781065091366</v>
      </c>
      <c r="O1703" s="8"/>
      <c r="P1703" t="s">
        <v>1989</v>
      </c>
      <c r="Q1703">
        <v>34</v>
      </c>
      <c r="R1703" s="8">
        <v>2.80871</v>
      </c>
      <c r="S1703">
        <v>10</v>
      </c>
      <c r="T1703" s="8">
        <f t="shared" si="186"/>
        <v>0.29411764705882354</v>
      </c>
      <c r="U1703" s="8">
        <v>2.7763</v>
      </c>
      <c r="V1703">
        <v>21</v>
      </c>
      <c r="W1703" s="8">
        <f t="shared" si="187"/>
        <v>0.61764705882352944</v>
      </c>
      <c r="X1703" s="8">
        <v>2.8174299999999999</v>
      </c>
      <c r="Y1703">
        <v>3</v>
      </c>
      <c r="Z1703" s="8">
        <f t="shared" si="188"/>
        <v>8.8235294117647065E-2</v>
      </c>
      <c r="AA1703" s="8">
        <v>2.8557000000000001</v>
      </c>
    </row>
    <row r="1704" spans="2:27" ht="15" customHeight="1" x14ac:dyDescent="0.25">
      <c r="B1704">
        <v>428</v>
      </c>
      <c r="C1704" s="8">
        <v>-12176.978800000001</v>
      </c>
      <c r="D1704" s="2">
        <v>-12178.624463</v>
      </c>
      <c r="F1704" s="3">
        <v>0.99532100000000001</v>
      </c>
      <c r="G1704" s="2">
        <v>0.181639999999999</v>
      </c>
      <c r="H1704">
        <v>5</v>
      </c>
      <c r="I1704">
        <v>8</v>
      </c>
      <c r="J1704" s="32"/>
      <c r="K1704" s="8">
        <f t="shared" si="182"/>
        <v>-1.1068076923093031</v>
      </c>
      <c r="L1704" s="8">
        <f t="shared" si="183"/>
        <v>-8.5139053254561781E-2</v>
      </c>
      <c r="M1704" s="8">
        <f t="shared" si="184"/>
        <v>-1.2260705384614994</v>
      </c>
      <c r="N1704" s="8">
        <f t="shared" si="185"/>
        <v>-9.4313118343192254E-2</v>
      </c>
      <c r="O1704" s="8"/>
      <c r="P1704" t="s">
        <v>1990</v>
      </c>
      <c r="Q1704">
        <v>35</v>
      </c>
      <c r="R1704" s="8">
        <v>2.8271500000000001</v>
      </c>
      <c r="S1704">
        <v>12</v>
      </c>
      <c r="T1704" s="8">
        <f t="shared" si="186"/>
        <v>0.34285714285714286</v>
      </c>
      <c r="U1704" s="8">
        <v>2.8295699999999999</v>
      </c>
      <c r="V1704">
        <v>21</v>
      </c>
      <c r="W1704" s="8">
        <f t="shared" si="187"/>
        <v>0.6</v>
      </c>
      <c r="X1704" s="8">
        <v>2.8291400000000002</v>
      </c>
      <c r="Y1704">
        <v>2</v>
      </c>
      <c r="Z1704" s="8">
        <f t="shared" si="188"/>
        <v>5.7142857142857141E-2</v>
      </c>
      <c r="AA1704" s="8">
        <v>2.79189</v>
      </c>
    </row>
    <row r="1705" spans="2:27" ht="15" customHeight="1" x14ac:dyDescent="0.25">
      <c r="B1705">
        <v>429</v>
      </c>
      <c r="C1705" s="8">
        <v>-12177.0497</v>
      </c>
      <c r="D1705" s="2">
        <v>-12178.615003999999</v>
      </c>
      <c r="F1705" s="3">
        <v>0.99716199999999999</v>
      </c>
      <c r="G1705" s="2">
        <v>0.19675999999999999</v>
      </c>
      <c r="H1705">
        <v>5</v>
      </c>
      <c r="I1705">
        <v>8</v>
      </c>
      <c r="J1705" s="32"/>
      <c r="K1705" s="8">
        <f t="shared" si="182"/>
        <v>-1.177707692308104</v>
      </c>
      <c r="L1705" s="8">
        <f t="shared" si="183"/>
        <v>-9.0592899408315691E-2</v>
      </c>
      <c r="M1705" s="8">
        <f t="shared" si="184"/>
        <v>-1.216611538460711</v>
      </c>
      <c r="N1705" s="8">
        <f t="shared" si="185"/>
        <v>-9.3585502958516226E-2</v>
      </c>
      <c r="O1705" s="8"/>
      <c r="P1705" t="s">
        <v>1991</v>
      </c>
      <c r="Q1705">
        <v>35</v>
      </c>
      <c r="R1705" s="8">
        <v>2.8227199999999999</v>
      </c>
      <c r="S1705">
        <v>13</v>
      </c>
      <c r="T1705" s="8">
        <f t="shared" si="186"/>
        <v>0.37142857142857144</v>
      </c>
      <c r="U1705" s="8">
        <v>2.8267199999999999</v>
      </c>
      <c r="V1705">
        <v>20</v>
      </c>
      <c r="W1705" s="8">
        <f t="shared" si="187"/>
        <v>0.5714285714285714</v>
      </c>
      <c r="X1705" s="8">
        <v>2.8185899999999999</v>
      </c>
      <c r="Y1705">
        <v>2</v>
      </c>
      <c r="Z1705" s="8">
        <f t="shared" si="188"/>
        <v>5.7142857142857141E-2</v>
      </c>
      <c r="AA1705" s="8">
        <v>2.8380000000000001</v>
      </c>
    </row>
    <row r="1706" spans="2:27" ht="15" customHeight="1" x14ac:dyDescent="0.25">
      <c r="B1706">
        <v>430</v>
      </c>
      <c r="C1706" s="8">
        <v>-12177.241400000001</v>
      </c>
      <c r="D1706" s="2">
        <v>-12178.573982</v>
      </c>
      <c r="F1706" s="3">
        <v>0.99746199999999996</v>
      </c>
      <c r="G1706" s="2">
        <v>0.2</v>
      </c>
      <c r="H1706">
        <v>5</v>
      </c>
      <c r="I1706">
        <v>8</v>
      </c>
      <c r="J1706" s="32"/>
      <c r="K1706" s="8">
        <f t="shared" si="182"/>
        <v>-1.3694076923093235</v>
      </c>
      <c r="L1706" s="8">
        <f t="shared" si="183"/>
        <v>-0.10533905325456334</v>
      </c>
      <c r="M1706" s="8">
        <f t="shared" si="184"/>
        <v>-1.1755895384612813</v>
      </c>
      <c r="N1706" s="8">
        <f t="shared" si="185"/>
        <v>-9.0429964497021648E-2</v>
      </c>
      <c r="O1706" s="8"/>
      <c r="P1706" t="s">
        <v>1992</v>
      </c>
      <c r="Q1706">
        <v>32</v>
      </c>
      <c r="R1706" s="8">
        <v>2.7997399999999999</v>
      </c>
      <c r="S1706">
        <v>10</v>
      </c>
      <c r="T1706" s="8">
        <f t="shared" si="186"/>
        <v>0.3125</v>
      </c>
      <c r="U1706" s="8">
        <v>2.82748</v>
      </c>
      <c r="V1706">
        <v>18</v>
      </c>
      <c r="W1706" s="8">
        <f t="shared" si="187"/>
        <v>0.5625</v>
      </c>
      <c r="X1706" s="8">
        <v>2.7830699999999999</v>
      </c>
      <c r="Y1706">
        <v>4</v>
      </c>
      <c r="Z1706" s="8">
        <f t="shared" si="188"/>
        <v>0.125</v>
      </c>
      <c r="AA1706" s="8">
        <v>2.8054700000000001</v>
      </c>
    </row>
    <row r="1707" spans="2:27" ht="15" customHeight="1" x14ac:dyDescent="0.25">
      <c r="B1707">
        <v>431</v>
      </c>
      <c r="C1707" s="8">
        <v>-12177.12</v>
      </c>
      <c r="D1707" s="2">
        <v>-12178.671418</v>
      </c>
      <c r="F1707" s="3">
        <v>0.99625200000000003</v>
      </c>
      <c r="G1707" s="2">
        <v>0.188329999999999</v>
      </c>
      <c r="H1707">
        <v>5</v>
      </c>
      <c r="I1707">
        <v>8</v>
      </c>
      <c r="J1707" s="32"/>
      <c r="K1707" s="8">
        <f t="shared" si="182"/>
        <v>-1.2480076923093293</v>
      </c>
      <c r="L1707" s="8">
        <f t="shared" si="183"/>
        <v>-9.6000591716102257E-2</v>
      </c>
      <c r="M1707" s="8">
        <f t="shared" si="184"/>
        <v>-1.2730255384612974</v>
      </c>
      <c r="N1707" s="8">
        <f t="shared" si="185"/>
        <v>-9.7925041420099806E-2</v>
      </c>
      <c r="O1707" s="8"/>
      <c r="P1707" t="s">
        <v>1993</v>
      </c>
      <c r="Q1707">
        <v>35</v>
      </c>
      <c r="R1707" s="8">
        <v>2.8267600000000002</v>
      </c>
      <c r="S1707">
        <v>12</v>
      </c>
      <c r="T1707" s="8">
        <f t="shared" si="186"/>
        <v>0.34285714285714286</v>
      </c>
      <c r="U1707" s="8">
        <v>2.8195000000000001</v>
      </c>
      <c r="V1707">
        <v>19</v>
      </c>
      <c r="W1707" s="8">
        <f t="shared" si="187"/>
        <v>0.54285714285714282</v>
      </c>
      <c r="X1707" s="8">
        <v>2.8307000000000002</v>
      </c>
      <c r="Y1707">
        <v>4</v>
      </c>
      <c r="Z1707" s="8">
        <f t="shared" si="188"/>
        <v>0.11428571428571428</v>
      </c>
      <c r="AA1707" s="8">
        <v>2.82978</v>
      </c>
    </row>
    <row r="1708" spans="2:27" ht="15" customHeight="1" x14ac:dyDescent="0.25">
      <c r="B1708">
        <v>432</v>
      </c>
      <c r="C1708" s="8">
        <v>-12177.236800000001</v>
      </c>
      <c r="D1708" s="2">
        <v>-12178.615932999999</v>
      </c>
      <c r="F1708" s="3">
        <v>0.99611700000000003</v>
      </c>
      <c r="G1708" s="2">
        <v>0.18726000000000001</v>
      </c>
      <c r="H1708">
        <v>5</v>
      </c>
      <c r="I1708">
        <v>8</v>
      </c>
      <c r="J1708" s="32"/>
      <c r="K1708" s="8">
        <f t="shared" si="182"/>
        <v>-1.3648076923091139</v>
      </c>
      <c r="L1708" s="8">
        <f t="shared" si="183"/>
        <v>-0.10498520710070107</v>
      </c>
      <c r="M1708" s="8">
        <f t="shared" si="184"/>
        <v>-1.2175405384605256</v>
      </c>
      <c r="N1708" s="8">
        <f t="shared" si="185"/>
        <v>-9.3656964496963507E-2</v>
      </c>
      <c r="O1708" s="8"/>
      <c r="P1708" t="s">
        <v>1994</v>
      </c>
      <c r="Q1708">
        <v>35</v>
      </c>
      <c r="R1708" s="8">
        <v>2.8320099999999999</v>
      </c>
      <c r="S1708">
        <v>11</v>
      </c>
      <c r="T1708" s="8">
        <f t="shared" si="186"/>
        <v>0.31428571428571428</v>
      </c>
      <c r="U1708" s="8">
        <v>2.8472300000000001</v>
      </c>
      <c r="V1708">
        <v>21</v>
      </c>
      <c r="W1708" s="8">
        <f t="shared" si="187"/>
        <v>0.6</v>
      </c>
      <c r="X1708" s="8">
        <v>2.8210099999999998</v>
      </c>
      <c r="Y1708">
        <v>3</v>
      </c>
      <c r="Z1708" s="8">
        <f t="shared" si="188"/>
        <v>8.5714285714285715E-2</v>
      </c>
      <c r="AA1708" s="8">
        <v>2.85317</v>
      </c>
    </row>
    <row r="1709" spans="2:27" ht="15" customHeight="1" x14ac:dyDescent="0.25">
      <c r="B1709">
        <v>433</v>
      </c>
      <c r="C1709" s="8">
        <v>-12177.149600000001</v>
      </c>
      <c r="D1709" s="2">
        <v>-12178.550909</v>
      </c>
      <c r="F1709" s="3">
        <v>0.99572000000000005</v>
      </c>
      <c r="G1709" s="2">
        <v>0.18426999999999899</v>
      </c>
      <c r="H1709">
        <v>5</v>
      </c>
      <c r="I1709">
        <v>8</v>
      </c>
      <c r="J1709" s="32"/>
      <c r="K1709" s="8">
        <f t="shared" si="182"/>
        <v>-1.277607692309175</v>
      </c>
      <c r="L1709" s="8">
        <f t="shared" si="183"/>
        <v>-9.8277514793013471E-2</v>
      </c>
      <c r="M1709" s="8">
        <f t="shared" si="184"/>
        <v>-1.1525165384609863</v>
      </c>
      <c r="N1709" s="8">
        <f t="shared" si="185"/>
        <v>-8.8655118343152789E-2</v>
      </c>
      <c r="O1709" s="8"/>
      <c r="P1709" t="s">
        <v>1995</v>
      </c>
      <c r="Q1709">
        <v>32</v>
      </c>
      <c r="R1709" s="8">
        <v>2.7982</v>
      </c>
      <c r="S1709">
        <v>11</v>
      </c>
      <c r="T1709" s="8">
        <f t="shared" si="186"/>
        <v>0.34375</v>
      </c>
      <c r="U1709" s="8">
        <v>2.7877399999999999</v>
      </c>
      <c r="V1709">
        <v>18</v>
      </c>
      <c r="W1709" s="8">
        <f t="shared" si="187"/>
        <v>0.5625</v>
      </c>
      <c r="X1709" s="8">
        <v>2.8145799999999999</v>
      </c>
      <c r="Y1709">
        <v>3</v>
      </c>
      <c r="Z1709" s="8">
        <f t="shared" si="188"/>
        <v>9.375E-2</v>
      </c>
      <c r="AA1709" s="8">
        <v>2.7383000000000002</v>
      </c>
    </row>
    <row r="1710" spans="2:27" ht="15" customHeight="1" x14ac:dyDescent="0.25">
      <c r="B1710">
        <v>434</v>
      </c>
      <c r="C1710" s="8">
        <v>-12177.085800000001</v>
      </c>
      <c r="D1710" s="2">
        <v>-12178.472556999999</v>
      </c>
      <c r="F1710" s="3">
        <v>0.99633499999999997</v>
      </c>
      <c r="G1710" s="2">
        <v>0.18889</v>
      </c>
      <c r="H1710">
        <v>5</v>
      </c>
      <c r="I1710">
        <v>8</v>
      </c>
      <c r="J1710" s="32"/>
      <c r="K1710" s="8">
        <f t="shared" si="182"/>
        <v>-1.213807692309274</v>
      </c>
      <c r="L1710" s="8">
        <f t="shared" si="183"/>
        <v>-9.3369822485328768E-2</v>
      </c>
      <c r="M1710" s="8">
        <f t="shared" si="184"/>
        <v>-1.0741645384605363</v>
      </c>
      <c r="N1710" s="8">
        <f t="shared" si="185"/>
        <v>-8.2628041420041251E-2</v>
      </c>
      <c r="O1710" s="8"/>
      <c r="P1710" t="s">
        <v>1996</v>
      </c>
      <c r="Q1710">
        <v>34</v>
      </c>
      <c r="R1710" s="8">
        <v>2.81887</v>
      </c>
      <c r="S1710">
        <v>11</v>
      </c>
      <c r="T1710" s="8">
        <f t="shared" si="186"/>
        <v>0.3235294117647059</v>
      </c>
      <c r="U1710" s="8">
        <v>2.7934899999999998</v>
      </c>
      <c r="V1710">
        <v>19</v>
      </c>
      <c r="W1710" s="8">
        <f t="shared" si="187"/>
        <v>0.55882352941176472</v>
      </c>
      <c r="X1710" s="8">
        <v>2.81996</v>
      </c>
      <c r="Y1710">
        <v>4</v>
      </c>
      <c r="Z1710" s="8">
        <f t="shared" si="188"/>
        <v>0.11764705882352941</v>
      </c>
      <c r="AA1710" s="8">
        <v>2.8835299999999999</v>
      </c>
    </row>
    <row r="1711" spans="2:27" ht="15" customHeight="1" x14ac:dyDescent="0.25">
      <c r="B1711">
        <v>435</v>
      </c>
      <c r="C1711" s="8">
        <v>-12177.1672</v>
      </c>
      <c r="D1711" s="2">
        <v>-12178.696341000001</v>
      </c>
      <c r="F1711" s="3">
        <v>0.99792599999999998</v>
      </c>
      <c r="G1711" s="2">
        <v>0.20610000000000001</v>
      </c>
      <c r="H1711">
        <v>5</v>
      </c>
      <c r="I1711">
        <v>8</v>
      </c>
      <c r="J1711" s="32"/>
      <c r="K1711" s="8">
        <f t="shared" si="182"/>
        <v>-1.2952076923083951</v>
      </c>
      <c r="L1711" s="8">
        <f t="shared" si="183"/>
        <v>-9.9631360946799613E-2</v>
      </c>
      <c r="M1711" s="8">
        <f t="shared" si="184"/>
        <v>-1.2979485384621512</v>
      </c>
      <c r="N1711" s="8">
        <f t="shared" si="185"/>
        <v>-9.9842195266319322E-2</v>
      </c>
      <c r="O1711" s="8"/>
      <c r="P1711" t="s">
        <v>1997</v>
      </c>
      <c r="Q1711">
        <v>32</v>
      </c>
      <c r="R1711" s="8">
        <v>2.79508</v>
      </c>
      <c r="S1711">
        <v>10</v>
      </c>
      <c r="T1711" s="8">
        <f t="shared" si="186"/>
        <v>0.3125</v>
      </c>
      <c r="U1711" s="8">
        <v>2.8005300000000002</v>
      </c>
      <c r="V1711">
        <v>20</v>
      </c>
      <c r="W1711" s="8">
        <f t="shared" si="187"/>
        <v>0.625</v>
      </c>
      <c r="X1711" s="8">
        <v>2.7983799999999999</v>
      </c>
      <c r="Y1711">
        <v>2</v>
      </c>
      <c r="Z1711" s="8">
        <f t="shared" si="188"/>
        <v>6.25E-2</v>
      </c>
      <c r="AA1711" s="8">
        <v>2.73488</v>
      </c>
    </row>
    <row r="1712" spans="2:27" ht="15" customHeight="1" x14ac:dyDescent="0.25">
      <c r="B1712">
        <v>436</v>
      </c>
      <c r="C1712" s="8">
        <v>-12176.562599999999</v>
      </c>
      <c r="D1712" s="2">
        <v>-12178.613082</v>
      </c>
      <c r="F1712" s="3">
        <v>0.99717699999999998</v>
      </c>
      <c r="G1712" s="2">
        <v>0.19678999999999999</v>
      </c>
      <c r="H1712">
        <v>5</v>
      </c>
      <c r="I1712">
        <v>8</v>
      </c>
      <c r="J1712" s="32"/>
      <c r="K1712" s="8">
        <f t="shared" si="182"/>
        <v>-0.69060769230782171</v>
      </c>
      <c r="L1712" s="8">
        <f t="shared" si="183"/>
        <v>-5.3123668639063211E-2</v>
      </c>
      <c r="M1712" s="8">
        <f t="shared" si="184"/>
        <v>-1.2146895384612435</v>
      </c>
      <c r="N1712" s="8">
        <f t="shared" si="185"/>
        <v>-9.3437656804711042E-2</v>
      </c>
      <c r="O1712" s="8"/>
      <c r="P1712" t="s">
        <v>1998</v>
      </c>
      <c r="Q1712">
        <v>36</v>
      </c>
      <c r="R1712" s="8">
        <v>2.8299799999999999</v>
      </c>
      <c r="S1712">
        <v>15</v>
      </c>
      <c r="T1712" s="8">
        <f t="shared" si="186"/>
        <v>0.41666666666666669</v>
      </c>
      <c r="U1712" s="8">
        <v>2.8554599999999999</v>
      </c>
      <c r="V1712">
        <v>17</v>
      </c>
      <c r="W1712" s="8">
        <f t="shared" si="187"/>
        <v>0.47222222222222221</v>
      </c>
      <c r="X1712" s="8">
        <v>2.8040099999999999</v>
      </c>
      <c r="Y1712">
        <v>4</v>
      </c>
      <c r="Z1712" s="8">
        <f t="shared" si="188"/>
        <v>0.1111111111111111</v>
      </c>
      <c r="AA1712" s="8">
        <v>2.8448500000000001</v>
      </c>
    </row>
    <row r="1713" spans="2:27" ht="15" customHeight="1" x14ac:dyDescent="0.25">
      <c r="B1713">
        <v>437</v>
      </c>
      <c r="C1713" s="8">
        <v>-12176.554899999999</v>
      </c>
      <c r="D1713" s="2">
        <v>-12178.91077</v>
      </c>
      <c r="F1713" s="3">
        <v>0.99787599999999999</v>
      </c>
      <c r="G1713" s="2">
        <v>0.20577000000000001</v>
      </c>
      <c r="H1713">
        <v>5</v>
      </c>
      <c r="I1713">
        <v>8</v>
      </c>
      <c r="J1713" s="32"/>
      <c r="K1713" s="8">
        <f t="shared" si="182"/>
        <v>-0.6829076923077082</v>
      </c>
      <c r="L1713" s="8">
        <f t="shared" si="183"/>
        <v>-5.2531360946746784E-2</v>
      </c>
      <c r="M1713" s="8">
        <f t="shared" si="184"/>
        <v>-1.5123775384618057</v>
      </c>
      <c r="N1713" s="8">
        <f t="shared" si="185"/>
        <v>-0.11633673372783121</v>
      </c>
      <c r="O1713" s="8"/>
      <c r="P1713" t="s">
        <v>1999</v>
      </c>
      <c r="Q1713">
        <v>35</v>
      </c>
      <c r="R1713" s="8">
        <v>2.8208799999999998</v>
      </c>
      <c r="S1713">
        <v>13</v>
      </c>
      <c r="T1713" s="8">
        <f t="shared" si="186"/>
        <v>0.37142857142857144</v>
      </c>
      <c r="U1713" s="8">
        <v>2.8209599999999999</v>
      </c>
      <c r="V1713">
        <v>17</v>
      </c>
      <c r="W1713" s="8">
        <f t="shared" si="187"/>
        <v>0.48571428571428571</v>
      </c>
      <c r="X1713" s="8">
        <v>2.80565</v>
      </c>
      <c r="Y1713">
        <v>5</v>
      </c>
      <c r="Z1713" s="8">
        <f t="shared" si="188"/>
        <v>0.14285714285714285</v>
      </c>
      <c r="AA1713" s="8">
        <v>2.87242</v>
      </c>
    </row>
    <row r="1714" spans="2:27" ht="15" customHeight="1" x14ac:dyDescent="0.25">
      <c r="B1714">
        <v>438</v>
      </c>
      <c r="C1714" s="8">
        <v>-12176.759099999999</v>
      </c>
      <c r="D1714" s="2">
        <v>-12179.08135</v>
      </c>
      <c r="F1714" s="3">
        <v>0.99466600000000005</v>
      </c>
      <c r="G1714" s="2">
        <v>0.177729999999999</v>
      </c>
      <c r="H1714">
        <v>5</v>
      </c>
      <c r="I1714">
        <v>8</v>
      </c>
      <c r="J1714" s="32"/>
      <c r="K1714" s="8">
        <f t="shared" si="182"/>
        <v>-0.88710769230783626</v>
      </c>
      <c r="L1714" s="8">
        <f t="shared" si="183"/>
        <v>-6.8239053254448942E-2</v>
      </c>
      <c r="M1714" s="8">
        <f t="shared" si="184"/>
        <v>-1.6829575384617783</v>
      </c>
      <c r="N1714" s="8">
        <f t="shared" si="185"/>
        <v>-0.12945827218936756</v>
      </c>
      <c r="O1714" s="8"/>
      <c r="P1714" t="s">
        <v>2000</v>
      </c>
      <c r="Q1714">
        <v>36</v>
      </c>
      <c r="R1714" s="8">
        <v>2.8326600000000002</v>
      </c>
      <c r="S1714">
        <v>14</v>
      </c>
      <c r="T1714" s="8">
        <f t="shared" si="186"/>
        <v>0.3888888888888889</v>
      </c>
      <c r="U1714" s="8">
        <v>2.8626499999999999</v>
      </c>
      <c r="V1714">
        <v>18</v>
      </c>
      <c r="W1714" s="8">
        <f t="shared" si="187"/>
        <v>0.5</v>
      </c>
      <c r="X1714" s="8">
        <v>2.8026200000000001</v>
      </c>
      <c r="Y1714">
        <v>4</v>
      </c>
      <c r="Z1714" s="8">
        <f t="shared" si="188"/>
        <v>0.1111111111111111</v>
      </c>
      <c r="AA1714" s="8">
        <v>2.8628300000000002</v>
      </c>
    </row>
    <row r="1715" spans="2:27" ht="15" customHeight="1" x14ac:dyDescent="0.25">
      <c r="B1715">
        <v>439</v>
      </c>
      <c r="C1715" s="8">
        <v>-12176.3321</v>
      </c>
      <c r="D1715" s="2">
        <v>-12177.867602</v>
      </c>
      <c r="F1715" s="3">
        <v>0.99524900000000005</v>
      </c>
      <c r="G1715" s="2">
        <v>0.17996999999999999</v>
      </c>
      <c r="H1715">
        <v>5</v>
      </c>
      <c r="I1715">
        <v>8</v>
      </c>
      <c r="J1715" s="32"/>
      <c r="K1715" s="8">
        <f t="shared" si="182"/>
        <v>-0.4601076923081564</v>
      </c>
      <c r="L1715" s="8">
        <f t="shared" si="183"/>
        <v>-3.5392899408319724E-2</v>
      </c>
      <c r="M1715" s="8">
        <f t="shared" si="184"/>
        <v>-0.46920953846165503</v>
      </c>
      <c r="N1715" s="8">
        <f t="shared" si="185"/>
        <v>-3.6093041420127307E-2</v>
      </c>
      <c r="O1715" s="8"/>
      <c r="P1715" t="s">
        <v>2001</v>
      </c>
      <c r="Q1715">
        <v>36</v>
      </c>
      <c r="R1715" s="8">
        <v>2.8357100000000002</v>
      </c>
      <c r="S1715">
        <v>17</v>
      </c>
      <c r="T1715" s="8">
        <f t="shared" si="186"/>
        <v>0.47222222222222221</v>
      </c>
      <c r="U1715" s="8">
        <v>2.8685499999999999</v>
      </c>
      <c r="V1715">
        <v>14</v>
      </c>
      <c r="W1715" s="8">
        <f t="shared" si="187"/>
        <v>0.3888888888888889</v>
      </c>
      <c r="X1715" s="8">
        <v>2.7972999999999999</v>
      </c>
      <c r="Y1715">
        <v>5</v>
      </c>
      <c r="Z1715" s="8">
        <f t="shared" si="188"/>
        <v>0.1388888888888889</v>
      </c>
      <c r="AA1715" s="8">
        <v>2.8316300000000001</v>
      </c>
    </row>
    <row r="1716" spans="2:27" ht="15" customHeight="1" x14ac:dyDescent="0.25">
      <c r="B1716">
        <v>440</v>
      </c>
      <c r="C1716" s="8">
        <v>-12176.614600000001</v>
      </c>
      <c r="D1716" s="2">
        <v>-12178.120322999999</v>
      </c>
      <c r="F1716" s="3">
        <v>0.99443899999999996</v>
      </c>
      <c r="G1716" s="2">
        <v>0.17646000000000001</v>
      </c>
      <c r="H1716">
        <v>5</v>
      </c>
      <c r="I1716">
        <v>8</v>
      </c>
      <c r="J1716" s="32"/>
      <c r="K1716" s="8">
        <f t="shared" si="182"/>
        <v>-0.74260769230932056</v>
      </c>
      <c r="L1716" s="8">
        <f t="shared" si="183"/>
        <v>-5.7123668639178504E-2</v>
      </c>
      <c r="M1716" s="8">
        <f t="shared" si="184"/>
        <v>-0.72193053846058319</v>
      </c>
      <c r="N1716" s="8">
        <f t="shared" si="185"/>
        <v>-5.5533118343121787E-2</v>
      </c>
      <c r="O1716" s="8"/>
      <c r="P1716" t="s">
        <v>2002</v>
      </c>
      <c r="Q1716">
        <v>35</v>
      </c>
      <c r="R1716" s="8">
        <v>2.8248199999999999</v>
      </c>
      <c r="S1716">
        <v>15</v>
      </c>
      <c r="T1716" s="8">
        <f t="shared" si="186"/>
        <v>0.42857142857142855</v>
      </c>
      <c r="U1716" s="8">
        <v>2.8693499999999998</v>
      </c>
      <c r="V1716">
        <v>18</v>
      </c>
      <c r="W1716" s="8">
        <f t="shared" si="187"/>
        <v>0.51428571428571423</v>
      </c>
      <c r="X1716" s="8">
        <v>2.7914699999999999</v>
      </c>
      <c r="Y1716">
        <v>2</v>
      </c>
      <c r="Z1716" s="8">
        <f t="shared" si="188"/>
        <v>5.7142857142857141E-2</v>
      </c>
      <c r="AA1716" s="8">
        <v>2.7910200000000001</v>
      </c>
    </row>
    <row r="1717" spans="2:27" ht="15" customHeight="1" x14ac:dyDescent="0.25">
      <c r="B1717">
        <v>441</v>
      </c>
      <c r="C1717" s="8">
        <v>-12176.7084</v>
      </c>
      <c r="D1717" s="2">
        <v>-12178.752829999999</v>
      </c>
      <c r="F1717" s="3">
        <v>0.99674200000000002</v>
      </c>
      <c r="G1717" s="2">
        <v>0.19253999999999999</v>
      </c>
      <c r="H1717">
        <v>5</v>
      </c>
      <c r="I1717">
        <v>8</v>
      </c>
      <c r="J1717" s="32"/>
      <c r="K1717" s="8">
        <f t="shared" si="182"/>
        <v>-0.83640769230805745</v>
      </c>
      <c r="L1717" s="8">
        <f t="shared" si="183"/>
        <v>-6.4339053254465955E-2</v>
      </c>
      <c r="M1717" s="8">
        <f t="shared" si="184"/>
        <v>-1.3544375384608429</v>
      </c>
      <c r="N1717" s="8">
        <f t="shared" si="185"/>
        <v>-0.10418750295852638</v>
      </c>
      <c r="O1717" s="8"/>
      <c r="P1717" t="s">
        <v>2003</v>
      </c>
      <c r="Q1717">
        <v>36</v>
      </c>
      <c r="R1717" s="8">
        <v>2.83087</v>
      </c>
      <c r="S1717">
        <v>14</v>
      </c>
      <c r="T1717" s="8">
        <f t="shared" si="186"/>
        <v>0.3888888888888889</v>
      </c>
      <c r="U1717" s="8">
        <v>2.8495400000000002</v>
      </c>
      <c r="V1717">
        <v>18</v>
      </c>
      <c r="W1717" s="8">
        <f t="shared" si="187"/>
        <v>0.5</v>
      </c>
      <c r="X1717" s="8">
        <v>2.8166000000000002</v>
      </c>
      <c r="Y1717">
        <v>4</v>
      </c>
      <c r="Z1717" s="8">
        <f t="shared" si="188"/>
        <v>0.1111111111111111</v>
      </c>
      <c r="AA1717" s="8">
        <v>2.82979</v>
      </c>
    </row>
    <row r="1718" spans="2:27" ht="15" customHeight="1" x14ac:dyDescent="0.25">
      <c r="B1718" s="43">
        <v>442</v>
      </c>
      <c r="C1718" s="8">
        <v>-12176.883335</v>
      </c>
      <c r="D1718" s="2">
        <v>-12178.892512</v>
      </c>
      <c r="F1718" s="3">
        <v>0.99612800000000001</v>
      </c>
      <c r="G1718" s="2">
        <v>0.18739</v>
      </c>
      <c r="H1718">
        <v>5</v>
      </c>
      <c r="I1718">
        <v>8</v>
      </c>
      <c r="J1718" s="32"/>
      <c r="K1718" s="8">
        <f t="shared" si="182"/>
        <v>-1.0113426923089719</v>
      </c>
      <c r="L1718" s="8">
        <f t="shared" si="183"/>
        <v>-7.7795591716074766E-2</v>
      </c>
      <c r="M1718" s="8">
        <f t="shared" si="184"/>
        <v>-1.4941195384617458</v>
      </c>
      <c r="N1718" s="8">
        <f t="shared" si="185"/>
        <v>-0.11493227218936507</v>
      </c>
      <c r="O1718" s="8"/>
      <c r="P1718" t="s">
        <v>2004</v>
      </c>
      <c r="Q1718">
        <v>36</v>
      </c>
      <c r="R1718" s="8">
        <v>2.8300700000000001</v>
      </c>
      <c r="S1718">
        <v>13</v>
      </c>
      <c r="T1718" s="8">
        <f t="shared" si="186"/>
        <v>0.3611111111111111</v>
      </c>
      <c r="U1718" s="8">
        <v>2.8454000000000002</v>
      </c>
      <c r="V1718">
        <v>20</v>
      </c>
      <c r="W1718" s="8">
        <f t="shared" si="187"/>
        <v>0.55555555555555558</v>
      </c>
      <c r="X1718" s="8">
        <v>2.8195100000000002</v>
      </c>
      <c r="Y1718">
        <v>3</v>
      </c>
      <c r="Z1718" s="8">
        <f t="shared" si="188"/>
        <v>8.3333333333333329E-2</v>
      </c>
      <c r="AA1718" s="8">
        <v>2.83405</v>
      </c>
    </row>
    <row r="1719" spans="2:27" ht="15" customHeight="1" x14ac:dyDescent="0.25">
      <c r="B1719">
        <v>443</v>
      </c>
      <c r="C1719" s="8">
        <v>-12176.587100000001</v>
      </c>
      <c r="D1719" s="2">
        <v>-12178.276981000001</v>
      </c>
      <c r="F1719" s="3">
        <v>0.99579099999999998</v>
      </c>
      <c r="G1719" s="2">
        <v>0.18495999999999899</v>
      </c>
      <c r="H1719">
        <v>5</v>
      </c>
      <c r="I1719">
        <v>8</v>
      </c>
      <c r="J1719" s="32"/>
      <c r="K1719" s="8">
        <f t="shared" si="182"/>
        <v>-0.71510769230917504</v>
      </c>
      <c r="L1719" s="8">
        <f t="shared" si="183"/>
        <v>-5.5008284023782696E-2</v>
      </c>
      <c r="M1719" s="8">
        <f t="shared" si="184"/>
        <v>-0.87858853846228158</v>
      </c>
      <c r="N1719" s="8">
        <f t="shared" si="185"/>
        <v>-6.7583733727867815E-2</v>
      </c>
      <c r="O1719" s="8"/>
      <c r="P1719" t="s">
        <v>2005</v>
      </c>
      <c r="Q1719">
        <v>36</v>
      </c>
      <c r="R1719" s="8">
        <v>2.8301099999999999</v>
      </c>
      <c r="S1719">
        <v>15</v>
      </c>
      <c r="T1719" s="8">
        <f t="shared" si="186"/>
        <v>0.41666666666666669</v>
      </c>
      <c r="U1719" s="8">
        <v>2.8587500000000001</v>
      </c>
      <c r="V1719">
        <v>18</v>
      </c>
      <c r="W1719" s="8">
        <f t="shared" si="187"/>
        <v>0.5</v>
      </c>
      <c r="X1719" s="8">
        <v>2.8056299999999998</v>
      </c>
      <c r="Y1719">
        <v>3</v>
      </c>
      <c r="Z1719" s="8">
        <f t="shared" si="188"/>
        <v>8.3333333333333329E-2</v>
      </c>
      <c r="AA1719" s="8">
        <v>2.83372</v>
      </c>
    </row>
    <row r="1720" spans="2:27" ht="15" customHeight="1" x14ac:dyDescent="0.25">
      <c r="B1720" s="40">
        <v>444</v>
      </c>
      <c r="C1720" s="40">
        <v>-12176.67045</v>
      </c>
      <c r="D1720" s="41">
        <v>-12178.666149999999</v>
      </c>
      <c r="E1720" s="40"/>
      <c r="F1720" s="42">
        <v>-0.99464399999999997</v>
      </c>
      <c r="G1720" s="41">
        <v>0.17756999999999901</v>
      </c>
      <c r="H1720" s="40">
        <v>5</v>
      </c>
      <c r="I1720" s="40">
        <v>8</v>
      </c>
      <c r="J1720" s="32"/>
      <c r="K1720" s="8">
        <f t="shared" si="182"/>
        <v>-0.79845769230814767</v>
      </c>
      <c r="L1720" s="8">
        <f t="shared" si="183"/>
        <v>-6.141982248524213E-2</v>
      </c>
      <c r="M1720" s="8">
        <f t="shared" si="184"/>
        <v>-1.2677575384605007</v>
      </c>
      <c r="N1720" s="8">
        <f t="shared" si="185"/>
        <v>-9.7519810650807739E-2</v>
      </c>
      <c r="O1720" s="8"/>
      <c r="P1720" t="s">
        <v>2006</v>
      </c>
      <c r="Q1720">
        <v>35</v>
      </c>
      <c r="R1720" s="8">
        <v>2.8204699999999998</v>
      </c>
      <c r="S1720">
        <v>12</v>
      </c>
      <c r="T1720" s="8">
        <f t="shared" si="186"/>
        <v>0.34285714285714286</v>
      </c>
      <c r="U1720" s="8">
        <v>2.8154499999999998</v>
      </c>
      <c r="V1720">
        <v>19</v>
      </c>
      <c r="W1720" s="8">
        <f t="shared" si="187"/>
        <v>0.54285714285714282</v>
      </c>
      <c r="X1720" s="8">
        <v>2.8117399999999999</v>
      </c>
      <c r="Y1720">
        <v>4</v>
      </c>
      <c r="Z1720" s="8">
        <f t="shared" si="188"/>
        <v>0.11428571428571428</v>
      </c>
      <c r="AA1720" s="8">
        <v>2.8769499999999999</v>
      </c>
    </row>
    <row r="1721" spans="2:27" ht="15" customHeight="1" x14ac:dyDescent="0.25">
      <c r="B1721">
        <v>445</v>
      </c>
      <c r="C1721" s="8">
        <v>-12176.752500000001</v>
      </c>
      <c r="D1721" s="2">
        <v>-12178.677092</v>
      </c>
      <c r="F1721" s="3">
        <v>0.99224699999999999</v>
      </c>
      <c r="G1721" s="2">
        <v>0.16639999999999999</v>
      </c>
      <c r="H1721">
        <v>5</v>
      </c>
      <c r="I1721">
        <v>8</v>
      </c>
      <c r="J1721" s="32"/>
      <c r="K1721" s="8">
        <f t="shared" si="182"/>
        <v>-0.88050769230903825</v>
      </c>
      <c r="L1721" s="8">
        <f t="shared" si="183"/>
        <v>-6.773136094684909E-2</v>
      </c>
      <c r="M1721" s="8">
        <f t="shared" si="184"/>
        <v>-1.2786995384612965</v>
      </c>
      <c r="N1721" s="8">
        <f t="shared" si="185"/>
        <v>-9.8361502958561262E-2</v>
      </c>
      <c r="O1721" s="8"/>
      <c r="P1721" t="s">
        <v>2007</v>
      </c>
      <c r="Q1721">
        <v>35</v>
      </c>
      <c r="R1721" s="8">
        <v>2.8246899999999999</v>
      </c>
      <c r="S1721">
        <v>13</v>
      </c>
      <c r="T1721" s="8">
        <f t="shared" si="186"/>
        <v>0.37142857142857144</v>
      </c>
      <c r="U1721" s="8">
        <v>2.8451499999999998</v>
      </c>
      <c r="V1721">
        <v>19</v>
      </c>
      <c r="W1721" s="8">
        <f t="shared" si="187"/>
        <v>0.54285714285714282</v>
      </c>
      <c r="X1721" s="8">
        <v>2.8127900000000001</v>
      </c>
      <c r="Y1721">
        <v>3</v>
      </c>
      <c r="Z1721" s="8">
        <f t="shared" si="188"/>
        <v>8.5714285714285715E-2</v>
      </c>
      <c r="AA1721" s="8">
        <v>2.8113600000000001</v>
      </c>
    </row>
    <row r="1722" spans="2:27" ht="15" customHeight="1" x14ac:dyDescent="0.25">
      <c r="B1722">
        <v>446</v>
      </c>
      <c r="C1722" s="8">
        <v>-12176.520399999999</v>
      </c>
      <c r="D1722" s="2">
        <v>-12178.411926000001</v>
      </c>
      <c r="F1722" s="3">
        <v>0.99536100000000005</v>
      </c>
      <c r="G1722" s="2">
        <v>0.18198</v>
      </c>
      <c r="H1722">
        <v>5</v>
      </c>
      <c r="I1722">
        <v>8</v>
      </c>
      <c r="J1722" s="32"/>
      <c r="K1722" s="8">
        <f t="shared" si="182"/>
        <v>-0.64840769230795559</v>
      </c>
      <c r="L1722" s="8">
        <f t="shared" si="183"/>
        <v>-4.9877514792919658E-2</v>
      </c>
      <c r="M1722" s="8">
        <f t="shared" si="184"/>
        <v>-1.0135335384620703</v>
      </c>
      <c r="N1722" s="8">
        <f t="shared" si="185"/>
        <v>-7.7964118343236175E-2</v>
      </c>
      <c r="O1722" s="8"/>
      <c r="P1722" t="s">
        <v>2008</v>
      </c>
      <c r="Q1722">
        <v>35</v>
      </c>
      <c r="R1722" s="8">
        <v>2.8250500000000001</v>
      </c>
      <c r="S1722">
        <v>14</v>
      </c>
      <c r="T1722" s="8">
        <f t="shared" si="186"/>
        <v>0.4</v>
      </c>
      <c r="U1722" s="8">
        <v>2.8446600000000002</v>
      </c>
      <c r="V1722">
        <v>18</v>
      </c>
      <c r="W1722" s="8">
        <f t="shared" si="187"/>
        <v>0.51428571428571423</v>
      </c>
      <c r="X1722" s="8">
        <v>2.8094299999999999</v>
      </c>
      <c r="Y1722">
        <v>3</v>
      </c>
      <c r="Z1722" s="8">
        <f t="shared" si="188"/>
        <v>8.5714285714285715E-2</v>
      </c>
      <c r="AA1722" s="8">
        <v>2.8272599999999999</v>
      </c>
    </row>
    <row r="1723" spans="2:27" ht="15" customHeight="1" x14ac:dyDescent="0.25">
      <c r="B1723">
        <v>447</v>
      </c>
      <c r="C1723" s="8">
        <v>-12176.7399</v>
      </c>
      <c r="D1723" s="2">
        <v>-12178.700945000001</v>
      </c>
      <c r="F1723" s="3">
        <v>0.99509300000000001</v>
      </c>
      <c r="G1723" s="2">
        <v>0.180229999999999</v>
      </c>
      <c r="H1723">
        <v>5</v>
      </c>
      <c r="I1723">
        <v>8</v>
      </c>
      <c r="J1723" s="32"/>
      <c r="K1723" s="8">
        <f t="shared" si="182"/>
        <v>-0.86790769230901788</v>
      </c>
      <c r="L1723" s="8">
        <f t="shared" si="183"/>
        <v>-6.6762130177616757E-2</v>
      </c>
      <c r="M1723" s="8">
        <f t="shared" si="184"/>
        <v>-1.3025525384618959</v>
      </c>
      <c r="N1723" s="8">
        <f t="shared" si="185"/>
        <v>-0.10019634911245354</v>
      </c>
      <c r="O1723" s="8"/>
      <c r="P1723" t="s">
        <v>2009</v>
      </c>
      <c r="Q1723">
        <v>36</v>
      </c>
      <c r="R1723" s="8">
        <v>2.8314499999999998</v>
      </c>
      <c r="S1723">
        <v>14</v>
      </c>
      <c r="T1723" s="8">
        <f t="shared" si="186"/>
        <v>0.3888888888888889</v>
      </c>
      <c r="U1723" s="8">
        <v>2.8449900000000001</v>
      </c>
      <c r="V1723">
        <v>17</v>
      </c>
      <c r="W1723" s="8">
        <f t="shared" si="187"/>
        <v>0.47222222222222221</v>
      </c>
      <c r="X1723" s="8">
        <v>2.8185899999999999</v>
      </c>
      <c r="Y1723">
        <v>5</v>
      </c>
      <c r="Z1723" s="8">
        <f t="shared" si="188"/>
        <v>0.1388888888888889</v>
      </c>
      <c r="AA1723" s="8">
        <v>2.8372700000000002</v>
      </c>
    </row>
    <row r="1724" spans="2:27" ht="15" customHeight="1" x14ac:dyDescent="0.25">
      <c r="B1724">
        <v>448</v>
      </c>
      <c r="C1724" s="8">
        <v>-12176.7302</v>
      </c>
      <c r="D1724" s="2">
        <v>-12178.431317</v>
      </c>
      <c r="F1724" s="3">
        <v>0.99607900000000005</v>
      </c>
      <c r="G1724" s="2">
        <v>0.18703</v>
      </c>
      <c r="H1724">
        <v>5</v>
      </c>
      <c r="I1724">
        <v>8</v>
      </c>
      <c r="J1724" s="32"/>
      <c r="K1724" s="8">
        <f t="shared" si="182"/>
        <v>-0.85820769230849692</v>
      </c>
      <c r="L1724" s="8">
        <f t="shared" si="183"/>
        <v>-6.6015976331422838E-2</v>
      </c>
      <c r="M1724" s="8">
        <f t="shared" si="184"/>
        <v>-1.0329245384618844</v>
      </c>
      <c r="N1724" s="8">
        <f t="shared" si="185"/>
        <v>-7.9455733727837263E-2</v>
      </c>
      <c r="O1724" s="8"/>
      <c r="P1724" t="s">
        <v>2010</v>
      </c>
      <c r="Q1724">
        <v>35</v>
      </c>
      <c r="R1724" s="8">
        <v>2.8307699999999998</v>
      </c>
      <c r="S1724">
        <v>13</v>
      </c>
      <c r="T1724" s="8">
        <f t="shared" si="186"/>
        <v>0.37142857142857144</v>
      </c>
      <c r="U1724" s="8">
        <v>2.8414600000000001</v>
      </c>
      <c r="V1724">
        <v>17</v>
      </c>
      <c r="W1724" s="8">
        <f t="shared" si="187"/>
        <v>0.48571428571428571</v>
      </c>
      <c r="X1724" s="8">
        <v>2.7986499999999999</v>
      </c>
      <c r="Y1724">
        <v>5</v>
      </c>
      <c r="Z1724" s="8">
        <f t="shared" si="188"/>
        <v>0.14285714285714285</v>
      </c>
      <c r="AA1724" s="8">
        <v>2.9121600000000001</v>
      </c>
    </row>
    <row r="1725" spans="2:27" ht="15" customHeight="1" x14ac:dyDescent="0.25">
      <c r="B1725">
        <v>449</v>
      </c>
      <c r="C1725" s="8">
        <v>-12176.8125</v>
      </c>
      <c r="D1725" s="2">
        <v>-12178.698664</v>
      </c>
      <c r="F1725" s="3">
        <v>0.99378500000000003</v>
      </c>
      <c r="G1725" s="2">
        <v>0.17313999999999999</v>
      </c>
      <c r="H1725">
        <v>5</v>
      </c>
      <c r="I1725">
        <v>8</v>
      </c>
      <c r="J1725" s="32"/>
      <c r="K1725" s="8">
        <f t="shared" si="182"/>
        <v>-0.94050769230852893</v>
      </c>
      <c r="L1725" s="8">
        <f t="shared" si="183"/>
        <v>-7.2346745562194531E-2</v>
      </c>
      <c r="M1725" s="8">
        <f t="shared" si="184"/>
        <v>-1.3002715384609473</v>
      </c>
      <c r="N1725" s="8">
        <f t="shared" si="185"/>
        <v>-0.10002088757391903</v>
      </c>
      <c r="O1725" s="8"/>
      <c r="P1725" t="s">
        <v>2011</v>
      </c>
      <c r="Q1725">
        <v>35</v>
      </c>
      <c r="R1725" s="8">
        <v>2.82829</v>
      </c>
      <c r="S1725">
        <v>14</v>
      </c>
      <c r="T1725" s="8">
        <f t="shared" si="186"/>
        <v>0.4</v>
      </c>
      <c r="U1725" s="8">
        <v>2.8670900000000001</v>
      </c>
      <c r="V1725">
        <v>17</v>
      </c>
      <c r="W1725" s="8">
        <f t="shared" si="187"/>
        <v>0.48571428571428571</v>
      </c>
      <c r="X1725" s="8">
        <v>2.7894299999999999</v>
      </c>
      <c r="Y1725">
        <v>4</v>
      </c>
      <c r="Z1725" s="8">
        <f t="shared" si="188"/>
        <v>0.11428571428571428</v>
      </c>
      <c r="AA1725" s="8">
        <v>2.8576000000000001</v>
      </c>
    </row>
    <row r="1726" spans="2:27" ht="15" customHeight="1" x14ac:dyDescent="0.25">
      <c r="B1726">
        <v>450</v>
      </c>
      <c r="C1726" s="8">
        <v>-12176.462600000001</v>
      </c>
      <c r="D1726" s="2">
        <v>-12178.176969</v>
      </c>
      <c r="F1726" s="3">
        <v>0.99598200000000003</v>
      </c>
      <c r="G1726" s="2">
        <v>0.18625</v>
      </c>
      <c r="H1726">
        <v>5</v>
      </c>
      <c r="I1726">
        <v>8</v>
      </c>
      <c r="J1726" s="32"/>
      <c r="K1726" s="8">
        <f t="shared" si="182"/>
        <v>-0.5906076923092769</v>
      </c>
      <c r="L1726" s="8">
        <f t="shared" si="183"/>
        <v>-4.5431360946867456E-2</v>
      </c>
      <c r="M1726" s="8">
        <f t="shared" si="184"/>
        <v>-0.77857653846149333</v>
      </c>
      <c r="N1726" s="8">
        <f t="shared" si="185"/>
        <v>-5.9890502958576411E-2</v>
      </c>
      <c r="O1726" s="8"/>
      <c r="P1726" t="s">
        <v>2012</v>
      </c>
      <c r="Q1726">
        <v>34</v>
      </c>
      <c r="R1726" s="8">
        <v>2.8149600000000001</v>
      </c>
      <c r="S1726">
        <v>14</v>
      </c>
      <c r="T1726" s="8">
        <f t="shared" si="186"/>
        <v>0.41176470588235292</v>
      </c>
      <c r="U1726" s="8">
        <v>2.8382200000000002</v>
      </c>
      <c r="V1726">
        <v>16</v>
      </c>
      <c r="W1726" s="8">
        <f t="shared" si="187"/>
        <v>0.47058823529411764</v>
      </c>
      <c r="X1726" s="8">
        <v>2.7905799999999998</v>
      </c>
      <c r="Y1726">
        <v>4</v>
      </c>
      <c r="Z1726" s="8">
        <f t="shared" si="188"/>
        <v>0.11764705882352941</v>
      </c>
      <c r="AA1726" s="8">
        <v>2.8310900000000001</v>
      </c>
    </row>
    <row r="1727" spans="2:27" ht="15" customHeight="1" x14ac:dyDescent="0.25">
      <c r="B1727">
        <v>451</v>
      </c>
      <c r="C1727" s="8">
        <v>-12176.710300000001</v>
      </c>
      <c r="D1727" s="2">
        <v>-12178.384974000001</v>
      </c>
      <c r="F1727" s="3">
        <v>0.99475499999999994</v>
      </c>
      <c r="G1727" s="2">
        <v>0.17823</v>
      </c>
      <c r="H1727">
        <v>5</v>
      </c>
      <c r="I1727">
        <v>8</v>
      </c>
      <c r="J1727" s="32"/>
      <c r="K1727" s="8">
        <f t="shared" si="182"/>
        <v>-0.83830769230917213</v>
      </c>
      <c r="L1727" s="8">
        <f t="shared" si="183"/>
        <v>-6.4485207100705544E-2</v>
      </c>
      <c r="M1727" s="8">
        <f t="shared" si="184"/>
        <v>-0.98658153846190544</v>
      </c>
      <c r="N1727" s="8">
        <f t="shared" si="185"/>
        <v>-7.5890887573992732E-2</v>
      </c>
      <c r="O1727" s="8"/>
      <c r="P1727" t="s">
        <v>2013</v>
      </c>
      <c r="Q1727">
        <v>35</v>
      </c>
      <c r="R1727" s="8">
        <v>2.8244500000000001</v>
      </c>
      <c r="S1727">
        <v>12</v>
      </c>
      <c r="T1727" s="8">
        <f t="shared" si="186"/>
        <v>0.34285714285714286</v>
      </c>
      <c r="U1727" s="8">
        <v>2.8429099999999998</v>
      </c>
      <c r="V1727">
        <v>20</v>
      </c>
      <c r="W1727" s="8">
        <f t="shared" si="187"/>
        <v>0.5714285714285714</v>
      </c>
      <c r="X1727" s="8">
        <v>2.7958099999999999</v>
      </c>
      <c r="Y1727">
        <v>3</v>
      </c>
      <c r="Z1727" s="8">
        <f t="shared" si="188"/>
        <v>8.5714285714285715E-2</v>
      </c>
      <c r="AA1727" s="8">
        <v>2.9415</v>
      </c>
    </row>
    <row r="1728" spans="2:27" ht="15" customHeight="1" x14ac:dyDescent="0.25">
      <c r="B1728" s="7">
        <v>452</v>
      </c>
      <c r="C1728" s="19">
        <v>-12176.8598</v>
      </c>
      <c r="D1728" s="20">
        <v>-12179.08856</v>
      </c>
      <c r="E1728" s="7"/>
      <c r="F1728" s="34">
        <v>0.99436400000000003</v>
      </c>
      <c r="G1728" s="23">
        <v>0.176089999999999</v>
      </c>
      <c r="H1728" s="7">
        <v>5</v>
      </c>
      <c r="I1728" s="7">
        <v>8</v>
      </c>
      <c r="J1728" s="32"/>
      <c r="K1728" s="8">
        <f t="shared" si="182"/>
        <v>-0.98780769230870646</v>
      </c>
      <c r="L1728" s="8">
        <f t="shared" si="183"/>
        <v>-7.5985207100669722E-2</v>
      </c>
      <c r="M1728" s="8">
        <f t="shared" si="184"/>
        <v>-1.6901675384615373</v>
      </c>
      <c r="N1728" s="8">
        <f t="shared" si="185"/>
        <v>-0.1300128875739644</v>
      </c>
      <c r="O1728" s="8"/>
      <c r="P1728" t="s">
        <v>2014</v>
      </c>
      <c r="Q1728">
        <v>35</v>
      </c>
      <c r="R1728" s="8">
        <v>2.8283999999999998</v>
      </c>
      <c r="S1728">
        <v>13</v>
      </c>
      <c r="T1728" s="8">
        <f t="shared" si="186"/>
        <v>0.37142857142857144</v>
      </c>
      <c r="U1728" s="8">
        <v>2.8688199999999999</v>
      </c>
      <c r="V1728">
        <v>19</v>
      </c>
      <c r="W1728" s="8">
        <f t="shared" si="187"/>
        <v>0.54285714285714282</v>
      </c>
      <c r="X1728" s="8">
        <v>2.8005900000000001</v>
      </c>
      <c r="Y1728">
        <v>3</v>
      </c>
      <c r="Z1728" s="8">
        <f t="shared" si="188"/>
        <v>8.5714285714285715E-2</v>
      </c>
      <c r="AA1728" s="8">
        <v>2.82938</v>
      </c>
    </row>
    <row r="1729" spans="2:27" ht="15" customHeight="1" x14ac:dyDescent="0.25">
      <c r="B1729">
        <v>453</v>
      </c>
      <c r="C1729" s="8">
        <v>-12176.893099999999</v>
      </c>
      <c r="D1729" s="2">
        <v>-12178.813586</v>
      </c>
      <c r="F1729" s="3">
        <v>0.98986700000000005</v>
      </c>
      <c r="G1729" s="2">
        <v>0.15836999999999901</v>
      </c>
      <c r="H1729">
        <v>5</v>
      </c>
      <c r="I1729">
        <v>8</v>
      </c>
      <c r="J1729" s="32"/>
      <c r="K1729" s="8">
        <f t="shared" si="182"/>
        <v>-1.0211076923078508</v>
      </c>
      <c r="L1729" s="8">
        <f t="shared" si="183"/>
        <v>-7.8546745562142375E-2</v>
      </c>
      <c r="M1729" s="8">
        <f t="shared" si="184"/>
        <v>-1.4151935384616081</v>
      </c>
      <c r="N1729" s="8">
        <f t="shared" si="185"/>
        <v>-0.10886104142012371</v>
      </c>
      <c r="O1729" s="8"/>
      <c r="P1729" t="s">
        <v>2015</v>
      </c>
      <c r="Q1729">
        <v>35</v>
      </c>
      <c r="R1729" s="8">
        <v>2.8217400000000001</v>
      </c>
      <c r="S1729">
        <v>12</v>
      </c>
      <c r="T1729" s="8">
        <f t="shared" si="186"/>
        <v>0.34285714285714286</v>
      </c>
      <c r="U1729" s="8">
        <v>2.8277600000000001</v>
      </c>
      <c r="V1729">
        <v>19</v>
      </c>
      <c r="W1729" s="8">
        <f t="shared" si="187"/>
        <v>0.54285714285714282</v>
      </c>
      <c r="X1729" s="8">
        <v>2.80775</v>
      </c>
      <c r="Y1729">
        <v>4</v>
      </c>
      <c r="Z1729" s="8">
        <f t="shared" si="188"/>
        <v>0.11428571428571428</v>
      </c>
      <c r="AA1729" s="8">
        <v>2.8701300000000001</v>
      </c>
    </row>
    <row r="1730" spans="2:27" ht="15" customHeight="1" x14ac:dyDescent="0.25">
      <c r="B1730">
        <v>454</v>
      </c>
      <c r="C1730" s="8">
        <v>-12176.6795</v>
      </c>
      <c r="D1730" s="2">
        <v>-12178.383287000001</v>
      </c>
      <c r="F1730" s="3">
        <v>0.99436400000000003</v>
      </c>
      <c r="G1730" s="2">
        <v>0.176089999999999</v>
      </c>
      <c r="H1730">
        <v>5</v>
      </c>
      <c r="I1730">
        <v>8</v>
      </c>
      <c r="J1730" s="32"/>
      <c r="K1730" s="8">
        <f t="shared" si="182"/>
        <v>-0.80750769230871811</v>
      </c>
      <c r="L1730" s="8">
        <f t="shared" si="183"/>
        <v>-6.2115976331439851E-2</v>
      </c>
      <c r="M1730" s="8">
        <f t="shared" si="184"/>
        <v>-0.98489453846195829</v>
      </c>
      <c r="N1730" s="8">
        <f t="shared" si="185"/>
        <v>-7.576111834322756E-2</v>
      </c>
      <c r="O1730" s="8"/>
      <c r="P1730" t="s">
        <v>2016</v>
      </c>
      <c r="Q1730">
        <v>36</v>
      </c>
      <c r="R1730" s="8">
        <v>2.8362599999999998</v>
      </c>
      <c r="S1730">
        <v>13</v>
      </c>
      <c r="T1730" s="8">
        <f t="shared" si="186"/>
        <v>0.3611111111111111</v>
      </c>
      <c r="U1730" s="8">
        <v>2.86958</v>
      </c>
      <c r="V1730">
        <v>21</v>
      </c>
      <c r="W1730" s="8">
        <f t="shared" si="187"/>
        <v>0.58333333333333337</v>
      </c>
      <c r="X1730" s="8">
        <v>2.8038699999999999</v>
      </c>
      <c r="Y1730">
        <v>2</v>
      </c>
      <c r="Z1730" s="8">
        <f t="shared" si="188"/>
        <v>5.5555555555555552E-2</v>
      </c>
      <c r="AA1730" s="8">
        <v>2.9598399999999998</v>
      </c>
    </row>
    <row r="1731" spans="2:27" ht="15" customHeight="1" x14ac:dyDescent="0.25">
      <c r="B1731">
        <v>455</v>
      </c>
      <c r="C1731" s="8">
        <v>-12176.73</v>
      </c>
      <c r="D1731" s="2">
        <v>-12178.445892</v>
      </c>
      <c r="F1731" s="3">
        <v>0.99530099999999999</v>
      </c>
      <c r="G1731" s="2">
        <v>0.18154000000000001</v>
      </c>
      <c r="H1731">
        <v>5</v>
      </c>
      <c r="I1731">
        <v>8</v>
      </c>
      <c r="J1731" s="32"/>
      <c r="K1731" s="8">
        <f t="shared" ref="K1731:K1794" si="189">IF(ISNUMBER(C1731),C1731-(($C$3-$C$2236)/($H$3-$H$2236)*H1731+$C$2236),"")</f>
        <v>-0.85800769230809237</v>
      </c>
      <c r="L1731" s="8">
        <f t="shared" ref="L1731:L1794" si="190">IF(ISNUMBER(C1731),K1731/(H1731+I1731),"")</f>
        <v>-6.6000591716007112E-2</v>
      </c>
      <c r="M1731" s="8">
        <f t="shared" ref="M1731:M1794" si="191">IF(ISNUMBER(D1731),D1731-(($D$3-$D$2236)/($H$3-$H$2236)*H1731+$D$2236),"")</f>
        <v>-1.0474995384611248</v>
      </c>
      <c r="N1731" s="8">
        <f t="shared" ref="N1731:N1794" si="192">IF(ISNUMBER(D1731),M1731/(H1731+I1731),"")</f>
        <v>-8.0576887573932679E-2</v>
      </c>
      <c r="O1731" s="8"/>
      <c r="P1731" t="s">
        <v>2017</v>
      </c>
      <c r="Q1731">
        <v>35</v>
      </c>
      <c r="R1731" s="8">
        <v>2.82307</v>
      </c>
      <c r="S1731">
        <v>12</v>
      </c>
      <c r="T1731" s="8">
        <f t="shared" ref="T1731:T1794" si="193">IF(ISNUMBER(S1731),S1731/(Q1731),"")</f>
        <v>0.34285714285714286</v>
      </c>
      <c r="U1731" s="8">
        <v>2.84809</v>
      </c>
      <c r="V1731">
        <v>20</v>
      </c>
      <c r="W1731" s="8">
        <f t="shared" ref="W1731:W1794" si="194">IF(ISNUMBER(V1731),V1731/($Q1731),"")</f>
        <v>0.5714285714285714</v>
      </c>
      <c r="X1731" s="8">
        <v>2.8063400000000001</v>
      </c>
      <c r="Y1731">
        <v>3</v>
      </c>
      <c r="Z1731" s="8">
        <f t="shared" ref="Z1731:Z1794" si="195">IF(ISNUMBER(Y1731),Y1731/($Q1731),"")</f>
        <v>8.5714285714285715E-2</v>
      </c>
      <c r="AA1731" s="8">
        <v>2.8344800000000001</v>
      </c>
    </row>
    <row r="1732" spans="2:27" ht="15" customHeight="1" x14ac:dyDescent="0.25">
      <c r="B1732">
        <v>456</v>
      </c>
      <c r="C1732" s="8">
        <v>-12176.949199999999</v>
      </c>
      <c r="D1732" s="2">
        <v>-12178.615285</v>
      </c>
      <c r="F1732" s="3">
        <v>0.99490299999999998</v>
      </c>
      <c r="G1732" s="2">
        <v>0.17907999999999899</v>
      </c>
      <c r="H1732">
        <v>5</v>
      </c>
      <c r="I1732">
        <v>8</v>
      </c>
      <c r="J1732" s="32"/>
      <c r="K1732" s="8">
        <f t="shared" si="189"/>
        <v>-1.0772076923076384</v>
      </c>
      <c r="L1732" s="8">
        <f t="shared" si="190"/>
        <v>-8.2862130177510637E-2</v>
      </c>
      <c r="M1732" s="8">
        <f t="shared" si="191"/>
        <v>-1.2168925384612521</v>
      </c>
      <c r="N1732" s="8">
        <f t="shared" si="192"/>
        <v>-9.3607118343173243E-2</v>
      </c>
      <c r="O1732" s="8"/>
      <c r="P1732" t="s">
        <v>2018</v>
      </c>
      <c r="Q1732">
        <v>36</v>
      </c>
      <c r="R1732" s="8">
        <v>2.83202</v>
      </c>
      <c r="S1732">
        <v>13</v>
      </c>
      <c r="T1732" s="8">
        <f t="shared" si="193"/>
        <v>0.3611111111111111</v>
      </c>
      <c r="U1732" s="8">
        <v>2.8437600000000001</v>
      </c>
      <c r="V1732">
        <v>19</v>
      </c>
      <c r="W1732" s="8">
        <f t="shared" si="194"/>
        <v>0.52777777777777779</v>
      </c>
      <c r="X1732" s="8">
        <v>2.8216800000000002</v>
      </c>
      <c r="Y1732">
        <v>4</v>
      </c>
      <c r="Z1732" s="8">
        <f t="shared" si="195"/>
        <v>0.1111111111111111</v>
      </c>
      <c r="AA1732" s="8">
        <v>2.8429799999999998</v>
      </c>
    </row>
    <row r="1733" spans="2:27" ht="15" customHeight="1" x14ac:dyDescent="0.25">
      <c r="B1733">
        <v>457</v>
      </c>
      <c r="C1733" s="8">
        <v>-12176.5998</v>
      </c>
      <c r="D1733" s="2">
        <v>-12178.332098000001</v>
      </c>
      <c r="F1733" s="3">
        <v>0.99537900000000001</v>
      </c>
      <c r="G1733" s="2">
        <v>0.182059999999999</v>
      </c>
      <c r="H1733">
        <v>5</v>
      </c>
      <c r="I1733">
        <v>8</v>
      </c>
      <c r="J1733" s="32"/>
      <c r="K1733" s="8">
        <f t="shared" si="189"/>
        <v>-0.72780769230848819</v>
      </c>
      <c r="L1733" s="8">
        <f t="shared" si="190"/>
        <v>-5.5985207100652939E-2</v>
      </c>
      <c r="M1733" s="8">
        <f t="shared" si="191"/>
        <v>-0.93370553846216353</v>
      </c>
      <c r="N1733" s="8">
        <f t="shared" si="192"/>
        <v>-7.1823502958627966E-2</v>
      </c>
      <c r="O1733" s="8"/>
      <c r="P1733" t="s">
        <v>2019</v>
      </c>
      <c r="Q1733">
        <v>34</v>
      </c>
      <c r="R1733" s="8">
        <v>2.8183799999999999</v>
      </c>
      <c r="S1733">
        <v>13</v>
      </c>
      <c r="T1733" s="8">
        <f t="shared" si="193"/>
        <v>0.38235294117647056</v>
      </c>
      <c r="U1733" s="8">
        <v>2.83649</v>
      </c>
      <c r="V1733">
        <v>17</v>
      </c>
      <c r="W1733" s="8">
        <f t="shared" si="194"/>
        <v>0.5</v>
      </c>
      <c r="X1733" s="8">
        <v>2.7843599999999999</v>
      </c>
      <c r="Y1733">
        <v>4</v>
      </c>
      <c r="Z1733" s="8">
        <f t="shared" si="195"/>
        <v>0.11764705882352941</v>
      </c>
      <c r="AA1733" s="8">
        <v>2.9040699999999999</v>
      </c>
    </row>
    <row r="1734" spans="2:27" ht="15" customHeight="1" x14ac:dyDescent="0.25">
      <c r="B1734">
        <v>458</v>
      </c>
      <c r="C1734" s="8">
        <v>-12176.821</v>
      </c>
      <c r="D1734" s="2">
        <v>-12178.578148000001</v>
      </c>
      <c r="F1734" s="3">
        <v>0.99562700000000004</v>
      </c>
      <c r="G1734" s="2">
        <v>0.18364999999999901</v>
      </c>
      <c r="H1734">
        <v>5</v>
      </c>
      <c r="I1734">
        <v>8</v>
      </c>
      <c r="J1734" s="32"/>
      <c r="K1734" s="8">
        <f t="shared" si="189"/>
        <v>-0.94900769230844162</v>
      </c>
      <c r="L1734" s="8">
        <f t="shared" si="190"/>
        <v>-7.3000591716033972E-2</v>
      </c>
      <c r="M1734" s="8">
        <f t="shared" si="191"/>
        <v>-1.1797555384619045</v>
      </c>
      <c r="N1734" s="8">
        <f t="shared" si="192"/>
        <v>-9.0750426035531115E-2</v>
      </c>
      <c r="O1734" s="8"/>
      <c r="P1734" t="s">
        <v>2020</v>
      </c>
      <c r="Q1734">
        <v>36</v>
      </c>
      <c r="R1734" s="8">
        <v>2.8341799999999999</v>
      </c>
      <c r="S1734">
        <v>13</v>
      </c>
      <c r="T1734" s="8">
        <f t="shared" si="193"/>
        <v>0.3611111111111111</v>
      </c>
      <c r="U1734" s="8">
        <v>2.8746299999999998</v>
      </c>
      <c r="V1734">
        <v>21</v>
      </c>
      <c r="W1734" s="8">
        <f t="shared" si="194"/>
        <v>0.58333333333333337</v>
      </c>
      <c r="X1734" s="8">
        <v>2.8073000000000001</v>
      </c>
      <c r="Y1734">
        <v>2</v>
      </c>
      <c r="Z1734" s="8">
        <f t="shared" si="195"/>
        <v>5.5555555555555552E-2</v>
      </c>
      <c r="AA1734" s="8">
        <v>2.8535200000000001</v>
      </c>
    </row>
    <row r="1735" spans="2:27" ht="15" customHeight="1" x14ac:dyDescent="0.25">
      <c r="B1735">
        <v>459</v>
      </c>
      <c r="C1735" s="8">
        <v>-12176.7634</v>
      </c>
      <c r="D1735" s="2">
        <v>-12178.479686000001</v>
      </c>
      <c r="F1735" s="3">
        <v>0.99591399999999997</v>
      </c>
      <c r="G1735" s="2">
        <v>0.18562999999999999</v>
      </c>
      <c r="H1735">
        <v>5</v>
      </c>
      <c r="I1735">
        <v>8</v>
      </c>
      <c r="J1735" s="32"/>
      <c r="K1735" s="8">
        <f t="shared" si="189"/>
        <v>-0.89140769230834849</v>
      </c>
      <c r="L1735" s="8">
        <f t="shared" si="190"/>
        <v>-6.8569822485257573E-2</v>
      </c>
      <c r="M1735" s="8">
        <f t="shared" si="191"/>
        <v>-1.0812935384619777</v>
      </c>
      <c r="N1735" s="8">
        <f t="shared" si="192"/>
        <v>-8.3176426035536752E-2</v>
      </c>
      <c r="O1735" s="8"/>
      <c r="P1735" t="s">
        <v>2021</v>
      </c>
      <c r="Q1735">
        <v>36</v>
      </c>
      <c r="R1735" s="8">
        <v>2.83656</v>
      </c>
      <c r="S1735">
        <v>14</v>
      </c>
      <c r="T1735" s="8">
        <f t="shared" si="193"/>
        <v>0.3888888888888889</v>
      </c>
      <c r="U1735" s="8">
        <v>2.8763999999999998</v>
      </c>
      <c r="V1735">
        <v>19</v>
      </c>
      <c r="W1735" s="8">
        <f t="shared" si="194"/>
        <v>0.52777777777777779</v>
      </c>
      <c r="X1735" s="8">
        <v>2.7934100000000002</v>
      </c>
      <c r="Y1735">
        <v>3</v>
      </c>
      <c r="Z1735" s="8">
        <f t="shared" si="195"/>
        <v>8.3333333333333329E-2</v>
      </c>
      <c r="AA1735" s="8">
        <v>2.92394</v>
      </c>
    </row>
    <row r="1736" spans="2:27" ht="15" customHeight="1" x14ac:dyDescent="0.25">
      <c r="B1736">
        <v>460</v>
      </c>
      <c r="C1736" s="8">
        <v>-12176.8169</v>
      </c>
      <c r="D1736" s="2">
        <v>-12178.514791</v>
      </c>
      <c r="F1736" s="3">
        <v>0.99628499999999998</v>
      </c>
      <c r="G1736" s="2">
        <v>0.18862999999999899</v>
      </c>
      <c r="H1736">
        <v>5</v>
      </c>
      <c r="I1736">
        <v>8</v>
      </c>
      <c r="J1736" s="32"/>
      <c r="K1736" s="8">
        <f t="shared" si="189"/>
        <v>-0.94490769230833394</v>
      </c>
      <c r="L1736" s="8">
        <f t="shared" si="190"/>
        <v>-7.2685207100641067E-2</v>
      </c>
      <c r="M1736" s="8">
        <f t="shared" si="191"/>
        <v>-1.1163985384609987</v>
      </c>
      <c r="N1736" s="8">
        <f t="shared" si="192"/>
        <v>-8.5876810650846055E-2</v>
      </c>
      <c r="O1736" s="8"/>
      <c r="P1736" t="s">
        <v>2022</v>
      </c>
      <c r="Q1736">
        <v>35</v>
      </c>
      <c r="R1736" s="8">
        <v>2.8208099999999998</v>
      </c>
      <c r="S1736">
        <v>12</v>
      </c>
      <c r="T1736" s="8">
        <f t="shared" si="193"/>
        <v>0.34285714285714286</v>
      </c>
      <c r="U1736" s="8">
        <v>2.82274</v>
      </c>
      <c r="V1736">
        <v>20</v>
      </c>
      <c r="W1736" s="8">
        <f t="shared" si="194"/>
        <v>0.5714285714285714</v>
      </c>
      <c r="X1736" s="8">
        <v>2.8103099999999999</v>
      </c>
      <c r="Y1736">
        <v>3</v>
      </c>
      <c r="Z1736" s="8">
        <f t="shared" si="195"/>
        <v>8.5714285714285715E-2</v>
      </c>
      <c r="AA1736" s="8">
        <v>2.88306</v>
      </c>
    </row>
    <row r="1737" spans="2:27" ht="15" customHeight="1" x14ac:dyDescent="0.25">
      <c r="B1737">
        <v>461</v>
      </c>
      <c r="C1737" s="8">
        <v>-12176.551299999999</v>
      </c>
      <c r="D1737" s="2">
        <v>-12178.238895</v>
      </c>
      <c r="F1737" s="3">
        <v>0.99677899999999997</v>
      </c>
      <c r="G1737" s="2">
        <v>0.192769999999999</v>
      </c>
      <c r="H1737">
        <v>5</v>
      </c>
      <c r="I1737">
        <v>8</v>
      </c>
      <c r="J1737" s="32"/>
      <c r="K1737" s="8">
        <f t="shared" si="189"/>
        <v>-0.67930769230770238</v>
      </c>
      <c r="L1737" s="8">
        <f t="shared" si="190"/>
        <v>-5.2254437869823263E-2</v>
      </c>
      <c r="M1737" s="8">
        <f t="shared" si="191"/>
        <v>-0.84050253846180567</v>
      </c>
      <c r="N1737" s="8">
        <f t="shared" si="192"/>
        <v>-6.4654041420138891E-2</v>
      </c>
      <c r="O1737" s="8"/>
      <c r="P1737" t="s">
        <v>2023</v>
      </c>
      <c r="Q1737">
        <v>34</v>
      </c>
      <c r="R1737" s="8">
        <v>2.8184</v>
      </c>
      <c r="S1737">
        <v>14</v>
      </c>
      <c r="T1737" s="8">
        <f t="shared" si="193"/>
        <v>0.41176470588235292</v>
      </c>
      <c r="U1737" s="8">
        <v>2.86673</v>
      </c>
      <c r="V1737">
        <v>19</v>
      </c>
      <c r="W1737" s="8">
        <f t="shared" si="194"/>
        <v>0.55882352941176472</v>
      </c>
      <c r="X1737" s="8">
        <v>2.7803499999999999</v>
      </c>
      <c r="Y1737">
        <v>1</v>
      </c>
      <c r="Z1737" s="8">
        <f t="shared" si="195"/>
        <v>2.9411764705882353E-2</v>
      </c>
      <c r="AA1737" s="8">
        <v>2.86476</v>
      </c>
    </row>
    <row r="1738" spans="2:27" ht="15" customHeight="1" x14ac:dyDescent="0.25">
      <c r="B1738">
        <v>462</v>
      </c>
      <c r="C1738" s="8">
        <v>-12176.8711</v>
      </c>
      <c r="D1738" s="2">
        <v>-12178.564602</v>
      </c>
      <c r="F1738" s="3">
        <v>0.99762099999999998</v>
      </c>
      <c r="G1738" s="2">
        <v>0.20196999999999901</v>
      </c>
      <c r="H1738">
        <v>5</v>
      </c>
      <c r="I1738">
        <v>8</v>
      </c>
      <c r="J1738" s="32"/>
      <c r="K1738" s="8">
        <f t="shared" si="189"/>
        <v>-0.99910769230882579</v>
      </c>
      <c r="L1738" s="8">
        <f t="shared" si="190"/>
        <v>-7.685443786990967E-2</v>
      </c>
      <c r="M1738" s="8">
        <f t="shared" si="191"/>
        <v>-1.1662095384617714</v>
      </c>
      <c r="N1738" s="8">
        <f t="shared" si="192"/>
        <v>-8.9708426035520886E-2</v>
      </c>
      <c r="O1738" s="8"/>
      <c r="P1738" t="s">
        <v>2024</v>
      </c>
      <c r="Q1738">
        <v>35</v>
      </c>
      <c r="R1738" s="8">
        <v>2.8239200000000002</v>
      </c>
      <c r="S1738">
        <v>13</v>
      </c>
      <c r="T1738" s="8">
        <f t="shared" si="193"/>
        <v>0.37142857142857144</v>
      </c>
      <c r="U1738" s="8">
        <v>2.83602</v>
      </c>
      <c r="V1738">
        <v>17</v>
      </c>
      <c r="W1738" s="8">
        <f t="shared" si="194"/>
        <v>0.48571428571428571</v>
      </c>
      <c r="X1738" s="8">
        <v>2.81284</v>
      </c>
      <c r="Y1738">
        <v>5</v>
      </c>
      <c r="Z1738" s="8">
        <f t="shared" si="195"/>
        <v>0.14285714285714285</v>
      </c>
      <c r="AA1738" s="8">
        <v>2.8301099999999999</v>
      </c>
    </row>
    <row r="1739" spans="2:27" ht="15" customHeight="1" x14ac:dyDescent="0.25">
      <c r="B1739">
        <v>463</v>
      </c>
      <c r="C1739" s="8">
        <v>-12176.814</v>
      </c>
      <c r="D1739" s="2">
        <v>-12178.601853</v>
      </c>
      <c r="F1739" s="3">
        <v>0.99585699999999999</v>
      </c>
      <c r="G1739" s="2">
        <v>0.18531999999999901</v>
      </c>
      <c r="H1739">
        <v>5</v>
      </c>
      <c r="I1739">
        <v>8</v>
      </c>
      <c r="J1739" s="32"/>
      <c r="K1739" s="8">
        <f t="shared" si="189"/>
        <v>-0.94200769230883452</v>
      </c>
      <c r="L1739" s="8">
        <f t="shared" si="190"/>
        <v>-7.2462130177602654E-2</v>
      </c>
      <c r="M1739" s="8">
        <f t="shared" si="191"/>
        <v>-1.2034605384615134</v>
      </c>
      <c r="N1739" s="8">
        <f t="shared" si="192"/>
        <v>-9.2573887573962566E-2</v>
      </c>
      <c r="O1739" s="8"/>
      <c r="P1739" t="s">
        <v>2025</v>
      </c>
      <c r="Q1739">
        <v>35</v>
      </c>
      <c r="R1739" s="8">
        <v>2.8243299999999998</v>
      </c>
      <c r="S1739">
        <v>13</v>
      </c>
      <c r="T1739" s="8">
        <f t="shared" si="193"/>
        <v>0.37142857142857144</v>
      </c>
      <c r="U1739" s="8">
        <v>2.83948</v>
      </c>
      <c r="V1739">
        <v>18</v>
      </c>
      <c r="W1739" s="8">
        <f t="shared" si="194"/>
        <v>0.51428571428571423</v>
      </c>
      <c r="X1739" s="8">
        <v>2.8100700000000001</v>
      </c>
      <c r="Y1739">
        <v>4</v>
      </c>
      <c r="Z1739" s="8">
        <f t="shared" si="195"/>
        <v>0.11428571428571428</v>
      </c>
      <c r="AA1739" s="8">
        <v>2.8392300000000001</v>
      </c>
    </row>
    <row r="1740" spans="2:27" ht="15" customHeight="1" x14ac:dyDescent="0.25">
      <c r="B1740">
        <v>464</v>
      </c>
      <c r="C1740" s="8">
        <v>-12176.663500000001</v>
      </c>
      <c r="D1740" s="2">
        <v>-12178.110323000001</v>
      </c>
      <c r="F1740" s="3">
        <v>0.99724900000000005</v>
      </c>
      <c r="G1740" s="2">
        <v>0.19761999999999999</v>
      </c>
      <c r="H1740">
        <v>5</v>
      </c>
      <c r="I1740">
        <v>8</v>
      </c>
      <c r="J1740" s="32"/>
      <c r="K1740" s="8">
        <f t="shared" si="189"/>
        <v>-0.79150769230909646</v>
      </c>
      <c r="L1740" s="8">
        <f t="shared" si="190"/>
        <v>-6.088520710069973E-2</v>
      </c>
      <c r="M1740" s="8">
        <f t="shared" si="191"/>
        <v>-0.7119305384621839</v>
      </c>
      <c r="N1740" s="8">
        <f t="shared" si="192"/>
        <v>-5.4763887574014146E-2</v>
      </c>
      <c r="O1740" s="8"/>
      <c r="P1740" t="s">
        <v>2026</v>
      </c>
      <c r="Q1740">
        <v>36</v>
      </c>
      <c r="R1740" s="8">
        <v>2.8322400000000001</v>
      </c>
      <c r="S1740">
        <v>15</v>
      </c>
      <c r="T1740" s="8">
        <f t="shared" si="193"/>
        <v>0.41666666666666669</v>
      </c>
      <c r="U1740" s="8">
        <v>2.8569200000000001</v>
      </c>
      <c r="V1740">
        <v>16</v>
      </c>
      <c r="W1740" s="8">
        <f t="shared" si="194"/>
        <v>0.44444444444444442</v>
      </c>
      <c r="X1740" s="8">
        <v>2.8109199999999999</v>
      </c>
      <c r="Y1740">
        <v>5</v>
      </c>
      <c r="Z1740" s="8">
        <f t="shared" si="195"/>
        <v>0.1388888888888889</v>
      </c>
      <c r="AA1740" s="8">
        <v>2.82647</v>
      </c>
    </row>
    <row r="1741" spans="2:27" ht="15" customHeight="1" x14ac:dyDescent="0.25">
      <c r="B1741">
        <v>465</v>
      </c>
      <c r="C1741" s="8">
        <v>-12176.850200000001</v>
      </c>
      <c r="D1741" s="2">
        <v>-12178.277340000001</v>
      </c>
      <c r="F1741" s="3">
        <v>0.99411700000000003</v>
      </c>
      <c r="G1741" s="2">
        <v>0.174789999999999</v>
      </c>
      <c r="H1741">
        <v>5</v>
      </c>
      <c r="I1741">
        <v>8</v>
      </c>
      <c r="J1741" s="32"/>
      <c r="K1741" s="8">
        <f t="shared" si="189"/>
        <v>-0.97820769230929727</v>
      </c>
      <c r="L1741" s="8">
        <f t="shared" si="190"/>
        <v>-7.5246745562253636E-2</v>
      </c>
      <c r="M1741" s="8">
        <f t="shared" si="191"/>
        <v>-0.87894753846194362</v>
      </c>
      <c r="N1741" s="8">
        <f t="shared" si="192"/>
        <v>-6.7611349112457197E-2</v>
      </c>
      <c r="O1741" s="8"/>
      <c r="P1741" t="s">
        <v>2027</v>
      </c>
      <c r="Q1741">
        <v>36</v>
      </c>
      <c r="R1741" s="8">
        <v>2.8306</v>
      </c>
      <c r="S1741">
        <v>13</v>
      </c>
      <c r="T1741" s="8">
        <f t="shared" si="193"/>
        <v>0.3611111111111111</v>
      </c>
      <c r="U1741" s="8">
        <v>2.87262</v>
      </c>
      <c r="V1741">
        <v>20</v>
      </c>
      <c r="W1741" s="8">
        <f t="shared" si="194"/>
        <v>0.55555555555555558</v>
      </c>
      <c r="X1741" s="8">
        <v>2.7932299999999999</v>
      </c>
      <c r="Y1741">
        <v>3</v>
      </c>
      <c r="Z1741" s="8">
        <f t="shared" si="195"/>
        <v>8.3333333333333329E-2</v>
      </c>
      <c r="AA1741" s="8">
        <v>2.8976500000000001</v>
      </c>
    </row>
    <row r="1742" spans="2:27" ht="15" customHeight="1" x14ac:dyDescent="0.25">
      <c r="B1742">
        <v>466</v>
      </c>
      <c r="C1742" s="8">
        <v>-12176.807500000001</v>
      </c>
      <c r="D1742" s="2">
        <v>-12178.481081</v>
      </c>
      <c r="F1742" s="3">
        <v>0.99663299999999999</v>
      </c>
      <c r="G1742" s="2">
        <v>0.19170999999999899</v>
      </c>
      <c r="H1742">
        <v>5</v>
      </c>
      <c r="I1742">
        <v>8</v>
      </c>
      <c r="J1742" s="32"/>
      <c r="K1742" s="8">
        <f t="shared" si="189"/>
        <v>-0.93550769230932929</v>
      </c>
      <c r="L1742" s="8">
        <f t="shared" si="190"/>
        <v>-7.1962130177640721E-2</v>
      </c>
      <c r="M1742" s="8">
        <f t="shared" si="191"/>
        <v>-1.0826885384612979</v>
      </c>
      <c r="N1742" s="8">
        <f t="shared" si="192"/>
        <v>-8.3283733727792145E-2</v>
      </c>
      <c r="O1742" s="8"/>
      <c r="P1742" t="s">
        <v>2028</v>
      </c>
      <c r="Q1742">
        <v>36</v>
      </c>
      <c r="R1742" s="8">
        <v>2.8319700000000001</v>
      </c>
      <c r="S1742">
        <v>13</v>
      </c>
      <c r="T1742" s="8">
        <f t="shared" si="193"/>
        <v>0.3611111111111111</v>
      </c>
      <c r="U1742" s="8">
        <v>2.8730799999999999</v>
      </c>
      <c r="V1742">
        <v>20</v>
      </c>
      <c r="W1742" s="8">
        <f t="shared" si="194"/>
        <v>0.55555555555555558</v>
      </c>
      <c r="X1742" s="8">
        <v>2.80952</v>
      </c>
      <c r="Y1742">
        <v>3</v>
      </c>
      <c r="Z1742" s="8">
        <f t="shared" si="195"/>
        <v>8.3333333333333329E-2</v>
      </c>
      <c r="AA1742" s="8">
        <v>2.8034400000000002</v>
      </c>
    </row>
    <row r="1743" spans="2:27" ht="15" customHeight="1" x14ac:dyDescent="0.25">
      <c r="B1743">
        <v>467</v>
      </c>
      <c r="C1743" s="8">
        <v>-12176.706700000001</v>
      </c>
      <c r="D1743" s="2">
        <v>-12178.442671999999</v>
      </c>
      <c r="F1743" s="3">
        <v>0.997506</v>
      </c>
      <c r="G1743" s="2">
        <v>0.20069999999999899</v>
      </c>
      <c r="H1743">
        <v>5</v>
      </c>
      <c r="I1743">
        <v>8</v>
      </c>
      <c r="J1743" s="32"/>
      <c r="K1743" s="8">
        <f t="shared" si="189"/>
        <v>-0.8347076923091663</v>
      </c>
      <c r="L1743" s="8">
        <f t="shared" si="190"/>
        <v>-6.4208284023782022E-2</v>
      </c>
      <c r="M1743" s="8">
        <f t="shared" si="191"/>
        <v>-1.0442795384606143</v>
      </c>
      <c r="N1743" s="8">
        <f t="shared" si="192"/>
        <v>-8.0329195266201095E-2</v>
      </c>
      <c r="O1743" s="8"/>
      <c r="P1743" t="s">
        <v>2029</v>
      </c>
      <c r="Q1743">
        <v>34</v>
      </c>
      <c r="R1743" s="8">
        <v>2.8156599999999998</v>
      </c>
      <c r="S1743">
        <v>12</v>
      </c>
      <c r="T1743" s="8">
        <f t="shared" si="193"/>
        <v>0.35294117647058826</v>
      </c>
      <c r="U1743" s="8">
        <v>2.8372199999999999</v>
      </c>
      <c r="V1743">
        <v>20</v>
      </c>
      <c r="W1743" s="8">
        <f t="shared" si="194"/>
        <v>0.58823529411764708</v>
      </c>
      <c r="X1743" s="8">
        <v>2.7999299999999998</v>
      </c>
      <c r="Y1743">
        <v>2</v>
      </c>
      <c r="Z1743" s="8">
        <f t="shared" si="195"/>
        <v>5.8823529411764705E-2</v>
      </c>
      <c r="AA1743" s="8">
        <v>2.8435899999999998</v>
      </c>
    </row>
    <row r="1744" spans="2:27" ht="15" customHeight="1" x14ac:dyDescent="0.25">
      <c r="B1744">
        <v>468</v>
      </c>
      <c r="C1744" s="8">
        <v>-12176.3182</v>
      </c>
      <c r="D1744" s="2">
        <v>-12177.894575</v>
      </c>
      <c r="F1744" s="3">
        <v>0.99687099999999995</v>
      </c>
      <c r="G1744" s="2">
        <v>0.12709999999999999</v>
      </c>
      <c r="H1744">
        <v>5</v>
      </c>
      <c r="I1744">
        <v>8</v>
      </c>
      <c r="J1744" s="32"/>
      <c r="K1744" s="8">
        <f t="shared" si="189"/>
        <v>-0.44620769230823498</v>
      </c>
      <c r="L1744" s="8">
        <f t="shared" si="190"/>
        <v>-3.4323668639095001E-2</v>
      </c>
      <c r="M1744" s="8">
        <f t="shared" si="191"/>
        <v>-0.49618253846165317</v>
      </c>
      <c r="N1744" s="8">
        <f t="shared" si="192"/>
        <v>-3.8167887573973318E-2</v>
      </c>
      <c r="O1744" s="8"/>
      <c r="P1744" t="s">
        <v>2030</v>
      </c>
      <c r="Q1744">
        <v>36</v>
      </c>
      <c r="R1744" s="8">
        <v>2.8296600000000001</v>
      </c>
      <c r="S1744">
        <v>15</v>
      </c>
      <c r="T1744" s="8">
        <f t="shared" si="193"/>
        <v>0.41666666666666669</v>
      </c>
      <c r="U1744" s="8">
        <v>2.8538600000000001</v>
      </c>
      <c r="V1744">
        <v>17</v>
      </c>
      <c r="W1744" s="8">
        <f t="shared" si="194"/>
        <v>0.47222222222222221</v>
      </c>
      <c r="X1744" s="8">
        <v>2.8027099999999998</v>
      </c>
      <c r="Y1744">
        <v>4</v>
      </c>
      <c r="Z1744" s="8">
        <f t="shared" si="195"/>
        <v>0.1111111111111111</v>
      </c>
      <c r="AA1744" s="8">
        <v>2.85344</v>
      </c>
    </row>
    <row r="1745" spans="1:27" ht="15" customHeight="1" x14ac:dyDescent="0.25">
      <c r="B1745">
        <v>469</v>
      </c>
      <c r="C1745" s="8">
        <v>-12176.368399999999</v>
      </c>
      <c r="D1745" s="2">
        <v>-12178.449941000001</v>
      </c>
      <c r="F1745" s="3">
        <v>0.99637100000000001</v>
      </c>
      <c r="G1745" s="2">
        <v>0.18928</v>
      </c>
      <c r="H1745">
        <v>5</v>
      </c>
      <c r="I1745">
        <v>8</v>
      </c>
      <c r="J1745" s="32"/>
      <c r="K1745" s="8">
        <f t="shared" si="189"/>
        <v>-0.49640769230791193</v>
      </c>
      <c r="L1745" s="8">
        <f t="shared" si="190"/>
        <v>-3.8185207100608611E-2</v>
      </c>
      <c r="M1745" s="8">
        <f t="shared" si="191"/>
        <v>-1.051548538462157</v>
      </c>
      <c r="N1745" s="8">
        <f t="shared" si="192"/>
        <v>-8.0888349112473612E-2</v>
      </c>
      <c r="O1745" s="8"/>
      <c r="P1745" t="s">
        <v>2031</v>
      </c>
      <c r="Q1745">
        <v>35</v>
      </c>
      <c r="R1745" s="8">
        <v>2.8289599999999999</v>
      </c>
      <c r="S1745">
        <v>15</v>
      </c>
      <c r="T1745" s="8">
        <f t="shared" si="193"/>
        <v>0.42857142857142855</v>
      </c>
      <c r="U1745" s="8">
        <v>2.85629</v>
      </c>
      <c r="V1745">
        <v>15</v>
      </c>
      <c r="W1745" s="8">
        <f t="shared" si="194"/>
        <v>0.42857142857142855</v>
      </c>
      <c r="X1745" s="8">
        <v>2.8008600000000001</v>
      </c>
      <c r="Y1745">
        <v>5</v>
      </c>
      <c r="Z1745" s="8">
        <f t="shared" si="195"/>
        <v>0.14285714285714285</v>
      </c>
      <c r="AA1745" s="8">
        <v>2.83128</v>
      </c>
    </row>
    <row r="1746" spans="1:27" ht="15" customHeight="1" x14ac:dyDescent="0.25">
      <c r="B1746">
        <v>470</v>
      </c>
      <c r="C1746" s="8">
        <v>-12176.496499999999</v>
      </c>
      <c r="D1746" s="2">
        <v>-12178.658176999999</v>
      </c>
      <c r="F1746" s="3">
        <v>0.99884300000000004</v>
      </c>
      <c r="G1746" s="2">
        <v>0.22359999999999899</v>
      </c>
      <c r="H1746">
        <v>5</v>
      </c>
      <c r="I1746">
        <v>8</v>
      </c>
      <c r="J1746" s="32"/>
      <c r="K1746" s="8">
        <f t="shared" si="189"/>
        <v>-0.62450769230781589</v>
      </c>
      <c r="L1746" s="8">
        <f t="shared" si="190"/>
        <v>-4.8039053254447378E-2</v>
      </c>
      <c r="M1746" s="8">
        <f t="shared" si="191"/>
        <v>-1.2597845384607353</v>
      </c>
      <c r="N1746" s="8">
        <f t="shared" si="192"/>
        <v>-9.6906502958518104E-2</v>
      </c>
      <c r="O1746" s="8"/>
      <c r="P1746" t="s">
        <v>2032</v>
      </c>
      <c r="Q1746">
        <v>35</v>
      </c>
      <c r="R1746" s="8">
        <v>2.82491</v>
      </c>
      <c r="S1746">
        <v>13</v>
      </c>
      <c r="T1746" s="8">
        <f t="shared" si="193"/>
        <v>0.37142857142857144</v>
      </c>
      <c r="U1746" s="8">
        <v>2.8298899999999998</v>
      </c>
      <c r="V1746">
        <v>17</v>
      </c>
      <c r="W1746" s="8">
        <f t="shared" si="194"/>
        <v>0.48571428571428571</v>
      </c>
      <c r="X1746" s="8">
        <v>2.8031000000000001</v>
      </c>
      <c r="Y1746">
        <v>5</v>
      </c>
      <c r="Z1746" s="8">
        <f t="shared" si="195"/>
        <v>0.14285714285714285</v>
      </c>
      <c r="AA1746" s="8">
        <v>2.88612</v>
      </c>
    </row>
    <row r="1747" spans="1:27" ht="15" customHeight="1" x14ac:dyDescent="0.25">
      <c r="B1747">
        <v>471</v>
      </c>
      <c r="C1747" s="8">
        <v>-12176.633900000001</v>
      </c>
      <c r="D1747" s="2">
        <v>-12178.735825</v>
      </c>
      <c r="F1747" s="3">
        <v>0.99832399999999999</v>
      </c>
      <c r="G1747" s="2">
        <v>0.21245</v>
      </c>
      <c r="H1747">
        <v>5</v>
      </c>
      <c r="I1747">
        <v>8</v>
      </c>
      <c r="J1747" s="32"/>
      <c r="K1747" s="8">
        <f t="shared" si="189"/>
        <v>-0.76190769230925071</v>
      </c>
      <c r="L1747" s="8">
        <f t="shared" si="190"/>
        <v>-5.8608284023788516E-2</v>
      </c>
      <c r="M1747" s="8">
        <f t="shared" si="191"/>
        <v>-1.3374325384611438</v>
      </c>
      <c r="N1747" s="8">
        <f t="shared" si="192"/>
        <v>-0.10287942603547261</v>
      </c>
      <c r="O1747" s="8"/>
      <c r="P1747" t="s">
        <v>2033</v>
      </c>
      <c r="Q1747">
        <v>36</v>
      </c>
      <c r="R1747" s="8">
        <v>2.8321900000000002</v>
      </c>
      <c r="S1747">
        <v>14</v>
      </c>
      <c r="T1747" s="8">
        <f t="shared" si="193"/>
        <v>0.3888888888888889</v>
      </c>
      <c r="U1747" s="8">
        <v>2.84816</v>
      </c>
      <c r="V1747">
        <v>18</v>
      </c>
      <c r="W1747" s="8">
        <f t="shared" si="194"/>
        <v>0.5</v>
      </c>
      <c r="X1747" s="8">
        <v>2.8173900000000001</v>
      </c>
      <c r="Y1747">
        <v>4</v>
      </c>
      <c r="Z1747" s="8">
        <f t="shared" si="195"/>
        <v>0.1111111111111111</v>
      </c>
      <c r="AA1747" s="8">
        <v>2.84287</v>
      </c>
    </row>
    <row r="1748" spans="1:27" ht="15" customHeight="1" x14ac:dyDescent="0.25">
      <c r="A1748" s="8"/>
      <c r="B1748">
        <v>472</v>
      </c>
      <c r="C1748" s="8">
        <v>-12176.7363</v>
      </c>
      <c r="D1748" s="2">
        <v>-12178.832936999999</v>
      </c>
      <c r="F1748" s="3">
        <v>0.99685800000000002</v>
      </c>
      <c r="G1748" s="2">
        <v>0.19361999999999999</v>
      </c>
      <c r="H1748">
        <v>5</v>
      </c>
      <c r="I1748">
        <v>8</v>
      </c>
      <c r="J1748" s="32"/>
      <c r="K1748" s="8">
        <f t="shared" si="189"/>
        <v>-0.86430769230901205</v>
      </c>
      <c r="L1748" s="8">
        <f t="shared" si="190"/>
        <v>-6.6485207100693236E-2</v>
      </c>
      <c r="M1748" s="8">
        <f t="shared" si="191"/>
        <v>-1.4345445384606137</v>
      </c>
      <c r="N1748" s="8">
        <f t="shared" si="192"/>
        <v>-0.11034957988158567</v>
      </c>
      <c r="O1748" s="8"/>
      <c r="P1748" t="s">
        <v>2034</v>
      </c>
      <c r="Q1748">
        <v>35</v>
      </c>
      <c r="R1748" s="8">
        <v>2.8245900000000002</v>
      </c>
      <c r="S1748">
        <v>13</v>
      </c>
      <c r="T1748" s="8">
        <f t="shared" si="193"/>
        <v>0.37142857142857144</v>
      </c>
      <c r="U1748" s="8">
        <v>2.8585500000000001</v>
      </c>
      <c r="V1748">
        <v>19</v>
      </c>
      <c r="W1748" s="8">
        <f t="shared" si="194"/>
        <v>0.54285714285714282</v>
      </c>
      <c r="X1748" s="8">
        <v>2.8012299999999999</v>
      </c>
      <c r="Y1748">
        <v>3</v>
      </c>
      <c r="Z1748" s="8">
        <f t="shared" si="195"/>
        <v>8.5714285714285715E-2</v>
      </c>
      <c r="AA1748" s="8">
        <v>2.82544</v>
      </c>
    </row>
    <row r="1749" spans="1:27" ht="15" customHeight="1" x14ac:dyDescent="0.25">
      <c r="B1749" s="7">
        <v>473</v>
      </c>
      <c r="C1749" s="8">
        <v>-12176.255987</v>
      </c>
      <c r="D1749" s="2">
        <v>-12178.328998000001</v>
      </c>
      <c r="F1749" s="3">
        <v>0.99883200000000005</v>
      </c>
      <c r="G1749" s="2">
        <v>0.22320999999999899</v>
      </c>
      <c r="H1749">
        <v>5</v>
      </c>
      <c r="I1749">
        <v>8</v>
      </c>
      <c r="J1749" s="32"/>
      <c r="K1749" s="8">
        <f t="shared" si="189"/>
        <v>-0.38399469230898831</v>
      </c>
      <c r="L1749" s="8">
        <f t="shared" si="190"/>
        <v>-2.9538053254537563E-2</v>
      </c>
      <c r="M1749" s="8">
        <f t="shared" si="191"/>
        <v>-0.93060553846225957</v>
      </c>
      <c r="N1749" s="8">
        <f t="shared" si="192"/>
        <v>-7.1585041420173814E-2</v>
      </c>
      <c r="O1749" s="8"/>
      <c r="P1749" t="s">
        <v>2035</v>
      </c>
      <c r="Q1749">
        <v>36</v>
      </c>
      <c r="R1749" s="8">
        <v>2.8312499999999998</v>
      </c>
      <c r="S1749">
        <v>17</v>
      </c>
      <c r="T1749" s="8">
        <f t="shared" si="193"/>
        <v>0.47222222222222221</v>
      </c>
      <c r="U1749" s="8">
        <v>2.8492500000000001</v>
      </c>
      <c r="V1749">
        <v>14</v>
      </c>
      <c r="W1749" s="8">
        <f t="shared" si="194"/>
        <v>0.3888888888888889</v>
      </c>
      <c r="X1749" s="8">
        <v>2.81331</v>
      </c>
      <c r="Y1749">
        <v>5</v>
      </c>
      <c r="Z1749" s="8">
        <f t="shared" si="195"/>
        <v>0.1388888888888889</v>
      </c>
      <c r="AA1749" s="8">
        <v>2.8203100000000001</v>
      </c>
    </row>
    <row r="1750" spans="1:27" ht="15" customHeight="1" x14ac:dyDescent="0.25">
      <c r="B1750">
        <v>474</v>
      </c>
      <c r="C1750" s="8">
        <v>-12176.3879</v>
      </c>
      <c r="D1750" s="2">
        <v>-12178.152813000001</v>
      </c>
      <c r="F1750" s="3">
        <v>0.99393200000000004</v>
      </c>
      <c r="G1750" s="2">
        <v>0.173839999999999</v>
      </c>
      <c r="H1750">
        <v>5</v>
      </c>
      <c r="I1750">
        <v>8</v>
      </c>
      <c r="J1750" s="32"/>
      <c r="K1750" s="8">
        <f t="shared" si="189"/>
        <v>-0.51590769230824662</v>
      </c>
      <c r="L1750" s="8">
        <f t="shared" si="190"/>
        <v>-3.9685207100634355E-2</v>
      </c>
      <c r="M1750" s="8">
        <f t="shared" si="191"/>
        <v>-0.75442053846199997</v>
      </c>
      <c r="N1750" s="8">
        <f t="shared" si="192"/>
        <v>-5.8032349112461537E-2</v>
      </c>
      <c r="O1750" s="8"/>
      <c r="P1750" t="s">
        <v>2036</v>
      </c>
      <c r="Q1750">
        <v>36</v>
      </c>
      <c r="R1750" s="8">
        <v>2.83494</v>
      </c>
      <c r="S1750">
        <v>16</v>
      </c>
      <c r="T1750" s="8">
        <f t="shared" si="193"/>
        <v>0.44444444444444442</v>
      </c>
      <c r="U1750" s="8">
        <v>2.8621799999999999</v>
      </c>
      <c r="V1750">
        <v>16</v>
      </c>
      <c r="W1750" s="8">
        <f t="shared" si="194"/>
        <v>0.44444444444444442</v>
      </c>
      <c r="X1750" s="8">
        <v>2.8045</v>
      </c>
      <c r="Y1750">
        <v>4</v>
      </c>
      <c r="Z1750" s="8">
        <f t="shared" si="195"/>
        <v>0.1111111111111111</v>
      </c>
      <c r="AA1750" s="8">
        <v>2.8477999999999999</v>
      </c>
    </row>
    <row r="1751" spans="1:27" ht="15" customHeight="1" x14ac:dyDescent="0.25">
      <c r="B1751">
        <v>475</v>
      </c>
      <c r="C1751" s="8">
        <v>-12176.607400000001</v>
      </c>
      <c r="D1751" s="2">
        <v>-12178.662813000001</v>
      </c>
      <c r="F1751" s="3">
        <v>0.99482999999999999</v>
      </c>
      <c r="G1751" s="2">
        <v>0.17866000000000001</v>
      </c>
      <c r="H1751">
        <v>5</v>
      </c>
      <c r="I1751">
        <v>8</v>
      </c>
      <c r="J1751" s="32"/>
      <c r="K1751" s="8">
        <f t="shared" si="189"/>
        <v>-0.73540769230930891</v>
      </c>
      <c r="L1751" s="8">
        <f t="shared" si="190"/>
        <v>-5.6569822485331454E-2</v>
      </c>
      <c r="M1751" s="8">
        <f t="shared" si="191"/>
        <v>-1.2644205384622182</v>
      </c>
      <c r="N1751" s="8">
        <f t="shared" si="192"/>
        <v>-9.7263118343247551E-2</v>
      </c>
      <c r="O1751" s="8"/>
      <c r="P1751" t="s">
        <v>2037</v>
      </c>
      <c r="Q1751">
        <v>36</v>
      </c>
      <c r="R1751" s="8">
        <v>2.8341500000000002</v>
      </c>
      <c r="S1751">
        <v>14</v>
      </c>
      <c r="T1751" s="8">
        <f t="shared" si="193"/>
        <v>0.3888888888888889</v>
      </c>
      <c r="U1751" s="8">
        <v>2.8499699999999999</v>
      </c>
      <c r="V1751">
        <v>18</v>
      </c>
      <c r="W1751" s="8">
        <f t="shared" si="194"/>
        <v>0.5</v>
      </c>
      <c r="X1751" s="8">
        <v>2.8130099999999998</v>
      </c>
      <c r="Y1751">
        <v>4</v>
      </c>
      <c r="Z1751" s="8">
        <f t="shared" si="195"/>
        <v>0.1111111111111111</v>
      </c>
      <c r="AA1751" s="8">
        <v>2.87391</v>
      </c>
    </row>
    <row r="1752" spans="1:27" ht="15" customHeight="1" x14ac:dyDescent="0.25">
      <c r="B1752">
        <v>476</v>
      </c>
      <c r="C1752" s="8">
        <v>-12176.7361</v>
      </c>
      <c r="D1752" s="2">
        <v>-12178.988671999999</v>
      </c>
      <c r="F1752" s="3">
        <v>0.99586300000000005</v>
      </c>
      <c r="G1752" s="2">
        <v>0.18536</v>
      </c>
      <c r="H1752">
        <v>5</v>
      </c>
      <c r="I1752">
        <v>8</v>
      </c>
      <c r="J1752" s="32"/>
      <c r="K1752" s="8">
        <f t="shared" si="189"/>
        <v>-0.86410769230860751</v>
      </c>
      <c r="L1752" s="8">
        <f t="shared" si="190"/>
        <v>-6.6469822485277497E-2</v>
      </c>
      <c r="M1752" s="8">
        <f t="shared" si="191"/>
        <v>-1.5902795384608908</v>
      </c>
      <c r="N1752" s="8">
        <f t="shared" si="192"/>
        <v>-0.12232919526622237</v>
      </c>
      <c r="O1752" s="8"/>
      <c r="P1752" t="s">
        <v>2038</v>
      </c>
      <c r="Q1752">
        <v>35</v>
      </c>
      <c r="R1752" s="8">
        <v>2.8219099999999999</v>
      </c>
      <c r="S1752">
        <v>13</v>
      </c>
      <c r="T1752" s="8">
        <f t="shared" si="193"/>
        <v>0.37142857142857144</v>
      </c>
      <c r="U1752" s="8">
        <v>2.8544499999999999</v>
      </c>
      <c r="V1752">
        <v>19</v>
      </c>
      <c r="W1752" s="8">
        <f t="shared" si="194"/>
        <v>0.54285714285714282</v>
      </c>
      <c r="X1752" s="8">
        <v>2.7946300000000002</v>
      </c>
      <c r="Y1752">
        <v>3</v>
      </c>
      <c r="Z1752" s="8">
        <f t="shared" si="195"/>
        <v>8.5714285714285715E-2</v>
      </c>
      <c r="AA1752" s="8">
        <v>2.85365</v>
      </c>
    </row>
    <row r="1753" spans="1:27" ht="15" customHeight="1" x14ac:dyDescent="0.25">
      <c r="B1753">
        <v>477</v>
      </c>
      <c r="C1753" s="8">
        <v>-12176.5746</v>
      </c>
      <c r="D1753" s="2">
        <v>-12178.297341</v>
      </c>
      <c r="F1753" s="3">
        <v>0.99411499999999997</v>
      </c>
      <c r="G1753" s="2">
        <v>0.17473999999999901</v>
      </c>
      <c r="H1753">
        <v>5</v>
      </c>
      <c r="I1753">
        <v>8</v>
      </c>
      <c r="J1753" s="32"/>
      <c r="K1753" s="8">
        <f t="shared" si="189"/>
        <v>-0.70260769230844744</v>
      </c>
      <c r="L1753" s="8">
        <f t="shared" si="190"/>
        <v>-5.4046745562188261E-2</v>
      </c>
      <c r="M1753" s="8">
        <f t="shared" si="191"/>
        <v>-0.89894853846089973</v>
      </c>
      <c r="N1753" s="8">
        <f t="shared" si="192"/>
        <v>-6.9149887573915367E-2</v>
      </c>
      <c r="O1753" s="8"/>
      <c r="P1753" t="s">
        <v>2039</v>
      </c>
      <c r="Q1753">
        <v>36</v>
      </c>
      <c r="R1753" s="8">
        <v>2.83684</v>
      </c>
      <c r="S1753">
        <v>13</v>
      </c>
      <c r="T1753" s="8">
        <f t="shared" si="193"/>
        <v>0.3611111111111111</v>
      </c>
      <c r="U1753" s="8">
        <v>2.8771599999999999</v>
      </c>
      <c r="V1753">
        <v>20</v>
      </c>
      <c r="W1753" s="8">
        <f t="shared" si="194"/>
        <v>0.55555555555555558</v>
      </c>
      <c r="X1753" s="8">
        <v>2.8067799999999998</v>
      </c>
      <c r="Y1753">
        <v>3</v>
      </c>
      <c r="Z1753" s="8">
        <f t="shared" si="195"/>
        <v>8.3333333333333329E-2</v>
      </c>
      <c r="AA1753" s="8">
        <v>2.8624999999999998</v>
      </c>
    </row>
    <row r="1754" spans="1:27" ht="15" customHeight="1" x14ac:dyDescent="0.25">
      <c r="B1754">
        <v>478</v>
      </c>
      <c r="C1754" s="8">
        <v>-12176.6895</v>
      </c>
      <c r="D1754" s="2">
        <v>-12178.699146000001</v>
      </c>
      <c r="F1754" s="3">
        <v>0.992757</v>
      </c>
      <c r="G1754" s="2">
        <v>0.16855000000000001</v>
      </c>
      <c r="H1754">
        <v>5</v>
      </c>
      <c r="I1754">
        <v>8</v>
      </c>
      <c r="J1754" s="32"/>
      <c r="K1754" s="8">
        <f t="shared" si="189"/>
        <v>-0.81750769230893638</v>
      </c>
      <c r="L1754" s="8">
        <f t="shared" si="190"/>
        <v>-6.2885207100687415E-2</v>
      </c>
      <c r="M1754" s="8">
        <f t="shared" si="191"/>
        <v>-1.3007535384622315</v>
      </c>
      <c r="N1754" s="8">
        <f t="shared" si="192"/>
        <v>-0.10005796449709473</v>
      </c>
      <c r="O1754" s="8"/>
      <c r="P1754" t="s">
        <v>2040</v>
      </c>
      <c r="Q1754">
        <v>36</v>
      </c>
      <c r="R1754" s="8">
        <v>2.83588</v>
      </c>
      <c r="S1754">
        <v>13</v>
      </c>
      <c r="T1754" s="8">
        <f t="shared" si="193"/>
        <v>0.3611111111111111</v>
      </c>
      <c r="U1754" s="8">
        <v>2.8675299999999999</v>
      </c>
      <c r="V1754">
        <v>20</v>
      </c>
      <c r="W1754" s="8">
        <f t="shared" si="194"/>
        <v>0.55555555555555558</v>
      </c>
      <c r="X1754" s="8">
        <v>2.8059699999999999</v>
      </c>
      <c r="Y1754">
        <v>3</v>
      </c>
      <c r="Z1754" s="8">
        <f t="shared" si="195"/>
        <v>8.3333333333333329E-2</v>
      </c>
      <c r="AA1754" s="8">
        <v>2.89819</v>
      </c>
    </row>
    <row r="1755" spans="1:27" ht="15" customHeight="1" x14ac:dyDescent="0.25">
      <c r="B1755">
        <v>479</v>
      </c>
      <c r="C1755" s="8">
        <v>-12176.345499999999</v>
      </c>
      <c r="D1755" s="2">
        <v>-12178.304631000001</v>
      </c>
      <c r="F1755" s="3">
        <v>0.995556</v>
      </c>
      <c r="G1755" s="2">
        <v>0.18318000000000001</v>
      </c>
      <c r="H1755">
        <v>5</v>
      </c>
      <c r="I1755">
        <v>8</v>
      </c>
      <c r="J1755" s="32"/>
      <c r="K1755" s="8">
        <f t="shared" si="189"/>
        <v>-0.47350769230797596</v>
      </c>
      <c r="L1755" s="8">
        <f t="shared" si="190"/>
        <v>-3.6423668639075077E-2</v>
      </c>
      <c r="M1755" s="8">
        <f t="shared" si="191"/>
        <v>-0.90623853846227576</v>
      </c>
      <c r="N1755" s="8">
        <f t="shared" si="192"/>
        <v>-6.9710656804790438E-2</v>
      </c>
      <c r="O1755" s="8"/>
      <c r="P1755" t="s">
        <v>2041</v>
      </c>
      <c r="Q1755">
        <v>36</v>
      </c>
      <c r="R1755" s="8">
        <v>2.8339300000000001</v>
      </c>
      <c r="S1755">
        <v>16</v>
      </c>
      <c r="T1755" s="8">
        <f t="shared" si="193"/>
        <v>0.44444444444444442</v>
      </c>
      <c r="U1755" s="8">
        <v>2.86151</v>
      </c>
      <c r="V1755">
        <v>16</v>
      </c>
      <c r="W1755" s="8">
        <f t="shared" si="194"/>
        <v>0.44444444444444442</v>
      </c>
      <c r="X1755" s="8">
        <v>2.80341</v>
      </c>
      <c r="Y1755">
        <v>4</v>
      </c>
      <c r="Z1755" s="8">
        <f t="shared" si="195"/>
        <v>0.1111111111111111</v>
      </c>
      <c r="AA1755" s="8">
        <v>2.8456800000000002</v>
      </c>
    </row>
    <row r="1756" spans="1:27" ht="15" customHeight="1" x14ac:dyDescent="0.25">
      <c r="B1756">
        <v>480</v>
      </c>
      <c r="C1756" s="8">
        <v>-12176.464099999999</v>
      </c>
      <c r="D1756" s="2">
        <v>-12178.165784999999</v>
      </c>
      <c r="F1756" s="3">
        <v>0.99723600000000001</v>
      </c>
      <c r="G1756" s="2">
        <v>0.197379999999999</v>
      </c>
      <c r="H1756">
        <v>5</v>
      </c>
      <c r="I1756">
        <v>8</v>
      </c>
      <c r="J1756" s="32"/>
      <c r="K1756" s="8">
        <f t="shared" si="189"/>
        <v>-0.5921076923077635</v>
      </c>
      <c r="L1756" s="8">
        <f t="shared" si="190"/>
        <v>-4.5546745562135657E-2</v>
      </c>
      <c r="M1756" s="8">
        <f t="shared" si="191"/>
        <v>-0.76739253846062638</v>
      </c>
      <c r="N1756" s="8">
        <f t="shared" si="192"/>
        <v>-5.9030195266202026E-2</v>
      </c>
      <c r="O1756" s="8"/>
      <c r="P1756" t="s">
        <v>2042</v>
      </c>
      <c r="Q1756">
        <v>36</v>
      </c>
      <c r="R1756" s="8">
        <v>2.8346900000000002</v>
      </c>
      <c r="S1756">
        <v>15</v>
      </c>
      <c r="T1756" s="8">
        <f t="shared" si="193"/>
        <v>0.41666666666666669</v>
      </c>
      <c r="U1756" s="8">
        <v>2.8699400000000002</v>
      </c>
      <c r="V1756">
        <v>18</v>
      </c>
      <c r="W1756" s="8">
        <f t="shared" si="194"/>
        <v>0.5</v>
      </c>
      <c r="X1756" s="8">
        <v>2.78701</v>
      </c>
      <c r="Y1756">
        <v>3</v>
      </c>
      <c r="Z1756" s="8">
        <f t="shared" si="195"/>
        <v>8.3333333333333329E-2</v>
      </c>
      <c r="AA1756" s="8">
        <v>2.9445399999999999</v>
      </c>
    </row>
    <row r="1757" spans="1:27" ht="15" customHeight="1" x14ac:dyDescent="0.25">
      <c r="A1757" s="8"/>
      <c r="B1757">
        <v>481</v>
      </c>
      <c r="C1757" s="8">
        <v>-12176.602199999999</v>
      </c>
      <c r="D1757" s="2">
        <v>-12178.596458</v>
      </c>
      <c r="F1757" s="3">
        <v>0.98731500000000005</v>
      </c>
      <c r="G1757" s="2">
        <v>0.15164</v>
      </c>
      <c r="H1757">
        <v>5</v>
      </c>
      <c r="I1757">
        <v>8</v>
      </c>
      <c r="J1757" s="32"/>
      <c r="K1757" s="8">
        <f t="shared" si="189"/>
        <v>-0.73020769230788574</v>
      </c>
      <c r="L1757" s="8">
        <f t="shared" si="190"/>
        <v>-5.6169822485221982E-2</v>
      </c>
      <c r="M1757" s="8">
        <f t="shared" si="191"/>
        <v>-1.1980655384613783</v>
      </c>
      <c r="N1757" s="8">
        <f t="shared" si="192"/>
        <v>-9.2158887573952172E-2</v>
      </c>
      <c r="O1757" s="8"/>
      <c r="P1757" t="s">
        <v>2043</v>
      </c>
      <c r="Q1757">
        <v>35</v>
      </c>
      <c r="R1757" s="8">
        <v>2.8216999999999999</v>
      </c>
      <c r="S1757">
        <v>14</v>
      </c>
      <c r="T1757" s="8">
        <f t="shared" si="193"/>
        <v>0.4</v>
      </c>
      <c r="U1757" s="8">
        <v>2.8187600000000002</v>
      </c>
      <c r="V1757">
        <v>15</v>
      </c>
      <c r="W1757" s="8">
        <f t="shared" si="194"/>
        <v>0.42857142857142855</v>
      </c>
      <c r="X1757" s="8">
        <v>2.8061600000000002</v>
      </c>
      <c r="Y1757">
        <v>6</v>
      </c>
      <c r="Z1757" s="8">
        <f t="shared" si="195"/>
        <v>0.17142857142857143</v>
      </c>
      <c r="AA1757" s="8">
        <v>2.86741</v>
      </c>
    </row>
    <row r="1758" spans="1:27" ht="15" customHeight="1" x14ac:dyDescent="0.25">
      <c r="B1758">
        <v>482</v>
      </c>
      <c r="C1758" s="8">
        <v>-12176.4512</v>
      </c>
      <c r="D1758" s="2">
        <v>-12178.31595</v>
      </c>
      <c r="F1758" s="3">
        <v>0.99442200000000003</v>
      </c>
      <c r="G1758" s="2">
        <v>0.17619000000000001</v>
      </c>
      <c r="H1758">
        <v>5</v>
      </c>
      <c r="I1758">
        <v>8</v>
      </c>
      <c r="J1758" s="32"/>
      <c r="K1758" s="8">
        <f t="shared" si="189"/>
        <v>-0.57920769230804581</v>
      </c>
      <c r="L1758" s="8">
        <f t="shared" si="190"/>
        <v>-4.4554437869849681E-2</v>
      </c>
      <c r="M1758" s="8">
        <f t="shared" si="191"/>
        <v>-0.9175575384615513</v>
      </c>
      <c r="N1758" s="8">
        <f t="shared" si="192"/>
        <v>-7.0581349112427028E-2</v>
      </c>
      <c r="O1758" s="8"/>
      <c r="P1758" t="s">
        <v>2044</v>
      </c>
      <c r="Q1758">
        <v>36</v>
      </c>
      <c r="R1758" s="8">
        <v>2.8349500000000001</v>
      </c>
      <c r="S1758">
        <v>15</v>
      </c>
      <c r="T1758" s="8">
        <f t="shared" si="193"/>
        <v>0.41666666666666669</v>
      </c>
      <c r="U1758" s="8">
        <v>2.8471899999999999</v>
      </c>
      <c r="V1758">
        <v>15</v>
      </c>
      <c r="W1758" s="8">
        <f t="shared" si="194"/>
        <v>0.41666666666666669</v>
      </c>
      <c r="X1758" s="8">
        <v>2.8234400000000002</v>
      </c>
      <c r="Y1758">
        <v>6</v>
      </c>
      <c r="Z1758" s="8">
        <f t="shared" si="195"/>
        <v>0.16666666666666666</v>
      </c>
      <c r="AA1758" s="8">
        <v>2.8331</v>
      </c>
    </row>
    <row r="1759" spans="1:27" ht="15" customHeight="1" x14ac:dyDescent="0.25">
      <c r="B1759">
        <v>483</v>
      </c>
      <c r="C1759" s="8">
        <v>-12176.638499999999</v>
      </c>
      <c r="D1759" s="2">
        <v>-12178.531730000001</v>
      </c>
      <c r="F1759" s="3">
        <v>0.98844900000000002</v>
      </c>
      <c r="G1759" s="2">
        <v>0.15443999999999899</v>
      </c>
      <c r="H1759">
        <v>5</v>
      </c>
      <c r="I1759">
        <v>8</v>
      </c>
      <c r="J1759" s="32"/>
      <c r="K1759" s="8">
        <f t="shared" si="189"/>
        <v>-0.76650769230764126</v>
      </c>
      <c r="L1759" s="8">
        <f t="shared" si="190"/>
        <v>-5.8962130177510869E-2</v>
      </c>
      <c r="M1759" s="8">
        <f t="shared" si="191"/>
        <v>-1.1333375384620012</v>
      </c>
      <c r="N1759" s="8">
        <f t="shared" si="192"/>
        <v>-8.7179810650923173E-2</v>
      </c>
      <c r="O1759" s="8"/>
      <c r="P1759" t="s">
        <v>2045</v>
      </c>
      <c r="Q1759">
        <v>35</v>
      </c>
      <c r="R1759" s="8">
        <v>2.82979</v>
      </c>
      <c r="S1759">
        <v>14</v>
      </c>
      <c r="T1759" s="8">
        <f t="shared" si="193"/>
        <v>0.4</v>
      </c>
      <c r="U1759" s="8">
        <v>2.8736899999999999</v>
      </c>
      <c r="V1759">
        <v>17</v>
      </c>
      <c r="W1759" s="8">
        <f t="shared" si="194"/>
        <v>0.48571428571428571</v>
      </c>
      <c r="X1759" s="8">
        <v>2.7839700000000001</v>
      </c>
      <c r="Y1759">
        <v>4</v>
      </c>
      <c r="Z1759" s="8">
        <f t="shared" si="195"/>
        <v>0.11428571428571428</v>
      </c>
      <c r="AA1759" s="8">
        <v>2.8708999999999998</v>
      </c>
    </row>
    <row r="1760" spans="1:27" ht="15" customHeight="1" x14ac:dyDescent="0.25">
      <c r="B1760" s="44">
        <v>484</v>
      </c>
      <c r="C1760" s="8">
        <v>-12176.172062</v>
      </c>
      <c r="D1760" s="41">
        <v>-12178.369408</v>
      </c>
      <c r="E1760" s="40"/>
      <c r="F1760" s="42">
        <v>-0.99162300000000003</v>
      </c>
      <c r="G1760" s="41">
        <v>0.164019999999999</v>
      </c>
      <c r="H1760" s="40">
        <v>5</v>
      </c>
      <c r="I1760" s="40">
        <v>8</v>
      </c>
      <c r="J1760" s="32"/>
      <c r="K1760" s="8">
        <f t="shared" si="189"/>
        <v>-0.30006969230817049</v>
      </c>
      <c r="L1760" s="8">
        <f t="shared" si="190"/>
        <v>-2.3082284023705421E-2</v>
      </c>
      <c r="M1760" s="8">
        <f t="shared" si="191"/>
        <v>-0.97101553846187016</v>
      </c>
      <c r="N1760" s="8">
        <f t="shared" si="192"/>
        <v>-7.4693502958605398E-2</v>
      </c>
      <c r="O1760" s="8"/>
      <c r="P1760" t="s">
        <v>2046</v>
      </c>
      <c r="Q1760">
        <v>35</v>
      </c>
      <c r="R1760" s="8">
        <v>2.82362</v>
      </c>
      <c r="S1760">
        <v>16</v>
      </c>
      <c r="T1760" s="8">
        <f t="shared" si="193"/>
        <v>0.45714285714285713</v>
      </c>
      <c r="U1760" s="8">
        <v>2.8194400000000002</v>
      </c>
      <c r="V1760">
        <v>12</v>
      </c>
      <c r="W1760" s="8">
        <f t="shared" si="194"/>
        <v>0.34285714285714286</v>
      </c>
      <c r="X1760" s="8">
        <v>2.81094</v>
      </c>
      <c r="Y1760">
        <v>7</v>
      </c>
      <c r="Z1760" s="8">
        <f t="shared" si="195"/>
        <v>0.2</v>
      </c>
      <c r="AA1760" s="8">
        <v>2.8549099999999998</v>
      </c>
    </row>
    <row r="1761" spans="2:27" ht="15" customHeight="1" x14ac:dyDescent="0.25">
      <c r="B1761">
        <v>485</v>
      </c>
      <c r="C1761" s="8">
        <v>-12176.5324</v>
      </c>
      <c r="D1761" s="2">
        <v>-12178.304502000001</v>
      </c>
      <c r="F1761" s="3">
        <v>0.995807</v>
      </c>
      <c r="G1761" s="2">
        <v>0.185029999999999</v>
      </c>
      <c r="H1761">
        <v>5</v>
      </c>
      <c r="I1761">
        <v>8</v>
      </c>
      <c r="J1761" s="32"/>
      <c r="K1761" s="8">
        <f t="shared" si="189"/>
        <v>-0.66040769230858132</v>
      </c>
      <c r="L1761" s="8">
        <f t="shared" si="190"/>
        <v>-5.0800591716044716E-2</v>
      </c>
      <c r="M1761" s="8">
        <f t="shared" si="191"/>
        <v>-0.90610953846226039</v>
      </c>
      <c r="N1761" s="8">
        <f t="shared" si="192"/>
        <v>-6.9700733727866185E-2</v>
      </c>
      <c r="O1761" s="8"/>
      <c r="P1761" t="s">
        <v>2047</v>
      </c>
      <c r="Q1761">
        <v>36</v>
      </c>
      <c r="R1761" s="8">
        <v>2.8392400000000002</v>
      </c>
      <c r="S1761">
        <v>15</v>
      </c>
      <c r="T1761" s="8">
        <f t="shared" si="193"/>
        <v>0.41666666666666669</v>
      </c>
      <c r="U1761" s="8">
        <v>2.8746999999999998</v>
      </c>
      <c r="V1761">
        <v>17</v>
      </c>
      <c r="W1761" s="8">
        <f t="shared" si="194"/>
        <v>0.47222222222222221</v>
      </c>
      <c r="X1761" s="8">
        <v>2.7913700000000001</v>
      </c>
      <c r="Y1761">
        <v>4</v>
      </c>
      <c r="Z1761" s="8">
        <f t="shared" si="195"/>
        <v>0.1111111111111111</v>
      </c>
      <c r="AA1761" s="8">
        <v>2.9096700000000002</v>
      </c>
    </row>
    <row r="1762" spans="2:27" ht="15" customHeight="1" x14ac:dyDescent="0.25">
      <c r="B1762">
        <v>486</v>
      </c>
      <c r="C1762" s="8">
        <v>-12176.6446</v>
      </c>
      <c r="D1762" s="2">
        <v>-12178.546984000001</v>
      </c>
      <c r="F1762" s="3">
        <v>0.99489300000000003</v>
      </c>
      <c r="G1762" s="2">
        <v>0.15087999999999899</v>
      </c>
      <c r="H1762">
        <v>5</v>
      </c>
      <c r="I1762">
        <v>8</v>
      </c>
      <c r="J1762" s="32"/>
      <c r="K1762" s="8">
        <f t="shared" si="189"/>
        <v>-0.7726076923081564</v>
      </c>
      <c r="L1762" s="8">
        <f t="shared" si="190"/>
        <v>-5.943136094678126E-2</v>
      </c>
      <c r="M1762" s="8">
        <f t="shared" si="191"/>
        <v>-1.1485915384619148</v>
      </c>
      <c r="N1762" s="8">
        <f t="shared" si="192"/>
        <v>-8.8353195266301129E-2</v>
      </c>
      <c r="O1762" s="8"/>
      <c r="P1762" t="s">
        <v>2048</v>
      </c>
      <c r="Q1762">
        <v>35</v>
      </c>
      <c r="R1762" s="8">
        <v>2.8287100000000001</v>
      </c>
      <c r="S1762">
        <v>14</v>
      </c>
      <c r="T1762" s="8">
        <f t="shared" si="193"/>
        <v>0.4</v>
      </c>
      <c r="U1762" s="8">
        <v>2.8733599999999999</v>
      </c>
      <c r="V1762">
        <v>17</v>
      </c>
      <c r="W1762" s="8">
        <f t="shared" si="194"/>
        <v>0.48571428571428571</v>
      </c>
      <c r="X1762" s="8">
        <v>2.7799800000000001</v>
      </c>
      <c r="Y1762">
        <v>4</v>
      </c>
      <c r="Z1762" s="8">
        <f t="shared" si="195"/>
        <v>0.11428571428571428</v>
      </c>
      <c r="AA1762" s="8">
        <v>2.8795600000000001</v>
      </c>
    </row>
    <row r="1763" spans="2:27" ht="15" customHeight="1" x14ac:dyDescent="0.25">
      <c r="B1763">
        <v>487</v>
      </c>
      <c r="C1763" s="8">
        <v>-12176.8213</v>
      </c>
      <c r="D1763" s="2">
        <v>-12178.731992999999</v>
      </c>
      <c r="F1763" s="3">
        <v>0.98972499999999997</v>
      </c>
      <c r="G1763" s="2">
        <v>0.157969999999999</v>
      </c>
      <c r="H1763">
        <v>5</v>
      </c>
      <c r="I1763">
        <v>8</v>
      </c>
      <c r="J1763" s="32"/>
      <c r="K1763" s="8">
        <f t="shared" si="189"/>
        <v>-0.94930769230813894</v>
      </c>
      <c r="L1763" s="8">
        <f t="shared" si="190"/>
        <v>-7.3023668639087616E-2</v>
      </c>
      <c r="M1763" s="8">
        <f t="shared" si="191"/>
        <v>-1.3336005384608143</v>
      </c>
      <c r="N1763" s="8">
        <f t="shared" si="192"/>
        <v>-0.10258465680467801</v>
      </c>
      <c r="O1763" s="8"/>
      <c r="P1763" t="s">
        <v>2049</v>
      </c>
      <c r="Q1763">
        <v>35</v>
      </c>
      <c r="R1763" s="8">
        <v>2.8220900000000002</v>
      </c>
      <c r="S1763">
        <v>12</v>
      </c>
      <c r="T1763" s="8">
        <f t="shared" si="193"/>
        <v>0.34285714285714286</v>
      </c>
      <c r="U1763" s="8">
        <v>2.8272699999999999</v>
      </c>
      <c r="V1763">
        <v>19</v>
      </c>
      <c r="W1763" s="8">
        <f t="shared" si="194"/>
        <v>0.54285714285714282</v>
      </c>
      <c r="X1763" s="8">
        <v>2.8117700000000001</v>
      </c>
      <c r="Y1763">
        <v>4</v>
      </c>
      <c r="Z1763" s="8">
        <f t="shared" si="195"/>
        <v>0.11428571428571428</v>
      </c>
      <c r="AA1763" s="8">
        <v>2.8555999999999999</v>
      </c>
    </row>
    <row r="1764" spans="2:27" ht="15" customHeight="1" x14ac:dyDescent="0.25">
      <c r="B1764">
        <v>488</v>
      </c>
      <c r="C1764" s="8">
        <v>-12176.4519</v>
      </c>
      <c r="D1764" s="2">
        <v>-12178.147872</v>
      </c>
      <c r="F1764" s="3">
        <v>0.99534299999999998</v>
      </c>
      <c r="G1764" s="2">
        <v>0.18174999999999999</v>
      </c>
      <c r="H1764">
        <v>5</v>
      </c>
      <c r="I1764">
        <v>8</v>
      </c>
      <c r="J1764" s="32"/>
      <c r="K1764" s="8">
        <f t="shared" si="189"/>
        <v>-0.57990769230855221</v>
      </c>
      <c r="L1764" s="8">
        <f t="shared" si="190"/>
        <v>-4.4608284023734783E-2</v>
      </c>
      <c r="M1764" s="8">
        <f t="shared" si="191"/>
        <v>-0.74947953846094606</v>
      </c>
      <c r="N1764" s="8">
        <f t="shared" si="192"/>
        <v>-5.7652272189303543E-2</v>
      </c>
      <c r="O1764" s="8"/>
      <c r="P1764" t="s">
        <v>2050</v>
      </c>
      <c r="Q1764">
        <v>36</v>
      </c>
      <c r="R1764" s="8">
        <v>2.8351700000000002</v>
      </c>
      <c r="S1764">
        <v>16</v>
      </c>
      <c r="T1764" s="8">
        <f t="shared" si="193"/>
        <v>0.44444444444444442</v>
      </c>
      <c r="U1764" s="8">
        <v>2.8510200000000001</v>
      </c>
      <c r="V1764">
        <v>15</v>
      </c>
      <c r="W1764" s="8">
        <f t="shared" si="194"/>
        <v>0.41666666666666669</v>
      </c>
      <c r="X1764" s="8">
        <v>2.8124799999999999</v>
      </c>
      <c r="Y1764">
        <v>5</v>
      </c>
      <c r="Z1764" s="8">
        <f t="shared" si="195"/>
        <v>0.1388888888888889</v>
      </c>
      <c r="AA1764" s="8">
        <v>2.8525</v>
      </c>
    </row>
    <row r="1765" spans="2:27" ht="15" customHeight="1" x14ac:dyDescent="0.25">
      <c r="B1765">
        <v>489</v>
      </c>
      <c r="C1765" s="8">
        <v>-12176.6451</v>
      </c>
      <c r="D1765" s="2">
        <v>-12178.375163999999</v>
      </c>
      <c r="F1765" s="3">
        <v>0.993008</v>
      </c>
      <c r="G1765" s="2">
        <v>0.16964000000000001</v>
      </c>
      <c r="H1765">
        <v>5</v>
      </c>
      <c r="I1765">
        <v>8</v>
      </c>
      <c r="J1765" s="32"/>
      <c r="K1765" s="8">
        <f t="shared" si="189"/>
        <v>-0.77310769230825827</v>
      </c>
      <c r="L1765" s="8">
        <f t="shared" si="190"/>
        <v>-5.9469822485250637E-2</v>
      </c>
      <c r="M1765" s="8">
        <f t="shared" si="191"/>
        <v>-0.97677153846052533</v>
      </c>
      <c r="N1765" s="8">
        <f t="shared" si="192"/>
        <v>-7.5136272189271186E-2</v>
      </c>
      <c r="O1765" s="8"/>
      <c r="P1765" t="s">
        <v>2051</v>
      </c>
      <c r="Q1765">
        <v>36</v>
      </c>
      <c r="R1765" s="8">
        <v>2.83582</v>
      </c>
      <c r="S1765">
        <v>15</v>
      </c>
      <c r="T1765" s="8">
        <f t="shared" si="193"/>
        <v>0.41666666666666669</v>
      </c>
      <c r="U1765" s="8">
        <v>2.8609300000000002</v>
      </c>
      <c r="V1765">
        <v>17</v>
      </c>
      <c r="W1765" s="8">
        <f t="shared" si="194"/>
        <v>0.47222222222222221</v>
      </c>
      <c r="X1765" s="8">
        <v>2.8053900000000001</v>
      </c>
      <c r="Y1765">
        <v>4</v>
      </c>
      <c r="Z1765" s="8">
        <f t="shared" si="195"/>
        <v>0.1111111111111111</v>
      </c>
      <c r="AA1765" s="8">
        <v>2.8709899999999999</v>
      </c>
    </row>
    <row r="1766" spans="2:27" ht="15" customHeight="1" x14ac:dyDescent="0.25">
      <c r="B1766">
        <v>490</v>
      </c>
      <c r="C1766" s="8">
        <v>-12176.8035</v>
      </c>
      <c r="D1766" s="2">
        <v>-12178.807798</v>
      </c>
      <c r="F1766" s="3">
        <v>0.99319999999999997</v>
      </c>
      <c r="G1766" s="2">
        <v>0.170399999999999</v>
      </c>
      <c r="H1766">
        <v>5</v>
      </c>
      <c r="I1766">
        <v>8</v>
      </c>
      <c r="J1766" s="32"/>
      <c r="K1766" s="8">
        <f t="shared" si="189"/>
        <v>-0.93150769230851438</v>
      </c>
      <c r="L1766" s="8">
        <f t="shared" si="190"/>
        <v>-7.165443786988572E-2</v>
      </c>
      <c r="M1766" s="8">
        <f t="shared" si="191"/>
        <v>-1.4094055384612147</v>
      </c>
      <c r="N1766" s="8">
        <f t="shared" si="192"/>
        <v>-0.10841581065086267</v>
      </c>
      <c r="O1766" s="8"/>
      <c r="P1766" t="s">
        <v>2052</v>
      </c>
      <c r="Q1766">
        <v>36</v>
      </c>
      <c r="R1766" s="8">
        <v>2.8329900000000001</v>
      </c>
      <c r="S1766">
        <v>13</v>
      </c>
      <c r="T1766" s="8">
        <f t="shared" si="193"/>
        <v>0.3611111111111111</v>
      </c>
      <c r="U1766" s="8">
        <v>2.85019</v>
      </c>
      <c r="V1766">
        <v>19</v>
      </c>
      <c r="W1766" s="8">
        <f t="shared" si="194"/>
        <v>0.52777777777777779</v>
      </c>
      <c r="X1766" s="8">
        <v>2.81968</v>
      </c>
      <c r="Y1766">
        <v>4</v>
      </c>
      <c r="Z1766" s="8">
        <f t="shared" si="195"/>
        <v>0.1111111111111111</v>
      </c>
      <c r="AA1766" s="8">
        <v>2.8403499999999999</v>
      </c>
    </row>
    <row r="1767" spans="2:27" ht="15" customHeight="1" x14ac:dyDescent="0.25">
      <c r="B1767" s="45">
        <v>491</v>
      </c>
      <c r="C1767" s="46">
        <v>-12124.393189</v>
      </c>
      <c r="D1767" s="47">
        <v>-12178.228870999999</v>
      </c>
      <c r="E1767" s="48"/>
      <c r="F1767" s="49">
        <v>0.99344299999999996</v>
      </c>
      <c r="G1767" s="47">
        <v>0.17130999999999999</v>
      </c>
      <c r="H1767" s="48">
        <v>5</v>
      </c>
      <c r="I1767" s="48">
        <v>8</v>
      </c>
      <c r="J1767" s="50">
        <v>-12176.2641</v>
      </c>
      <c r="K1767" s="8">
        <f t="shared" si="189"/>
        <v>51.478803307691123</v>
      </c>
      <c r="L1767" s="8">
        <f t="shared" si="190"/>
        <v>3.9599079467454712</v>
      </c>
      <c r="M1767" s="8">
        <f t="shared" si="191"/>
        <v>-0.83047853846073849</v>
      </c>
      <c r="N1767" s="8">
        <f t="shared" si="192"/>
        <v>-6.3882964496979888E-2</v>
      </c>
      <c r="O1767" s="8"/>
      <c r="P1767" t="s">
        <v>2053</v>
      </c>
      <c r="Q1767">
        <v>36</v>
      </c>
      <c r="R1767" s="8">
        <v>2.8348300000000002</v>
      </c>
      <c r="S1767">
        <v>17</v>
      </c>
      <c r="T1767" s="8">
        <f t="shared" si="193"/>
        <v>0.47222222222222221</v>
      </c>
      <c r="U1767" s="8">
        <v>2.8582299999999998</v>
      </c>
      <c r="V1767">
        <v>13</v>
      </c>
      <c r="W1767" s="8">
        <f t="shared" si="194"/>
        <v>0.3611111111111111</v>
      </c>
      <c r="X1767" s="8">
        <v>2.80579</v>
      </c>
      <c r="Y1767">
        <v>6</v>
      </c>
      <c r="Z1767" s="8">
        <f t="shared" si="195"/>
        <v>0.16666666666666666</v>
      </c>
      <c r="AA1767" s="8">
        <v>2.8314699999999999</v>
      </c>
    </row>
    <row r="1768" spans="2:27" ht="15" customHeight="1" x14ac:dyDescent="0.25">
      <c r="B1768">
        <v>492</v>
      </c>
      <c r="C1768" s="8">
        <v>-12176.6636</v>
      </c>
      <c r="D1768" s="2">
        <v>-12178.465391</v>
      </c>
      <c r="F1768" s="3">
        <v>0.99156699999999998</v>
      </c>
      <c r="G1768" s="2">
        <v>0.163939999999999</v>
      </c>
      <c r="H1768">
        <v>5</v>
      </c>
      <c r="I1768">
        <v>8</v>
      </c>
      <c r="J1768" s="32"/>
      <c r="K1768" s="8">
        <f t="shared" si="189"/>
        <v>-0.79160769230838923</v>
      </c>
      <c r="L1768" s="8">
        <f t="shared" si="190"/>
        <v>-6.0892899408337635E-2</v>
      </c>
      <c r="M1768" s="8">
        <f t="shared" si="191"/>
        <v>-1.0669985384611209</v>
      </c>
      <c r="N1768" s="8">
        <f t="shared" si="192"/>
        <v>-8.2076810650855453E-2</v>
      </c>
      <c r="O1768" s="8"/>
      <c r="P1768" t="s">
        <v>2054</v>
      </c>
      <c r="Q1768">
        <v>35</v>
      </c>
      <c r="R1768" s="8">
        <v>2.8234400000000002</v>
      </c>
      <c r="S1768">
        <v>12</v>
      </c>
      <c r="T1768" s="8">
        <f t="shared" si="193"/>
        <v>0.34285714285714286</v>
      </c>
      <c r="U1768" s="8">
        <v>2.8303400000000001</v>
      </c>
      <c r="V1768">
        <v>20</v>
      </c>
      <c r="W1768" s="8">
        <f t="shared" si="194"/>
        <v>0.5714285714285714</v>
      </c>
      <c r="X1768" s="8">
        <v>2.8041</v>
      </c>
      <c r="Y1768">
        <v>3</v>
      </c>
      <c r="Z1768" s="8">
        <f t="shared" si="195"/>
        <v>8.5714285714285715E-2</v>
      </c>
      <c r="AA1768" s="8">
        <v>2.9247399999999999</v>
      </c>
    </row>
    <row r="1769" spans="2:27" ht="15" customHeight="1" x14ac:dyDescent="0.25">
      <c r="B1769">
        <v>493</v>
      </c>
      <c r="C1769" s="8">
        <v>-12176.56</v>
      </c>
      <c r="D1769" s="2">
        <v>-12178.321214</v>
      </c>
      <c r="F1769" s="3">
        <v>0.99385800000000002</v>
      </c>
      <c r="G1769" s="2">
        <v>0.173459999999999</v>
      </c>
      <c r="H1769">
        <v>5</v>
      </c>
      <c r="I1769">
        <v>8</v>
      </c>
      <c r="J1769" s="32"/>
      <c r="K1769" s="8">
        <f t="shared" si="189"/>
        <v>-0.68800769230801961</v>
      </c>
      <c r="L1769" s="8">
        <f t="shared" si="190"/>
        <v>-5.2923668639078429E-2</v>
      </c>
      <c r="M1769" s="8">
        <f t="shared" si="191"/>
        <v>-0.92282153846099391</v>
      </c>
      <c r="N1769" s="8">
        <f t="shared" si="192"/>
        <v>-7.0986272189307226E-2</v>
      </c>
      <c r="O1769" s="8"/>
      <c r="P1769" t="s">
        <v>2055</v>
      </c>
      <c r="Q1769">
        <v>36</v>
      </c>
      <c r="R1769" s="8">
        <v>2.8315399999999999</v>
      </c>
      <c r="S1769">
        <v>15</v>
      </c>
      <c r="T1769" s="8">
        <f t="shared" si="193"/>
        <v>0.41666666666666669</v>
      </c>
      <c r="U1769" s="8">
        <v>2.8629099999999998</v>
      </c>
      <c r="V1769">
        <v>17</v>
      </c>
      <c r="W1769" s="8">
        <f t="shared" si="194"/>
        <v>0.47222222222222221</v>
      </c>
      <c r="X1769" s="8">
        <v>2.8001399999999999</v>
      </c>
      <c r="Y1769">
        <v>4</v>
      </c>
      <c r="Z1769" s="8">
        <f t="shared" si="195"/>
        <v>0.1111111111111111</v>
      </c>
      <c r="AA1769" s="8">
        <v>2.8473799999999998</v>
      </c>
    </row>
    <row r="1770" spans="2:27" ht="15" customHeight="1" x14ac:dyDescent="0.25">
      <c r="B1770">
        <v>494</v>
      </c>
      <c r="C1770" s="8">
        <v>-12176.719499999999</v>
      </c>
      <c r="D1770" s="2">
        <v>-12178.440667000001</v>
      </c>
      <c r="F1770" s="3">
        <v>0.99629199999999996</v>
      </c>
      <c r="G1770" s="2">
        <v>0.18869999999999901</v>
      </c>
      <c r="H1770">
        <v>5</v>
      </c>
      <c r="I1770">
        <v>8</v>
      </c>
      <c r="J1770" s="32"/>
      <c r="K1770" s="8">
        <f t="shared" si="189"/>
        <v>-0.84750769230777223</v>
      </c>
      <c r="L1770" s="8">
        <f t="shared" si="190"/>
        <v>-6.5192899408290178E-2</v>
      </c>
      <c r="M1770" s="8">
        <f t="shared" si="191"/>
        <v>-1.0422745384621521</v>
      </c>
      <c r="N1770" s="8">
        <f t="shared" si="192"/>
        <v>-8.0174964497088622E-2</v>
      </c>
      <c r="O1770" s="8"/>
      <c r="P1770" t="s">
        <v>2056</v>
      </c>
      <c r="Q1770">
        <v>36</v>
      </c>
      <c r="R1770" s="8">
        <v>2.8372199999999999</v>
      </c>
      <c r="S1770">
        <v>14</v>
      </c>
      <c r="T1770" s="8">
        <f t="shared" si="193"/>
        <v>0.3888888888888889</v>
      </c>
      <c r="U1770" s="8">
        <v>2.8753799999999998</v>
      </c>
      <c r="V1770">
        <v>19</v>
      </c>
      <c r="W1770" s="8">
        <f t="shared" si="194"/>
        <v>0.52777777777777779</v>
      </c>
      <c r="X1770" s="8">
        <v>2.8003100000000001</v>
      </c>
      <c r="Y1770">
        <v>3</v>
      </c>
      <c r="Z1770" s="8">
        <f t="shared" si="195"/>
        <v>8.3333333333333329E-2</v>
      </c>
      <c r="AA1770" s="8">
        <v>2.8928799999999999</v>
      </c>
    </row>
    <row r="1771" spans="2:27" ht="15" customHeight="1" x14ac:dyDescent="0.25">
      <c r="B1771" s="40">
        <v>495</v>
      </c>
      <c r="C1771" s="8">
        <v>-12176.321236</v>
      </c>
      <c r="D1771" s="41">
        <v>-12178.026443000001</v>
      </c>
      <c r="E1771" s="40"/>
      <c r="F1771" s="42">
        <v>0.99278</v>
      </c>
      <c r="G1771" s="41">
        <v>0.16863</v>
      </c>
      <c r="H1771" s="40">
        <v>5</v>
      </c>
      <c r="I1771" s="40">
        <v>8</v>
      </c>
      <c r="J1771" s="32"/>
      <c r="K1771" s="8">
        <f t="shared" si="189"/>
        <v>-0.44924369230830052</v>
      </c>
      <c r="L1771" s="8">
        <f t="shared" si="190"/>
        <v>-3.4557207100638504E-2</v>
      </c>
      <c r="M1771" s="8">
        <f t="shared" si="191"/>
        <v>-0.62805053846204828</v>
      </c>
      <c r="N1771" s="8">
        <f t="shared" si="192"/>
        <v>-4.8311579881696022E-2</v>
      </c>
      <c r="O1771" s="8"/>
      <c r="P1771" t="s">
        <v>2057</v>
      </c>
      <c r="Q1771">
        <v>35</v>
      </c>
      <c r="R1771" s="8">
        <v>2.8237800000000002</v>
      </c>
      <c r="S1771">
        <v>16</v>
      </c>
      <c r="T1771" s="8">
        <f t="shared" si="193"/>
        <v>0.45714285714285713</v>
      </c>
      <c r="U1771" s="8">
        <v>2.84653</v>
      </c>
      <c r="V1771">
        <v>15</v>
      </c>
      <c r="W1771" s="8">
        <f t="shared" si="194"/>
        <v>0.42857142857142855</v>
      </c>
      <c r="X1771" s="8">
        <v>2.7902100000000001</v>
      </c>
      <c r="Y1771">
        <v>4</v>
      </c>
      <c r="Z1771" s="8">
        <f t="shared" si="195"/>
        <v>0.11428571428571428</v>
      </c>
      <c r="AA1771" s="8">
        <v>2.8586900000000002</v>
      </c>
    </row>
    <row r="1772" spans="2:27" ht="15" customHeight="1" x14ac:dyDescent="0.25">
      <c r="B1772">
        <v>496</v>
      </c>
      <c r="C1772" s="8">
        <v>-12176.4476</v>
      </c>
      <c r="D1772" s="2">
        <v>-12177.979459</v>
      </c>
      <c r="F1772" s="3">
        <v>0.99643899999999996</v>
      </c>
      <c r="G1772" s="2">
        <v>0.1898</v>
      </c>
      <c r="H1772">
        <v>5</v>
      </c>
      <c r="I1772">
        <v>8</v>
      </c>
      <c r="J1772" s="32"/>
      <c r="K1772" s="8">
        <f t="shared" si="189"/>
        <v>-0.57560769230803999</v>
      </c>
      <c r="L1772" s="8">
        <f t="shared" si="190"/>
        <v>-4.4277514792926152E-2</v>
      </c>
      <c r="M1772" s="8">
        <f t="shared" si="191"/>
        <v>-0.58106653846152767</v>
      </c>
      <c r="N1772" s="8">
        <f t="shared" si="192"/>
        <v>-4.4697426035502127E-2</v>
      </c>
      <c r="O1772" s="8"/>
      <c r="P1772" t="s">
        <v>2058</v>
      </c>
      <c r="Q1772">
        <v>36</v>
      </c>
      <c r="R1772" s="8">
        <v>2.8304299999999998</v>
      </c>
      <c r="S1772">
        <v>16</v>
      </c>
      <c r="T1772" s="8">
        <f t="shared" si="193"/>
        <v>0.44444444444444442</v>
      </c>
      <c r="U1772" s="8">
        <v>2.8302800000000001</v>
      </c>
      <c r="V1772">
        <v>13</v>
      </c>
      <c r="W1772" s="8">
        <f t="shared" si="194"/>
        <v>0.3611111111111111</v>
      </c>
      <c r="X1772" s="8">
        <v>2.8340399999999999</v>
      </c>
      <c r="Y1772">
        <v>7</v>
      </c>
      <c r="Z1772" s="8">
        <f t="shared" si="195"/>
        <v>0.19444444444444445</v>
      </c>
      <c r="AA1772" s="8">
        <v>2.8240799999999999</v>
      </c>
    </row>
    <row r="1773" spans="2:27" ht="15" customHeight="1" x14ac:dyDescent="0.25">
      <c r="B1773">
        <v>497</v>
      </c>
      <c r="C1773" s="8">
        <v>-12176.705599999999</v>
      </c>
      <c r="D1773" s="2">
        <v>-12178.786399000001</v>
      </c>
      <c r="F1773" s="3">
        <v>0.99718700000000005</v>
      </c>
      <c r="G1773" s="2">
        <v>0.19686000000000001</v>
      </c>
      <c r="H1773">
        <v>5</v>
      </c>
      <c r="I1773">
        <v>8</v>
      </c>
      <c r="J1773" s="32"/>
      <c r="K1773" s="8">
        <f t="shared" si="189"/>
        <v>-0.83360769230785081</v>
      </c>
      <c r="L1773" s="8">
        <f t="shared" si="190"/>
        <v>-6.4123668639065448E-2</v>
      </c>
      <c r="M1773" s="8">
        <f t="shared" si="191"/>
        <v>-1.3880065384619229</v>
      </c>
      <c r="N1773" s="8">
        <f t="shared" si="192"/>
        <v>-0.10676973372784022</v>
      </c>
      <c r="O1773" s="8"/>
      <c r="P1773" t="s">
        <v>2059</v>
      </c>
      <c r="Q1773">
        <v>36</v>
      </c>
      <c r="R1773" s="8">
        <v>2.83344</v>
      </c>
      <c r="S1773">
        <v>14</v>
      </c>
      <c r="T1773" s="8">
        <f t="shared" si="193"/>
        <v>0.3888888888888889</v>
      </c>
      <c r="U1773" s="8">
        <v>2.84294</v>
      </c>
      <c r="V1773">
        <v>17</v>
      </c>
      <c r="W1773" s="8">
        <f t="shared" si="194"/>
        <v>0.47222222222222221</v>
      </c>
      <c r="X1773" s="8">
        <v>2.8289900000000001</v>
      </c>
      <c r="Y1773">
        <v>5</v>
      </c>
      <c r="Z1773" s="8">
        <f t="shared" si="195"/>
        <v>0.1388888888888889</v>
      </c>
      <c r="AA1773" s="8">
        <v>2.8219699999999999</v>
      </c>
    </row>
    <row r="1774" spans="2:27" ht="15" customHeight="1" x14ac:dyDescent="0.25">
      <c r="B1774">
        <v>498</v>
      </c>
      <c r="C1774" s="8">
        <v>-12176.723400000001</v>
      </c>
      <c r="D1774" s="2">
        <v>-12178.754518</v>
      </c>
      <c r="F1774" s="3">
        <v>0.99613499999999999</v>
      </c>
      <c r="G1774" s="2">
        <v>0.187419999999999</v>
      </c>
      <c r="H1774">
        <v>5</v>
      </c>
      <c r="I1774">
        <v>8</v>
      </c>
      <c r="J1774" s="32"/>
      <c r="K1774" s="8">
        <f t="shared" si="189"/>
        <v>-0.85140769230929436</v>
      </c>
      <c r="L1774" s="8">
        <f t="shared" si="190"/>
        <v>-6.549289940840726E-2</v>
      </c>
      <c r="M1774" s="8">
        <f t="shared" si="191"/>
        <v>-1.3561255384611286</v>
      </c>
      <c r="N1774" s="8">
        <f t="shared" si="192"/>
        <v>-0.10431734911239451</v>
      </c>
      <c r="O1774" s="8"/>
      <c r="P1774" t="s">
        <v>2060</v>
      </c>
      <c r="Q1774">
        <v>35</v>
      </c>
      <c r="R1774" s="8">
        <v>2.82287</v>
      </c>
      <c r="S1774">
        <v>14</v>
      </c>
      <c r="T1774" s="8">
        <f t="shared" si="193"/>
        <v>0.4</v>
      </c>
      <c r="U1774" s="8">
        <v>2.8469099999999998</v>
      </c>
      <c r="V1774">
        <v>17</v>
      </c>
      <c r="W1774" s="8">
        <f t="shared" si="194"/>
        <v>0.48571428571428571</v>
      </c>
      <c r="X1774" s="8">
        <v>2.8026499999999999</v>
      </c>
      <c r="Y1774">
        <v>4</v>
      </c>
      <c r="Z1774" s="8">
        <f t="shared" si="195"/>
        <v>0.11428571428571428</v>
      </c>
      <c r="AA1774" s="8">
        <v>2.82464</v>
      </c>
    </row>
    <row r="1775" spans="2:27" ht="15" customHeight="1" x14ac:dyDescent="0.25">
      <c r="B1775">
        <v>499</v>
      </c>
      <c r="C1775" s="8">
        <v>-12176.3334</v>
      </c>
      <c r="D1775" s="2">
        <v>-12178.473935</v>
      </c>
      <c r="F1775" s="3">
        <v>0.99624599999999996</v>
      </c>
      <c r="G1775" s="2">
        <v>0.18828999999999901</v>
      </c>
      <c r="H1775">
        <v>5</v>
      </c>
      <c r="I1775">
        <v>8</v>
      </c>
      <c r="J1775" s="32"/>
      <c r="K1775" s="8">
        <f t="shared" si="189"/>
        <v>-0.46140769230805745</v>
      </c>
      <c r="L1775" s="8">
        <f t="shared" si="190"/>
        <v>-3.5492899408312115E-2</v>
      </c>
      <c r="M1775" s="8">
        <f t="shared" si="191"/>
        <v>-1.0755425384613773</v>
      </c>
      <c r="N1775" s="8">
        <f t="shared" si="192"/>
        <v>-8.2734041420105944E-2</v>
      </c>
      <c r="O1775" s="8"/>
      <c r="P1775" t="s">
        <v>2061</v>
      </c>
      <c r="Q1775">
        <v>35</v>
      </c>
      <c r="R1775" s="8">
        <v>2.82226</v>
      </c>
      <c r="S1775">
        <v>15</v>
      </c>
      <c r="T1775" s="8">
        <f t="shared" si="193"/>
        <v>0.42857142857142855</v>
      </c>
      <c r="U1775" s="8">
        <v>2.8195399999999999</v>
      </c>
      <c r="V1775">
        <v>14</v>
      </c>
      <c r="W1775" s="8">
        <f t="shared" si="194"/>
        <v>0.4</v>
      </c>
      <c r="X1775" s="8">
        <v>2.8173599999999999</v>
      </c>
      <c r="Y1775">
        <v>6</v>
      </c>
      <c r="Z1775" s="8">
        <f t="shared" si="195"/>
        <v>0.17142857142857143</v>
      </c>
      <c r="AA1775" s="8">
        <v>2.8405100000000001</v>
      </c>
    </row>
    <row r="1776" spans="2:27" ht="15" customHeight="1" x14ac:dyDescent="0.25">
      <c r="B1776">
        <v>500</v>
      </c>
      <c r="C1776" s="8">
        <v>-12176.4239</v>
      </c>
      <c r="D1776" s="2">
        <v>-12178.169277999999</v>
      </c>
      <c r="F1776" s="3">
        <v>0.99155700000000002</v>
      </c>
      <c r="G1776" s="2">
        <v>0.163879999999999</v>
      </c>
      <c r="H1776">
        <v>5</v>
      </c>
      <c r="I1776">
        <v>8</v>
      </c>
      <c r="J1776" s="32"/>
      <c r="K1776" s="8">
        <f t="shared" si="189"/>
        <v>-0.55190769230830483</v>
      </c>
      <c r="L1776" s="8">
        <f t="shared" si="190"/>
        <v>-4.2454437869869605E-2</v>
      </c>
      <c r="M1776" s="8">
        <f t="shared" si="191"/>
        <v>-0.77088553846078867</v>
      </c>
      <c r="N1776" s="8">
        <f t="shared" si="192"/>
        <v>-5.9298887573906819E-2</v>
      </c>
      <c r="O1776" s="8"/>
      <c r="P1776" t="s">
        <v>2062</v>
      </c>
      <c r="Q1776">
        <v>36</v>
      </c>
      <c r="R1776" s="8">
        <v>2.8348800000000001</v>
      </c>
      <c r="S1776">
        <v>16</v>
      </c>
      <c r="T1776" s="8">
        <f t="shared" si="193"/>
        <v>0.44444444444444442</v>
      </c>
      <c r="U1776" s="8">
        <v>2.8576600000000001</v>
      </c>
      <c r="V1776">
        <v>15</v>
      </c>
      <c r="W1776" s="8">
        <f t="shared" si="194"/>
        <v>0.41666666666666669</v>
      </c>
      <c r="X1776" s="8">
        <v>2.81433</v>
      </c>
      <c r="Y1776">
        <v>5</v>
      </c>
      <c r="Z1776" s="8">
        <f t="shared" si="195"/>
        <v>0.1388888888888889</v>
      </c>
      <c r="AA1776" s="8">
        <v>2.82368</v>
      </c>
    </row>
    <row r="1777" spans="2:27" ht="15" customHeight="1" x14ac:dyDescent="0.25">
      <c r="B1777">
        <v>501</v>
      </c>
      <c r="C1777" s="8">
        <v>-12176.984</v>
      </c>
      <c r="D1777" s="2">
        <v>-12178.453020999999</v>
      </c>
      <c r="F1777" s="3">
        <v>0.99616400000000005</v>
      </c>
      <c r="G1777" s="2">
        <v>0.18664999999999901</v>
      </c>
      <c r="H1777">
        <v>5</v>
      </c>
      <c r="I1777">
        <v>8</v>
      </c>
      <c r="J1777" s="32"/>
      <c r="K1777" s="8">
        <f t="shared" si="189"/>
        <v>-1.1120076923089073</v>
      </c>
      <c r="L1777" s="8">
        <f t="shared" si="190"/>
        <v>-8.553905325453133E-2</v>
      </c>
      <c r="M1777" s="8">
        <f t="shared" si="191"/>
        <v>-1.0546285384607472</v>
      </c>
      <c r="N1777" s="8">
        <f t="shared" si="192"/>
        <v>-8.112527218928825E-2</v>
      </c>
      <c r="O1777" s="8"/>
      <c r="P1777" t="s">
        <v>2063</v>
      </c>
      <c r="Q1777">
        <v>36</v>
      </c>
      <c r="R1777" s="8">
        <v>2.8335699999999999</v>
      </c>
      <c r="S1777">
        <v>12</v>
      </c>
      <c r="T1777" s="8">
        <f t="shared" si="193"/>
        <v>0.33333333333333331</v>
      </c>
      <c r="U1777" s="8">
        <v>2.8626200000000002</v>
      </c>
      <c r="V1777">
        <v>21</v>
      </c>
      <c r="W1777" s="8">
        <f t="shared" si="194"/>
        <v>0.58333333333333337</v>
      </c>
      <c r="X1777" s="8">
        <v>2.82159</v>
      </c>
      <c r="Y1777">
        <v>3</v>
      </c>
      <c r="Z1777" s="8">
        <f t="shared" si="195"/>
        <v>8.3333333333333329E-2</v>
      </c>
      <c r="AA1777" s="8">
        <v>2.80118</v>
      </c>
    </row>
    <row r="1778" spans="2:27" ht="15" customHeight="1" x14ac:dyDescent="0.25">
      <c r="B1778">
        <v>502</v>
      </c>
      <c r="C1778" s="8">
        <v>-12176.622600000001</v>
      </c>
      <c r="D1778" s="2">
        <v>-12178.405339000001</v>
      </c>
      <c r="F1778" s="3">
        <v>0.99432200000000004</v>
      </c>
      <c r="G1778" s="2">
        <v>0.17584</v>
      </c>
      <c r="H1778">
        <v>5</v>
      </c>
      <c r="I1778">
        <v>8</v>
      </c>
      <c r="J1778" s="32"/>
      <c r="K1778" s="8">
        <f t="shared" si="189"/>
        <v>-0.75060769230913138</v>
      </c>
      <c r="L1778" s="8">
        <f t="shared" si="190"/>
        <v>-5.7739053254548568E-2</v>
      </c>
      <c r="M1778" s="8">
        <f t="shared" si="191"/>
        <v>-1.0069465384622163</v>
      </c>
      <c r="N1778" s="8">
        <f t="shared" si="192"/>
        <v>-7.7457426035555096E-2</v>
      </c>
      <c r="O1778" s="8"/>
      <c r="P1778" t="s">
        <v>2064</v>
      </c>
      <c r="Q1778">
        <v>35</v>
      </c>
      <c r="R1778" s="8">
        <v>2.8246099999999998</v>
      </c>
      <c r="S1778">
        <v>13</v>
      </c>
      <c r="T1778" s="8">
        <f t="shared" si="193"/>
        <v>0.37142857142857144</v>
      </c>
      <c r="U1778" s="8">
        <v>2.8270499999999998</v>
      </c>
      <c r="V1778">
        <v>18</v>
      </c>
      <c r="W1778" s="8">
        <f t="shared" si="194"/>
        <v>0.51428571428571423</v>
      </c>
      <c r="X1778" s="8">
        <v>2.8290999999999999</v>
      </c>
      <c r="Y1778">
        <v>4</v>
      </c>
      <c r="Z1778" s="8">
        <f t="shared" si="195"/>
        <v>0.11428571428571428</v>
      </c>
      <c r="AA1778" s="8">
        <v>2.7964500000000001</v>
      </c>
    </row>
    <row r="1779" spans="2:27" ht="15" customHeight="1" x14ac:dyDescent="0.25">
      <c r="B1779" s="7">
        <v>503</v>
      </c>
      <c r="C1779" s="8">
        <v>-12176.732812</v>
      </c>
      <c r="D1779" s="2">
        <v>-12178.539766</v>
      </c>
      <c r="F1779" s="3">
        <v>0.99421700000000002</v>
      </c>
      <c r="G1779" s="2">
        <v>0.17530999999999999</v>
      </c>
      <c r="H1779">
        <v>5</v>
      </c>
      <c r="I1779">
        <v>8</v>
      </c>
      <c r="J1779" s="32"/>
      <c r="K1779" s="8">
        <f t="shared" si="189"/>
        <v>-0.86081969230872346</v>
      </c>
      <c r="L1779" s="8">
        <f t="shared" si="190"/>
        <v>-6.6216899408363339E-2</v>
      </c>
      <c r="M1779" s="8">
        <f t="shared" si="191"/>
        <v>-1.1413735384612664</v>
      </c>
      <c r="N1779" s="8">
        <f t="shared" si="192"/>
        <v>-8.77979644970205E-2</v>
      </c>
      <c r="O1779" s="8"/>
      <c r="P1779" t="s">
        <v>2065</v>
      </c>
      <c r="Q1779">
        <v>36</v>
      </c>
      <c r="R1779" s="8">
        <v>2.83351</v>
      </c>
      <c r="S1779">
        <v>14</v>
      </c>
      <c r="T1779" s="8">
        <f t="shared" si="193"/>
        <v>0.3888888888888889</v>
      </c>
      <c r="U1779" s="8">
        <v>2.8735900000000001</v>
      </c>
      <c r="V1779">
        <v>19</v>
      </c>
      <c r="W1779" s="8">
        <f t="shared" si="194"/>
        <v>0.52777777777777779</v>
      </c>
      <c r="X1779" s="8">
        <v>2.8046600000000002</v>
      </c>
      <c r="Y1779">
        <v>3</v>
      </c>
      <c r="Z1779" s="8">
        <f t="shared" si="195"/>
        <v>8.3333333333333329E-2</v>
      </c>
      <c r="AA1779" s="8">
        <v>2.8291900000000001</v>
      </c>
    </row>
    <row r="1780" spans="2:27" ht="15" customHeight="1" x14ac:dyDescent="0.25">
      <c r="B1780">
        <v>504</v>
      </c>
      <c r="C1780" s="8">
        <v>-12176.3447</v>
      </c>
      <c r="D1780" s="2">
        <v>-12177.902165</v>
      </c>
      <c r="F1780" s="3">
        <v>0.99100200000000005</v>
      </c>
      <c r="G1780" s="2">
        <v>0.16181000000000001</v>
      </c>
      <c r="H1780">
        <v>5</v>
      </c>
      <c r="I1780">
        <v>8</v>
      </c>
      <c r="J1780" s="32"/>
      <c r="K1780" s="8">
        <f t="shared" si="189"/>
        <v>-0.47270769230817677</v>
      </c>
      <c r="L1780" s="8">
        <f t="shared" si="190"/>
        <v>-3.6362130177552063E-2</v>
      </c>
      <c r="M1780" s="8">
        <f t="shared" si="191"/>
        <v>-0.50377253846090753</v>
      </c>
      <c r="N1780" s="8">
        <f t="shared" si="192"/>
        <v>-3.8751733727762118E-2</v>
      </c>
      <c r="O1780" s="8"/>
      <c r="P1780" t="s">
        <v>2066</v>
      </c>
      <c r="Q1780">
        <v>36</v>
      </c>
      <c r="R1780" s="8">
        <v>2.8307199999999999</v>
      </c>
      <c r="S1780">
        <v>17</v>
      </c>
      <c r="T1780" s="8">
        <f t="shared" si="193"/>
        <v>0.47222222222222221</v>
      </c>
      <c r="U1780" s="8">
        <v>2.8571499999999999</v>
      </c>
      <c r="V1780">
        <v>15</v>
      </c>
      <c r="W1780" s="8">
        <f t="shared" si="194"/>
        <v>0.41666666666666669</v>
      </c>
      <c r="X1780" s="8">
        <v>2.7970700000000002</v>
      </c>
      <c r="Y1780">
        <v>4</v>
      </c>
      <c r="Z1780" s="8">
        <f t="shared" si="195"/>
        <v>0.1111111111111111</v>
      </c>
      <c r="AA1780" s="8">
        <v>2.8445999999999998</v>
      </c>
    </row>
    <row r="1781" spans="2:27" ht="15" customHeight="1" x14ac:dyDescent="0.25">
      <c r="B1781">
        <v>505</v>
      </c>
      <c r="C1781" s="8">
        <v>-12176.676799999999</v>
      </c>
      <c r="D1781" s="2">
        <v>-12178.587751999999</v>
      </c>
      <c r="F1781" s="3">
        <v>0.99752700000000005</v>
      </c>
      <c r="G1781" s="2">
        <v>0.20058000000000001</v>
      </c>
      <c r="H1781">
        <v>5</v>
      </c>
      <c r="I1781">
        <v>8</v>
      </c>
      <c r="J1781" s="32"/>
      <c r="K1781" s="8">
        <f t="shared" si="189"/>
        <v>-0.80480769230780425</v>
      </c>
      <c r="L1781" s="8">
        <f t="shared" si="190"/>
        <v>-6.1908284023677249E-2</v>
      </c>
      <c r="M1781" s="8">
        <f t="shared" si="191"/>
        <v>-1.1893595384608489</v>
      </c>
      <c r="N1781" s="8">
        <f t="shared" si="192"/>
        <v>-9.1489195266219139E-2</v>
      </c>
      <c r="O1781" s="8"/>
      <c r="P1781" t="s">
        <v>2067</v>
      </c>
      <c r="Q1781">
        <v>35</v>
      </c>
      <c r="R1781" s="8">
        <v>2.8229299999999999</v>
      </c>
      <c r="S1781">
        <v>14</v>
      </c>
      <c r="T1781" s="8">
        <f t="shared" si="193"/>
        <v>0.4</v>
      </c>
      <c r="U1781" s="8">
        <v>2.8309000000000002</v>
      </c>
      <c r="V1781">
        <v>16</v>
      </c>
      <c r="W1781" s="8">
        <f t="shared" si="194"/>
        <v>0.45714285714285713</v>
      </c>
      <c r="X1781" s="8">
        <v>2.80945</v>
      </c>
      <c r="Y1781">
        <v>5</v>
      </c>
      <c r="Z1781" s="8">
        <f t="shared" si="195"/>
        <v>0.14285714285714285</v>
      </c>
      <c r="AA1781" s="8">
        <v>2.8437299999999999</v>
      </c>
    </row>
    <row r="1782" spans="2:27" ht="15" customHeight="1" x14ac:dyDescent="0.25">
      <c r="B1782">
        <v>506</v>
      </c>
      <c r="C1782" s="8">
        <v>-12176.6998</v>
      </c>
      <c r="D1782" s="2">
        <v>-12178.728454</v>
      </c>
      <c r="F1782" s="3">
        <v>0.99438499999999996</v>
      </c>
      <c r="G1782" s="2">
        <v>0.176149999999999</v>
      </c>
      <c r="H1782">
        <v>5</v>
      </c>
      <c r="I1782">
        <v>8</v>
      </c>
      <c r="J1782" s="32"/>
      <c r="K1782" s="8">
        <f t="shared" si="189"/>
        <v>-0.82780769230885198</v>
      </c>
      <c r="L1782" s="8">
        <f t="shared" si="190"/>
        <v>-6.367751479298861E-2</v>
      </c>
      <c r="M1782" s="8">
        <f t="shared" si="191"/>
        <v>-1.3300615384614503</v>
      </c>
      <c r="N1782" s="8">
        <f t="shared" si="192"/>
        <v>-0.10231242603549617</v>
      </c>
      <c r="O1782" s="8"/>
      <c r="P1782" t="s">
        <v>2068</v>
      </c>
      <c r="Q1782">
        <v>35</v>
      </c>
      <c r="R1782" s="8">
        <v>2.8273799999999998</v>
      </c>
      <c r="S1782">
        <v>12</v>
      </c>
      <c r="T1782" s="8">
        <f t="shared" si="193"/>
        <v>0.34285714285714286</v>
      </c>
      <c r="U1782" s="8">
        <v>2.8513999999999999</v>
      </c>
      <c r="V1782">
        <v>19</v>
      </c>
      <c r="W1782" s="8">
        <f t="shared" si="194"/>
        <v>0.54285714285714282</v>
      </c>
      <c r="X1782" s="8">
        <v>2.80044</v>
      </c>
      <c r="Y1782">
        <v>4</v>
      </c>
      <c r="Z1782" s="8">
        <f t="shared" si="195"/>
        <v>0.11428571428571428</v>
      </c>
      <c r="AA1782" s="8">
        <v>2.88327</v>
      </c>
    </row>
    <row r="1783" spans="2:27" ht="15" customHeight="1" x14ac:dyDescent="0.25">
      <c r="B1783">
        <v>507</v>
      </c>
      <c r="C1783" s="8">
        <v>-12176.6553</v>
      </c>
      <c r="D1783" s="2">
        <v>-12178.545319000001</v>
      </c>
      <c r="F1783" s="3">
        <v>0.99666500000000002</v>
      </c>
      <c r="G1783" s="2">
        <v>0.189049999999999</v>
      </c>
      <c r="H1783">
        <v>5</v>
      </c>
      <c r="I1783">
        <v>8</v>
      </c>
      <c r="J1783" s="32"/>
      <c r="K1783" s="8">
        <f t="shared" si="189"/>
        <v>-0.78330769230888109</v>
      </c>
      <c r="L1783" s="8">
        <f t="shared" si="190"/>
        <v>-6.0254437869913927E-2</v>
      </c>
      <c r="M1783" s="8">
        <f t="shared" si="191"/>
        <v>-1.1469265384621394</v>
      </c>
      <c r="N1783" s="8">
        <f t="shared" si="192"/>
        <v>-8.8225118343241496E-2</v>
      </c>
      <c r="O1783" s="8"/>
      <c r="P1783" t="s">
        <v>2069</v>
      </c>
      <c r="Q1783">
        <v>36</v>
      </c>
      <c r="R1783" s="8">
        <v>2.8323</v>
      </c>
      <c r="S1783">
        <v>13</v>
      </c>
      <c r="T1783" s="8">
        <f t="shared" si="193"/>
        <v>0.3611111111111111</v>
      </c>
      <c r="U1783" s="8">
        <v>2.83785</v>
      </c>
      <c r="V1783">
        <v>19</v>
      </c>
      <c r="W1783" s="8">
        <f t="shared" si="194"/>
        <v>0.52777777777777779</v>
      </c>
      <c r="X1783" s="8">
        <v>2.8283100000000001</v>
      </c>
      <c r="Y1783">
        <v>4</v>
      </c>
      <c r="Z1783" s="8">
        <f t="shared" si="195"/>
        <v>0.1111111111111111</v>
      </c>
      <c r="AA1783" s="8">
        <v>2.8332600000000001</v>
      </c>
    </row>
    <row r="1784" spans="2:27" ht="15" customHeight="1" x14ac:dyDescent="0.25">
      <c r="B1784">
        <v>508</v>
      </c>
      <c r="C1784" s="8">
        <v>-12176.450199999999</v>
      </c>
      <c r="D1784" s="2">
        <v>-12178.378645000001</v>
      </c>
      <c r="F1784" s="3">
        <v>0.99554600000000004</v>
      </c>
      <c r="G1784" s="2">
        <v>0.18312999999999999</v>
      </c>
      <c r="H1784">
        <v>5</v>
      </c>
      <c r="I1784">
        <v>8</v>
      </c>
      <c r="J1784" s="32"/>
      <c r="K1784" s="8">
        <f t="shared" si="189"/>
        <v>-0.57820769230784208</v>
      </c>
      <c r="L1784" s="8">
        <f t="shared" si="190"/>
        <v>-4.4477514792910927E-2</v>
      </c>
      <c r="M1784" s="8">
        <f t="shared" si="191"/>
        <v>-0.98025253846208216</v>
      </c>
      <c r="N1784" s="8">
        <f t="shared" si="192"/>
        <v>-7.5404041420160162E-2</v>
      </c>
      <c r="O1784" s="8"/>
      <c r="P1784" t="s">
        <v>2070</v>
      </c>
      <c r="Q1784">
        <v>35</v>
      </c>
      <c r="R1784" s="8">
        <v>2.8267799999999998</v>
      </c>
      <c r="S1784">
        <v>14</v>
      </c>
      <c r="T1784" s="8">
        <f t="shared" si="193"/>
        <v>0.4</v>
      </c>
      <c r="U1784" s="8">
        <v>2.8256899999999998</v>
      </c>
      <c r="V1784">
        <v>16</v>
      </c>
      <c r="W1784" s="8">
        <f t="shared" si="194"/>
        <v>0.45714285714285713</v>
      </c>
      <c r="X1784" s="8">
        <v>2.8113600000000001</v>
      </c>
      <c r="Y1784">
        <v>5</v>
      </c>
      <c r="Z1784" s="8">
        <f t="shared" si="195"/>
        <v>0.14285714285714285</v>
      </c>
      <c r="AA1784" s="8">
        <v>2.8792</v>
      </c>
    </row>
    <row r="1785" spans="2:27" ht="15" customHeight="1" x14ac:dyDescent="0.25">
      <c r="B1785">
        <v>509</v>
      </c>
      <c r="C1785" s="8">
        <v>-12176.5252</v>
      </c>
      <c r="D1785" s="2">
        <v>-12178.238450000001</v>
      </c>
      <c r="F1785" s="3">
        <v>0.99450400000000005</v>
      </c>
      <c r="G1785" s="2">
        <v>0.17682</v>
      </c>
      <c r="H1785">
        <v>5</v>
      </c>
      <c r="I1785">
        <v>8</v>
      </c>
      <c r="J1785" s="32"/>
      <c r="K1785" s="8">
        <f t="shared" si="189"/>
        <v>-0.65320769230856968</v>
      </c>
      <c r="L1785" s="8">
        <f t="shared" si="190"/>
        <v>-5.0246745562197666E-2</v>
      </c>
      <c r="M1785" s="8">
        <f t="shared" si="191"/>
        <v>-0.84005753846213338</v>
      </c>
      <c r="N1785" s="8">
        <f t="shared" si="192"/>
        <v>-6.4619810650933335E-2</v>
      </c>
      <c r="O1785" s="8"/>
      <c r="P1785" t="s">
        <v>2071</v>
      </c>
      <c r="Q1785">
        <v>36</v>
      </c>
      <c r="R1785" s="8">
        <v>2.8353299999999999</v>
      </c>
      <c r="S1785">
        <v>15</v>
      </c>
      <c r="T1785" s="8">
        <f t="shared" si="193"/>
        <v>0.41666666666666669</v>
      </c>
      <c r="U1785" s="8">
        <v>2.8557399999999999</v>
      </c>
      <c r="V1785">
        <v>17</v>
      </c>
      <c r="W1785" s="8">
        <f t="shared" si="194"/>
        <v>0.47222222222222221</v>
      </c>
      <c r="X1785" s="8">
        <v>2.79745</v>
      </c>
      <c r="Y1785">
        <v>4</v>
      </c>
      <c r="Z1785" s="8">
        <f t="shared" si="195"/>
        <v>0.1111111111111111</v>
      </c>
      <c r="AA1785" s="8">
        <v>2.9197500000000001</v>
      </c>
    </row>
    <row r="1786" spans="2:27" ht="15" customHeight="1" x14ac:dyDescent="0.25">
      <c r="B1786">
        <v>510</v>
      </c>
      <c r="C1786" s="8">
        <v>-12176.701499999999</v>
      </c>
      <c r="D1786" s="2">
        <v>-12178.612504000001</v>
      </c>
      <c r="F1786" s="3">
        <v>0.99691200000000002</v>
      </c>
      <c r="G1786" s="2">
        <v>0.19414999999999899</v>
      </c>
      <c r="H1786">
        <v>5</v>
      </c>
      <c r="I1786">
        <v>8</v>
      </c>
      <c r="J1786" s="32"/>
      <c r="K1786" s="8">
        <f t="shared" si="189"/>
        <v>-0.82950769230774313</v>
      </c>
      <c r="L1786" s="8">
        <f t="shared" si="190"/>
        <v>-6.3808284023672543E-2</v>
      </c>
      <c r="M1786" s="8">
        <f t="shared" si="191"/>
        <v>-1.2141115384620207</v>
      </c>
      <c r="N1786" s="8">
        <f t="shared" si="192"/>
        <v>-9.3393195266309278E-2</v>
      </c>
      <c r="O1786" s="8"/>
      <c r="P1786" t="s">
        <v>2072</v>
      </c>
      <c r="Q1786">
        <v>35</v>
      </c>
      <c r="R1786" s="8">
        <v>2.8305699999999998</v>
      </c>
      <c r="S1786">
        <v>12</v>
      </c>
      <c r="T1786" s="8">
        <f t="shared" si="193"/>
        <v>0.34285714285714286</v>
      </c>
      <c r="U1786" s="8">
        <v>2.89445</v>
      </c>
      <c r="V1786">
        <v>21</v>
      </c>
      <c r="W1786" s="8">
        <f t="shared" si="194"/>
        <v>0.6</v>
      </c>
      <c r="X1786" s="8">
        <v>2.79772</v>
      </c>
      <c r="Y1786">
        <v>2</v>
      </c>
      <c r="Z1786" s="8">
        <f t="shared" si="195"/>
        <v>5.7142857142857141E-2</v>
      </c>
      <c r="AA1786" s="8">
        <v>2.79223</v>
      </c>
    </row>
    <row r="1787" spans="2:27" ht="15" customHeight="1" x14ac:dyDescent="0.25">
      <c r="B1787">
        <v>511</v>
      </c>
      <c r="C1787" s="8">
        <v>-12176.717000000001</v>
      </c>
      <c r="D1787" s="2">
        <v>-12178.654607</v>
      </c>
      <c r="F1787" s="3">
        <v>0.99583699999999997</v>
      </c>
      <c r="G1787" s="2">
        <v>0.1852</v>
      </c>
      <c r="H1787">
        <v>5</v>
      </c>
      <c r="I1787">
        <v>8</v>
      </c>
      <c r="J1787" s="32"/>
      <c r="K1787" s="8">
        <f t="shared" si="189"/>
        <v>-0.8450076923090819</v>
      </c>
      <c r="L1787" s="8">
        <f t="shared" si="190"/>
        <v>-6.5000591716083217E-2</v>
      </c>
      <c r="M1787" s="8">
        <f t="shared" si="191"/>
        <v>-1.2562145384617907</v>
      </c>
      <c r="N1787" s="8">
        <f t="shared" si="192"/>
        <v>-9.6631887573983902E-2</v>
      </c>
      <c r="O1787" s="8"/>
      <c r="P1787" t="s">
        <v>2073</v>
      </c>
      <c r="Q1787">
        <v>36</v>
      </c>
      <c r="R1787" s="8">
        <v>2.8317899999999998</v>
      </c>
      <c r="S1787">
        <v>13</v>
      </c>
      <c r="T1787" s="8">
        <f t="shared" si="193"/>
        <v>0.3611111111111111</v>
      </c>
      <c r="U1787" s="8">
        <v>2.8384499999999999</v>
      </c>
      <c r="V1787">
        <v>19</v>
      </c>
      <c r="W1787" s="8">
        <f t="shared" si="194"/>
        <v>0.52777777777777779</v>
      </c>
      <c r="X1787" s="8">
        <v>2.83161</v>
      </c>
      <c r="Y1787">
        <v>4</v>
      </c>
      <c r="Z1787" s="8">
        <f t="shared" si="195"/>
        <v>0.1111111111111111</v>
      </c>
      <c r="AA1787" s="8">
        <v>2.8110400000000002</v>
      </c>
    </row>
    <row r="1788" spans="2:27" ht="15" customHeight="1" x14ac:dyDescent="0.25">
      <c r="B1788">
        <v>512</v>
      </c>
      <c r="C1788" s="8">
        <v>-12176.5841</v>
      </c>
      <c r="D1788" s="2">
        <v>-12178.375059</v>
      </c>
      <c r="F1788" s="3">
        <v>0.99615600000000004</v>
      </c>
      <c r="G1788" s="2">
        <v>0.18758</v>
      </c>
      <c r="H1788">
        <v>5</v>
      </c>
      <c r="I1788">
        <v>8</v>
      </c>
      <c r="J1788" s="32"/>
      <c r="K1788" s="8">
        <f t="shared" si="189"/>
        <v>-0.71210769230856386</v>
      </c>
      <c r="L1788" s="8">
        <f t="shared" si="190"/>
        <v>-5.4777514792966449E-2</v>
      </c>
      <c r="M1788" s="8">
        <f t="shared" si="191"/>
        <v>-0.97666653846135887</v>
      </c>
      <c r="N1788" s="8">
        <f t="shared" si="192"/>
        <v>-7.5128195266258371E-2</v>
      </c>
      <c r="O1788" s="8"/>
      <c r="P1788" t="s">
        <v>2074</v>
      </c>
      <c r="Q1788">
        <v>36</v>
      </c>
      <c r="R1788" s="8">
        <v>2.8335300000000001</v>
      </c>
      <c r="S1788">
        <v>14</v>
      </c>
      <c r="T1788" s="8">
        <f t="shared" si="193"/>
        <v>0.3888888888888889</v>
      </c>
      <c r="U1788" s="8">
        <v>2.8624299999999998</v>
      </c>
      <c r="V1788">
        <v>19</v>
      </c>
      <c r="W1788" s="8">
        <f t="shared" si="194"/>
        <v>0.52777777777777779</v>
      </c>
      <c r="X1788" s="8">
        <v>2.82036</v>
      </c>
      <c r="Y1788">
        <v>3</v>
      </c>
      <c r="Z1788" s="8">
        <f t="shared" si="195"/>
        <v>8.3333333333333329E-2</v>
      </c>
      <c r="AA1788" s="8">
        <v>2.7820900000000002</v>
      </c>
    </row>
    <row r="1789" spans="2:27" ht="15" customHeight="1" x14ac:dyDescent="0.25">
      <c r="B1789">
        <v>513</v>
      </c>
      <c r="C1789" s="8">
        <v>-12176.4755</v>
      </c>
      <c r="D1789" s="2">
        <v>-12178.216714</v>
      </c>
      <c r="F1789" s="3">
        <v>0.99579899999999999</v>
      </c>
      <c r="G1789" s="2">
        <v>0.18492</v>
      </c>
      <c r="H1789">
        <v>5</v>
      </c>
      <c r="I1789">
        <v>8</v>
      </c>
      <c r="J1789" s="32"/>
      <c r="K1789" s="8">
        <f t="shared" si="189"/>
        <v>-0.60350769230899459</v>
      </c>
      <c r="L1789" s="8">
        <f t="shared" si="190"/>
        <v>-4.6423668639153433E-2</v>
      </c>
      <c r="M1789" s="8">
        <f t="shared" si="191"/>
        <v>-0.81832153846153233</v>
      </c>
      <c r="N1789" s="8">
        <f t="shared" si="192"/>
        <v>-6.2947810650887101E-2</v>
      </c>
      <c r="O1789" s="8"/>
      <c r="P1789" t="s">
        <v>2075</v>
      </c>
      <c r="Q1789">
        <v>34</v>
      </c>
      <c r="R1789" s="8">
        <v>2.8161</v>
      </c>
      <c r="S1789">
        <v>13</v>
      </c>
      <c r="T1789" s="8">
        <f t="shared" si="193"/>
        <v>0.38235294117647056</v>
      </c>
      <c r="U1789" s="8">
        <v>2.82917</v>
      </c>
      <c r="V1789">
        <v>17</v>
      </c>
      <c r="W1789" s="8">
        <f t="shared" si="194"/>
        <v>0.5</v>
      </c>
      <c r="X1789" s="8">
        <v>2.8010199999999998</v>
      </c>
      <c r="Y1789">
        <v>4</v>
      </c>
      <c r="Z1789" s="8">
        <f t="shared" si="195"/>
        <v>0.11764705882352941</v>
      </c>
      <c r="AA1789" s="8">
        <v>2.83771</v>
      </c>
    </row>
    <row r="1790" spans="2:27" ht="15" customHeight="1" x14ac:dyDescent="0.25">
      <c r="B1790">
        <v>514</v>
      </c>
      <c r="C1790" s="8">
        <v>-12176.8815</v>
      </c>
      <c r="D1790" s="2">
        <v>-12178.861349999999</v>
      </c>
      <c r="F1790" s="3">
        <v>0.99475499999999994</v>
      </c>
      <c r="G1790" s="2">
        <v>0.17824000000000001</v>
      </c>
      <c r="H1790">
        <v>5</v>
      </c>
      <c r="I1790">
        <v>8</v>
      </c>
      <c r="J1790" s="32"/>
      <c r="K1790" s="8">
        <f t="shared" si="189"/>
        <v>-1.0095076923080342</v>
      </c>
      <c r="L1790" s="8">
        <f t="shared" si="190"/>
        <v>-7.7654437869848783E-2</v>
      </c>
      <c r="M1790" s="8">
        <f t="shared" si="191"/>
        <v>-1.4629575384606142</v>
      </c>
      <c r="N1790" s="8">
        <f t="shared" si="192"/>
        <v>-0.11253519526620109</v>
      </c>
      <c r="O1790" s="8"/>
      <c r="P1790" t="s">
        <v>2076</v>
      </c>
      <c r="Q1790">
        <v>36</v>
      </c>
      <c r="R1790" s="8">
        <v>2.8322799999999999</v>
      </c>
      <c r="S1790">
        <v>12</v>
      </c>
      <c r="T1790" s="8">
        <f t="shared" si="193"/>
        <v>0.33333333333333331</v>
      </c>
      <c r="U1790" s="8">
        <v>2.84971</v>
      </c>
      <c r="V1790">
        <v>21</v>
      </c>
      <c r="W1790" s="8">
        <f t="shared" si="194"/>
        <v>0.58333333333333337</v>
      </c>
      <c r="X1790" s="8">
        <v>2.8222999999999998</v>
      </c>
      <c r="Y1790">
        <v>3</v>
      </c>
      <c r="Z1790" s="8">
        <f t="shared" si="195"/>
        <v>8.3333333333333329E-2</v>
      </c>
      <c r="AA1790" s="8">
        <v>2.8323700000000001</v>
      </c>
    </row>
    <row r="1791" spans="2:27" ht="15" customHeight="1" x14ac:dyDescent="0.25">
      <c r="B1791">
        <v>515</v>
      </c>
      <c r="C1791" s="8">
        <v>-12176.571400000001</v>
      </c>
      <c r="D1791" s="2">
        <v>-12178.26036</v>
      </c>
      <c r="F1791" s="3">
        <v>0.99590999999999996</v>
      </c>
      <c r="G1791" s="2">
        <v>0.185719999999999</v>
      </c>
      <c r="H1791">
        <v>5</v>
      </c>
      <c r="I1791">
        <v>8</v>
      </c>
      <c r="J1791" s="32"/>
      <c r="K1791" s="8">
        <f t="shared" si="189"/>
        <v>-0.69940769230925071</v>
      </c>
      <c r="L1791" s="8">
        <f t="shared" si="190"/>
        <v>-5.3800591716096205E-2</v>
      </c>
      <c r="M1791" s="8">
        <f t="shared" si="191"/>
        <v>-0.861967538461613</v>
      </c>
      <c r="N1791" s="8">
        <f t="shared" si="192"/>
        <v>-6.6305195266277928E-2</v>
      </c>
      <c r="O1791" s="8"/>
      <c r="P1791" t="s">
        <v>2077</v>
      </c>
      <c r="Q1791">
        <v>36</v>
      </c>
      <c r="R1791" s="8">
        <v>2.8346399999999998</v>
      </c>
      <c r="S1791">
        <v>14</v>
      </c>
      <c r="T1791" s="8">
        <f t="shared" si="193"/>
        <v>0.3888888888888889</v>
      </c>
      <c r="U1791" s="8">
        <v>2.87222</v>
      </c>
      <c r="V1791">
        <v>19</v>
      </c>
      <c r="W1791" s="8">
        <f t="shared" si="194"/>
        <v>0.52777777777777779</v>
      </c>
      <c r="X1791" s="8">
        <v>2.8149500000000001</v>
      </c>
      <c r="Y1791">
        <v>3</v>
      </c>
      <c r="Z1791" s="8">
        <f t="shared" si="195"/>
        <v>8.3333333333333329E-2</v>
      </c>
      <c r="AA1791" s="8">
        <v>2.7839299999999998</v>
      </c>
    </row>
    <row r="1792" spans="2:27" ht="15" customHeight="1" x14ac:dyDescent="0.25">
      <c r="B1792">
        <v>516</v>
      </c>
      <c r="C1792" s="8">
        <v>-12176.689399999999</v>
      </c>
      <c r="D1792" s="2">
        <v>-12178.532968</v>
      </c>
      <c r="F1792" s="3">
        <v>0.99216800000000005</v>
      </c>
      <c r="G1792" s="2">
        <v>0.16619</v>
      </c>
      <c r="H1792">
        <v>5</v>
      </c>
      <c r="I1792">
        <v>8</v>
      </c>
      <c r="J1792" s="32"/>
      <c r="K1792" s="8">
        <f t="shared" si="189"/>
        <v>-0.81740769230782462</v>
      </c>
      <c r="L1792" s="8">
        <f t="shared" si="190"/>
        <v>-6.2877514792909581E-2</v>
      </c>
      <c r="M1792" s="8">
        <f t="shared" si="191"/>
        <v>-1.134575538460922</v>
      </c>
      <c r="N1792" s="8">
        <f t="shared" si="192"/>
        <v>-8.727504142007092E-2</v>
      </c>
      <c r="O1792" s="8"/>
      <c r="P1792" t="s">
        <v>2078</v>
      </c>
      <c r="Q1792">
        <v>35</v>
      </c>
      <c r="R1792" s="8">
        <v>2.83277</v>
      </c>
      <c r="S1792">
        <v>13</v>
      </c>
      <c r="T1792" s="8">
        <f t="shared" si="193"/>
        <v>0.37142857142857144</v>
      </c>
      <c r="U1792" s="8">
        <v>2.8963100000000002</v>
      </c>
      <c r="V1792">
        <v>20</v>
      </c>
      <c r="W1792" s="8">
        <f t="shared" si="194"/>
        <v>0.5714285714285714</v>
      </c>
      <c r="X1792" s="8">
        <v>2.7919900000000002</v>
      </c>
      <c r="Y1792">
        <v>2</v>
      </c>
      <c r="Z1792" s="8">
        <f t="shared" si="195"/>
        <v>5.7142857142857141E-2</v>
      </c>
      <c r="AA1792" s="8">
        <v>2.82755</v>
      </c>
    </row>
    <row r="1793" spans="2:27" ht="15" customHeight="1" x14ac:dyDescent="0.25">
      <c r="B1793">
        <v>517</v>
      </c>
      <c r="C1793" s="8">
        <v>-12176.653899999999</v>
      </c>
      <c r="D1793" s="2">
        <v>-12178.4211</v>
      </c>
      <c r="F1793" s="3">
        <v>0.99329999999999996</v>
      </c>
      <c r="G1793" s="2">
        <v>0.17088999999999999</v>
      </c>
      <c r="H1793">
        <v>5</v>
      </c>
      <c r="I1793">
        <v>8</v>
      </c>
      <c r="J1793" s="32"/>
      <c r="K1793" s="8">
        <f t="shared" si="189"/>
        <v>-0.78190769230786827</v>
      </c>
      <c r="L1793" s="8">
        <f t="shared" si="190"/>
        <v>-6.0146745562143715E-2</v>
      </c>
      <c r="M1793" s="8">
        <f t="shared" si="191"/>
        <v>-1.0227075384609634</v>
      </c>
      <c r="N1793" s="8">
        <f t="shared" si="192"/>
        <v>-7.8669810650843344E-2</v>
      </c>
      <c r="O1793" s="8"/>
      <c r="P1793" t="s">
        <v>2079</v>
      </c>
      <c r="Q1793">
        <v>35</v>
      </c>
      <c r="R1793" s="8">
        <v>2.8214999999999999</v>
      </c>
      <c r="S1793">
        <v>12</v>
      </c>
      <c r="T1793" s="8">
        <f t="shared" si="193"/>
        <v>0.34285714285714286</v>
      </c>
      <c r="U1793" s="8">
        <v>2.8205200000000001</v>
      </c>
      <c r="V1793">
        <v>20</v>
      </c>
      <c r="W1793" s="8">
        <f t="shared" si="194"/>
        <v>0.5714285714285714</v>
      </c>
      <c r="X1793" s="8">
        <v>2.8145600000000002</v>
      </c>
      <c r="Y1793">
        <v>3</v>
      </c>
      <c r="Z1793" s="8">
        <f t="shared" si="195"/>
        <v>8.5714285714285715E-2</v>
      </c>
      <c r="AA1793" s="8">
        <v>2.8716599999999999</v>
      </c>
    </row>
    <row r="1794" spans="2:27" ht="15" customHeight="1" x14ac:dyDescent="0.25">
      <c r="B1794">
        <v>518</v>
      </c>
      <c r="C1794" s="8">
        <v>-12176.526599999999</v>
      </c>
      <c r="D1794" s="2">
        <v>-12178.552883</v>
      </c>
      <c r="F1794" s="3">
        <v>0.99419800000000003</v>
      </c>
      <c r="G1794" s="2">
        <v>0.17519000000000001</v>
      </c>
      <c r="H1794">
        <v>5</v>
      </c>
      <c r="I1794">
        <v>8</v>
      </c>
      <c r="J1794" s="32"/>
      <c r="K1794" s="8">
        <f t="shared" si="189"/>
        <v>-0.6546076923077635</v>
      </c>
      <c r="L1794" s="8">
        <f t="shared" si="190"/>
        <v>-5.0354437869827962E-2</v>
      </c>
      <c r="M1794" s="8">
        <f t="shared" si="191"/>
        <v>-1.1544905384616868</v>
      </c>
      <c r="N1794" s="8">
        <f t="shared" si="192"/>
        <v>-8.8806964497052832E-2</v>
      </c>
      <c r="O1794" s="8"/>
      <c r="P1794" t="s">
        <v>2080</v>
      </c>
      <c r="Q1794">
        <v>35</v>
      </c>
      <c r="R1794" s="8">
        <v>2.8255300000000001</v>
      </c>
      <c r="S1794">
        <v>13</v>
      </c>
      <c r="T1794" s="8">
        <f t="shared" si="193"/>
        <v>0.37142857142857144</v>
      </c>
      <c r="U1794" s="8">
        <v>2.8269899999999999</v>
      </c>
      <c r="V1794">
        <v>18</v>
      </c>
      <c r="W1794" s="8">
        <f t="shared" si="194"/>
        <v>0.51428571428571423</v>
      </c>
      <c r="X1794" s="8">
        <v>2.8240799999999999</v>
      </c>
      <c r="Y1794">
        <v>4</v>
      </c>
      <c r="Z1794" s="8">
        <f t="shared" si="195"/>
        <v>0.11428571428571428</v>
      </c>
      <c r="AA1794" s="8">
        <v>2.8272599999999999</v>
      </c>
    </row>
    <row r="1795" spans="2:27" ht="15" customHeight="1" x14ac:dyDescent="0.25">
      <c r="B1795">
        <v>519</v>
      </c>
      <c r="C1795" s="8">
        <v>-12176.3704</v>
      </c>
      <c r="D1795" s="2">
        <v>-12178.034514000001</v>
      </c>
      <c r="F1795" s="3">
        <v>0.99331400000000003</v>
      </c>
      <c r="G1795" s="2">
        <v>0.17077000000000001</v>
      </c>
      <c r="H1795">
        <v>5</v>
      </c>
      <c r="I1795">
        <v>8</v>
      </c>
      <c r="J1795" s="32"/>
      <c r="K1795" s="8">
        <f t="shared" ref="K1795:K1858" si="196">IF(ISNUMBER(C1795),C1795-(($C$3-$C$2236)/($H$3-$H$2236)*H1795+$C$2236),"")</f>
        <v>-0.49840769230831938</v>
      </c>
      <c r="L1795" s="8">
        <f t="shared" ref="L1795:L1858" si="197">IF(ISNUMBER(C1795),K1795/(H1795+I1795),"")</f>
        <v>-3.8339053254486104E-2</v>
      </c>
      <c r="M1795" s="8">
        <f t="shared" ref="M1795:M1858" si="198">IF(ISNUMBER(D1795),D1795-(($D$3-$D$2236)/($H$3-$H$2236)*H1795+$D$2236),"")</f>
        <v>-0.63612153846224828</v>
      </c>
      <c r="N1795" s="8">
        <f t="shared" ref="N1795:N1858" si="199">IF(ISNUMBER(D1795),M1795/(H1795+I1795),"")</f>
        <v>-4.8932426035557558E-2</v>
      </c>
      <c r="O1795" s="8"/>
      <c r="P1795" t="s">
        <v>2081</v>
      </c>
      <c r="Q1795">
        <v>35</v>
      </c>
      <c r="R1795" s="8">
        <v>2.8269700000000002</v>
      </c>
      <c r="S1795">
        <v>16</v>
      </c>
      <c r="T1795" s="8">
        <f t="shared" ref="T1795:T1858" si="200">IF(ISNUMBER(S1795),S1795/(Q1795),"")</f>
        <v>0.45714285714285713</v>
      </c>
      <c r="U1795" s="8">
        <v>2.86232</v>
      </c>
      <c r="V1795">
        <v>17</v>
      </c>
      <c r="W1795" s="8">
        <f t="shared" ref="W1795:W1858" si="201">IF(ISNUMBER(V1795),V1795/($Q1795),"")</f>
        <v>0.48571428571428571</v>
      </c>
      <c r="X1795" s="8">
        <v>2.7747299999999999</v>
      </c>
      <c r="Y1795">
        <v>2</v>
      </c>
      <c r="Z1795" s="8">
        <f t="shared" ref="Z1795:Z1858" si="202">IF(ISNUMBER(Y1795),Y1795/($Q1795),"")</f>
        <v>5.7142857142857141E-2</v>
      </c>
      <c r="AA1795" s="8">
        <v>2.9882599999999999</v>
      </c>
    </row>
    <row r="1796" spans="2:27" ht="15" customHeight="1" x14ac:dyDescent="0.25">
      <c r="B1796">
        <v>520</v>
      </c>
      <c r="C1796" s="8">
        <v>-12176.6288</v>
      </c>
      <c r="D1796" s="2">
        <v>-12178.340146</v>
      </c>
      <c r="F1796" s="3">
        <v>0.996502</v>
      </c>
      <c r="G1796" s="2">
        <v>0.19039999999999899</v>
      </c>
      <c r="H1796">
        <v>5</v>
      </c>
      <c r="I1796">
        <v>8</v>
      </c>
      <c r="J1796" s="32"/>
      <c r="K1796" s="8">
        <f t="shared" si="196"/>
        <v>-0.75680769230893929</v>
      </c>
      <c r="L1796" s="8">
        <f t="shared" si="197"/>
        <v>-5.8215976331456872E-2</v>
      </c>
      <c r="M1796" s="8">
        <f t="shared" si="198"/>
        <v>-0.94175353846185317</v>
      </c>
      <c r="N1796" s="8">
        <f t="shared" si="199"/>
        <v>-7.2442579881681013E-2</v>
      </c>
      <c r="O1796" s="8"/>
      <c r="P1796" t="s">
        <v>2082</v>
      </c>
      <c r="Q1796">
        <v>35</v>
      </c>
      <c r="R1796" s="8">
        <v>2.8268499999999999</v>
      </c>
      <c r="S1796">
        <v>14</v>
      </c>
      <c r="T1796" s="8">
        <f t="shared" si="200"/>
        <v>0.4</v>
      </c>
      <c r="U1796" s="8">
        <v>2.84368</v>
      </c>
      <c r="V1796">
        <v>15</v>
      </c>
      <c r="W1796" s="8">
        <f t="shared" si="201"/>
        <v>0.42857142857142855</v>
      </c>
      <c r="X1796" s="8">
        <v>2.7982100000000001</v>
      </c>
      <c r="Y1796">
        <v>6</v>
      </c>
      <c r="Z1796" s="8">
        <f t="shared" si="202"/>
        <v>0.17142857142857143</v>
      </c>
      <c r="AA1796" s="8">
        <v>2.85914</v>
      </c>
    </row>
    <row r="1797" spans="2:27" ht="15" customHeight="1" x14ac:dyDescent="0.25">
      <c r="B1797">
        <v>521</v>
      </c>
      <c r="C1797" s="8">
        <v>-12176.686100000001</v>
      </c>
      <c r="D1797" s="2">
        <v>-12178.382928999999</v>
      </c>
      <c r="F1797" s="3">
        <v>0.99677499999999997</v>
      </c>
      <c r="G1797" s="2">
        <v>0.19292000000000001</v>
      </c>
      <c r="H1797">
        <v>5</v>
      </c>
      <c r="I1797">
        <v>8</v>
      </c>
      <c r="J1797" s="32"/>
      <c r="K1797" s="8">
        <f t="shared" si="196"/>
        <v>-0.81410769230933511</v>
      </c>
      <c r="L1797" s="8">
        <f t="shared" si="197"/>
        <v>-6.2623668639179619E-2</v>
      </c>
      <c r="M1797" s="8">
        <f t="shared" si="198"/>
        <v>-0.98453653846081579</v>
      </c>
      <c r="N1797" s="8">
        <f t="shared" si="199"/>
        <v>-7.5733579881601218E-2</v>
      </c>
      <c r="O1797" s="8"/>
      <c r="P1797" t="s">
        <v>2083</v>
      </c>
      <c r="Q1797">
        <v>35</v>
      </c>
      <c r="R1797" s="8">
        <v>2.8266300000000002</v>
      </c>
      <c r="S1797">
        <v>14</v>
      </c>
      <c r="T1797" s="8">
        <f t="shared" si="200"/>
        <v>0.4</v>
      </c>
      <c r="U1797" s="8">
        <v>2.8346900000000002</v>
      </c>
      <c r="V1797">
        <v>15</v>
      </c>
      <c r="W1797" s="8">
        <f t="shared" si="201"/>
        <v>0.42857142857142855</v>
      </c>
      <c r="X1797" s="8">
        <v>2.8112599999999999</v>
      </c>
      <c r="Y1797">
        <v>6</v>
      </c>
      <c r="Z1797" s="8">
        <f t="shared" si="202"/>
        <v>0.17142857142857143</v>
      </c>
      <c r="AA1797" s="8">
        <v>2.8462399999999999</v>
      </c>
    </row>
    <row r="1798" spans="2:27" ht="15" customHeight="1" x14ac:dyDescent="0.25">
      <c r="B1798">
        <v>522</v>
      </c>
      <c r="C1798" s="8">
        <v>-12176.389800000001</v>
      </c>
      <c r="D1798" s="2">
        <v>-12178.277923</v>
      </c>
      <c r="F1798" s="3">
        <v>0.99586200000000002</v>
      </c>
      <c r="G1798" s="2">
        <v>0.18532999999999999</v>
      </c>
      <c r="H1798">
        <v>5</v>
      </c>
      <c r="I1798">
        <v>8</v>
      </c>
      <c r="J1798" s="32"/>
      <c r="K1798" s="8">
        <f t="shared" si="196"/>
        <v>-0.5178076923093613</v>
      </c>
      <c r="L1798" s="8">
        <f t="shared" si="197"/>
        <v>-3.9831360946873944E-2</v>
      </c>
      <c r="M1798" s="8">
        <f t="shared" si="198"/>
        <v>-0.87953053846104012</v>
      </c>
      <c r="N1798" s="8">
        <f t="shared" si="199"/>
        <v>-6.7656195266233857E-2</v>
      </c>
      <c r="O1798" s="8"/>
      <c r="P1798" t="s">
        <v>2084</v>
      </c>
      <c r="Q1798">
        <v>35</v>
      </c>
      <c r="R1798" s="8">
        <v>2.8281000000000001</v>
      </c>
      <c r="S1798">
        <v>16</v>
      </c>
      <c r="T1798" s="8">
        <f t="shared" si="200"/>
        <v>0.45714285714285713</v>
      </c>
      <c r="U1798" s="8">
        <v>2.8322799999999999</v>
      </c>
      <c r="V1798">
        <v>12</v>
      </c>
      <c r="W1798" s="8">
        <f t="shared" si="201"/>
        <v>0.34285714285714286</v>
      </c>
      <c r="X1798" s="8">
        <v>2.81847</v>
      </c>
      <c r="Y1798">
        <v>7</v>
      </c>
      <c r="Z1798" s="8">
        <f t="shared" si="202"/>
        <v>0.2</v>
      </c>
      <c r="AA1798" s="8">
        <v>2.8350399999999998</v>
      </c>
    </row>
    <row r="1799" spans="2:27" ht="15" customHeight="1" x14ac:dyDescent="0.25">
      <c r="B1799">
        <v>523</v>
      </c>
      <c r="C1799" s="8">
        <v>-12176.5327</v>
      </c>
      <c r="D1799" s="2">
        <v>-12178.184928000001</v>
      </c>
      <c r="F1799" s="3">
        <v>0.99390699999999998</v>
      </c>
      <c r="G1799" s="2">
        <v>0.17371</v>
      </c>
      <c r="H1799">
        <v>5</v>
      </c>
      <c r="I1799">
        <v>8</v>
      </c>
      <c r="J1799" s="32"/>
      <c r="K1799" s="8">
        <f t="shared" si="196"/>
        <v>-0.66070769230827864</v>
      </c>
      <c r="L1799" s="8">
        <f t="shared" si="197"/>
        <v>-5.082366863909836E-2</v>
      </c>
      <c r="M1799" s="8">
        <f t="shared" si="198"/>
        <v>-0.7865355384619761</v>
      </c>
      <c r="N1799" s="8">
        <f t="shared" si="199"/>
        <v>-6.0502733727844316E-2</v>
      </c>
      <c r="O1799" s="8"/>
      <c r="P1799" t="s">
        <v>2085</v>
      </c>
      <c r="Q1799">
        <v>36</v>
      </c>
      <c r="R1799" s="8">
        <v>2.8331</v>
      </c>
      <c r="S1799">
        <v>16</v>
      </c>
      <c r="T1799" s="8">
        <f t="shared" si="200"/>
        <v>0.44444444444444442</v>
      </c>
      <c r="U1799" s="8">
        <v>2.8409</v>
      </c>
      <c r="V1799">
        <v>14</v>
      </c>
      <c r="W1799" s="8">
        <f t="shared" si="201"/>
        <v>0.3888888888888889</v>
      </c>
      <c r="X1799" s="8">
        <v>2.83344</v>
      </c>
      <c r="Y1799">
        <v>6</v>
      </c>
      <c r="Z1799" s="8">
        <f t="shared" si="202"/>
        <v>0.16666666666666666</v>
      </c>
      <c r="AA1799" s="8">
        <v>2.8115100000000002</v>
      </c>
    </row>
    <row r="1800" spans="2:27" ht="15" customHeight="1" x14ac:dyDescent="0.25">
      <c r="B1800">
        <v>524</v>
      </c>
      <c r="C1800" s="8">
        <v>-12176.821400000001</v>
      </c>
      <c r="D1800" s="2">
        <v>-12178.532397000001</v>
      </c>
      <c r="F1800" s="3">
        <v>0.99733000000000005</v>
      </c>
      <c r="G1800" s="2">
        <v>0.19850999999999999</v>
      </c>
      <c r="H1800">
        <v>5</v>
      </c>
      <c r="I1800">
        <v>8</v>
      </c>
      <c r="J1800" s="32"/>
      <c r="K1800" s="8">
        <f t="shared" si="196"/>
        <v>-0.94940769230925071</v>
      </c>
      <c r="L1800" s="8">
        <f t="shared" si="197"/>
        <v>-7.3031360946865437E-2</v>
      </c>
      <c r="M1800" s="8">
        <f t="shared" si="198"/>
        <v>-1.1340045384622499</v>
      </c>
      <c r="N1800" s="8">
        <f t="shared" si="199"/>
        <v>-8.7231118343249994E-2</v>
      </c>
      <c r="O1800" s="8"/>
      <c r="P1800" t="s">
        <v>2086</v>
      </c>
      <c r="Q1800">
        <v>34</v>
      </c>
      <c r="R1800" s="8">
        <v>2.8109799999999998</v>
      </c>
      <c r="S1800">
        <v>13</v>
      </c>
      <c r="T1800" s="8">
        <f t="shared" si="200"/>
        <v>0.38235294117647056</v>
      </c>
      <c r="U1800" s="8">
        <v>2.8103799999999999</v>
      </c>
      <c r="V1800">
        <v>16</v>
      </c>
      <c r="W1800" s="8">
        <f t="shared" si="201"/>
        <v>0.47058823529411764</v>
      </c>
      <c r="X1800" s="8">
        <v>2.8032699999999999</v>
      </c>
      <c r="Y1800">
        <v>5</v>
      </c>
      <c r="Z1800" s="8">
        <f t="shared" si="202"/>
        <v>0.14705882352941177</v>
      </c>
      <c r="AA1800" s="8">
        <v>2.8371900000000001</v>
      </c>
    </row>
    <row r="1801" spans="2:27" ht="15" customHeight="1" x14ac:dyDescent="0.25">
      <c r="B1801">
        <v>525</v>
      </c>
      <c r="C1801" s="8">
        <v>-12176.3514</v>
      </c>
      <c r="D1801" s="2">
        <v>-12178.067198999999</v>
      </c>
      <c r="F1801" s="3">
        <v>0.99658000000000002</v>
      </c>
      <c r="G1801" s="2">
        <v>0.19109000000000001</v>
      </c>
      <c r="H1801">
        <v>5</v>
      </c>
      <c r="I1801">
        <v>8</v>
      </c>
      <c r="J1801" s="32"/>
      <c r="K1801" s="8">
        <f t="shared" si="196"/>
        <v>-0.47940769230808655</v>
      </c>
      <c r="L1801" s="8">
        <f t="shared" si="197"/>
        <v>-3.6877514792929736E-2</v>
      </c>
      <c r="M1801" s="8">
        <f t="shared" si="198"/>
        <v>-0.66880653846055793</v>
      </c>
      <c r="N1801" s="8">
        <f t="shared" si="199"/>
        <v>-5.1446656804658306E-2</v>
      </c>
      <c r="O1801" s="8"/>
      <c r="P1801" t="s">
        <v>2087</v>
      </c>
      <c r="Q1801">
        <v>35</v>
      </c>
      <c r="R1801" s="8">
        <v>2.8261099999999999</v>
      </c>
      <c r="S1801">
        <v>17</v>
      </c>
      <c r="T1801" s="8">
        <f t="shared" si="200"/>
        <v>0.48571428571428571</v>
      </c>
      <c r="U1801" s="8">
        <v>2.8476599999999999</v>
      </c>
      <c r="V1801">
        <v>12</v>
      </c>
      <c r="W1801" s="8">
        <f t="shared" si="201"/>
        <v>0.34285714285714286</v>
      </c>
      <c r="X1801" s="8">
        <v>2.8014100000000002</v>
      </c>
      <c r="Y1801">
        <v>6</v>
      </c>
      <c r="Z1801" s="8">
        <f t="shared" si="202"/>
        <v>0.17142857142857143</v>
      </c>
      <c r="AA1801" s="8">
        <v>2.8144</v>
      </c>
    </row>
    <row r="1802" spans="2:27" ht="15" customHeight="1" x14ac:dyDescent="0.25">
      <c r="B1802">
        <v>526</v>
      </c>
      <c r="C1802" s="8">
        <v>-12176.6913</v>
      </c>
      <c r="D1802" s="2">
        <v>-12178.352486</v>
      </c>
      <c r="F1802" s="3">
        <v>0.99304599999999998</v>
      </c>
      <c r="G1802" s="2">
        <v>0.16969999999999999</v>
      </c>
      <c r="H1802">
        <v>5</v>
      </c>
      <c r="I1802">
        <v>8</v>
      </c>
      <c r="J1802" s="32"/>
      <c r="K1802" s="8">
        <f t="shared" si="196"/>
        <v>-0.81930769230893929</v>
      </c>
      <c r="L1802" s="8">
        <f t="shared" si="197"/>
        <v>-6.3023668639149183E-2</v>
      </c>
      <c r="M1802" s="8">
        <f t="shared" si="198"/>
        <v>-0.95409353846116574</v>
      </c>
      <c r="N1802" s="8">
        <f t="shared" si="199"/>
        <v>-7.3391810650858896E-2</v>
      </c>
      <c r="O1802" s="8"/>
      <c r="P1802" t="s">
        <v>2088</v>
      </c>
      <c r="Q1802">
        <v>35</v>
      </c>
      <c r="R1802" s="8">
        <v>2.8269000000000002</v>
      </c>
      <c r="S1802">
        <v>14</v>
      </c>
      <c r="T1802" s="8">
        <f t="shared" si="200"/>
        <v>0.4</v>
      </c>
      <c r="U1802" s="8">
        <v>2.8525999999999998</v>
      </c>
      <c r="V1802">
        <v>18</v>
      </c>
      <c r="W1802" s="8">
        <f t="shared" si="201"/>
        <v>0.51428571428571423</v>
      </c>
      <c r="X1802" s="8">
        <v>2.8063799999999999</v>
      </c>
      <c r="Y1802">
        <v>3</v>
      </c>
      <c r="Z1802" s="8">
        <f t="shared" si="202"/>
        <v>8.5714285714285715E-2</v>
      </c>
      <c r="AA1802" s="8">
        <v>2.8301099999999999</v>
      </c>
    </row>
    <row r="1803" spans="2:27" ht="15" customHeight="1" x14ac:dyDescent="0.25">
      <c r="B1803">
        <v>527</v>
      </c>
      <c r="C1803" s="8">
        <v>-12176.571099999999</v>
      </c>
      <c r="D1803" s="2">
        <v>-12178.364965999999</v>
      </c>
      <c r="F1803" s="3">
        <v>0.99215699999999996</v>
      </c>
      <c r="G1803" s="2">
        <v>0.16614000000000001</v>
      </c>
      <c r="H1803">
        <v>5</v>
      </c>
      <c r="I1803">
        <v>8</v>
      </c>
      <c r="J1803" s="32"/>
      <c r="K1803" s="8">
        <f t="shared" si="196"/>
        <v>-0.6991076923077344</v>
      </c>
      <c r="L1803" s="8">
        <f t="shared" si="197"/>
        <v>-5.3777514792902645E-2</v>
      </c>
      <c r="M1803" s="8">
        <f t="shared" si="198"/>
        <v>-0.96657353846057958</v>
      </c>
      <c r="N1803" s="8">
        <f t="shared" si="199"/>
        <v>-7.435181065081381E-2</v>
      </c>
      <c r="O1803" s="8"/>
      <c r="P1803" t="s">
        <v>2089</v>
      </c>
      <c r="Q1803">
        <v>36</v>
      </c>
      <c r="R1803" s="8">
        <v>2.8341500000000002</v>
      </c>
      <c r="S1803">
        <v>15</v>
      </c>
      <c r="T1803" s="8">
        <f t="shared" si="200"/>
        <v>0.41666666666666669</v>
      </c>
      <c r="U1803" s="8">
        <v>2.8467899999999999</v>
      </c>
      <c r="V1803">
        <v>16</v>
      </c>
      <c r="W1803" s="8">
        <f t="shared" si="201"/>
        <v>0.44444444444444442</v>
      </c>
      <c r="X1803" s="8">
        <v>2.8250000000000002</v>
      </c>
      <c r="Y1803">
        <v>5</v>
      </c>
      <c r="Z1803" s="8">
        <f t="shared" si="202"/>
        <v>0.1388888888888889</v>
      </c>
      <c r="AA1803" s="8">
        <v>2.8255300000000001</v>
      </c>
    </row>
    <row r="1804" spans="2:27" ht="15" customHeight="1" x14ac:dyDescent="0.25">
      <c r="B1804">
        <v>528</v>
      </c>
      <c r="C1804" s="8">
        <v>-12176.6932</v>
      </c>
      <c r="D1804" s="2">
        <v>-12178.362743</v>
      </c>
      <c r="F1804" s="3">
        <v>0.99390699999999998</v>
      </c>
      <c r="G1804" s="2">
        <v>0.173789999999999</v>
      </c>
      <c r="H1804">
        <v>5</v>
      </c>
      <c r="I1804">
        <v>8</v>
      </c>
      <c r="J1804" s="32"/>
      <c r="K1804" s="8">
        <f t="shared" si="196"/>
        <v>-0.82120769230823498</v>
      </c>
      <c r="L1804" s="8">
        <f t="shared" si="197"/>
        <v>-6.3169822485248842E-2</v>
      </c>
      <c r="M1804" s="8">
        <f t="shared" si="198"/>
        <v>-0.96435053846107621</v>
      </c>
      <c r="N1804" s="8">
        <f t="shared" si="199"/>
        <v>-7.4180810650852011E-2</v>
      </c>
      <c r="O1804" s="8"/>
      <c r="P1804" t="s">
        <v>2090</v>
      </c>
      <c r="Q1804">
        <v>35</v>
      </c>
      <c r="R1804" s="8">
        <v>2.8267000000000002</v>
      </c>
      <c r="S1804">
        <v>15</v>
      </c>
      <c r="T1804" s="8">
        <f t="shared" si="200"/>
        <v>0.42857142857142855</v>
      </c>
      <c r="U1804" s="8">
        <v>2.8554200000000001</v>
      </c>
      <c r="V1804">
        <v>16</v>
      </c>
      <c r="W1804" s="8">
        <f t="shared" si="201"/>
        <v>0.45714285714285713</v>
      </c>
      <c r="X1804" s="8">
        <v>2.7914099999999999</v>
      </c>
      <c r="Y1804">
        <v>4</v>
      </c>
      <c r="Z1804" s="8">
        <f t="shared" si="202"/>
        <v>0.11428571428571428</v>
      </c>
      <c r="AA1804" s="8">
        <v>2.86016</v>
      </c>
    </row>
    <row r="1805" spans="2:27" ht="15" customHeight="1" x14ac:dyDescent="0.25">
      <c r="B1805">
        <v>529</v>
      </c>
      <c r="C1805" s="8">
        <v>-12176.3681</v>
      </c>
      <c r="D1805" s="2">
        <v>-12178.087297</v>
      </c>
      <c r="F1805" s="3">
        <v>0.99655199999999999</v>
      </c>
      <c r="G1805" s="2">
        <v>0.19073000000000001</v>
      </c>
      <c r="H1805">
        <v>5</v>
      </c>
      <c r="I1805">
        <v>8</v>
      </c>
      <c r="J1805" s="32"/>
      <c r="K1805" s="8">
        <f t="shared" si="196"/>
        <v>-0.49610769230821461</v>
      </c>
      <c r="L1805" s="8">
        <f t="shared" si="197"/>
        <v>-3.8162130177554973E-2</v>
      </c>
      <c r="M1805" s="8">
        <f t="shared" si="198"/>
        <v>-0.68890453846142918</v>
      </c>
      <c r="N1805" s="8">
        <f t="shared" si="199"/>
        <v>-5.299265680472532E-2</v>
      </c>
      <c r="O1805" s="8"/>
      <c r="P1805" t="s">
        <v>2091</v>
      </c>
      <c r="Q1805">
        <v>35</v>
      </c>
      <c r="R1805" s="8">
        <v>2.82667</v>
      </c>
      <c r="S1805">
        <v>15</v>
      </c>
      <c r="T1805" s="8">
        <f t="shared" si="200"/>
        <v>0.42857142857142855</v>
      </c>
      <c r="U1805" s="8">
        <v>2.8406600000000002</v>
      </c>
      <c r="V1805">
        <v>15</v>
      </c>
      <c r="W1805" s="8">
        <f t="shared" si="201"/>
        <v>0.42857142857142855</v>
      </c>
      <c r="X1805" s="8">
        <v>2.7888000000000002</v>
      </c>
      <c r="Y1805">
        <v>5</v>
      </c>
      <c r="Z1805" s="8">
        <f t="shared" si="202"/>
        <v>0.14285714285714285</v>
      </c>
      <c r="AA1805" s="8">
        <v>2.8983400000000001</v>
      </c>
    </row>
    <row r="1806" spans="2:27" ht="15" customHeight="1" x14ac:dyDescent="0.25">
      <c r="B1806">
        <v>530</v>
      </c>
      <c r="C1806" s="8">
        <v>-12176.9161</v>
      </c>
      <c r="D1806" s="2">
        <v>-12178.594353</v>
      </c>
      <c r="F1806" s="3">
        <v>0.99557799999999996</v>
      </c>
      <c r="G1806" s="2">
        <v>0.18332999999999999</v>
      </c>
      <c r="H1806">
        <v>5</v>
      </c>
      <c r="I1806">
        <v>8</v>
      </c>
      <c r="J1806" s="32"/>
      <c r="K1806" s="8">
        <f t="shared" si="196"/>
        <v>-1.0441076923088985</v>
      </c>
      <c r="L1806" s="8">
        <f t="shared" si="197"/>
        <v>-8.0315976331453737E-2</v>
      </c>
      <c r="M1806" s="8">
        <f t="shared" si="198"/>
        <v>-1.1959605384618044</v>
      </c>
      <c r="N1806" s="8">
        <f t="shared" si="199"/>
        <v>-9.1996964497061878E-2</v>
      </c>
      <c r="O1806" s="8"/>
      <c r="P1806" t="s">
        <v>2092</v>
      </c>
      <c r="Q1806">
        <v>35</v>
      </c>
      <c r="R1806" s="8">
        <v>2.8241700000000001</v>
      </c>
      <c r="S1806">
        <v>12</v>
      </c>
      <c r="T1806" s="8">
        <f t="shared" si="200"/>
        <v>0.34285714285714286</v>
      </c>
      <c r="U1806" s="8">
        <v>2.8327</v>
      </c>
      <c r="V1806">
        <v>19</v>
      </c>
      <c r="W1806" s="8">
        <f t="shared" si="201"/>
        <v>0.54285714285714282</v>
      </c>
      <c r="X1806" s="8">
        <v>2.82254</v>
      </c>
      <c r="Y1806">
        <v>4</v>
      </c>
      <c r="Z1806" s="8">
        <f t="shared" si="202"/>
        <v>0.11428571428571428</v>
      </c>
      <c r="AA1806" s="8">
        <v>2.8063699999999998</v>
      </c>
    </row>
    <row r="1807" spans="2:27" ht="15" customHeight="1" x14ac:dyDescent="0.25">
      <c r="B1807">
        <v>531</v>
      </c>
      <c r="C1807" s="8">
        <v>-12176.587100000001</v>
      </c>
      <c r="D1807" s="2">
        <v>-12178.279119000001</v>
      </c>
      <c r="F1807" s="3">
        <v>0.99457600000000002</v>
      </c>
      <c r="G1807" s="2">
        <v>0.17724999999999899</v>
      </c>
      <c r="H1807">
        <v>5</v>
      </c>
      <c r="I1807">
        <v>8</v>
      </c>
      <c r="J1807" s="32"/>
      <c r="K1807" s="8">
        <f t="shared" si="196"/>
        <v>-0.71510769230917504</v>
      </c>
      <c r="L1807" s="8">
        <f t="shared" si="197"/>
        <v>-5.5008284023782696E-2</v>
      </c>
      <c r="M1807" s="8">
        <f t="shared" si="198"/>
        <v>-0.88072653846211324</v>
      </c>
      <c r="N1807" s="8">
        <f t="shared" si="199"/>
        <v>-6.7748195266316397E-2</v>
      </c>
      <c r="O1807" s="8"/>
      <c r="P1807" t="s">
        <v>2093</v>
      </c>
      <c r="Q1807">
        <v>34</v>
      </c>
      <c r="R1807" s="8">
        <v>2.8168600000000001</v>
      </c>
      <c r="S1807">
        <v>15</v>
      </c>
      <c r="T1807" s="8">
        <f t="shared" si="200"/>
        <v>0.44117647058823528</v>
      </c>
      <c r="U1807" s="8">
        <v>2.85344</v>
      </c>
      <c r="V1807">
        <v>15</v>
      </c>
      <c r="W1807" s="8">
        <f t="shared" si="201"/>
        <v>0.44117647058823528</v>
      </c>
      <c r="X1807" s="8">
        <v>2.7867999999999999</v>
      </c>
      <c r="Y1807">
        <v>4</v>
      </c>
      <c r="Z1807" s="8">
        <f t="shared" si="202"/>
        <v>0.11764705882352941</v>
      </c>
      <c r="AA1807" s="8">
        <v>2.7924500000000001</v>
      </c>
    </row>
    <row r="1808" spans="2:27" ht="15" customHeight="1" x14ac:dyDescent="0.25">
      <c r="B1808">
        <v>532</v>
      </c>
      <c r="C1808" s="8">
        <v>-12176.752500000001</v>
      </c>
      <c r="D1808" s="2">
        <v>-12178.515660999999</v>
      </c>
      <c r="F1808" s="3">
        <v>0.99263500000000005</v>
      </c>
      <c r="G1808" s="2">
        <v>0.16800999999999899</v>
      </c>
      <c r="H1808">
        <v>5</v>
      </c>
      <c r="I1808">
        <v>8</v>
      </c>
      <c r="J1808" s="32"/>
      <c r="K1808" s="8">
        <f t="shared" si="196"/>
        <v>-0.88050769230903825</v>
      </c>
      <c r="L1808" s="8">
        <f t="shared" si="197"/>
        <v>-6.773136094684909E-2</v>
      </c>
      <c r="M1808" s="8">
        <f t="shared" si="198"/>
        <v>-1.1172685384608485</v>
      </c>
      <c r="N1808" s="8">
        <f t="shared" si="199"/>
        <v>-8.5943733727757571E-2</v>
      </c>
      <c r="O1808" s="8"/>
      <c r="P1808" t="s">
        <v>2094</v>
      </c>
      <c r="Q1808">
        <v>36</v>
      </c>
      <c r="R1808" s="8">
        <v>2.8355000000000001</v>
      </c>
      <c r="S1808">
        <v>13</v>
      </c>
      <c r="T1808" s="8">
        <f t="shared" si="200"/>
        <v>0.3611111111111111</v>
      </c>
      <c r="U1808" s="8">
        <v>2.87046</v>
      </c>
      <c r="V1808">
        <v>20</v>
      </c>
      <c r="W1808" s="8">
        <f t="shared" si="201"/>
        <v>0.55555555555555558</v>
      </c>
      <c r="X1808" s="8">
        <v>2.8202799999999999</v>
      </c>
      <c r="Y1808">
        <v>3</v>
      </c>
      <c r="Z1808" s="8">
        <f t="shared" si="202"/>
        <v>8.3333333333333329E-2</v>
      </c>
      <c r="AA1808" s="8">
        <v>2.78546</v>
      </c>
    </row>
    <row r="1809" spans="2:27" ht="15" customHeight="1" x14ac:dyDescent="0.25">
      <c r="B1809">
        <v>533</v>
      </c>
      <c r="C1809" s="8">
        <v>-12176.7222</v>
      </c>
      <c r="D1809" s="2">
        <v>-12178.399917999999</v>
      </c>
      <c r="F1809" s="3">
        <v>0.99487800000000004</v>
      </c>
      <c r="G1809" s="2">
        <v>0.17898</v>
      </c>
      <c r="H1809">
        <v>5</v>
      </c>
      <c r="I1809">
        <v>8</v>
      </c>
      <c r="J1809" s="32"/>
      <c r="K1809" s="8">
        <f t="shared" si="196"/>
        <v>-0.85020769230868609</v>
      </c>
      <c r="L1809" s="8">
        <f t="shared" si="197"/>
        <v>-6.5400591716052781E-2</v>
      </c>
      <c r="M1809" s="8">
        <f t="shared" si="198"/>
        <v>-1.0015255384605553</v>
      </c>
      <c r="N1809" s="8">
        <f t="shared" si="199"/>
        <v>-7.7040426035427323E-2</v>
      </c>
      <c r="O1809" s="8"/>
      <c r="P1809" t="s">
        <v>2095</v>
      </c>
      <c r="Q1809">
        <v>35</v>
      </c>
      <c r="R1809" s="8">
        <v>2.8241800000000001</v>
      </c>
      <c r="S1809">
        <v>13</v>
      </c>
      <c r="T1809" s="8">
        <f t="shared" si="200"/>
        <v>0.37142857142857144</v>
      </c>
      <c r="U1809" s="8">
        <v>2.8399700000000001</v>
      </c>
      <c r="V1809">
        <v>18</v>
      </c>
      <c r="W1809" s="8">
        <f t="shared" si="201"/>
        <v>0.51428571428571423</v>
      </c>
      <c r="X1809" s="8">
        <v>2.8050099999999998</v>
      </c>
      <c r="Y1809">
        <v>4</v>
      </c>
      <c r="Z1809" s="8">
        <f t="shared" si="202"/>
        <v>0.11428571428571428</v>
      </c>
      <c r="AA1809" s="8">
        <v>2.8591299999999999</v>
      </c>
    </row>
    <row r="1810" spans="2:27" ht="15" customHeight="1" x14ac:dyDescent="0.25">
      <c r="B1810">
        <v>534</v>
      </c>
      <c r="C1810" s="8">
        <v>-12176.6528</v>
      </c>
      <c r="D1810" s="2">
        <v>-12178.337218000001</v>
      </c>
      <c r="F1810" s="3">
        <v>0.99563800000000002</v>
      </c>
      <c r="G1810" s="2">
        <v>0.18365000000000001</v>
      </c>
      <c r="H1810">
        <v>5</v>
      </c>
      <c r="I1810">
        <v>8</v>
      </c>
      <c r="J1810" s="32"/>
      <c r="K1810" s="8">
        <f t="shared" si="196"/>
        <v>-0.78080769230837177</v>
      </c>
      <c r="L1810" s="8">
        <f t="shared" si="197"/>
        <v>-6.0062130177567057E-2</v>
      </c>
      <c r="M1810" s="8">
        <f t="shared" si="198"/>
        <v>-0.9388255384619697</v>
      </c>
      <c r="N1810" s="8">
        <f t="shared" si="199"/>
        <v>-7.2217349112459209E-2</v>
      </c>
      <c r="O1810" s="8"/>
      <c r="P1810" t="s">
        <v>2096</v>
      </c>
      <c r="Q1810">
        <v>35</v>
      </c>
      <c r="R1810" s="8">
        <v>2.8230400000000002</v>
      </c>
      <c r="S1810">
        <v>14</v>
      </c>
      <c r="T1810" s="8">
        <f t="shared" si="200"/>
        <v>0.4</v>
      </c>
      <c r="U1810" s="8">
        <v>2.83127</v>
      </c>
      <c r="V1810">
        <v>16</v>
      </c>
      <c r="W1810" s="8">
        <f t="shared" si="201"/>
        <v>0.45714285714285713</v>
      </c>
      <c r="X1810" s="8">
        <v>2.8119200000000002</v>
      </c>
      <c r="Y1810">
        <v>5</v>
      </c>
      <c r="Z1810" s="8">
        <f t="shared" si="202"/>
        <v>0.14285714285714285</v>
      </c>
      <c r="AA1810" s="8">
        <v>2.8355999999999999</v>
      </c>
    </row>
    <row r="1811" spans="2:27" ht="15" customHeight="1" x14ac:dyDescent="0.25">
      <c r="B1811">
        <v>535</v>
      </c>
      <c r="C1811" s="8">
        <v>-12176.4756</v>
      </c>
      <c r="D1811" s="2">
        <v>-12178.243989000001</v>
      </c>
      <c r="F1811" s="3">
        <v>0.99286300000000005</v>
      </c>
      <c r="G1811" s="2">
        <v>0.16897000000000001</v>
      </c>
      <c r="H1811">
        <v>5</v>
      </c>
      <c r="I1811">
        <v>8</v>
      </c>
      <c r="J1811" s="32"/>
      <c r="K1811" s="8">
        <f t="shared" si="196"/>
        <v>-0.60360769230828737</v>
      </c>
      <c r="L1811" s="8">
        <f t="shared" si="197"/>
        <v>-4.6431360946791338E-2</v>
      </c>
      <c r="M1811" s="8">
        <f t="shared" si="198"/>
        <v>-0.84559653846190486</v>
      </c>
      <c r="N1811" s="8">
        <f t="shared" si="199"/>
        <v>-6.5045887573992683E-2</v>
      </c>
      <c r="O1811" s="8"/>
      <c r="P1811" t="s">
        <v>2097</v>
      </c>
      <c r="Q1811">
        <v>35</v>
      </c>
      <c r="R1811" s="8">
        <v>2.8256399999999999</v>
      </c>
      <c r="S1811">
        <v>14</v>
      </c>
      <c r="T1811" s="8">
        <f t="shared" si="200"/>
        <v>0.4</v>
      </c>
      <c r="U1811" s="8">
        <v>2.8438500000000002</v>
      </c>
      <c r="V1811">
        <v>18</v>
      </c>
      <c r="W1811" s="8">
        <f t="shared" si="201"/>
        <v>0.51428571428571423</v>
      </c>
      <c r="X1811" s="8">
        <v>2.8052299999999999</v>
      </c>
      <c r="Y1811">
        <v>3</v>
      </c>
      <c r="Z1811" s="8">
        <f t="shared" si="202"/>
        <v>8.5714285714285715E-2</v>
      </c>
      <c r="AA1811" s="8">
        <v>2.8631000000000002</v>
      </c>
    </row>
    <row r="1812" spans="2:27" ht="15" customHeight="1" x14ac:dyDescent="0.25">
      <c r="B1812">
        <v>536</v>
      </c>
      <c r="C1812" s="8">
        <v>-12176.7798</v>
      </c>
      <c r="D1812" s="2">
        <v>-12178.490448</v>
      </c>
      <c r="F1812" s="3">
        <v>0.99340200000000001</v>
      </c>
      <c r="G1812" s="2">
        <v>0.17130999999999999</v>
      </c>
      <c r="H1812">
        <v>5</v>
      </c>
      <c r="I1812">
        <v>8</v>
      </c>
      <c r="J1812" s="32"/>
      <c r="K1812" s="8">
        <f t="shared" si="196"/>
        <v>-0.90780769230877922</v>
      </c>
      <c r="L1812" s="8">
        <f t="shared" si="197"/>
        <v>-6.9831360946829166E-2</v>
      </c>
      <c r="M1812" s="8">
        <f t="shared" si="198"/>
        <v>-1.0920555384618638</v>
      </c>
      <c r="N1812" s="8">
        <f t="shared" si="199"/>
        <v>-8.4004272189374132E-2</v>
      </c>
      <c r="O1812" s="8"/>
      <c r="P1812" t="s">
        <v>2098</v>
      </c>
      <c r="Q1812">
        <v>36</v>
      </c>
      <c r="R1812" s="8">
        <v>2.8401399999999999</v>
      </c>
      <c r="S1812">
        <v>14</v>
      </c>
      <c r="T1812" s="8">
        <f t="shared" si="200"/>
        <v>0.3888888888888889</v>
      </c>
      <c r="U1812" s="8">
        <v>2.8649200000000001</v>
      </c>
      <c r="V1812">
        <v>18</v>
      </c>
      <c r="W1812" s="8">
        <f t="shared" si="201"/>
        <v>0.5</v>
      </c>
      <c r="X1812" s="8">
        <v>2.8290600000000001</v>
      </c>
      <c r="Y1812">
        <v>4</v>
      </c>
      <c r="Z1812" s="8">
        <f t="shared" si="202"/>
        <v>0.1111111111111111</v>
      </c>
      <c r="AA1812" s="8">
        <v>2.80322</v>
      </c>
    </row>
    <row r="1813" spans="2:27" ht="15" customHeight="1" x14ac:dyDescent="0.25">
      <c r="B1813">
        <v>537</v>
      </c>
      <c r="C1813" s="8">
        <v>-12176.906800000001</v>
      </c>
      <c r="D1813" s="2">
        <v>-12178.569063000001</v>
      </c>
      <c r="F1813" s="3">
        <v>0.99333800000000005</v>
      </c>
      <c r="G1813" s="2">
        <v>0.17097999999999999</v>
      </c>
      <c r="H1813">
        <v>5</v>
      </c>
      <c r="I1813">
        <v>8</v>
      </c>
      <c r="J1813" s="32"/>
      <c r="K1813" s="8">
        <f t="shared" si="196"/>
        <v>-1.0348076923091867</v>
      </c>
      <c r="L1813" s="8">
        <f t="shared" si="197"/>
        <v>-7.9600591716091282E-2</v>
      </c>
      <c r="M1813" s="8">
        <f t="shared" si="198"/>
        <v>-1.1706705384622182</v>
      </c>
      <c r="N1813" s="8">
        <f t="shared" si="199"/>
        <v>-9.0051579881709101E-2</v>
      </c>
      <c r="O1813" s="8"/>
      <c r="P1813" t="s">
        <v>2099</v>
      </c>
      <c r="Q1813">
        <v>36</v>
      </c>
      <c r="R1813" s="8">
        <v>2.8355700000000001</v>
      </c>
      <c r="S1813">
        <v>13</v>
      </c>
      <c r="T1813" s="8">
        <f t="shared" si="200"/>
        <v>0.3611111111111111</v>
      </c>
      <c r="U1813" s="8">
        <v>2.85948</v>
      </c>
      <c r="V1813">
        <v>20</v>
      </c>
      <c r="W1813" s="8">
        <f t="shared" si="201"/>
        <v>0.55555555555555558</v>
      </c>
      <c r="X1813" s="8">
        <v>2.8275800000000002</v>
      </c>
      <c r="Y1813">
        <v>3</v>
      </c>
      <c r="Z1813" s="8">
        <f t="shared" si="202"/>
        <v>8.3333333333333329E-2</v>
      </c>
      <c r="AA1813" s="8">
        <v>2.7852199999999998</v>
      </c>
    </row>
    <row r="1814" spans="2:27" ht="15" customHeight="1" x14ac:dyDescent="0.25">
      <c r="B1814">
        <v>538</v>
      </c>
      <c r="C1814" s="8">
        <v>-12176.5944</v>
      </c>
      <c r="D1814" s="2">
        <v>-12178.415959</v>
      </c>
      <c r="F1814" s="3">
        <v>0.993313</v>
      </c>
      <c r="G1814" s="2">
        <v>0.17086999999999899</v>
      </c>
      <c r="H1814">
        <v>5</v>
      </c>
      <c r="I1814">
        <v>8</v>
      </c>
      <c r="J1814" s="32"/>
      <c r="K1814" s="8">
        <f t="shared" si="196"/>
        <v>-0.72240769230847945</v>
      </c>
      <c r="L1814" s="8">
        <f t="shared" si="197"/>
        <v>-5.556982248526765E-2</v>
      </c>
      <c r="M1814" s="8">
        <f t="shared" si="198"/>
        <v>-1.0175665384613239</v>
      </c>
      <c r="N1814" s="8">
        <f t="shared" si="199"/>
        <v>-7.8274349112409533E-2</v>
      </c>
      <c r="O1814" s="8"/>
      <c r="P1814" t="s">
        <v>2100</v>
      </c>
      <c r="Q1814">
        <v>33</v>
      </c>
      <c r="R1814" s="8">
        <v>2.8082500000000001</v>
      </c>
      <c r="S1814">
        <v>13</v>
      </c>
      <c r="T1814" s="8">
        <f t="shared" si="200"/>
        <v>0.39393939393939392</v>
      </c>
      <c r="U1814" s="8">
        <v>2.8445800000000001</v>
      </c>
      <c r="V1814">
        <v>18</v>
      </c>
      <c r="W1814" s="8">
        <f t="shared" si="201"/>
        <v>0.54545454545454541</v>
      </c>
      <c r="X1814" s="8">
        <v>2.7845300000000002</v>
      </c>
      <c r="Y1814">
        <v>2</v>
      </c>
      <c r="Z1814" s="8">
        <f t="shared" si="202"/>
        <v>6.0606060606060608E-2</v>
      </c>
      <c r="AA1814" s="8">
        <v>2.78566</v>
      </c>
    </row>
    <row r="1815" spans="2:27" ht="15" customHeight="1" x14ac:dyDescent="0.25">
      <c r="B1815">
        <v>539</v>
      </c>
      <c r="C1815" s="8">
        <v>-12176.6644</v>
      </c>
      <c r="D1815" s="2">
        <v>-12178.419287000001</v>
      </c>
      <c r="F1815" s="3">
        <v>0.99510299999999996</v>
      </c>
      <c r="G1815" s="2">
        <v>0.180279999999999</v>
      </c>
      <c r="H1815">
        <v>5</v>
      </c>
      <c r="I1815">
        <v>8</v>
      </c>
      <c r="J1815" s="32"/>
      <c r="K1815" s="8">
        <f t="shared" si="196"/>
        <v>-0.79240769230818842</v>
      </c>
      <c r="L1815" s="8">
        <f t="shared" si="197"/>
        <v>-6.0954437869860649E-2</v>
      </c>
      <c r="M1815" s="8">
        <f t="shared" si="198"/>
        <v>-1.0208945384620165</v>
      </c>
      <c r="N1815" s="8">
        <f t="shared" si="199"/>
        <v>-7.8530349112462802E-2</v>
      </c>
      <c r="O1815" s="8"/>
      <c r="P1815" t="s">
        <v>2101</v>
      </c>
      <c r="Q1815">
        <v>36</v>
      </c>
      <c r="R1815" s="8">
        <v>2.8407900000000001</v>
      </c>
      <c r="S1815">
        <v>15</v>
      </c>
      <c r="T1815" s="8">
        <f t="shared" si="200"/>
        <v>0.41666666666666669</v>
      </c>
      <c r="U1815" s="8">
        <v>2.8845800000000001</v>
      </c>
      <c r="V1815">
        <v>18</v>
      </c>
      <c r="W1815" s="8">
        <f t="shared" si="201"/>
        <v>0.5</v>
      </c>
      <c r="X1815" s="8">
        <v>2.7976899999999998</v>
      </c>
      <c r="Y1815">
        <v>3</v>
      </c>
      <c r="Z1815" s="8">
        <f t="shared" si="202"/>
        <v>8.3333333333333329E-2</v>
      </c>
      <c r="AA1815" s="8">
        <v>2.88036</v>
      </c>
    </row>
    <row r="1816" spans="2:27" ht="15" customHeight="1" x14ac:dyDescent="0.25">
      <c r="B1816">
        <v>540</v>
      </c>
      <c r="C1816" s="8">
        <v>-12176.96</v>
      </c>
      <c r="D1816" s="2">
        <v>-12178.426506</v>
      </c>
      <c r="F1816" s="3">
        <v>0.99827699999999997</v>
      </c>
      <c r="G1816" s="2">
        <v>0.111089999999999</v>
      </c>
      <c r="H1816">
        <v>5</v>
      </c>
      <c r="I1816">
        <v>8</v>
      </c>
      <c r="J1816" s="32"/>
      <c r="K1816" s="8">
        <f t="shared" si="196"/>
        <v>-1.0880076923076558</v>
      </c>
      <c r="L1816" s="8">
        <f t="shared" si="197"/>
        <v>-8.3692899408281216E-2</v>
      </c>
      <c r="M1816" s="8">
        <f t="shared" si="198"/>
        <v>-1.0281135384611844</v>
      </c>
      <c r="N1816" s="8">
        <f t="shared" si="199"/>
        <v>-7.9085656804706486E-2</v>
      </c>
      <c r="O1816" s="8"/>
      <c r="P1816" t="s">
        <v>2102</v>
      </c>
      <c r="Q1816">
        <v>36</v>
      </c>
      <c r="R1816" s="8">
        <v>2.8344299999999998</v>
      </c>
      <c r="S1816">
        <v>12</v>
      </c>
      <c r="T1816" s="8">
        <f t="shared" si="200"/>
        <v>0.33333333333333331</v>
      </c>
      <c r="U1816" s="8">
        <v>2.8566600000000002</v>
      </c>
      <c r="V1816">
        <v>21</v>
      </c>
      <c r="W1816" s="8">
        <f t="shared" si="201"/>
        <v>0.58333333333333337</v>
      </c>
      <c r="X1816" s="8">
        <v>2.8211900000000001</v>
      </c>
      <c r="Y1816">
        <v>3</v>
      </c>
      <c r="Z1816" s="8">
        <f t="shared" si="202"/>
        <v>8.3333333333333329E-2</v>
      </c>
      <c r="AA1816" s="8">
        <v>2.83826</v>
      </c>
    </row>
    <row r="1817" spans="2:27" ht="15" customHeight="1" x14ac:dyDescent="0.25">
      <c r="B1817">
        <v>541</v>
      </c>
      <c r="C1817" s="8">
        <v>-12176.8956</v>
      </c>
      <c r="D1817" s="2">
        <v>-12178.611451000001</v>
      </c>
      <c r="F1817" s="3">
        <v>0.99659500000000001</v>
      </c>
      <c r="G1817" s="2">
        <v>0.19123000000000001</v>
      </c>
      <c r="H1817">
        <v>5</v>
      </c>
      <c r="I1817">
        <v>8</v>
      </c>
      <c r="J1817" s="32"/>
      <c r="K1817" s="8">
        <f t="shared" si="196"/>
        <v>-1.0236076923083601</v>
      </c>
      <c r="L1817" s="8">
        <f t="shared" si="197"/>
        <v>-7.8739053254489239E-2</v>
      </c>
      <c r="M1817" s="8">
        <f t="shared" si="198"/>
        <v>-1.2130585384620645</v>
      </c>
      <c r="N1817" s="8">
        <f t="shared" si="199"/>
        <v>-9.3312195266312653E-2</v>
      </c>
      <c r="O1817" s="8"/>
      <c r="P1817" t="s">
        <v>2103</v>
      </c>
      <c r="Q1817">
        <v>36</v>
      </c>
      <c r="R1817" s="8">
        <v>2.8343500000000001</v>
      </c>
      <c r="S1817">
        <v>12</v>
      </c>
      <c r="T1817" s="8">
        <f t="shared" si="200"/>
        <v>0.33333333333333331</v>
      </c>
      <c r="U1817" s="8">
        <v>2.8469000000000002</v>
      </c>
      <c r="V1817">
        <v>21</v>
      </c>
      <c r="W1817" s="8">
        <f t="shared" si="201"/>
        <v>0.58333333333333337</v>
      </c>
      <c r="X1817" s="8">
        <v>2.8273000000000001</v>
      </c>
      <c r="Y1817">
        <v>3</v>
      </c>
      <c r="Z1817" s="8">
        <f t="shared" si="202"/>
        <v>8.3333333333333329E-2</v>
      </c>
      <c r="AA1817" s="8">
        <v>2.8334700000000002</v>
      </c>
    </row>
    <row r="1818" spans="2:27" ht="15" customHeight="1" x14ac:dyDescent="0.25">
      <c r="B1818">
        <v>542</v>
      </c>
      <c r="C1818" s="8">
        <v>-12176.910599999999</v>
      </c>
      <c r="D1818" s="2">
        <v>-12178.593516999999</v>
      </c>
      <c r="F1818" s="3">
        <v>0.99501300000000004</v>
      </c>
      <c r="G1818" s="2">
        <v>0.17974999999999999</v>
      </c>
      <c r="H1818">
        <v>5</v>
      </c>
      <c r="I1818">
        <v>8</v>
      </c>
      <c r="J1818" s="32"/>
      <c r="K1818" s="8">
        <f t="shared" si="196"/>
        <v>-1.0386076923077781</v>
      </c>
      <c r="L1818" s="8">
        <f t="shared" si="197"/>
        <v>-7.9892899408290613E-2</v>
      </c>
      <c r="M1818" s="8">
        <f t="shared" si="198"/>
        <v>-1.1951245384607319</v>
      </c>
      <c r="N1818" s="8">
        <f t="shared" si="199"/>
        <v>-9.1932656804671678E-2</v>
      </c>
      <c r="O1818" s="8"/>
      <c r="P1818" t="s">
        <v>2104</v>
      </c>
      <c r="Q1818">
        <v>35</v>
      </c>
      <c r="R1818" s="8">
        <v>2.8266800000000001</v>
      </c>
      <c r="S1818">
        <v>12</v>
      </c>
      <c r="T1818" s="8">
        <f t="shared" si="200"/>
        <v>0.34285714285714286</v>
      </c>
      <c r="U1818" s="8">
        <v>2.8767</v>
      </c>
      <c r="V1818">
        <v>21</v>
      </c>
      <c r="W1818" s="8">
        <f t="shared" si="201"/>
        <v>0.6</v>
      </c>
      <c r="X1818" s="8">
        <v>2.7937099999999999</v>
      </c>
      <c r="Y1818">
        <v>2</v>
      </c>
      <c r="Z1818" s="8">
        <f t="shared" si="202"/>
        <v>5.7142857142857141E-2</v>
      </c>
      <c r="AA1818" s="8">
        <v>2.87276</v>
      </c>
    </row>
    <row r="1819" spans="2:27" ht="15" customHeight="1" x14ac:dyDescent="0.25">
      <c r="B1819">
        <v>543</v>
      </c>
      <c r="C1819" s="8">
        <v>-12176.717699999999</v>
      </c>
      <c r="D1819" s="2">
        <v>-12178.4686</v>
      </c>
      <c r="F1819" s="3">
        <v>0.99700200000000005</v>
      </c>
      <c r="G1819" s="2">
        <v>0.19502</v>
      </c>
      <c r="H1819">
        <v>5</v>
      </c>
      <c r="I1819">
        <v>8</v>
      </c>
      <c r="J1819" s="32"/>
      <c r="K1819" s="8">
        <f t="shared" si="196"/>
        <v>-0.84570769230776932</v>
      </c>
      <c r="L1819" s="8">
        <f t="shared" si="197"/>
        <v>-6.505443786982841E-2</v>
      </c>
      <c r="M1819" s="8">
        <f t="shared" si="198"/>
        <v>-1.0702075384615455</v>
      </c>
      <c r="N1819" s="8">
        <f t="shared" si="199"/>
        <v>-8.2323656804734274E-2</v>
      </c>
      <c r="O1819" s="8"/>
      <c r="P1819" t="s">
        <v>2105</v>
      </c>
      <c r="Q1819">
        <v>35</v>
      </c>
      <c r="R1819" s="8">
        <v>2.82206</v>
      </c>
      <c r="S1819">
        <v>12</v>
      </c>
      <c r="T1819" s="8">
        <f t="shared" si="200"/>
        <v>0.34285714285714286</v>
      </c>
      <c r="U1819" s="8">
        <v>2.82687</v>
      </c>
      <c r="V1819">
        <v>20</v>
      </c>
      <c r="W1819" s="8">
        <f t="shared" si="201"/>
        <v>0.5714285714285714</v>
      </c>
      <c r="X1819" s="8">
        <v>2.8082500000000001</v>
      </c>
      <c r="Y1819">
        <v>3</v>
      </c>
      <c r="Z1819" s="8">
        <f t="shared" si="202"/>
        <v>8.5714285714285715E-2</v>
      </c>
      <c r="AA1819" s="8">
        <v>2.8948999999999998</v>
      </c>
    </row>
    <row r="1820" spans="2:27" ht="15" customHeight="1" x14ac:dyDescent="0.25">
      <c r="B1820">
        <v>544</v>
      </c>
      <c r="C1820" s="8">
        <v>-12176.785099999999</v>
      </c>
      <c r="D1820" s="2">
        <v>-12178.544852000001</v>
      </c>
      <c r="F1820" s="3">
        <v>0.99766100000000002</v>
      </c>
      <c r="G1820" s="2">
        <v>0.20265</v>
      </c>
      <c r="H1820">
        <v>5</v>
      </c>
      <c r="I1820">
        <v>8</v>
      </c>
      <c r="J1820" s="32"/>
      <c r="K1820" s="8">
        <f t="shared" si="196"/>
        <v>-0.91310769230767619</v>
      </c>
      <c r="L1820" s="8">
        <f t="shared" si="197"/>
        <v>-7.0239053254436634E-2</v>
      </c>
      <c r="M1820" s="8">
        <f t="shared" si="198"/>
        <v>-1.1464595384622953</v>
      </c>
      <c r="N1820" s="8">
        <f t="shared" si="199"/>
        <v>-8.8189195266330414E-2</v>
      </c>
      <c r="O1820" s="8"/>
      <c r="P1820" t="s">
        <v>2106</v>
      </c>
      <c r="Q1820">
        <v>36</v>
      </c>
      <c r="R1820" s="8">
        <v>2.8344200000000002</v>
      </c>
      <c r="S1820">
        <v>13</v>
      </c>
      <c r="T1820" s="8">
        <f t="shared" si="200"/>
        <v>0.3611111111111111</v>
      </c>
      <c r="U1820" s="8">
        <v>2.8715999999999999</v>
      </c>
      <c r="V1820">
        <v>21</v>
      </c>
      <c r="W1820" s="8">
        <f t="shared" si="201"/>
        <v>0.58333333333333337</v>
      </c>
      <c r="X1820" s="8">
        <v>2.8020299999999998</v>
      </c>
      <c r="Y1820">
        <v>2</v>
      </c>
      <c r="Z1820" s="8">
        <f t="shared" si="202"/>
        <v>5.5555555555555552E-2</v>
      </c>
      <c r="AA1820" s="8">
        <v>2.9328500000000002</v>
      </c>
    </row>
    <row r="1821" spans="2:27" ht="15" customHeight="1" x14ac:dyDescent="0.25">
      <c r="B1821">
        <v>545</v>
      </c>
      <c r="C1821" s="8">
        <v>-12176.8424</v>
      </c>
      <c r="D1821" s="2">
        <v>-12178.381081</v>
      </c>
      <c r="F1821" s="3">
        <v>0.99545499999999998</v>
      </c>
      <c r="G1821" s="2">
        <v>0.182529999999999</v>
      </c>
      <c r="H1821">
        <v>5</v>
      </c>
      <c r="I1821">
        <v>8</v>
      </c>
      <c r="J1821" s="32"/>
      <c r="K1821" s="8">
        <f t="shared" si="196"/>
        <v>-0.970407692308072</v>
      </c>
      <c r="L1821" s="8">
        <f t="shared" si="197"/>
        <v>-7.4646745562159389E-2</v>
      </c>
      <c r="M1821" s="8">
        <f t="shared" si="198"/>
        <v>-0.98268853846093407</v>
      </c>
      <c r="N1821" s="8">
        <f t="shared" si="199"/>
        <v>-7.559142603545646E-2</v>
      </c>
      <c r="O1821" s="8"/>
      <c r="P1821" t="s">
        <v>2107</v>
      </c>
      <c r="Q1821">
        <v>36</v>
      </c>
      <c r="R1821" s="8">
        <v>2.8334999999999999</v>
      </c>
      <c r="S1821">
        <v>12</v>
      </c>
      <c r="T1821" s="8">
        <f t="shared" si="200"/>
        <v>0.33333333333333331</v>
      </c>
      <c r="U1821" s="8">
        <v>2.8482400000000001</v>
      </c>
      <c r="V1821">
        <v>21</v>
      </c>
      <c r="W1821" s="8">
        <f t="shared" si="201"/>
        <v>0.58333333333333337</v>
      </c>
      <c r="X1821" s="8">
        <v>2.8304299999999998</v>
      </c>
      <c r="Y1821">
        <v>3</v>
      </c>
      <c r="Z1821" s="8">
        <f t="shared" si="202"/>
        <v>8.3333333333333329E-2</v>
      </c>
      <c r="AA1821" s="8">
        <v>2.7960500000000001</v>
      </c>
    </row>
    <row r="1822" spans="2:27" ht="15" customHeight="1" x14ac:dyDescent="0.25">
      <c r="B1822">
        <v>546</v>
      </c>
      <c r="C1822" s="8">
        <v>-12176.590200000001</v>
      </c>
      <c r="D1822" s="2">
        <v>-12178.302215</v>
      </c>
      <c r="F1822" s="3">
        <v>0.99407800000000002</v>
      </c>
      <c r="G1822" s="2">
        <v>0.17458000000000001</v>
      </c>
      <c r="H1822">
        <v>5</v>
      </c>
      <c r="I1822">
        <v>8</v>
      </c>
      <c r="J1822" s="32"/>
      <c r="K1822" s="8">
        <f t="shared" si="196"/>
        <v>-0.71820769230907899</v>
      </c>
      <c r="L1822" s="8">
        <f t="shared" si="197"/>
        <v>-5.5246745562236847E-2</v>
      </c>
      <c r="M1822" s="8">
        <f t="shared" si="198"/>
        <v>-0.90382253846109961</v>
      </c>
      <c r="N1822" s="8">
        <f t="shared" si="199"/>
        <v>-6.9524810650853822E-2</v>
      </c>
      <c r="O1822" s="8"/>
      <c r="P1822" t="s">
        <v>2108</v>
      </c>
      <c r="Q1822">
        <v>36</v>
      </c>
      <c r="R1822" s="8">
        <v>2.8345099999999999</v>
      </c>
      <c r="S1822">
        <v>14</v>
      </c>
      <c r="T1822" s="8">
        <f t="shared" si="200"/>
        <v>0.3888888888888889</v>
      </c>
      <c r="U1822" s="8">
        <v>2.8636400000000002</v>
      </c>
      <c r="V1822">
        <v>19</v>
      </c>
      <c r="W1822" s="8">
        <f t="shared" si="201"/>
        <v>0.52777777777777779</v>
      </c>
      <c r="X1822" s="8">
        <v>2.8102999999999998</v>
      </c>
      <c r="Y1822">
        <v>3</v>
      </c>
      <c r="Z1822" s="8">
        <f t="shared" si="202"/>
        <v>8.3333333333333329E-2</v>
      </c>
      <c r="AA1822" s="8">
        <v>2.8519199999999998</v>
      </c>
    </row>
    <row r="1823" spans="2:27" ht="15" customHeight="1" x14ac:dyDescent="0.25">
      <c r="B1823">
        <v>547</v>
      </c>
      <c r="C1823" s="8">
        <v>-12176.732</v>
      </c>
      <c r="D1823" s="2">
        <v>-12178.492833</v>
      </c>
      <c r="F1823" s="3">
        <v>0.99029900000000004</v>
      </c>
      <c r="G1823" s="2">
        <v>0.15972</v>
      </c>
      <c r="H1823">
        <v>5</v>
      </c>
      <c r="I1823">
        <v>8</v>
      </c>
      <c r="J1823" s="32"/>
      <c r="K1823" s="8">
        <f t="shared" si="196"/>
        <v>-0.86000769230849983</v>
      </c>
      <c r="L1823" s="8">
        <f t="shared" si="197"/>
        <v>-6.6154437869884605E-2</v>
      </c>
      <c r="M1823" s="8">
        <f t="shared" si="198"/>
        <v>-1.0944405384616402</v>
      </c>
      <c r="N1823" s="8">
        <f t="shared" si="199"/>
        <v>-8.4187733727818487E-2</v>
      </c>
      <c r="O1823" s="8"/>
      <c r="P1823" t="s">
        <v>2109</v>
      </c>
      <c r="Q1823">
        <v>35</v>
      </c>
      <c r="R1823" s="8">
        <v>2.8250299999999999</v>
      </c>
      <c r="S1823">
        <v>11</v>
      </c>
      <c r="T1823" s="8">
        <f t="shared" si="200"/>
        <v>0.31428571428571428</v>
      </c>
      <c r="U1823" s="8">
        <v>2.8258899999999998</v>
      </c>
      <c r="V1823">
        <v>22</v>
      </c>
      <c r="W1823" s="8">
        <f t="shared" si="201"/>
        <v>0.62857142857142856</v>
      </c>
      <c r="X1823" s="8">
        <v>2.8090099999999998</v>
      </c>
      <c r="Y1823">
        <v>2</v>
      </c>
      <c r="Z1823" s="8">
        <f t="shared" si="202"/>
        <v>5.7142857142857141E-2</v>
      </c>
      <c r="AA1823" s="8">
        <v>2.9965099999999998</v>
      </c>
    </row>
    <row r="1824" spans="2:27" ht="15" customHeight="1" x14ac:dyDescent="0.25">
      <c r="B1824" s="7">
        <v>548</v>
      </c>
      <c r="C1824" s="8">
        <v>-12176.519775999999</v>
      </c>
      <c r="D1824" s="2">
        <v>-12178.059616</v>
      </c>
      <c r="F1824" s="3">
        <v>0.99116700000000002</v>
      </c>
      <c r="G1824" s="2">
        <v>0.16252999999999901</v>
      </c>
      <c r="H1824">
        <v>5</v>
      </c>
      <c r="I1824">
        <v>8</v>
      </c>
      <c r="J1824" s="32"/>
      <c r="K1824" s="8">
        <f t="shared" si="196"/>
        <v>-0.64778369230771204</v>
      </c>
      <c r="L1824" s="8">
        <f t="shared" si="197"/>
        <v>-4.9829514792900924E-2</v>
      </c>
      <c r="M1824" s="8">
        <f t="shared" si="198"/>
        <v>-0.66122353846185433</v>
      </c>
      <c r="N1824" s="8">
        <f t="shared" si="199"/>
        <v>-5.0863349112450336E-2</v>
      </c>
      <c r="O1824" s="8"/>
      <c r="P1824" t="s">
        <v>2110</v>
      </c>
      <c r="Q1824">
        <v>36</v>
      </c>
      <c r="R1824" s="8">
        <v>2.8309500000000001</v>
      </c>
      <c r="S1824">
        <v>15</v>
      </c>
      <c r="T1824" s="8">
        <f t="shared" si="200"/>
        <v>0.41666666666666669</v>
      </c>
      <c r="U1824" s="8">
        <v>2.8673299999999999</v>
      </c>
      <c r="V1824">
        <v>19</v>
      </c>
      <c r="W1824" s="8">
        <f t="shared" si="201"/>
        <v>0.52777777777777779</v>
      </c>
      <c r="X1824" s="8">
        <v>2.7885599999999999</v>
      </c>
      <c r="Y1824">
        <v>2</v>
      </c>
      <c r="Z1824" s="8">
        <f t="shared" si="202"/>
        <v>5.5555555555555552E-2</v>
      </c>
      <c r="AA1824" s="8">
        <v>2.96088</v>
      </c>
    </row>
    <row r="1825" spans="2:27" ht="15" customHeight="1" x14ac:dyDescent="0.25">
      <c r="B1825">
        <v>549</v>
      </c>
      <c r="C1825" s="8">
        <v>-12176.8244</v>
      </c>
      <c r="D1825" s="2">
        <v>-12178.344105</v>
      </c>
      <c r="F1825" s="3">
        <v>0.997502</v>
      </c>
      <c r="G1825" s="2">
        <v>0.20040999999999901</v>
      </c>
      <c r="H1825">
        <v>5</v>
      </c>
      <c r="I1825">
        <v>8</v>
      </c>
      <c r="J1825" s="32"/>
      <c r="K1825" s="8">
        <f t="shared" si="196"/>
        <v>-0.9524076923080429</v>
      </c>
      <c r="L1825" s="8">
        <f t="shared" si="197"/>
        <v>-7.3262130177541768E-2</v>
      </c>
      <c r="M1825" s="8">
        <f t="shared" si="198"/>
        <v>-0.94571253846152104</v>
      </c>
      <c r="N1825" s="8">
        <f t="shared" si="199"/>
        <v>-7.2747118343193931E-2</v>
      </c>
      <c r="O1825" s="8"/>
      <c r="P1825" t="s">
        <v>2111</v>
      </c>
      <c r="Q1825">
        <v>35</v>
      </c>
      <c r="R1825" s="8">
        <v>2.82281</v>
      </c>
      <c r="S1825">
        <v>13</v>
      </c>
      <c r="T1825" s="8">
        <f t="shared" si="200"/>
        <v>0.37142857142857144</v>
      </c>
      <c r="U1825" s="8">
        <v>2.82185</v>
      </c>
      <c r="V1825">
        <v>17</v>
      </c>
      <c r="W1825" s="8">
        <f t="shared" si="201"/>
        <v>0.48571428571428571</v>
      </c>
      <c r="X1825" s="8">
        <v>2.8182999999999998</v>
      </c>
      <c r="Y1825">
        <v>5</v>
      </c>
      <c r="Z1825" s="8">
        <f t="shared" si="202"/>
        <v>0.14285714285714285</v>
      </c>
      <c r="AA1825" s="8">
        <v>2.8405900000000002</v>
      </c>
    </row>
    <row r="1826" spans="2:27" ht="15" customHeight="1" x14ac:dyDescent="0.25">
      <c r="B1826">
        <v>550</v>
      </c>
      <c r="C1826" s="8">
        <v>-12176.907499999999</v>
      </c>
      <c r="D1826" s="2">
        <v>-12178.709720000001</v>
      </c>
      <c r="F1826" s="3">
        <v>0.98849299999999996</v>
      </c>
      <c r="G1826" s="2">
        <v>0.15458</v>
      </c>
      <c r="H1826">
        <v>5</v>
      </c>
      <c r="I1826">
        <v>8</v>
      </c>
      <c r="J1826" s="32"/>
      <c r="K1826" s="8">
        <f t="shared" si="196"/>
        <v>-1.0355076923078741</v>
      </c>
      <c r="L1826" s="8">
        <f t="shared" si="197"/>
        <v>-7.9654437869836475E-2</v>
      </c>
      <c r="M1826" s="8">
        <f t="shared" si="198"/>
        <v>-1.3113275384621375</v>
      </c>
      <c r="N1826" s="8">
        <f t="shared" si="199"/>
        <v>-0.10087134911247211</v>
      </c>
      <c r="O1826" s="8"/>
      <c r="P1826" t="s">
        <v>2112</v>
      </c>
      <c r="Q1826">
        <v>35</v>
      </c>
      <c r="R1826" s="8">
        <v>2.8281900000000002</v>
      </c>
      <c r="S1826">
        <v>12</v>
      </c>
      <c r="T1826" s="8">
        <f t="shared" si="200"/>
        <v>0.34285714285714286</v>
      </c>
      <c r="U1826" s="8">
        <v>2.8605499999999999</v>
      </c>
      <c r="V1826">
        <v>19</v>
      </c>
      <c r="W1826" s="8">
        <f t="shared" si="201"/>
        <v>0.54285714285714282</v>
      </c>
      <c r="X1826" s="8">
        <v>2.8000600000000002</v>
      </c>
      <c r="Y1826">
        <v>4</v>
      </c>
      <c r="Z1826" s="8">
        <f t="shared" si="202"/>
        <v>0.11428571428571428</v>
      </c>
      <c r="AA1826" s="8">
        <v>2.8647100000000001</v>
      </c>
    </row>
    <row r="1827" spans="2:27" ht="15" customHeight="1" x14ac:dyDescent="0.25">
      <c r="B1827">
        <v>551</v>
      </c>
      <c r="C1827" s="8">
        <v>-12176.665300000001</v>
      </c>
      <c r="D1827" s="2">
        <v>-12178.355061</v>
      </c>
      <c r="F1827" s="3">
        <v>0.99635600000000002</v>
      </c>
      <c r="G1827" s="2">
        <v>0.18919</v>
      </c>
      <c r="H1827">
        <v>5</v>
      </c>
      <c r="I1827">
        <v>8</v>
      </c>
      <c r="J1827" s="32"/>
      <c r="K1827" s="8">
        <f t="shared" si="196"/>
        <v>-0.79330769230909937</v>
      </c>
      <c r="L1827" s="8">
        <f t="shared" si="197"/>
        <v>-6.1023668639161491E-2</v>
      </c>
      <c r="M1827" s="8">
        <f t="shared" si="198"/>
        <v>-0.95666853846159938</v>
      </c>
      <c r="N1827" s="8">
        <f t="shared" si="199"/>
        <v>-7.3589887573969184E-2</v>
      </c>
      <c r="O1827" s="8"/>
      <c r="P1827" t="s">
        <v>2113</v>
      </c>
      <c r="Q1827">
        <v>35</v>
      </c>
      <c r="R1827" s="8">
        <v>2.8249300000000002</v>
      </c>
      <c r="S1827">
        <v>14</v>
      </c>
      <c r="T1827" s="8">
        <f t="shared" si="200"/>
        <v>0.4</v>
      </c>
      <c r="U1827" s="8">
        <v>2.8254199999999998</v>
      </c>
      <c r="V1827">
        <v>16</v>
      </c>
      <c r="W1827" s="8">
        <f t="shared" si="201"/>
        <v>0.45714285714285713</v>
      </c>
      <c r="X1827" s="8">
        <v>2.8129300000000002</v>
      </c>
      <c r="Y1827">
        <v>5</v>
      </c>
      <c r="Z1827" s="8">
        <f t="shared" si="202"/>
        <v>0.14285714285714285</v>
      </c>
      <c r="AA1827" s="8">
        <v>2.8619599999999998</v>
      </c>
    </row>
    <row r="1828" spans="2:27" ht="15" customHeight="1" x14ac:dyDescent="0.25">
      <c r="B1828">
        <v>552</v>
      </c>
      <c r="C1828" s="8">
        <v>-12176.803900000001</v>
      </c>
      <c r="D1828" s="2">
        <v>-12178.468231000001</v>
      </c>
      <c r="F1828" s="3">
        <v>0.99357399999999996</v>
      </c>
      <c r="G1828" s="2">
        <v>0.17205999999999899</v>
      </c>
      <c r="H1828">
        <v>5</v>
      </c>
      <c r="I1828">
        <v>8</v>
      </c>
      <c r="J1828" s="32"/>
      <c r="K1828" s="8">
        <f t="shared" si="196"/>
        <v>-0.93190769230932347</v>
      </c>
      <c r="L1828" s="8">
        <f t="shared" si="197"/>
        <v>-7.1685207100717185E-2</v>
      </c>
      <c r="M1828" s="8">
        <f t="shared" si="198"/>
        <v>-1.0698385384621361</v>
      </c>
      <c r="N1828" s="8">
        <f t="shared" si="199"/>
        <v>-8.2295272189395086E-2</v>
      </c>
      <c r="O1828" s="8"/>
      <c r="P1828" t="s">
        <v>2114</v>
      </c>
      <c r="Q1828">
        <v>36</v>
      </c>
      <c r="R1828" s="8">
        <v>2.8355999999999999</v>
      </c>
      <c r="S1828">
        <v>14</v>
      </c>
      <c r="T1828" s="8">
        <f t="shared" si="200"/>
        <v>0.3888888888888889</v>
      </c>
      <c r="U1828" s="8">
        <v>2.84829</v>
      </c>
      <c r="V1828">
        <v>18</v>
      </c>
      <c r="W1828" s="8">
        <f t="shared" si="201"/>
        <v>0.5</v>
      </c>
      <c r="X1828" s="8">
        <v>2.8306800000000001</v>
      </c>
      <c r="Y1828">
        <v>4</v>
      </c>
      <c r="Z1828" s="8">
        <f t="shared" si="202"/>
        <v>0.1111111111111111</v>
      </c>
      <c r="AA1828" s="8">
        <v>2.8132999999999999</v>
      </c>
    </row>
    <row r="1829" spans="2:27" ht="15" customHeight="1" x14ac:dyDescent="0.25">
      <c r="B1829">
        <v>553</v>
      </c>
      <c r="C1829" s="8">
        <v>-12176.834999999999</v>
      </c>
      <c r="D1829" s="2">
        <v>-12178.530013</v>
      </c>
      <c r="F1829" s="3">
        <v>0.99673599999999996</v>
      </c>
      <c r="G1829" s="2">
        <v>0.19255</v>
      </c>
      <c r="H1829">
        <v>5</v>
      </c>
      <c r="I1829">
        <v>8</v>
      </c>
      <c r="J1829" s="32"/>
      <c r="K1829" s="8">
        <f t="shared" si="196"/>
        <v>-0.96300769230765582</v>
      </c>
      <c r="L1829" s="8">
        <f t="shared" si="197"/>
        <v>-7.4077514792896607E-2</v>
      </c>
      <c r="M1829" s="8">
        <f t="shared" si="198"/>
        <v>-1.131620538460993</v>
      </c>
      <c r="N1829" s="8">
        <f t="shared" si="199"/>
        <v>-8.7047733727768695E-2</v>
      </c>
      <c r="O1829" s="8"/>
      <c r="P1829" t="s">
        <v>2115</v>
      </c>
      <c r="Q1829">
        <v>35</v>
      </c>
      <c r="R1829" s="8">
        <v>2.8234499999999998</v>
      </c>
      <c r="S1829">
        <v>12</v>
      </c>
      <c r="T1829" s="8">
        <f t="shared" si="200"/>
        <v>0.34285714285714286</v>
      </c>
      <c r="U1829" s="8">
        <v>2.8455900000000001</v>
      </c>
      <c r="V1829">
        <v>19</v>
      </c>
      <c r="W1829" s="8">
        <f t="shared" si="201"/>
        <v>0.54285714285714282</v>
      </c>
      <c r="X1829" s="8">
        <v>2.8102499999999999</v>
      </c>
      <c r="Y1829">
        <v>4</v>
      </c>
      <c r="Z1829" s="8">
        <f t="shared" si="202"/>
        <v>0.11428571428571428</v>
      </c>
      <c r="AA1829" s="8">
        <v>2.8197399999999999</v>
      </c>
    </row>
    <row r="1830" spans="2:27" ht="15" customHeight="1" x14ac:dyDescent="0.25">
      <c r="B1830">
        <v>554</v>
      </c>
      <c r="C1830" s="8">
        <v>-12176.4367</v>
      </c>
      <c r="D1830" s="2">
        <v>-12178.098371</v>
      </c>
      <c r="F1830" s="3">
        <v>0.99659799999999998</v>
      </c>
      <c r="G1830" s="2">
        <v>0.19123000000000001</v>
      </c>
      <c r="H1830">
        <v>5</v>
      </c>
      <c r="I1830">
        <v>8</v>
      </c>
      <c r="J1830" s="32"/>
      <c r="K1830" s="8">
        <f t="shared" si="196"/>
        <v>-0.56470769230872975</v>
      </c>
      <c r="L1830" s="8">
        <f t="shared" si="197"/>
        <v>-4.3439053254517676E-2</v>
      </c>
      <c r="M1830" s="8">
        <f t="shared" si="198"/>
        <v>-0.69997853846143698</v>
      </c>
      <c r="N1830" s="8">
        <f t="shared" si="199"/>
        <v>-5.3844502958572078E-2</v>
      </c>
      <c r="O1830" s="8"/>
      <c r="P1830" t="s">
        <v>2116</v>
      </c>
      <c r="Q1830">
        <v>34</v>
      </c>
      <c r="R1830" s="8">
        <v>2.81684</v>
      </c>
      <c r="S1830">
        <v>15</v>
      </c>
      <c r="T1830" s="8">
        <f t="shared" si="200"/>
        <v>0.44117647058823528</v>
      </c>
      <c r="U1830" s="8">
        <v>2.8224300000000002</v>
      </c>
      <c r="V1830">
        <v>13</v>
      </c>
      <c r="W1830" s="8">
        <f t="shared" si="201"/>
        <v>0.38235294117647056</v>
      </c>
      <c r="X1830" s="8">
        <v>2.80023</v>
      </c>
      <c r="Y1830">
        <v>6</v>
      </c>
      <c r="Z1830" s="8">
        <f t="shared" si="202"/>
        <v>0.17647058823529413</v>
      </c>
      <c r="AA1830" s="8">
        <v>2.8388399999999998</v>
      </c>
    </row>
    <row r="1831" spans="2:27" ht="15" customHeight="1" x14ac:dyDescent="0.25">
      <c r="B1831">
        <v>555</v>
      </c>
      <c r="C1831" s="8">
        <v>-12176.8037</v>
      </c>
      <c r="D1831" s="2">
        <v>-12178.471922000001</v>
      </c>
      <c r="F1831" s="3">
        <v>0.99359500000000001</v>
      </c>
      <c r="G1831" s="2">
        <v>0.17219999999999999</v>
      </c>
      <c r="H1831">
        <v>5</v>
      </c>
      <c r="I1831">
        <v>8</v>
      </c>
      <c r="J1831" s="32"/>
      <c r="K1831" s="8">
        <f t="shared" si="196"/>
        <v>-0.93170769230891892</v>
      </c>
      <c r="L1831" s="8">
        <f t="shared" si="197"/>
        <v>-7.166982248530146E-2</v>
      </c>
      <c r="M1831" s="8">
        <f t="shared" si="198"/>
        <v>-1.0735295384620258</v>
      </c>
      <c r="N1831" s="8">
        <f t="shared" si="199"/>
        <v>-8.2579195266309677E-2</v>
      </c>
      <c r="O1831" s="8"/>
      <c r="P1831" t="s">
        <v>2117</v>
      </c>
      <c r="Q1831">
        <v>35</v>
      </c>
      <c r="R1831" s="8">
        <v>2.8291499999999998</v>
      </c>
      <c r="S1831">
        <v>12</v>
      </c>
      <c r="T1831" s="8">
        <f t="shared" si="200"/>
        <v>0.34285714285714286</v>
      </c>
      <c r="U1831" s="8">
        <v>2.84267</v>
      </c>
      <c r="V1831">
        <v>20</v>
      </c>
      <c r="W1831" s="8">
        <f t="shared" si="201"/>
        <v>0.5714285714285714</v>
      </c>
      <c r="X1831" s="8">
        <v>2.8190400000000002</v>
      </c>
      <c r="Y1831">
        <v>3</v>
      </c>
      <c r="Z1831" s="8">
        <f t="shared" si="202"/>
        <v>8.5714285714285715E-2</v>
      </c>
      <c r="AA1831" s="8">
        <v>2.8424200000000002</v>
      </c>
    </row>
    <row r="1832" spans="2:27" ht="15" customHeight="1" x14ac:dyDescent="0.25">
      <c r="B1832">
        <v>556</v>
      </c>
      <c r="C1832" s="8">
        <v>-12176.7045</v>
      </c>
      <c r="D1832" s="2">
        <v>-12178.398922</v>
      </c>
      <c r="F1832" s="3">
        <v>0.99502900000000005</v>
      </c>
      <c r="G1832" s="2">
        <v>0.17984</v>
      </c>
      <c r="H1832">
        <v>5</v>
      </c>
      <c r="I1832">
        <v>8</v>
      </c>
      <c r="J1832" s="32"/>
      <c r="K1832" s="8">
        <f t="shared" si="196"/>
        <v>-0.83250769230835431</v>
      </c>
      <c r="L1832" s="8">
        <f t="shared" si="197"/>
        <v>-6.403905325448879E-2</v>
      </c>
      <c r="M1832" s="8">
        <f t="shared" si="198"/>
        <v>-1.0005295384617057</v>
      </c>
      <c r="N1832" s="8">
        <f t="shared" si="199"/>
        <v>-7.6963810650900438E-2</v>
      </c>
      <c r="O1832" s="8"/>
      <c r="P1832" t="s">
        <v>2118</v>
      </c>
      <c r="Q1832">
        <v>35</v>
      </c>
      <c r="R1832" s="8">
        <v>2.8308900000000001</v>
      </c>
      <c r="S1832">
        <v>13</v>
      </c>
      <c r="T1832" s="8">
        <f t="shared" si="200"/>
        <v>0.37142857142857144</v>
      </c>
      <c r="U1832" s="8">
        <v>2.8745699999999998</v>
      </c>
      <c r="V1832">
        <v>19</v>
      </c>
      <c r="W1832" s="8">
        <f t="shared" si="201"/>
        <v>0.54285714285714282</v>
      </c>
      <c r="X1832" s="8">
        <v>2.8045399999999998</v>
      </c>
      <c r="Y1832">
        <v>3</v>
      </c>
      <c r="Z1832" s="8">
        <f t="shared" si="202"/>
        <v>8.5714285714285715E-2</v>
      </c>
      <c r="AA1832" s="8">
        <v>2.8085200000000001</v>
      </c>
    </row>
    <row r="1833" spans="2:27" ht="15" customHeight="1" x14ac:dyDescent="0.25">
      <c r="B1833">
        <v>557</v>
      </c>
      <c r="C1833" s="8">
        <v>-12176.812599999999</v>
      </c>
      <c r="D1833" s="2">
        <v>-12178.519452</v>
      </c>
      <c r="F1833" s="3">
        <v>0.994842</v>
      </c>
      <c r="G1833" s="2">
        <v>0.17874999999999999</v>
      </c>
      <c r="H1833">
        <v>5</v>
      </c>
      <c r="I1833">
        <v>8</v>
      </c>
      <c r="J1833" s="32"/>
      <c r="K1833" s="8">
        <f t="shared" si="196"/>
        <v>-0.94060769230782171</v>
      </c>
      <c r="L1833" s="8">
        <f t="shared" si="197"/>
        <v>-7.2354437869832436E-2</v>
      </c>
      <c r="M1833" s="8">
        <f t="shared" si="198"/>
        <v>-1.12105953846185</v>
      </c>
      <c r="N1833" s="8">
        <f t="shared" si="199"/>
        <v>-8.6235349112449997E-2</v>
      </c>
      <c r="O1833" s="8"/>
      <c r="P1833" t="s">
        <v>2119</v>
      </c>
      <c r="Q1833">
        <v>35</v>
      </c>
      <c r="R1833" s="8">
        <v>2.8310900000000001</v>
      </c>
      <c r="S1833">
        <v>13</v>
      </c>
      <c r="T1833" s="8">
        <f t="shared" si="200"/>
        <v>0.37142857142857144</v>
      </c>
      <c r="U1833" s="8">
        <v>2.89737</v>
      </c>
      <c r="V1833">
        <v>20</v>
      </c>
      <c r="W1833" s="8">
        <f t="shared" si="201"/>
        <v>0.5714285714285714</v>
      </c>
      <c r="X1833" s="8">
        <v>2.7921800000000001</v>
      </c>
      <c r="Y1833">
        <v>2</v>
      </c>
      <c r="Z1833" s="8">
        <f t="shared" si="202"/>
        <v>5.7142857142857141E-2</v>
      </c>
      <c r="AA1833" s="8">
        <v>2.7894899999999998</v>
      </c>
    </row>
    <row r="1834" spans="2:27" ht="15" customHeight="1" x14ac:dyDescent="0.25">
      <c r="B1834">
        <v>558</v>
      </c>
      <c r="C1834" s="8">
        <v>-12176.577600000001</v>
      </c>
      <c r="D1834" s="2">
        <v>-12178.365245999999</v>
      </c>
      <c r="F1834" s="3">
        <v>0.99620799999999998</v>
      </c>
      <c r="G1834" s="2">
        <v>0.18797</v>
      </c>
      <c r="H1834">
        <v>5</v>
      </c>
      <c r="I1834">
        <v>8</v>
      </c>
      <c r="J1834" s="32"/>
      <c r="K1834" s="8">
        <f t="shared" si="196"/>
        <v>-0.70560769230905862</v>
      </c>
      <c r="L1834" s="8">
        <f t="shared" si="197"/>
        <v>-5.4277514793004508E-2</v>
      </c>
      <c r="M1834" s="8">
        <f t="shared" si="198"/>
        <v>-0.96685353846078215</v>
      </c>
      <c r="N1834" s="8">
        <f t="shared" si="199"/>
        <v>-7.4373349112367856E-2</v>
      </c>
      <c r="O1834" s="8"/>
      <c r="P1834" t="s">
        <v>2120</v>
      </c>
      <c r="Q1834">
        <v>35</v>
      </c>
      <c r="R1834" s="8">
        <v>2.8235399999999999</v>
      </c>
      <c r="S1834">
        <v>13</v>
      </c>
      <c r="T1834" s="8">
        <f t="shared" si="200"/>
        <v>0.37142857142857144</v>
      </c>
      <c r="U1834" s="8">
        <v>2.8291400000000002</v>
      </c>
      <c r="V1834">
        <v>19</v>
      </c>
      <c r="W1834" s="8">
        <f t="shared" si="201"/>
        <v>0.54285714285714282</v>
      </c>
      <c r="X1834" s="8">
        <v>2.8100900000000002</v>
      </c>
      <c r="Y1834">
        <v>3</v>
      </c>
      <c r="Z1834" s="8">
        <f t="shared" si="202"/>
        <v>8.5714285714285715E-2</v>
      </c>
      <c r="AA1834" s="8">
        <v>2.8844599999999998</v>
      </c>
    </row>
    <row r="1835" spans="2:27" ht="15" customHeight="1" x14ac:dyDescent="0.25">
      <c r="B1835">
        <v>559</v>
      </c>
      <c r="C1835" s="8">
        <v>-12176.884899999999</v>
      </c>
      <c r="D1835" s="2">
        <v>-12178.740671</v>
      </c>
      <c r="F1835" s="3">
        <v>0.99365499999999995</v>
      </c>
      <c r="G1835" s="2">
        <v>0.172509999999999</v>
      </c>
      <c r="H1835">
        <v>5</v>
      </c>
      <c r="I1835">
        <v>8</v>
      </c>
      <c r="J1835" s="32"/>
      <c r="K1835" s="8">
        <f t="shared" si="196"/>
        <v>-1.0129076923076354</v>
      </c>
      <c r="L1835" s="8">
        <f t="shared" si="197"/>
        <v>-7.7915976331356579E-2</v>
      </c>
      <c r="M1835" s="8">
        <f t="shared" si="198"/>
        <v>-1.3422785384609597</v>
      </c>
      <c r="N1835" s="8">
        <f t="shared" si="199"/>
        <v>-0.10325219526622767</v>
      </c>
      <c r="O1835" s="8"/>
      <c r="P1835" t="s">
        <v>2121</v>
      </c>
      <c r="Q1835">
        <v>35</v>
      </c>
      <c r="R1835" s="8">
        <v>2.8250999999999999</v>
      </c>
      <c r="S1835">
        <v>12</v>
      </c>
      <c r="T1835" s="8">
        <f t="shared" si="200"/>
        <v>0.34285714285714286</v>
      </c>
      <c r="U1835" s="8">
        <v>2.8428499999999999</v>
      </c>
      <c r="V1835">
        <v>19</v>
      </c>
      <c r="W1835" s="8">
        <f t="shared" si="201"/>
        <v>0.54285714285714282</v>
      </c>
      <c r="X1835" s="8">
        <v>2.8113999999999999</v>
      </c>
      <c r="Y1835">
        <v>4</v>
      </c>
      <c r="Z1835" s="8">
        <f t="shared" si="202"/>
        <v>0.11428571428571428</v>
      </c>
      <c r="AA1835" s="8">
        <v>2.83691</v>
      </c>
    </row>
    <row r="1836" spans="2:27" ht="15" customHeight="1" x14ac:dyDescent="0.25">
      <c r="B1836">
        <v>560</v>
      </c>
      <c r="C1836" s="8">
        <v>-12176.634899999999</v>
      </c>
      <c r="D1836" s="2">
        <v>-12178.316343</v>
      </c>
      <c r="F1836" s="3">
        <v>0.996035</v>
      </c>
      <c r="G1836" s="2">
        <v>0.18667</v>
      </c>
      <c r="H1836">
        <v>5</v>
      </c>
      <c r="I1836">
        <v>8</v>
      </c>
      <c r="J1836" s="32"/>
      <c r="K1836" s="8">
        <f t="shared" si="196"/>
        <v>-0.76290769230763544</v>
      </c>
      <c r="L1836" s="8">
        <f t="shared" si="197"/>
        <v>-5.868520710058734E-2</v>
      </c>
      <c r="M1836" s="8">
        <f t="shared" si="198"/>
        <v>-0.91795053846180963</v>
      </c>
      <c r="N1836" s="8">
        <f t="shared" si="199"/>
        <v>-7.0611579881677669E-2</v>
      </c>
      <c r="O1836" s="8"/>
      <c r="P1836" t="s">
        <v>2122</v>
      </c>
      <c r="Q1836">
        <v>35</v>
      </c>
      <c r="R1836" s="8">
        <v>2.8253599999999999</v>
      </c>
      <c r="S1836">
        <v>14</v>
      </c>
      <c r="T1836" s="8">
        <f t="shared" si="200"/>
        <v>0.4</v>
      </c>
      <c r="U1836" s="8">
        <v>2.8473799999999998</v>
      </c>
      <c r="V1836">
        <v>17</v>
      </c>
      <c r="W1836" s="8">
        <f t="shared" si="201"/>
        <v>0.48571428571428571</v>
      </c>
      <c r="X1836" s="8">
        <v>2.7940700000000001</v>
      </c>
      <c r="Y1836">
        <v>4</v>
      </c>
      <c r="Z1836" s="8">
        <f t="shared" si="202"/>
        <v>0.11428571428571428</v>
      </c>
      <c r="AA1836" s="8">
        <v>2.8812700000000002</v>
      </c>
    </row>
    <row r="1837" spans="2:27" ht="15" customHeight="1" x14ac:dyDescent="0.25">
      <c r="B1837">
        <v>561</v>
      </c>
      <c r="C1837" s="8">
        <v>-12176.8316</v>
      </c>
      <c r="D1837" s="2">
        <v>-12178.505096999999</v>
      </c>
      <c r="F1837" s="3">
        <v>0.99553999999999998</v>
      </c>
      <c r="G1837" s="2">
        <v>0.18304999999999999</v>
      </c>
      <c r="H1837">
        <v>5</v>
      </c>
      <c r="I1837">
        <v>8</v>
      </c>
      <c r="J1837" s="32"/>
      <c r="K1837" s="8">
        <f t="shared" si="196"/>
        <v>-0.95960769230805454</v>
      </c>
      <c r="L1837" s="8">
        <f t="shared" si="197"/>
        <v>-7.3815976331388811E-2</v>
      </c>
      <c r="M1837" s="8">
        <f t="shared" si="198"/>
        <v>-1.1067045384606899</v>
      </c>
      <c r="N1837" s="8">
        <f t="shared" si="199"/>
        <v>-8.5131118343130002E-2</v>
      </c>
      <c r="O1837" s="8"/>
      <c r="P1837" t="s">
        <v>2123</v>
      </c>
      <c r="Q1837">
        <v>35</v>
      </c>
      <c r="R1837" s="8">
        <v>2.82646</v>
      </c>
      <c r="S1837">
        <v>13</v>
      </c>
      <c r="T1837" s="8">
        <f t="shared" si="200"/>
        <v>0.37142857142857144</v>
      </c>
      <c r="U1837" s="8">
        <v>2.85744</v>
      </c>
      <c r="V1837">
        <v>19</v>
      </c>
      <c r="W1837" s="8">
        <f t="shared" si="201"/>
        <v>0.54285714285714282</v>
      </c>
      <c r="X1837" s="8">
        <v>2.8039299999999998</v>
      </c>
      <c r="Y1837">
        <v>3</v>
      </c>
      <c r="Z1837" s="8">
        <f t="shared" si="202"/>
        <v>8.5714285714285715E-2</v>
      </c>
      <c r="AA1837" s="8">
        <v>2.8348599999999999</v>
      </c>
    </row>
    <row r="1838" spans="2:27" ht="15" customHeight="1" x14ac:dyDescent="0.25">
      <c r="B1838">
        <v>562</v>
      </c>
      <c r="C1838" s="8">
        <v>-12176.810100000001</v>
      </c>
      <c r="D1838" s="2">
        <v>-12178.500567999999</v>
      </c>
      <c r="F1838" s="3">
        <v>0.99582999999999999</v>
      </c>
      <c r="G1838" s="2">
        <v>0.18512999999999999</v>
      </c>
      <c r="H1838">
        <v>5</v>
      </c>
      <c r="I1838">
        <v>8</v>
      </c>
      <c r="J1838" s="32"/>
      <c r="K1838" s="8">
        <f t="shared" si="196"/>
        <v>-0.93810769230913138</v>
      </c>
      <c r="L1838" s="8">
        <f t="shared" si="197"/>
        <v>-7.2162130177625489E-2</v>
      </c>
      <c r="M1838" s="8">
        <f t="shared" si="198"/>
        <v>-1.1021755384608696</v>
      </c>
      <c r="N1838" s="8">
        <f t="shared" si="199"/>
        <v>-8.4782733727759199E-2</v>
      </c>
      <c r="O1838" s="8"/>
      <c r="P1838" t="s">
        <v>2124</v>
      </c>
      <c r="Q1838">
        <v>35</v>
      </c>
      <c r="R1838" s="8">
        <v>2.82647</v>
      </c>
      <c r="S1838">
        <v>12</v>
      </c>
      <c r="T1838" s="8">
        <f t="shared" si="200"/>
        <v>0.34285714285714286</v>
      </c>
      <c r="U1838" s="8">
        <v>2.8467699999999998</v>
      </c>
      <c r="V1838">
        <v>20</v>
      </c>
      <c r="W1838" s="8">
        <f t="shared" si="201"/>
        <v>0.5714285714285714</v>
      </c>
      <c r="X1838" s="8">
        <v>2.7948</v>
      </c>
      <c r="Y1838">
        <v>3</v>
      </c>
      <c r="Z1838" s="8">
        <f t="shared" si="202"/>
        <v>8.5714285714285715E-2</v>
      </c>
      <c r="AA1838" s="8">
        <v>2.9563799999999998</v>
      </c>
    </row>
    <row r="1839" spans="2:27" ht="15" customHeight="1" x14ac:dyDescent="0.25">
      <c r="B1839">
        <v>563</v>
      </c>
      <c r="C1839" s="8">
        <v>-12176.745500000001</v>
      </c>
      <c r="D1839" s="2">
        <v>-12178.396846</v>
      </c>
      <c r="F1839" s="3">
        <v>0.99680899999999995</v>
      </c>
      <c r="G1839" s="2">
        <v>0.19314000000000001</v>
      </c>
      <c r="H1839">
        <v>5</v>
      </c>
      <c r="I1839">
        <v>8</v>
      </c>
      <c r="J1839" s="32"/>
      <c r="K1839" s="8">
        <f t="shared" si="196"/>
        <v>-0.87350769230943115</v>
      </c>
      <c r="L1839" s="8">
        <f t="shared" si="197"/>
        <v>-6.7192899408417786E-2</v>
      </c>
      <c r="M1839" s="8">
        <f t="shared" si="198"/>
        <v>-0.99845353846103535</v>
      </c>
      <c r="N1839" s="8">
        <f t="shared" si="199"/>
        <v>-7.6804118343156563E-2</v>
      </c>
      <c r="O1839" s="8"/>
      <c r="P1839" t="s">
        <v>2125</v>
      </c>
      <c r="Q1839">
        <v>35</v>
      </c>
      <c r="R1839" s="8">
        <v>2.82586</v>
      </c>
      <c r="S1839">
        <v>14</v>
      </c>
      <c r="T1839" s="8">
        <f t="shared" si="200"/>
        <v>0.4</v>
      </c>
      <c r="U1839" s="8">
        <v>2.851</v>
      </c>
      <c r="V1839">
        <v>17</v>
      </c>
      <c r="W1839" s="8">
        <f t="shared" si="201"/>
        <v>0.48571428571428571</v>
      </c>
      <c r="X1839" s="8">
        <v>2.8071799999999998</v>
      </c>
      <c r="Y1839">
        <v>4</v>
      </c>
      <c r="Z1839" s="8">
        <f t="shared" si="202"/>
        <v>0.11428571428571428</v>
      </c>
      <c r="AA1839" s="8">
        <v>2.8172899999999998</v>
      </c>
    </row>
    <row r="1840" spans="2:27" ht="15" customHeight="1" x14ac:dyDescent="0.25">
      <c r="B1840">
        <v>564</v>
      </c>
      <c r="C1840" s="8">
        <v>-12176.656300000001</v>
      </c>
      <c r="D1840" s="2">
        <v>-12178.354366</v>
      </c>
      <c r="F1840" s="3">
        <v>0.99710100000000002</v>
      </c>
      <c r="G1840" s="2">
        <v>0.19605999999999901</v>
      </c>
      <c r="H1840">
        <v>5</v>
      </c>
      <c r="I1840">
        <v>8</v>
      </c>
      <c r="J1840" s="32"/>
      <c r="K1840" s="8">
        <f t="shared" si="196"/>
        <v>-0.78430769230908481</v>
      </c>
      <c r="L1840" s="8">
        <f t="shared" si="197"/>
        <v>-6.033136094685268E-2</v>
      </c>
      <c r="M1840" s="8">
        <f t="shared" si="198"/>
        <v>-0.95597353846096667</v>
      </c>
      <c r="N1840" s="8">
        <f t="shared" si="199"/>
        <v>-7.3536426035458971E-2</v>
      </c>
      <c r="O1840" s="8"/>
      <c r="P1840" t="s">
        <v>2126</v>
      </c>
      <c r="Q1840">
        <v>36</v>
      </c>
      <c r="R1840" s="8">
        <v>2.83589</v>
      </c>
      <c r="S1840">
        <v>15</v>
      </c>
      <c r="T1840" s="8">
        <f t="shared" si="200"/>
        <v>0.41666666666666669</v>
      </c>
      <c r="U1840" s="8">
        <v>2.86435</v>
      </c>
      <c r="V1840">
        <v>18</v>
      </c>
      <c r="W1840" s="8">
        <f t="shared" si="201"/>
        <v>0.5</v>
      </c>
      <c r="X1840" s="8">
        <v>2.79644</v>
      </c>
      <c r="Y1840">
        <v>3</v>
      </c>
      <c r="Z1840" s="8">
        <f t="shared" si="202"/>
        <v>8.3333333333333329E-2</v>
      </c>
      <c r="AA1840" s="8">
        <v>2.93032</v>
      </c>
    </row>
    <row r="1841" spans="2:27" ht="15" customHeight="1" x14ac:dyDescent="0.25">
      <c r="B1841">
        <v>565</v>
      </c>
      <c r="C1841" s="8">
        <v>-12176.6728</v>
      </c>
      <c r="D1841" s="2">
        <v>-12178.565801999999</v>
      </c>
      <c r="F1841" s="3">
        <v>0.99510200000000004</v>
      </c>
      <c r="G1841" s="2">
        <v>0.18028999999999901</v>
      </c>
      <c r="H1841">
        <v>5</v>
      </c>
      <c r="I1841">
        <v>8</v>
      </c>
      <c r="J1841" s="32"/>
      <c r="K1841" s="8">
        <f t="shared" si="196"/>
        <v>-0.80080769230880833</v>
      </c>
      <c r="L1841" s="8">
        <f t="shared" si="197"/>
        <v>-6.1600591716062178E-2</v>
      </c>
      <c r="M1841" s="8">
        <f t="shared" si="198"/>
        <v>-1.1674095384605607</v>
      </c>
      <c r="N1841" s="8">
        <f t="shared" si="199"/>
        <v>-8.9800733727735435E-2</v>
      </c>
      <c r="O1841" s="8"/>
      <c r="P1841" t="s">
        <v>2127</v>
      </c>
      <c r="Q1841">
        <v>36</v>
      </c>
      <c r="R1841" s="8">
        <v>2.8359100000000002</v>
      </c>
      <c r="S1841">
        <v>14</v>
      </c>
      <c r="T1841" s="8">
        <f t="shared" si="200"/>
        <v>0.3888888888888889</v>
      </c>
      <c r="U1841" s="8">
        <v>2.8679999999999999</v>
      </c>
      <c r="V1841">
        <v>18</v>
      </c>
      <c r="W1841" s="8">
        <f t="shared" si="201"/>
        <v>0.5</v>
      </c>
      <c r="X1841" s="8">
        <v>2.81813</v>
      </c>
      <c r="Y1841">
        <v>4</v>
      </c>
      <c r="Z1841" s="8">
        <f t="shared" si="202"/>
        <v>0.1111111111111111</v>
      </c>
      <c r="AA1841" s="8">
        <v>2.80362</v>
      </c>
    </row>
    <row r="1842" spans="2:27" ht="15" customHeight="1" x14ac:dyDescent="0.25">
      <c r="B1842">
        <v>566</v>
      </c>
      <c r="C1842" s="8">
        <v>-12176.829299999999</v>
      </c>
      <c r="D1842" s="2">
        <v>-12178.270984999999</v>
      </c>
      <c r="F1842" s="3">
        <v>0.99600599999999995</v>
      </c>
      <c r="G1842" s="2">
        <v>0.18651000000000001</v>
      </c>
      <c r="H1842">
        <v>5</v>
      </c>
      <c r="I1842">
        <v>8</v>
      </c>
      <c r="J1842" s="32"/>
      <c r="K1842" s="8">
        <f t="shared" si="196"/>
        <v>-0.95730769230794976</v>
      </c>
      <c r="L1842" s="8">
        <f t="shared" si="197"/>
        <v>-7.3639053254457673E-2</v>
      </c>
      <c r="M1842" s="8">
        <f t="shared" si="198"/>
        <v>-0.87259253846059437</v>
      </c>
      <c r="N1842" s="8">
        <f t="shared" si="199"/>
        <v>-6.712250295850726E-2</v>
      </c>
      <c r="O1842" s="8"/>
      <c r="P1842" t="s">
        <v>2128</v>
      </c>
      <c r="Q1842">
        <v>36</v>
      </c>
      <c r="R1842" s="8">
        <v>2.8346399999999998</v>
      </c>
      <c r="S1842">
        <v>13</v>
      </c>
      <c r="T1842" s="8">
        <f t="shared" si="200"/>
        <v>0.3611111111111111</v>
      </c>
      <c r="U1842" s="8">
        <v>2.8677199999999998</v>
      </c>
      <c r="V1842">
        <v>20</v>
      </c>
      <c r="W1842" s="8">
        <f t="shared" si="201"/>
        <v>0.55555555555555558</v>
      </c>
      <c r="X1842" s="8">
        <v>2.8210600000000001</v>
      </c>
      <c r="Y1842">
        <v>3</v>
      </c>
      <c r="Z1842" s="8">
        <f t="shared" si="202"/>
        <v>8.3333333333333329E-2</v>
      </c>
      <c r="AA1842" s="8">
        <v>2.7818100000000001</v>
      </c>
    </row>
    <row r="1843" spans="2:27" ht="15" customHeight="1" x14ac:dyDescent="0.25">
      <c r="B1843">
        <v>567</v>
      </c>
      <c r="C1843" s="8">
        <v>-12176.5569</v>
      </c>
      <c r="D1843" s="2">
        <v>-12178.248822</v>
      </c>
      <c r="F1843" s="3">
        <v>0.99554299999999996</v>
      </c>
      <c r="G1843" s="2">
        <v>0.18306</v>
      </c>
      <c r="H1843">
        <v>5</v>
      </c>
      <c r="I1843">
        <v>8</v>
      </c>
      <c r="J1843" s="32"/>
      <c r="K1843" s="8">
        <f t="shared" si="196"/>
        <v>-0.68490769230811566</v>
      </c>
      <c r="L1843" s="8">
        <f t="shared" si="197"/>
        <v>-5.2685207100624284E-2</v>
      </c>
      <c r="M1843" s="8">
        <f t="shared" si="198"/>
        <v>-0.8504295384609577</v>
      </c>
      <c r="N1843" s="8">
        <f t="shared" si="199"/>
        <v>-6.5417656804689056E-2</v>
      </c>
      <c r="O1843" s="8"/>
      <c r="P1843" t="s">
        <v>2129</v>
      </c>
      <c r="Q1843">
        <v>35</v>
      </c>
      <c r="R1843" s="8">
        <v>2.83046</v>
      </c>
      <c r="S1843">
        <v>13</v>
      </c>
      <c r="T1843" s="8">
        <f t="shared" si="200"/>
        <v>0.37142857142857144</v>
      </c>
      <c r="U1843" s="8">
        <v>2.8366600000000002</v>
      </c>
      <c r="V1843">
        <v>19</v>
      </c>
      <c r="W1843" s="8">
        <f t="shared" si="201"/>
        <v>0.54285714285714282</v>
      </c>
      <c r="X1843" s="8">
        <v>2.8193999999999999</v>
      </c>
      <c r="Y1843">
        <v>3</v>
      </c>
      <c r="Z1843" s="8">
        <f t="shared" si="202"/>
        <v>8.5714285714285715E-2</v>
      </c>
      <c r="AA1843" s="8">
        <v>2.8736799999999998</v>
      </c>
    </row>
    <row r="1844" spans="2:27" ht="15" customHeight="1" x14ac:dyDescent="0.25">
      <c r="B1844">
        <v>568</v>
      </c>
      <c r="C1844" s="8">
        <v>-12176.662899999999</v>
      </c>
      <c r="D1844" s="2">
        <v>-12178.429464999999</v>
      </c>
      <c r="F1844" s="3">
        <v>0.99468699999999999</v>
      </c>
      <c r="G1844" s="2">
        <v>0.17785000000000001</v>
      </c>
      <c r="H1844">
        <v>5</v>
      </c>
      <c r="I1844">
        <v>8</v>
      </c>
      <c r="J1844" s="32"/>
      <c r="K1844" s="8">
        <f t="shared" si="196"/>
        <v>-0.79090769230788283</v>
      </c>
      <c r="L1844" s="8">
        <f t="shared" si="197"/>
        <v>-6.0839053254452526E-2</v>
      </c>
      <c r="M1844" s="8">
        <f t="shared" si="198"/>
        <v>-1.0310725384606485</v>
      </c>
      <c r="N1844" s="8">
        <f t="shared" si="199"/>
        <v>-7.9313272189280651E-2</v>
      </c>
      <c r="O1844" s="8"/>
      <c r="P1844" t="s">
        <v>2130</v>
      </c>
      <c r="Q1844">
        <v>34</v>
      </c>
      <c r="R1844" s="8">
        <v>2.8128500000000001</v>
      </c>
      <c r="S1844">
        <v>12</v>
      </c>
      <c r="T1844" s="8">
        <f t="shared" si="200"/>
        <v>0.35294117647058826</v>
      </c>
      <c r="U1844" s="8">
        <v>2.8335599999999999</v>
      </c>
      <c r="V1844">
        <v>21</v>
      </c>
      <c r="W1844" s="8">
        <f t="shared" si="201"/>
        <v>0.61764705882352944</v>
      </c>
      <c r="X1844" s="8">
        <v>2.8020700000000001</v>
      </c>
      <c r="Y1844">
        <v>1</v>
      </c>
      <c r="Z1844" s="8">
        <f t="shared" si="202"/>
        <v>2.9411764705882353E-2</v>
      </c>
      <c r="AA1844" s="8">
        <v>2.7906599999999999</v>
      </c>
    </row>
    <row r="1845" spans="2:27" ht="15" customHeight="1" x14ac:dyDescent="0.25">
      <c r="B1845">
        <v>569</v>
      </c>
      <c r="C1845" s="8">
        <v>-12176.818799999999</v>
      </c>
      <c r="D1845" s="2">
        <v>-12178.229561</v>
      </c>
      <c r="F1845" s="3">
        <v>0.99790699999999999</v>
      </c>
      <c r="G1845" s="2">
        <v>0.20494999999999999</v>
      </c>
      <c r="H1845">
        <v>5</v>
      </c>
      <c r="I1845">
        <v>8</v>
      </c>
      <c r="J1845" s="32"/>
      <c r="K1845" s="8">
        <f t="shared" si="196"/>
        <v>-0.94680769230762962</v>
      </c>
      <c r="L1845" s="8">
        <f t="shared" si="197"/>
        <v>-7.2831360946740739E-2</v>
      </c>
      <c r="M1845" s="8">
        <f t="shared" si="198"/>
        <v>-0.83116853846149752</v>
      </c>
      <c r="N1845" s="8">
        <f t="shared" si="199"/>
        <v>-6.3936041420115192E-2</v>
      </c>
      <c r="O1845" s="8"/>
      <c r="P1845" t="s">
        <v>2131</v>
      </c>
      <c r="Q1845">
        <v>36</v>
      </c>
      <c r="R1845" s="8">
        <v>2.8337400000000001</v>
      </c>
      <c r="S1845">
        <v>13</v>
      </c>
      <c r="T1845" s="8">
        <f t="shared" si="200"/>
        <v>0.3611111111111111</v>
      </c>
      <c r="U1845" s="8">
        <v>2.8458199999999998</v>
      </c>
      <c r="V1845">
        <v>17</v>
      </c>
      <c r="W1845" s="8">
        <f t="shared" si="201"/>
        <v>0.47222222222222221</v>
      </c>
      <c r="X1845" s="8">
        <v>2.8301599999999998</v>
      </c>
      <c r="Y1845">
        <v>6</v>
      </c>
      <c r="Z1845" s="8">
        <f t="shared" si="202"/>
        <v>0.16666666666666666</v>
      </c>
      <c r="AA1845" s="8">
        <v>2.8177099999999999</v>
      </c>
    </row>
    <row r="1846" spans="2:27" ht="15" customHeight="1" x14ac:dyDescent="0.25">
      <c r="B1846">
        <v>570</v>
      </c>
      <c r="C1846" s="8">
        <v>-12176.6376</v>
      </c>
      <c r="D1846" s="2">
        <v>-12178.088734999999</v>
      </c>
      <c r="F1846" s="3">
        <v>0.99717699999999998</v>
      </c>
      <c r="G1846" s="2">
        <v>0.19692999999999999</v>
      </c>
      <c r="H1846">
        <v>5</v>
      </c>
      <c r="I1846">
        <v>8</v>
      </c>
      <c r="J1846" s="32"/>
      <c r="K1846" s="8">
        <f t="shared" si="196"/>
        <v>-0.7656076923085493</v>
      </c>
      <c r="L1846" s="8">
        <f t="shared" si="197"/>
        <v>-5.889289940834995E-2</v>
      </c>
      <c r="M1846" s="8">
        <f t="shared" si="198"/>
        <v>-0.69034253846075444</v>
      </c>
      <c r="N1846" s="8">
        <f t="shared" si="199"/>
        <v>-5.31032721892888E-2</v>
      </c>
      <c r="O1846" s="8"/>
      <c r="P1846" t="s">
        <v>2132</v>
      </c>
      <c r="Q1846">
        <v>35</v>
      </c>
      <c r="R1846" s="8">
        <v>2.8293300000000001</v>
      </c>
      <c r="S1846">
        <v>15</v>
      </c>
      <c r="T1846" s="8">
        <f t="shared" si="200"/>
        <v>0.42857142857142855</v>
      </c>
      <c r="U1846" s="8">
        <v>2.8475799999999998</v>
      </c>
      <c r="V1846">
        <v>15</v>
      </c>
      <c r="W1846" s="8">
        <f t="shared" si="201"/>
        <v>0.42857142857142855</v>
      </c>
      <c r="X1846" s="8">
        <v>2.82084</v>
      </c>
      <c r="Y1846">
        <v>5</v>
      </c>
      <c r="Z1846" s="8">
        <f t="shared" si="202"/>
        <v>0.14285714285714285</v>
      </c>
      <c r="AA1846" s="8">
        <v>2.8000400000000001</v>
      </c>
    </row>
    <row r="1847" spans="2:27" ht="15" customHeight="1" x14ac:dyDescent="0.25">
      <c r="B1847">
        <v>571</v>
      </c>
      <c r="C1847" s="8">
        <v>-12176.759599999999</v>
      </c>
      <c r="D1847" s="2">
        <v>-12178.215577999999</v>
      </c>
      <c r="F1847" s="3">
        <v>0.996027</v>
      </c>
      <c r="G1847" s="2">
        <v>0.18659000000000001</v>
      </c>
      <c r="H1847">
        <v>5</v>
      </c>
      <c r="I1847">
        <v>8</v>
      </c>
      <c r="J1847" s="32"/>
      <c r="K1847" s="8">
        <f t="shared" si="196"/>
        <v>-0.88760769230793812</v>
      </c>
      <c r="L1847" s="8">
        <f t="shared" si="197"/>
        <v>-6.8277514792918312E-2</v>
      </c>
      <c r="M1847" s="8">
        <f t="shared" si="198"/>
        <v>-0.81718553846076247</v>
      </c>
      <c r="N1847" s="8">
        <f t="shared" si="199"/>
        <v>-6.286042603544327E-2</v>
      </c>
      <c r="O1847" s="8"/>
      <c r="P1847" t="s">
        <v>2133</v>
      </c>
      <c r="Q1847">
        <v>35</v>
      </c>
      <c r="R1847" s="8">
        <v>2.8266100000000001</v>
      </c>
      <c r="S1847">
        <v>14</v>
      </c>
      <c r="T1847" s="8">
        <f t="shared" si="200"/>
        <v>0.4</v>
      </c>
      <c r="U1847" s="8">
        <v>2.8469500000000001</v>
      </c>
      <c r="V1847">
        <v>16</v>
      </c>
      <c r="W1847" s="8">
        <f t="shared" si="201"/>
        <v>0.45714285714285713</v>
      </c>
      <c r="X1847" s="8">
        <v>2.8071000000000002</v>
      </c>
      <c r="Y1847">
        <v>5</v>
      </c>
      <c r="Z1847" s="8">
        <f t="shared" si="202"/>
        <v>0.14285714285714285</v>
      </c>
      <c r="AA1847" s="8">
        <v>2.8321299999999998</v>
      </c>
    </row>
    <row r="1848" spans="2:27" ht="15" customHeight="1" x14ac:dyDescent="0.25">
      <c r="B1848">
        <v>572</v>
      </c>
      <c r="C1848" s="8">
        <v>-12176.601699999999</v>
      </c>
      <c r="D1848" s="2">
        <v>-12178.077696</v>
      </c>
      <c r="F1848" s="3">
        <v>0.99552399999999996</v>
      </c>
      <c r="G1848" s="2">
        <v>0.18301000000000001</v>
      </c>
      <c r="H1848">
        <v>5</v>
      </c>
      <c r="I1848">
        <v>8</v>
      </c>
      <c r="J1848" s="32"/>
      <c r="K1848" s="8">
        <f t="shared" si="196"/>
        <v>-0.72970769230778387</v>
      </c>
      <c r="L1848" s="8">
        <f t="shared" si="197"/>
        <v>-5.6131360946752605E-2</v>
      </c>
      <c r="M1848" s="8">
        <f t="shared" si="198"/>
        <v>-0.67930353846168146</v>
      </c>
      <c r="N1848" s="8">
        <f t="shared" si="199"/>
        <v>-5.2254118343206264E-2</v>
      </c>
      <c r="O1848" s="8"/>
      <c r="P1848" t="s">
        <v>2134</v>
      </c>
      <c r="Q1848">
        <v>34</v>
      </c>
      <c r="R1848" s="8">
        <v>2.82056</v>
      </c>
      <c r="S1848">
        <v>16</v>
      </c>
      <c r="T1848" s="8">
        <f t="shared" si="200"/>
        <v>0.47058823529411764</v>
      </c>
      <c r="U1848" s="8">
        <v>2.8528799999999999</v>
      </c>
      <c r="V1848">
        <v>13</v>
      </c>
      <c r="W1848" s="8">
        <f t="shared" si="201"/>
        <v>0.38235294117647056</v>
      </c>
      <c r="X1848" s="8">
        <v>2.7949000000000002</v>
      </c>
      <c r="Y1848">
        <v>5</v>
      </c>
      <c r="Z1848" s="8">
        <f t="shared" si="202"/>
        <v>0.14705882352941177</v>
      </c>
      <c r="AA1848" s="8">
        <v>2.7838500000000002</v>
      </c>
    </row>
    <row r="1849" spans="2:27" ht="15" customHeight="1" x14ac:dyDescent="0.25">
      <c r="B1849" s="7">
        <v>573</v>
      </c>
      <c r="C1849" s="8">
        <v>-12176.751472</v>
      </c>
      <c r="D1849" s="2">
        <v>-12178.359630999999</v>
      </c>
      <c r="F1849" s="3">
        <v>0.99676799999999999</v>
      </c>
      <c r="G1849" s="2">
        <v>0.19288999999999901</v>
      </c>
      <c r="H1849">
        <v>5</v>
      </c>
      <c r="I1849">
        <v>8</v>
      </c>
      <c r="J1849" s="32"/>
      <c r="K1849" s="8">
        <f t="shared" si="196"/>
        <v>-0.87947969230845047</v>
      </c>
      <c r="L1849" s="8">
        <f t="shared" si="197"/>
        <v>-6.7652284023726958E-2</v>
      </c>
      <c r="M1849" s="8">
        <f t="shared" si="198"/>
        <v>-0.9612385384607478</v>
      </c>
      <c r="N1849" s="8">
        <f t="shared" si="199"/>
        <v>-7.394142603544214E-2</v>
      </c>
      <c r="O1849" s="8"/>
      <c r="P1849" t="s">
        <v>2135</v>
      </c>
      <c r="Q1849">
        <v>36</v>
      </c>
      <c r="R1849" s="8">
        <v>2.8318099999999999</v>
      </c>
      <c r="S1849">
        <v>14</v>
      </c>
      <c r="T1849" s="8">
        <f t="shared" si="200"/>
        <v>0.3888888888888889</v>
      </c>
      <c r="U1849" s="8">
        <v>2.84802</v>
      </c>
      <c r="V1849">
        <v>17</v>
      </c>
      <c r="W1849" s="8">
        <f t="shared" si="201"/>
        <v>0.47222222222222221</v>
      </c>
      <c r="X1849" s="8">
        <v>2.82918</v>
      </c>
      <c r="Y1849">
        <v>5</v>
      </c>
      <c r="Z1849" s="8">
        <f t="shared" si="202"/>
        <v>0.1388888888888889</v>
      </c>
      <c r="AA1849" s="8">
        <v>2.7953700000000001</v>
      </c>
    </row>
    <row r="1850" spans="2:27" ht="15" customHeight="1" x14ac:dyDescent="0.25">
      <c r="B1850">
        <v>574</v>
      </c>
      <c r="C1850" s="8">
        <v>-12176.8441</v>
      </c>
      <c r="D1850" s="2">
        <v>-12178.432548999999</v>
      </c>
      <c r="F1850" s="3">
        <v>0.99479600000000001</v>
      </c>
      <c r="G1850" s="2">
        <v>0.178449999999999</v>
      </c>
      <c r="H1850">
        <v>5</v>
      </c>
      <c r="I1850">
        <v>8</v>
      </c>
      <c r="J1850" s="32"/>
      <c r="K1850" s="8">
        <f t="shared" si="196"/>
        <v>-0.97210769230878213</v>
      </c>
      <c r="L1850" s="8">
        <f t="shared" si="197"/>
        <v>-7.4777514792983238E-2</v>
      </c>
      <c r="M1850" s="8">
        <f t="shared" si="198"/>
        <v>-1.0341565384605929</v>
      </c>
      <c r="N1850" s="8">
        <f t="shared" si="199"/>
        <v>-7.9550502958507144E-2</v>
      </c>
      <c r="O1850" s="8"/>
      <c r="P1850" t="s">
        <v>2136</v>
      </c>
      <c r="Q1850">
        <v>35</v>
      </c>
      <c r="R1850" s="8">
        <v>2.82456</v>
      </c>
      <c r="S1850">
        <v>13</v>
      </c>
      <c r="T1850" s="8">
        <f t="shared" si="200"/>
        <v>0.37142857142857144</v>
      </c>
      <c r="U1850" s="8">
        <v>2.83928</v>
      </c>
      <c r="V1850">
        <v>18</v>
      </c>
      <c r="W1850" s="8">
        <f t="shared" si="201"/>
        <v>0.51428571428571423</v>
      </c>
      <c r="X1850" s="8">
        <v>2.81623</v>
      </c>
      <c r="Y1850">
        <v>4</v>
      </c>
      <c r="Z1850" s="8">
        <f t="shared" si="202"/>
        <v>0.11428571428571428</v>
      </c>
      <c r="AA1850" s="8">
        <v>2.8141500000000002</v>
      </c>
    </row>
    <row r="1851" spans="2:27" ht="15" customHeight="1" x14ac:dyDescent="0.25">
      <c r="B1851">
        <v>575</v>
      </c>
      <c r="C1851" s="8">
        <v>-12176.6351</v>
      </c>
      <c r="D1851" s="2">
        <v>-12178.28657</v>
      </c>
      <c r="F1851" s="3">
        <v>0.996753</v>
      </c>
      <c r="G1851" s="2">
        <v>0.19264999999999999</v>
      </c>
      <c r="H1851">
        <v>5</v>
      </c>
      <c r="I1851">
        <v>8</v>
      </c>
      <c r="J1851" s="32"/>
      <c r="K1851" s="8">
        <f t="shared" si="196"/>
        <v>-0.76310769230803999</v>
      </c>
      <c r="L1851" s="8">
        <f t="shared" si="197"/>
        <v>-5.8700591716003073E-2</v>
      </c>
      <c r="M1851" s="8">
        <f t="shared" si="198"/>
        <v>-0.88817753846160485</v>
      </c>
      <c r="N1851" s="8">
        <f t="shared" si="199"/>
        <v>-6.8321349112431137E-2</v>
      </c>
      <c r="O1851" s="8"/>
      <c r="P1851" t="s">
        <v>2137</v>
      </c>
      <c r="Q1851">
        <v>34</v>
      </c>
      <c r="R1851" s="8">
        <v>2.82097</v>
      </c>
      <c r="S1851">
        <v>15</v>
      </c>
      <c r="T1851" s="8">
        <f t="shared" si="200"/>
        <v>0.44117647058823528</v>
      </c>
      <c r="U1851" s="8">
        <v>2.85771</v>
      </c>
      <c r="V1851">
        <v>16</v>
      </c>
      <c r="W1851" s="8">
        <f t="shared" si="201"/>
        <v>0.47058823529411764</v>
      </c>
      <c r="X1851" s="8">
        <v>2.7842699999999998</v>
      </c>
      <c r="Y1851">
        <v>3</v>
      </c>
      <c r="Z1851" s="8">
        <f t="shared" si="202"/>
        <v>8.8235294117647065E-2</v>
      </c>
      <c r="AA1851" s="8">
        <v>2.8330199999999999</v>
      </c>
    </row>
    <row r="1852" spans="2:27" ht="15" customHeight="1" x14ac:dyDescent="0.25">
      <c r="B1852">
        <v>576</v>
      </c>
      <c r="C1852" s="8">
        <v>-12176.7129</v>
      </c>
      <c r="D1852" s="2">
        <v>-12178.389880000001</v>
      </c>
      <c r="F1852" s="3">
        <v>0.99762099999999998</v>
      </c>
      <c r="G1852" s="2">
        <v>0.20144999999999899</v>
      </c>
      <c r="H1852">
        <v>5</v>
      </c>
      <c r="I1852">
        <v>8</v>
      </c>
      <c r="J1852" s="32"/>
      <c r="K1852" s="8">
        <f t="shared" si="196"/>
        <v>-0.84090769230897422</v>
      </c>
      <c r="L1852" s="8">
        <f t="shared" si="197"/>
        <v>-6.4685207100690326E-2</v>
      </c>
      <c r="M1852" s="8">
        <f t="shared" si="198"/>
        <v>-0.99148753846202453</v>
      </c>
      <c r="N1852" s="8">
        <f t="shared" si="199"/>
        <v>-7.6268272189386505E-2</v>
      </c>
      <c r="O1852" s="8"/>
      <c r="P1852" t="s">
        <v>2138</v>
      </c>
      <c r="Q1852">
        <v>34</v>
      </c>
      <c r="R1852" s="8">
        <v>2.8191199999999998</v>
      </c>
      <c r="S1852">
        <v>13</v>
      </c>
      <c r="T1852" s="8">
        <f t="shared" si="200"/>
        <v>0.38235294117647056</v>
      </c>
      <c r="U1852" s="8">
        <v>2.8509099999999998</v>
      </c>
      <c r="V1852">
        <v>18</v>
      </c>
      <c r="W1852" s="8">
        <f t="shared" si="201"/>
        <v>0.52941176470588236</v>
      </c>
      <c r="X1852" s="8">
        <v>2.8045900000000001</v>
      </c>
      <c r="Y1852">
        <v>3</v>
      </c>
      <c r="Z1852" s="8">
        <f t="shared" si="202"/>
        <v>8.8235294117647065E-2</v>
      </c>
      <c r="AA1852" s="8">
        <v>2.7684799999999998</v>
      </c>
    </row>
    <row r="1853" spans="2:27" ht="15" customHeight="1" x14ac:dyDescent="0.25">
      <c r="B1853">
        <v>577</v>
      </c>
      <c r="C1853" s="8">
        <v>-12176.7952</v>
      </c>
      <c r="D1853" s="2">
        <v>-12178.224275</v>
      </c>
      <c r="F1853" s="3">
        <v>0.99543599999999999</v>
      </c>
      <c r="G1853" s="2">
        <v>0.18225999999999901</v>
      </c>
      <c r="H1853">
        <v>5</v>
      </c>
      <c r="I1853">
        <v>8</v>
      </c>
      <c r="J1853" s="32"/>
      <c r="K1853" s="8">
        <f t="shared" si="196"/>
        <v>-0.92320769230900623</v>
      </c>
      <c r="L1853" s="8">
        <f t="shared" si="197"/>
        <v>-7.1015976331462019E-2</v>
      </c>
      <c r="M1853" s="8">
        <f t="shared" si="198"/>
        <v>-0.82588253846188309</v>
      </c>
      <c r="N1853" s="8">
        <f t="shared" si="199"/>
        <v>-6.3529426035529468E-2</v>
      </c>
      <c r="O1853" s="8"/>
      <c r="P1853" t="s">
        <v>2139</v>
      </c>
      <c r="Q1853">
        <v>36</v>
      </c>
      <c r="R1853" s="8">
        <v>2.8409</v>
      </c>
      <c r="S1853">
        <v>14</v>
      </c>
      <c r="T1853" s="8">
        <f t="shared" si="200"/>
        <v>0.3888888888888889</v>
      </c>
      <c r="U1853" s="8">
        <v>2.8689800000000001</v>
      </c>
      <c r="V1853">
        <v>19</v>
      </c>
      <c r="W1853" s="8">
        <f t="shared" si="201"/>
        <v>0.52777777777777779</v>
      </c>
      <c r="X1853" s="8">
        <v>2.83893</v>
      </c>
      <c r="Y1853">
        <v>3</v>
      </c>
      <c r="Z1853" s="8">
        <f t="shared" si="202"/>
        <v>8.3333333333333329E-2</v>
      </c>
      <c r="AA1853" s="8">
        <v>2.7223000000000002</v>
      </c>
    </row>
    <row r="1854" spans="2:27" ht="15" customHeight="1" x14ac:dyDescent="0.25">
      <c r="B1854">
        <v>578</v>
      </c>
      <c r="C1854" s="8">
        <v>-12176.459500000001</v>
      </c>
      <c r="D1854" s="2">
        <v>-12178.569680000001</v>
      </c>
      <c r="F1854" s="3">
        <v>0.99559600000000004</v>
      </c>
      <c r="G1854" s="2">
        <v>0.18340999999999999</v>
      </c>
      <c r="H1854">
        <v>5</v>
      </c>
      <c r="I1854">
        <v>8</v>
      </c>
      <c r="J1854" s="32"/>
      <c r="K1854" s="8">
        <f t="shared" si="196"/>
        <v>-0.58750769230937294</v>
      </c>
      <c r="L1854" s="8">
        <f t="shared" si="197"/>
        <v>-4.5192899408413305E-2</v>
      </c>
      <c r="M1854" s="8">
        <f t="shared" si="198"/>
        <v>-1.171287538461911</v>
      </c>
      <c r="N1854" s="8">
        <f t="shared" si="199"/>
        <v>-9.0099041420147005E-2</v>
      </c>
      <c r="O1854" s="8"/>
      <c r="P1854" t="s">
        <v>2140</v>
      </c>
      <c r="Q1854">
        <v>35</v>
      </c>
      <c r="R1854" s="8">
        <v>2.82586</v>
      </c>
      <c r="S1854">
        <v>13</v>
      </c>
      <c r="T1854" s="8">
        <f t="shared" si="200"/>
        <v>0.37142857142857144</v>
      </c>
      <c r="U1854" s="8">
        <v>2.8769</v>
      </c>
      <c r="V1854">
        <v>19</v>
      </c>
      <c r="W1854" s="8">
        <f t="shared" si="201"/>
        <v>0.54285714285714282</v>
      </c>
      <c r="X1854" s="8">
        <v>2.7821799999999999</v>
      </c>
      <c r="Y1854">
        <v>3</v>
      </c>
      <c r="Z1854" s="8">
        <f t="shared" si="202"/>
        <v>8.5714285714285715E-2</v>
      </c>
      <c r="AA1854" s="8">
        <v>2.8813900000000001</v>
      </c>
    </row>
    <row r="1855" spans="2:27" ht="15" customHeight="1" x14ac:dyDescent="0.25">
      <c r="B1855" s="7">
        <v>579</v>
      </c>
      <c r="C1855" s="8">
        <v>-12176.183219</v>
      </c>
      <c r="D1855" s="2">
        <v>-12177.663782</v>
      </c>
      <c r="F1855" s="3">
        <v>0.99331000000000003</v>
      </c>
      <c r="G1855" s="2">
        <v>0.17050999999999999</v>
      </c>
      <c r="H1855">
        <v>5</v>
      </c>
      <c r="I1855">
        <v>8</v>
      </c>
      <c r="J1855" s="32"/>
      <c r="K1855" s="8">
        <f t="shared" si="196"/>
        <v>-0.31122669230899191</v>
      </c>
      <c r="L1855" s="8">
        <f t="shared" si="197"/>
        <v>-2.3940514792999378E-2</v>
      </c>
      <c r="M1855" s="8">
        <f t="shared" si="198"/>
        <v>-0.26538953846102231</v>
      </c>
      <c r="N1855" s="8">
        <f t="shared" si="199"/>
        <v>-2.0414579881617101E-2</v>
      </c>
      <c r="O1855" s="8"/>
      <c r="P1855" t="s">
        <v>2141</v>
      </c>
      <c r="Q1855">
        <v>36</v>
      </c>
      <c r="R1855" s="8">
        <v>2.8340100000000001</v>
      </c>
      <c r="S1855">
        <v>16</v>
      </c>
      <c r="T1855" s="8">
        <f t="shared" si="200"/>
        <v>0.44444444444444442</v>
      </c>
      <c r="U1855" s="8">
        <v>2.8693599999999999</v>
      </c>
      <c r="V1855">
        <v>16</v>
      </c>
      <c r="W1855" s="8">
        <f t="shared" si="201"/>
        <v>0.44444444444444442</v>
      </c>
      <c r="X1855" s="8">
        <v>2.7851300000000001</v>
      </c>
      <c r="Y1855">
        <v>4</v>
      </c>
      <c r="Z1855" s="8">
        <f t="shared" si="202"/>
        <v>0.1111111111111111</v>
      </c>
      <c r="AA1855" s="8">
        <v>2.8881100000000002</v>
      </c>
    </row>
    <row r="1856" spans="2:27" ht="15" customHeight="1" x14ac:dyDescent="0.25">
      <c r="B1856">
        <v>580</v>
      </c>
      <c r="C1856" s="8">
        <v>-12176.542799999999</v>
      </c>
      <c r="D1856" s="2">
        <v>-12178.468935000001</v>
      </c>
      <c r="F1856" s="3">
        <v>0.99215500000000001</v>
      </c>
      <c r="G1856" s="2">
        <v>0.16613</v>
      </c>
      <c r="H1856">
        <v>5</v>
      </c>
      <c r="I1856">
        <v>8</v>
      </c>
      <c r="J1856" s="32"/>
      <c r="K1856" s="8">
        <f t="shared" si="196"/>
        <v>-0.67080769230778969</v>
      </c>
      <c r="L1856" s="8">
        <f t="shared" si="197"/>
        <v>-5.1600591715983822E-2</v>
      </c>
      <c r="M1856" s="8">
        <f t="shared" si="198"/>
        <v>-1.0705425384621776</v>
      </c>
      <c r="N1856" s="8">
        <f t="shared" si="199"/>
        <v>-8.234942603555212E-2</v>
      </c>
      <c r="O1856" s="8"/>
      <c r="P1856" t="s">
        <v>2142</v>
      </c>
      <c r="Q1856">
        <v>36</v>
      </c>
      <c r="R1856" s="8">
        <v>2.8342900000000002</v>
      </c>
      <c r="S1856">
        <v>13</v>
      </c>
      <c r="T1856" s="8">
        <f t="shared" si="200"/>
        <v>0.3611111111111111</v>
      </c>
      <c r="U1856" s="8">
        <v>2.84836</v>
      </c>
      <c r="V1856">
        <v>19</v>
      </c>
      <c r="W1856" s="8">
        <f t="shared" si="201"/>
        <v>0.52777777777777779</v>
      </c>
      <c r="X1856" s="8">
        <v>2.8256999999999999</v>
      </c>
      <c r="Y1856">
        <v>4</v>
      </c>
      <c r="Z1856" s="8">
        <f t="shared" si="202"/>
        <v>0.1111111111111111</v>
      </c>
      <c r="AA1856" s="8">
        <v>2.8293599999999999</v>
      </c>
    </row>
    <row r="1857" spans="1:27" ht="15" customHeight="1" x14ac:dyDescent="0.25">
      <c r="B1857">
        <v>581</v>
      </c>
      <c r="C1857" s="8">
        <v>-12176.572099999999</v>
      </c>
      <c r="D1857" s="2">
        <v>-12178.592607</v>
      </c>
      <c r="F1857" s="3">
        <v>0.99120399999999997</v>
      </c>
      <c r="G1857" s="2">
        <v>0.16266999999999901</v>
      </c>
      <c r="H1857">
        <v>5</v>
      </c>
      <c r="I1857">
        <v>8</v>
      </c>
      <c r="J1857" s="32"/>
      <c r="K1857" s="8">
        <f t="shared" si="196"/>
        <v>-0.70010769230793812</v>
      </c>
      <c r="L1857" s="8">
        <f t="shared" si="197"/>
        <v>-5.3854437869841391E-2</v>
      </c>
      <c r="M1857" s="8">
        <f t="shared" si="198"/>
        <v>-1.1942145384618925</v>
      </c>
      <c r="N1857" s="8">
        <f t="shared" si="199"/>
        <v>-9.1862656804760967E-2</v>
      </c>
      <c r="O1857" s="8"/>
      <c r="P1857" t="s">
        <v>2143</v>
      </c>
      <c r="Q1857">
        <v>35</v>
      </c>
      <c r="R1857" s="8">
        <v>2.8242699999999998</v>
      </c>
      <c r="S1857">
        <v>12</v>
      </c>
      <c r="T1857" s="8">
        <f t="shared" si="200"/>
        <v>0.34285714285714286</v>
      </c>
      <c r="U1857" s="8">
        <v>2.8250199999999999</v>
      </c>
      <c r="V1857">
        <v>19</v>
      </c>
      <c r="W1857" s="8">
        <f t="shared" si="201"/>
        <v>0.54285714285714282</v>
      </c>
      <c r="X1857" s="8">
        <v>2.8278400000000001</v>
      </c>
      <c r="Y1857">
        <v>4</v>
      </c>
      <c r="Z1857" s="8">
        <f t="shared" si="202"/>
        <v>0.11428571428571428</v>
      </c>
      <c r="AA1857" s="8">
        <v>2.8050600000000001</v>
      </c>
    </row>
    <row r="1858" spans="1:27" ht="15" customHeight="1" x14ac:dyDescent="0.25">
      <c r="B1858">
        <v>582</v>
      </c>
      <c r="C1858" s="8">
        <v>-12176.671700000001</v>
      </c>
      <c r="D1858" s="2">
        <v>-12178.464203</v>
      </c>
      <c r="F1858" s="3">
        <v>0.99395</v>
      </c>
      <c r="G1858" s="2">
        <v>0.1739</v>
      </c>
      <c r="H1858">
        <v>5</v>
      </c>
      <c r="I1858">
        <v>8</v>
      </c>
      <c r="J1858" s="32"/>
      <c r="K1858" s="8">
        <f t="shared" si="196"/>
        <v>-0.79970769230931182</v>
      </c>
      <c r="L1858" s="8">
        <f t="shared" si="197"/>
        <v>-6.1515976331485527E-2</v>
      </c>
      <c r="M1858" s="8">
        <f t="shared" si="198"/>
        <v>-1.0658105384609371</v>
      </c>
      <c r="N1858" s="8">
        <f t="shared" si="199"/>
        <v>-8.1985426035456693E-2</v>
      </c>
      <c r="O1858" s="8"/>
      <c r="P1858" t="s">
        <v>2144</v>
      </c>
      <c r="Q1858">
        <v>35</v>
      </c>
      <c r="R1858" s="8">
        <v>2.8275000000000001</v>
      </c>
      <c r="S1858">
        <v>12</v>
      </c>
      <c r="T1858" s="8">
        <f t="shared" si="200"/>
        <v>0.34285714285714286</v>
      </c>
      <c r="U1858" s="8">
        <v>2.8961100000000002</v>
      </c>
      <c r="V1858">
        <v>21</v>
      </c>
      <c r="W1858" s="8">
        <f t="shared" si="201"/>
        <v>0.6</v>
      </c>
      <c r="X1858" s="8">
        <v>2.77963</v>
      </c>
      <c r="Y1858">
        <v>2</v>
      </c>
      <c r="Z1858" s="8">
        <f t="shared" si="202"/>
        <v>5.7142857142857141E-2</v>
      </c>
      <c r="AA1858" s="8">
        <v>2.9184600000000001</v>
      </c>
    </row>
    <row r="1859" spans="1:27" ht="15" customHeight="1" x14ac:dyDescent="0.25">
      <c r="A1859" s="48" t="s">
        <v>2145</v>
      </c>
      <c r="B1859" s="7">
        <v>583</v>
      </c>
      <c r="C1859" s="8">
        <v>-12176.212208999999</v>
      </c>
      <c r="D1859" s="2">
        <v>-12178.157298</v>
      </c>
      <c r="F1859" s="3">
        <v>0.989429</v>
      </c>
      <c r="G1859" s="2">
        <v>0.157029999999999</v>
      </c>
      <c r="H1859">
        <v>5</v>
      </c>
      <c r="I1859">
        <v>8</v>
      </c>
      <c r="J1859" s="32"/>
      <c r="K1859" s="8">
        <f t="shared" ref="K1859:K1922" si="203">IF(ISNUMBER(C1859),C1859-(($C$3-$C$2236)/($H$3-$H$2236)*H1859+$C$2236),"")</f>
        <v>-0.34021669230787666</v>
      </c>
      <c r="L1859" s="8">
        <f t="shared" ref="L1859:L1922" si="204">IF(ISNUMBER(C1859),K1859/(H1859+I1859),"")</f>
        <v>-2.6170514792913588E-2</v>
      </c>
      <c r="M1859" s="8">
        <f t="shared" ref="M1859:M1922" si="205">IF(ISNUMBER(D1859),D1859-(($D$3-$D$2236)/($H$3-$H$2236)*H1859+$D$2236),"")</f>
        <v>-0.75890553846147668</v>
      </c>
      <c r="N1859" s="8">
        <f t="shared" ref="N1859:N1922" si="206">IF(ISNUMBER(D1859),M1859/(H1859+I1859),"")</f>
        <v>-5.8377349112421283E-2</v>
      </c>
      <c r="O1859" s="8"/>
      <c r="P1859" t="s">
        <v>2146</v>
      </c>
      <c r="Q1859">
        <v>36</v>
      </c>
      <c r="R1859" s="8">
        <v>2.8339699999999999</v>
      </c>
      <c r="S1859">
        <v>16</v>
      </c>
      <c r="T1859" s="8">
        <f t="shared" ref="T1859:T1922" si="207">IF(ISNUMBER(S1859),S1859/(Q1859),"")</f>
        <v>0.44444444444444442</v>
      </c>
      <c r="U1859" s="8">
        <v>2.8584900000000002</v>
      </c>
      <c r="V1859">
        <v>15</v>
      </c>
      <c r="W1859" s="8">
        <f t="shared" ref="W1859:W1922" si="208">IF(ISNUMBER(V1859),V1859/($Q1859),"")</f>
        <v>0.41666666666666669</v>
      </c>
      <c r="X1859" s="8">
        <v>2.8085900000000001</v>
      </c>
      <c r="Y1859">
        <v>5</v>
      </c>
      <c r="Z1859" s="8">
        <f t="shared" ref="Z1859:Z1922" si="209">IF(ISNUMBER(Y1859),Y1859/($Q1859),"")</f>
        <v>0.1388888888888889</v>
      </c>
      <c r="AA1859" s="8">
        <v>2.8316400000000002</v>
      </c>
    </row>
    <row r="1860" spans="1:27" ht="15" customHeight="1" x14ac:dyDescent="0.25">
      <c r="B1860">
        <v>584</v>
      </c>
      <c r="C1860" s="8">
        <v>-12176.4696</v>
      </c>
      <c r="D1860" s="2">
        <v>-12178.584773</v>
      </c>
      <c r="F1860" s="3">
        <v>0.99120600000000003</v>
      </c>
      <c r="G1860" s="2">
        <v>0.16267999999999899</v>
      </c>
      <c r="H1860">
        <v>5</v>
      </c>
      <c r="I1860">
        <v>8</v>
      </c>
      <c r="J1860" s="32"/>
      <c r="K1860" s="8">
        <f t="shared" si="203"/>
        <v>-0.597607692308884</v>
      </c>
      <c r="L1860" s="8">
        <f t="shared" si="204"/>
        <v>-4.5969822485298767E-2</v>
      </c>
      <c r="M1860" s="8">
        <f t="shared" si="205"/>
        <v>-1.18638053846189</v>
      </c>
      <c r="N1860" s="8">
        <f t="shared" si="206"/>
        <v>-9.1260041420145377E-2</v>
      </c>
      <c r="O1860" s="8"/>
      <c r="P1860" t="s">
        <v>2147</v>
      </c>
      <c r="Q1860">
        <v>36</v>
      </c>
      <c r="R1860" s="8">
        <v>2.8370299999999999</v>
      </c>
      <c r="S1860">
        <v>14</v>
      </c>
      <c r="T1860" s="8">
        <f t="shared" si="207"/>
        <v>0.3888888888888889</v>
      </c>
      <c r="U1860" s="8">
        <v>2.8790499999999999</v>
      </c>
      <c r="V1860">
        <v>19</v>
      </c>
      <c r="W1860" s="8">
        <f t="shared" si="208"/>
        <v>0.52777777777777779</v>
      </c>
      <c r="X1860" s="8">
        <v>2.7953399999999999</v>
      </c>
      <c r="Y1860">
        <v>3</v>
      </c>
      <c r="Z1860" s="8">
        <f t="shared" si="209"/>
        <v>8.3333333333333329E-2</v>
      </c>
      <c r="AA1860" s="8">
        <v>2.90496</v>
      </c>
    </row>
    <row r="1861" spans="1:27" ht="15" customHeight="1" x14ac:dyDescent="0.25">
      <c r="B1861">
        <v>585</v>
      </c>
      <c r="C1861" s="8">
        <v>-12176.6751</v>
      </c>
      <c r="D1861" s="2">
        <v>-12178.745295000001</v>
      </c>
      <c r="F1861" s="3">
        <v>0.999054</v>
      </c>
      <c r="G1861" s="2">
        <v>0.22928999999999999</v>
      </c>
      <c r="H1861">
        <v>5</v>
      </c>
      <c r="I1861">
        <v>8</v>
      </c>
      <c r="J1861" s="32"/>
      <c r="K1861" s="8">
        <f t="shared" si="203"/>
        <v>-0.8031076923089131</v>
      </c>
      <c r="L1861" s="8">
        <f t="shared" si="204"/>
        <v>-6.1777514792993315E-2</v>
      </c>
      <c r="M1861" s="8">
        <f t="shared" si="205"/>
        <v>-1.3469025384620181</v>
      </c>
      <c r="N1861" s="8">
        <f t="shared" si="206"/>
        <v>-0.1036078875740014</v>
      </c>
      <c r="O1861" s="8"/>
      <c r="P1861" t="s">
        <v>2148</v>
      </c>
      <c r="Q1861">
        <v>36</v>
      </c>
      <c r="R1861" s="8">
        <v>2.8341099999999999</v>
      </c>
      <c r="S1861">
        <v>12</v>
      </c>
      <c r="T1861" s="8">
        <f t="shared" si="207"/>
        <v>0.33333333333333331</v>
      </c>
      <c r="U1861" s="8">
        <v>2.8500399999999999</v>
      </c>
      <c r="V1861">
        <v>21</v>
      </c>
      <c r="W1861" s="8">
        <f t="shared" si="208"/>
        <v>0.58333333333333337</v>
      </c>
      <c r="X1861" s="8">
        <v>2.82</v>
      </c>
      <c r="Y1861">
        <v>3</v>
      </c>
      <c r="Z1861" s="8">
        <f t="shared" si="209"/>
        <v>8.3333333333333329E-2</v>
      </c>
      <c r="AA1861" s="8">
        <v>2.8692099999999998</v>
      </c>
    </row>
    <row r="1862" spans="1:27" ht="15" customHeight="1" x14ac:dyDescent="0.25">
      <c r="B1862">
        <v>586</v>
      </c>
      <c r="C1862" s="8">
        <v>-12176.7696</v>
      </c>
      <c r="D1862" s="2">
        <v>-12178.868807000001</v>
      </c>
      <c r="F1862" s="3">
        <v>0.99800699999999998</v>
      </c>
      <c r="G1862" s="2">
        <v>0.20744000000000001</v>
      </c>
      <c r="H1862">
        <v>5</v>
      </c>
      <c r="I1862">
        <v>8</v>
      </c>
      <c r="J1862" s="32"/>
      <c r="K1862" s="8">
        <f t="shared" si="203"/>
        <v>-0.8976076923081564</v>
      </c>
      <c r="L1862" s="8">
        <f t="shared" si="204"/>
        <v>-6.9046745562165876E-2</v>
      </c>
      <c r="M1862" s="8">
        <f t="shared" si="205"/>
        <v>-1.470414538462137</v>
      </c>
      <c r="N1862" s="8">
        <f t="shared" si="206"/>
        <v>-0.11310881065093362</v>
      </c>
      <c r="O1862" s="8"/>
      <c r="P1862" t="s">
        <v>2149</v>
      </c>
      <c r="Q1862">
        <v>36</v>
      </c>
      <c r="R1862" s="8">
        <v>2.83507</v>
      </c>
      <c r="S1862">
        <v>12</v>
      </c>
      <c r="T1862" s="8">
        <f t="shared" si="207"/>
        <v>0.33333333333333331</v>
      </c>
      <c r="U1862" s="8">
        <v>2.8613599999999999</v>
      </c>
      <c r="V1862">
        <v>21</v>
      </c>
      <c r="W1862" s="8">
        <f t="shared" si="208"/>
        <v>0.58333333333333337</v>
      </c>
      <c r="X1862" s="8">
        <v>2.81603</v>
      </c>
      <c r="Y1862">
        <v>3</v>
      </c>
      <c r="Z1862" s="8">
        <f t="shared" si="209"/>
        <v>8.3333333333333329E-2</v>
      </c>
      <c r="AA1862" s="8">
        <v>2.8632300000000002</v>
      </c>
    </row>
    <row r="1863" spans="1:27" ht="15" customHeight="1" x14ac:dyDescent="0.25">
      <c r="B1863">
        <v>587</v>
      </c>
      <c r="C1863" s="8">
        <v>-12176.440199999999</v>
      </c>
      <c r="D1863" s="2">
        <v>-12178.176326000001</v>
      </c>
      <c r="F1863" s="3">
        <v>0.99010100000000001</v>
      </c>
      <c r="G1863" s="2">
        <v>0.15909999999999999</v>
      </c>
      <c r="H1863">
        <v>5</v>
      </c>
      <c r="I1863">
        <v>8</v>
      </c>
      <c r="J1863" s="32"/>
      <c r="K1863" s="8">
        <f t="shared" si="203"/>
        <v>-0.5682076923076238</v>
      </c>
      <c r="L1863" s="8">
        <f t="shared" si="204"/>
        <v>-4.370828402366337E-2</v>
      </c>
      <c r="M1863" s="8">
        <f t="shared" si="205"/>
        <v>-0.77793353846209357</v>
      </c>
      <c r="N1863" s="8">
        <f t="shared" si="206"/>
        <v>-5.9841041420161042E-2</v>
      </c>
      <c r="O1863" s="8"/>
      <c r="P1863" t="s">
        <v>2150</v>
      </c>
      <c r="Q1863">
        <v>36</v>
      </c>
      <c r="R1863" s="8">
        <v>2.8355600000000001</v>
      </c>
      <c r="S1863">
        <v>15</v>
      </c>
      <c r="T1863" s="8">
        <f t="shared" si="207"/>
        <v>0.41666666666666669</v>
      </c>
      <c r="U1863" s="8">
        <v>2.86429</v>
      </c>
      <c r="V1863">
        <v>17</v>
      </c>
      <c r="W1863" s="8">
        <f t="shared" si="208"/>
        <v>0.47222222222222221</v>
      </c>
      <c r="X1863" s="8">
        <v>2.8020999999999998</v>
      </c>
      <c r="Y1863">
        <v>4</v>
      </c>
      <c r="Z1863" s="8">
        <f t="shared" si="209"/>
        <v>0.1111111111111111</v>
      </c>
      <c r="AA1863" s="8">
        <v>2.8700399999999999</v>
      </c>
    </row>
    <row r="1864" spans="1:27" ht="15" customHeight="1" x14ac:dyDescent="0.25">
      <c r="B1864">
        <v>588</v>
      </c>
      <c r="C1864" s="8">
        <v>-12176.4475</v>
      </c>
      <c r="D1864" s="2">
        <v>-12178.201942</v>
      </c>
      <c r="F1864" s="3">
        <v>0.99394800000000005</v>
      </c>
      <c r="G1864" s="2">
        <v>0.17391000000000001</v>
      </c>
      <c r="H1864">
        <v>5</v>
      </c>
      <c r="I1864">
        <v>8</v>
      </c>
      <c r="J1864" s="32"/>
      <c r="K1864" s="8">
        <f t="shared" si="203"/>
        <v>-0.57550769230874721</v>
      </c>
      <c r="L1864" s="8">
        <f t="shared" si="204"/>
        <v>-4.4269822485288247E-2</v>
      </c>
      <c r="M1864" s="8">
        <f t="shared" si="205"/>
        <v>-0.80354953846108401</v>
      </c>
      <c r="N1864" s="8">
        <f t="shared" si="206"/>
        <v>-6.1811502958544921E-2</v>
      </c>
      <c r="O1864" s="8"/>
      <c r="P1864" t="s">
        <v>2151</v>
      </c>
      <c r="Q1864">
        <v>36</v>
      </c>
      <c r="R1864" s="8">
        <v>2.8368600000000002</v>
      </c>
      <c r="S1864">
        <v>15</v>
      </c>
      <c r="T1864" s="8">
        <f t="shared" si="207"/>
        <v>0.41666666666666669</v>
      </c>
      <c r="U1864" s="8">
        <v>2.863</v>
      </c>
      <c r="V1864">
        <v>17</v>
      </c>
      <c r="W1864" s="8">
        <f t="shared" si="208"/>
        <v>0.47222222222222221</v>
      </c>
      <c r="X1864" s="8">
        <v>2.8024</v>
      </c>
      <c r="Y1864">
        <v>4</v>
      </c>
      <c r="Z1864" s="8">
        <f t="shared" si="209"/>
        <v>0.1111111111111111</v>
      </c>
      <c r="AA1864" s="8">
        <v>2.88524</v>
      </c>
    </row>
    <row r="1865" spans="1:27" ht="15" customHeight="1" x14ac:dyDescent="0.25">
      <c r="B1865">
        <v>589</v>
      </c>
      <c r="C1865" s="8">
        <v>-12176.8238</v>
      </c>
      <c r="D1865" s="2">
        <v>-12178.538423</v>
      </c>
      <c r="F1865" s="3">
        <v>0.99774099999999999</v>
      </c>
      <c r="G1865" s="2">
        <v>0.20363000000000001</v>
      </c>
      <c r="H1865">
        <v>5</v>
      </c>
      <c r="I1865">
        <v>8</v>
      </c>
      <c r="J1865" s="32"/>
      <c r="K1865" s="8">
        <f t="shared" si="203"/>
        <v>-0.95180769230864826</v>
      </c>
      <c r="L1865" s="8">
        <f t="shared" si="204"/>
        <v>-7.3215976331434479E-2</v>
      </c>
      <c r="M1865" s="8">
        <f t="shared" si="205"/>
        <v>-1.1400305384613603</v>
      </c>
      <c r="N1865" s="8">
        <f t="shared" si="206"/>
        <v>-8.7694656804720023E-2</v>
      </c>
      <c r="O1865" s="8"/>
      <c r="P1865" t="s">
        <v>2152</v>
      </c>
      <c r="Q1865">
        <v>36</v>
      </c>
      <c r="R1865" s="8">
        <v>2.83399</v>
      </c>
      <c r="S1865">
        <v>12</v>
      </c>
      <c r="T1865" s="8">
        <f t="shared" si="207"/>
        <v>0.33333333333333331</v>
      </c>
      <c r="U1865" s="8">
        <v>2.8505799999999999</v>
      </c>
      <c r="V1865">
        <v>21</v>
      </c>
      <c r="W1865" s="8">
        <f t="shared" si="208"/>
        <v>0.58333333333333337</v>
      </c>
      <c r="X1865" s="8">
        <v>2.8243800000000001</v>
      </c>
      <c r="Y1865">
        <v>3</v>
      </c>
      <c r="Z1865" s="8">
        <f t="shared" si="209"/>
        <v>8.3333333333333329E-2</v>
      </c>
      <c r="AA1865" s="8">
        <v>2.8348599999999999</v>
      </c>
    </row>
    <row r="1866" spans="1:27" ht="15" customHeight="1" x14ac:dyDescent="0.25">
      <c r="B1866">
        <v>590</v>
      </c>
      <c r="C1866" s="8">
        <v>-12176.3675</v>
      </c>
      <c r="D1866" s="2">
        <v>-12178.145119999999</v>
      </c>
      <c r="F1866" s="3">
        <v>0.99563999999999997</v>
      </c>
      <c r="G1866" s="2">
        <v>0.18378</v>
      </c>
      <c r="H1866">
        <v>5</v>
      </c>
      <c r="I1866">
        <v>8</v>
      </c>
      <c r="J1866" s="32"/>
      <c r="K1866" s="8">
        <f t="shared" si="203"/>
        <v>-0.49550769230881997</v>
      </c>
      <c r="L1866" s="8">
        <f t="shared" si="204"/>
        <v>-3.8115976331447692E-2</v>
      </c>
      <c r="M1866" s="8">
        <f t="shared" si="205"/>
        <v>-0.74672753846061823</v>
      </c>
      <c r="N1866" s="8">
        <f t="shared" si="206"/>
        <v>-5.7440579881586018E-2</v>
      </c>
      <c r="O1866" s="8"/>
      <c r="P1866" t="s">
        <v>2153</v>
      </c>
      <c r="Q1866">
        <v>35</v>
      </c>
      <c r="R1866" s="8">
        <v>2.81975</v>
      </c>
      <c r="S1866">
        <v>14</v>
      </c>
      <c r="T1866" s="8">
        <f t="shared" si="207"/>
        <v>0.4</v>
      </c>
      <c r="U1866" s="8">
        <v>2.8168899999999999</v>
      </c>
      <c r="V1866">
        <v>16</v>
      </c>
      <c r="W1866" s="8">
        <f t="shared" si="208"/>
        <v>0.45714285714285713</v>
      </c>
      <c r="X1866" s="8">
        <v>2.8135699999999999</v>
      </c>
      <c r="Y1866">
        <v>5</v>
      </c>
      <c r="Z1866" s="8">
        <f t="shared" si="209"/>
        <v>0.14285714285714285</v>
      </c>
      <c r="AA1866" s="8">
        <v>2.8475299999999999</v>
      </c>
    </row>
    <row r="1867" spans="1:27" ht="15" customHeight="1" x14ac:dyDescent="0.25">
      <c r="B1867">
        <v>591</v>
      </c>
      <c r="C1867" s="8">
        <v>-12176.601000000001</v>
      </c>
      <c r="D1867" s="2">
        <v>-12178.377396</v>
      </c>
      <c r="F1867" s="3">
        <v>0.99540300000000004</v>
      </c>
      <c r="G1867" s="2">
        <v>0.182199999999999</v>
      </c>
      <c r="H1867">
        <v>5</v>
      </c>
      <c r="I1867">
        <v>8</v>
      </c>
      <c r="J1867" s="32"/>
      <c r="K1867" s="8">
        <f t="shared" si="203"/>
        <v>-0.72900769230909646</v>
      </c>
      <c r="L1867" s="8">
        <f t="shared" si="204"/>
        <v>-5.6077514793007419E-2</v>
      </c>
      <c r="M1867" s="8">
        <f t="shared" si="205"/>
        <v>-0.97900353846125654</v>
      </c>
      <c r="N1867" s="8">
        <f t="shared" si="206"/>
        <v>-7.5307964497019736E-2</v>
      </c>
      <c r="O1867" s="8"/>
      <c r="P1867" t="s">
        <v>2154</v>
      </c>
      <c r="Q1867">
        <v>36</v>
      </c>
      <c r="R1867" s="8">
        <v>2.83392</v>
      </c>
      <c r="S1867">
        <v>14</v>
      </c>
      <c r="T1867" s="8">
        <f t="shared" si="207"/>
        <v>0.3888888888888889</v>
      </c>
      <c r="U1867" s="8">
        <v>2.8664100000000001</v>
      </c>
      <c r="V1867">
        <v>19</v>
      </c>
      <c r="W1867" s="8">
        <f t="shared" si="208"/>
        <v>0.52777777777777779</v>
      </c>
      <c r="X1867" s="8">
        <v>2.7975099999999999</v>
      </c>
      <c r="Y1867">
        <v>3</v>
      </c>
      <c r="Z1867" s="8">
        <f t="shared" si="209"/>
        <v>8.3333333333333329E-2</v>
      </c>
      <c r="AA1867" s="8">
        <v>2.9129</v>
      </c>
    </row>
    <row r="1868" spans="1:27" ht="15" customHeight="1" x14ac:dyDescent="0.25">
      <c r="B1868">
        <v>592</v>
      </c>
      <c r="C1868" s="8">
        <v>-12176.514300000001</v>
      </c>
      <c r="D1868" s="2">
        <v>-12178.366927999999</v>
      </c>
      <c r="F1868" s="3">
        <v>0.99541400000000002</v>
      </c>
      <c r="G1868" s="2">
        <v>0.18228</v>
      </c>
      <c r="H1868">
        <v>5</v>
      </c>
      <c r="I1868">
        <v>8</v>
      </c>
      <c r="J1868" s="32"/>
      <c r="K1868" s="8">
        <f t="shared" si="203"/>
        <v>-0.64230769230925944</v>
      </c>
      <c r="L1868" s="8">
        <f t="shared" si="204"/>
        <v>-4.940828402378919E-2</v>
      </c>
      <c r="M1868" s="8">
        <f t="shared" si="205"/>
        <v>-0.96853553846085561</v>
      </c>
      <c r="N1868" s="8">
        <f t="shared" si="206"/>
        <v>-7.4502733727758119E-2</v>
      </c>
      <c r="O1868" s="8"/>
      <c r="P1868" t="s">
        <v>2155</v>
      </c>
      <c r="Q1868">
        <v>36</v>
      </c>
      <c r="R1868" s="8">
        <v>2.8350300000000002</v>
      </c>
      <c r="S1868">
        <v>14</v>
      </c>
      <c r="T1868" s="8">
        <f t="shared" si="207"/>
        <v>0.3888888888888889</v>
      </c>
      <c r="U1868" s="8">
        <v>2.8789099999999999</v>
      </c>
      <c r="V1868">
        <v>19</v>
      </c>
      <c r="W1868" s="8">
        <f t="shared" si="208"/>
        <v>0.52777777777777779</v>
      </c>
      <c r="X1868" s="8">
        <v>2.7963200000000001</v>
      </c>
      <c r="Y1868">
        <v>3</v>
      </c>
      <c r="Z1868" s="8">
        <f t="shared" si="209"/>
        <v>8.3333333333333329E-2</v>
      </c>
      <c r="AA1868" s="8">
        <v>2.8754400000000002</v>
      </c>
    </row>
    <row r="1869" spans="1:27" ht="15" customHeight="1" x14ac:dyDescent="0.25">
      <c r="B1869">
        <v>593</v>
      </c>
      <c r="C1869" s="8">
        <v>-12176.5921</v>
      </c>
      <c r="D1869" s="2">
        <v>-12178.330207000001</v>
      </c>
      <c r="F1869" s="3">
        <v>0.99608099999999999</v>
      </c>
      <c r="G1869" s="2">
        <v>0.186969999999999</v>
      </c>
      <c r="H1869">
        <v>5</v>
      </c>
      <c r="I1869">
        <v>8</v>
      </c>
      <c r="J1869" s="32"/>
      <c r="K1869" s="8">
        <f t="shared" si="203"/>
        <v>-0.72010769230837468</v>
      </c>
      <c r="L1869" s="8">
        <f t="shared" si="204"/>
        <v>-5.5392899408336513E-2</v>
      </c>
      <c r="M1869" s="8">
        <f t="shared" si="205"/>
        <v>-0.93181453846227669</v>
      </c>
      <c r="N1869" s="8">
        <f t="shared" si="206"/>
        <v>-7.1678041420175129E-2</v>
      </c>
      <c r="O1869" s="8"/>
      <c r="P1869" t="s">
        <v>2156</v>
      </c>
      <c r="Q1869">
        <v>36</v>
      </c>
      <c r="R1869" s="8">
        <v>2.8345099999999999</v>
      </c>
      <c r="S1869">
        <v>14</v>
      </c>
      <c r="T1869" s="8">
        <f t="shared" si="207"/>
        <v>0.3888888888888889</v>
      </c>
      <c r="U1869" s="8">
        <v>2.86978</v>
      </c>
      <c r="V1869">
        <v>19</v>
      </c>
      <c r="W1869" s="8">
        <f t="shared" si="208"/>
        <v>0.52777777777777779</v>
      </c>
      <c r="X1869" s="8">
        <v>2.7999399999999999</v>
      </c>
      <c r="Y1869">
        <v>3</v>
      </c>
      <c r="Z1869" s="8">
        <f t="shared" si="209"/>
        <v>8.3333333333333329E-2</v>
      </c>
      <c r="AA1869" s="8">
        <v>2.8888600000000002</v>
      </c>
    </row>
    <row r="1870" spans="1:27" ht="15" customHeight="1" x14ac:dyDescent="0.25">
      <c r="A1870" s="8"/>
      <c r="B1870">
        <v>594</v>
      </c>
      <c r="C1870" s="8">
        <v>-12176.240706000001</v>
      </c>
      <c r="D1870" s="2">
        <v>-12177.969548999999</v>
      </c>
      <c r="F1870" s="3">
        <v>0.99533199999999999</v>
      </c>
      <c r="G1870" s="2">
        <v>0.1817</v>
      </c>
      <c r="H1870">
        <v>5</v>
      </c>
      <c r="I1870">
        <v>8</v>
      </c>
      <c r="J1870" s="32"/>
      <c r="K1870" s="8">
        <f t="shared" si="203"/>
        <v>-0.36871369230902928</v>
      </c>
      <c r="L1870" s="8">
        <f t="shared" si="204"/>
        <v>-2.8362591716079175E-2</v>
      </c>
      <c r="M1870" s="8">
        <f t="shared" si="205"/>
        <v>-0.57115653846085479</v>
      </c>
      <c r="N1870" s="8">
        <f t="shared" si="206"/>
        <v>-4.3935118343142676E-2</v>
      </c>
      <c r="O1870" s="8"/>
      <c r="P1870" t="s">
        <v>2157</v>
      </c>
      <c r="Q1870">
        <v>36</v>
      </c>
      <c r="R1870" s="8">
        <v>2.8355399999999999</v>
      </c>
      <c r="S1870">
        <v>17</v>
      </c>
      <c r="T1870" s="8">
        <f t="shared" si="207"/>
        <v>0.47222222222222221</v>
      </c>
      <c r="U1870" s="8">
        <v>2.8653300000000002</v>
      </c>
      <c r="V1870">
        <v>15</v>
      </c>
      <c r="W1870" s="8">
        <f t="shared" si="208"/>
        <v>0.41666666666666669</v>
      </c>
      <c r="X1870" s="8">
        <v>2.78112</v>
      </c>
      <c r="Y1870">
        <v>4</v>
      </c>
      <c r="Z1870" s="8">
        <f t="shared" si="209"/>
        <v>0.1111111111111111</v>
      </c>
      <c r="AA1870" s="8">
        <v>2.9129399999999999</v>
      </c>
    </row>
    <row r="1871" spans="1:27" ht="15" customHeight="1" x14ac:dyDescent="0.25">
      <c r="B1871" s="40">
        <v>595</v>
      </c>
      <c r="C1871" s="40">
        <v>-12176.60988</v>
      </c>
      <c r="D1871" s="41">
        <v>-12178.342995999999</v>
      </c>
      <c r="E1871" s="40"/>
      <c r="F1871" s="42">
        <v>-0.99536599999999997</v>
      </c>
      <c r="G1871" s="41">
        <v>0.181589999999999</v>
      </c>
      <c r="H1871" s="40">
        <v>5</v>
      </c>
      <c r="I1871" s="40">
        <v>8</v>
      </c>
      <c r="J1871" s="32"/>
      <c r="K1871" s="8">
        <f t="shared" si="203"/>
        <v>-0.73788769230850448</v>
      </c>
      <c r="L1871" s="8">
        <f t="shared" si="204"/>
        <v>-5.6760591716038804E-2</v>
      </c>
      <c r="M1871" s="8">
        <f t="shared" si="205"/>
        <v>-0.9446035384607967</v>
      </c>
      <c r="N1871" s="8">
        <f t="shared" si="206"/>
        <v>-7.2661810650830522E-2</v>
      </c>
      <c r="O1871" s="8"/>
      <c r="P1871" t="s">
        <v>2158</v>
      </c>
      <c r="Q1871">
        <v>35</v>
      </c>
      <c r="R1871" s="8">
        <v>2.8249300000000002</v>
      </c>
      <c r="S1871">
        <v>13</v>
      </c>
      <c r="T1871" s="8">
        <f t="shared" si="207"/>
        <v>0.37142857142857144</v>
      </c>
      <c r="U1871" s="8">
        <v>2.8317100000000002</v>
      </c>
      <c r="V1871">
        <v>17</v>
      </c>
      <c r="W1871" s="8">
        <f t="shared" si="208"/>
        <v>0.48571428571428571</v>
      </c>
      <c r="X1871" s="8">
        <v>2.8152200000000001</v>
      </c>
      <c r="Y1871">
        <v>5</v>
      </c>
      <c r="Z1871" s="8">
        <f t="shared" si="209"/>
        <v>0.14285714285714285</v>
      </c>
      <c r="AA1871" s="8">
        <v>2.84036</v>
      </c>
    </row>
    <row r="1872" spans="1:27" ht="15" customHeight="1" x14ac:dyDescent="0.25">
      <c r="B1872">
        <v>596</v>
      </c>
      <c r="C1872" s="8">
        <v>-12176.7822</v>
      </c>
      <c r="D1872" s="2">
        <v>-12178.696062000001</v>
      </c>
      <c r="F1872" s="3">
        <v>0.99085999999999996</v>
      </c>
      <c r="G1872" s="2">
        <v>0.16150999999999899</v>
      </c>
      <c r="H1872">
        <v>5</v>
      </c>
      <c r="I1872">
        <v>8</v>
      </c>
      <c r="J1872" s="32"/>
      <c r="K1872" s="8">
        <f t="shared" si="203"/>
        <v>-0.91020769230817677</v>
      </c>
      <c r="L1872" s="8">
        <f t="shared" si="204"/>
        <v>-7.0015976331398208E-2</v>
      </c>
      <c r="M1872" s="8">
        <f t="shared" si="205"/>
        <v>-1.2976695384622872</v>
      </c>
      <c r="N1872" s="8">
        <f t="shared" si="206"/>
        <v>-9.9820733727868247E-2</v>
      </c>
      <c r="O1872" s="8"/>
      <c r="P1872" t="s">
        <v>2159</v>
      </c>
      <c r="Q1872">
        <v>35</v>
      </c>
      <c r="R1872" s="8">
        <v>2.8260999999999998</v>
      </c>
      <c r="S1872">
        <v>12</v>
      </c>
      <c r="T1872" s="8">
        <f t="shared" si="207"/>
        <v>0.34285714285714286</v>
      </c>
      <c r="U1872" s="8">
        <v>2.8508200000000001</v>
      </c>
      <c r="V1872">
        <v>19</v>
      </c>
      <c r="W1872" s="8">
        <f t="shared" si="208"/>
        <v>0.54285714285714282</v>
      </c>
      <c r="X1872" s="8">
        <v>2.7981500000000001</v>
      </c>
      <c r="Y1872">
        <v>4</v>
      </c>
      <c r="Z1872" s="8">
        <f t="shared" si="209"/>
        <v>0.11428571428571428</v>
      </c>
      <c r="AA1872" s="8">
        <v>2.8847100000000001</v>
      </c>
    </row>
    <row r="1873" spans="2:27" ht="15" customHeight="1" x14ac:dyDescent="0.25">
      <c r="B1873">
        <v>597</v>
      </c>
      <c r="C1873" s="8">
        <v>-12176.4422</v>
      </c>
      <c r="D1873" s="2">
        <v>-12178.171444</v>
      </c>
      <c r="F1873" s="3">
        <v>0.99597100000000005</v>
      </c>
      <c r="G1873" s="2">
        <v>0.18615999999999999</v>
      </c>
      <c r="H1873">
        <v>5</v>
      </c>
      <c r="I1873">
        <v>8</v>
      </c>
      <c r="J1873" s="32"/>
      <c r="K1873" s="8">
        <f t="shared" si="203"/>
        <v>-0.57020769230803126</v>
      </c>
      <c r="L1873" s="8">
        <f t="shared" si="204"/>
        <v>-4.3862130177540863E-2</v>
      </c>
      <c r="M1873" s="8">
        <f t="shared" si="205"/>
        <v>-0.77305153846100438</v>
      </c>
      <c r="N1873" s="8">
        <f t="shared" si="206"/>
        <v>-5.94655029585388E-2</v>
      </c>
      <c r="O1873" s="8"/>
      <c r="P1873" t="s">
        <v>2160</v>
      </c>
      <c r="Q1873">
        <v>36</v>
      </c>
      <c r="R1873" s="8">
        <v>2.8346300000000002</v>
      </c>
      <c r="S1873">
        <v>16</v>
      </c>
      <c r="T1873" s="8">
        <f t="shared" si="207"/>
        <v>0.44444444444444442</v>
      </c>
      <c r="U1873" s="8">
        <v>2.8380299999999998</v>
      </c>
      <c r="V1873">
        <v>14</v>
      </c>
      <c r="W1873" s="8">
        <f t="shared" si="208"/>
        <v>0.3888888888888889</v>
      </c>
      <c r="X1873" s="8">
        <v>2.83569</v>
      </c>
      <c r="Y1873">
        <v>6</v>
      </c>
      <c r="Z1873" s="8">
        <f t="shared" si="209"/>
        <v>0.16666666666666666</v>
      </c>
      <c r="AA1873" s="8">
        <v>2.82307</v>
      </c>
    </row>
    <row r="1874" spans="2:27" ht="15" customHeight="1" x14ac:dyDescent="0.25">
      <c r="B1874">
        <v>598</v>
      </c>
      <c r="C1874" s="8">
        <v>-12176.7122</v>
      </c>
      <c r="D1874" s="2">
        <v>-12178.182049999999</v>
      </c>
      <c r="F1874" s="3">
        <v>0.99335700000000005</v>
      </c>
      <c r="G1874" s="2">
        <v>0.17112999999999901</v>
      </c>
      <c r="H1874">
        <v>5</v>
      </c>
      <c r="I1874">
        <v>8</v>
      </c>
      <c r="J1874" s="32"/>
      <c r="K1874" s="8">
        <f t="shared" si="203"/>
        <v>-0.84020769230846781</v>
      </c>
      <c r="L1874" s="8">
        <f t="shared" si="204"/>
        <v>-6.4631360946805216E-2</v>
      </c>
      <c r="M1874" s="8">
        <f t="shared" si="205"/>
        <v>-0.78365753846082953</v>
      </c>
      <c r="N1874" s="8">
        <f t="shared" si="206"/>
        <v>-6.0281349112371499E-2</v>
      </c>
      <c r="O1874" s="8"/>
      <c r="P1874" t="s">
        <v>2161</v>
      </c>
      <c r="Q1874">
        <v>36</v>
      </c>
      <c r="R1874" s="8">
        <v>2.83501</v>
      </c>
      <c r="S1874">
        <v>14</v>
      </c>
      <c r="T1874" s="8">
        <f t="shared" si="207"/>
        <v>0.3888888888888889</v>
      </c>
      <c r="U1874" s="8">
        <v>2.8471799999999998</v>
      </c>
      <c r="V1874">
        <v>18</v>
      </c>
      <c r="W1874" s="8">
        <f t="shared" si="208"/>
        <v>0.5</v>
      </c>
      <c r="X1874" s="8">
        <v>2.8246199999999999</v>
      </c>
      <c r="Y1874">
        <v>4</v>
      </c>
      <c r="Z1874" s="8">
        <f t="shared" si="209"/>
        <v>0.1111111111111111</v>
      </c>
      <c r="AA1874" s="8">
        <v>2.8391799999999998</v>
      </c>
    </row>
    <row r="1875" spans="2:27" ht="15" customHeight="1" x14ac:dyDescent="0.25">
      <c r="B1875" s="7">
        <v>599</v>
      </c>
      <c r="C1875" s="8">
        <v>-12176.093213</v>
      </c>
      <c r="D1875" s="2">
        <v>-12177.557091000001</v>
      </c>
      <c r="F1875" s="3">
        <v>0.99437200000000003</v>
      </c>
      <c r="G1875" s="2">
        <v>0.17609999999999901</v>
      </c>
      <c r="H1875">
        <v>5</v>
      </c>
      <c r="I1875">
        <v>8</v>
      </c>
      <c r="J1875" s="32"/>
      <c r="K1875" s="8">
        <f t="shared" si="203"/>
        <v>-0.22122069230863417</v>
      </c>
      <c r="L1875" s="8">
        <f t="shared" si="204"/>
        <v>-1.7016976331433398E-2</v>
      </c>
      <c r="M1875" s="8">
        <f t="shared" si="205"/>
        <v>-0.15869853846197657</v>
      </c>
      <c r="N1875" s="8">
        <f t="shared" si="206"/>
        <v>-1.2207579881690505E-2</v>
      </c>
      <c r="O1875" s="8"/>
      <c r="P1875" t="s">
        <v>2162</v>
      </c>
      <c r="Q1875">
        <v>36</v>
      </c>
      <c r="R1875" s="8">
        <v>2.8359800000000002</v>
      </c>
      <c r="S1875">
        <v>18</v>
      </c>
      <c r="T1875" s="8">
        <f t="shared" si="207"/>
        <v>0.5</v>
      </c>
      <c r="U1875" s="8">
        <v>2.8396599999999999</v>
      </c>
      <c r="V1875">
        <v>10</v>
      </c>
      <c r="W1875" s="8">
        <f t="shared" si="208"/>
        <v>0.27777777777777779</v>
      </c>
      <c r="X1875" s="8">
        <v>2.8486699999999998</v>
      </c>
      <c r="Y1875">
        <v>8</v>
      </c>
      <c r="Z1875" s="8">
        <f t="shared" si="209"/>
        <v>0.22222222222222221</v>
      </c>
      <c r="AA1875" s="8">
        <v>2.8118599999999998</v>
      </c>
    </row>
    <row r="1876" spans="2:27" ht="15" customHeight="1" x14ac:dyDescent="0.25">
      <c r="B1876">
        <v>600</v>
      </c>
      <c r="C1876" s="8">
        <v>-12176.610199999999</v>
      </c>
      <c r="D1876" s="2">
        <v>-12178.057161999999</v>
      </c>
      <c r="F1876" s="3">
        <v>0.99238499999999996</v>
      </c>
      <c r="G1876" s="2">
        <v>0.167019999999999</v>
      </c>
      <c r="H1876">
        <v>5</v>
      </c>
      <c r="I1876">
        <v>8</v>
      </c>
      <c r="J1876" s="32"/>
      <c r="K1876" s="8">
        <f t="shared" si="203"/>
        <v>-0.73820769230769656</v>
      </c>
      <c r="L1876" s="8">
        <f t="shared" si="204"/>
        <v>-5.6785207100592046E-2</v>
      </c>
      <c r="M1876" s="8">
        <f t="shared" si="205"/>
        <v>-0.65876953846054676</v>
      </c>
      <c r="N1876" s="8">
        <f t="shared" si="206"/>
        <v>-5.0674579881580521E-2</v>
      </c>
      <c r="O1876" s="8"/>
      <c r="P1876" t="s">
        <v>2163</v>
      </c>
      <c r="Q1876">
        <v>36</v>
      </c>
      <c r="R1876" s="8">
        <v>2.8338199999999998</v>
      </c>
      <c r="S1876">
        <v>14</v>
      </c>
      <c r="T1876" s="8">
        <f t="shared" si="207"/>
        <v>0.3888888888888889</v>
      </c>
      <c r="U1876" s="8">
        <v>2.8504299999999998</v>
      </c>
      <c r="V1876">
        <v>18</v>
      </c>
      <c r="W1876" s="8">
        <f t="shared" si="208"/>
        <v>0.5</v>
      </c>
      <c r="X1876" s="8">
        <v>2.82334</v>
      </c>
      <c r="Y1876">
        <v>4</v>
      </c>
      <c r="Z1876" s="8">
        <f t="shared" si="209"/>
        <v>0.1111111111111111</v>
      </c>
      <c r="AA1876" s="8">
        <v>2.8228</v>
      </c>
    </row>
    <row r="1877" spans="2:27" ht="15" customHeight="1" x14ac:dyDescent="0.25">
      <c r="B1877">
        <v>601</v>
      </c>
      <c r="C1877" s="8">
        <v>-12176.403399999999</v>
      </c>
      <c r="D1877" s="2">
        <v>-12178.109595</v>
      </c>
      <c r="F1877" s="3">
        <v>0.99321599999999999</v>
      </c>
      <c r="G1877" s="2">
        <v>0.170459999999999</v>
      </c>
      <c r="H1877">
        <v>5</v>
      </c>
      <c r="I1877">
        <v>8</v>
      </c>
      <c r="J1877" s="32"/>
      <c r="K1877" s="8">
        <f t="shared" si="203"/>
        <v>-0.53140769230776641</v>
      </c>
      <c r="L1877" s="8">
        <f t="shared" si="204"/>
        <v>-4.0877514792905106E-2</v>
      </c>
      <c r="M1877" s="8">
        <f t="shared" si="205"/>
        <v>-0.71120253846129344</v>
      </c>
      <c r="N1877" s="8">
        <f t="shared" si="206"/>
        <v>-5.4707887573945652E-2</v>
      </c>
      <c r="O1877" s="8"/>
      <c r="P1877" t="s">
        <v>2164</v>
      </c>
      <c r="Q1877">
        <v>36</v>
      </c>
      <c r="R1877" s="8">
        <v>2.8359100000000002</v>
      </c>
      <c r="S1877">
        <v>15</v>
      </c>
      <c r="T1877" s="8">
        <f t="shared" si="207"/>
        <v>0.41666666666666669</v>
      </c>
      <c r="U1877" s="8">
        <v>2.8592399999999998</v>
      </c>
      <c r="V1877">
        <v>16</v>
      </c>
      <c r="W1877" s="8">
        <f t="shared" si="208"/>
        <v>0.44444444444444442</v>
      </c>
      <c r="X1877" s="8">
        <v>2.8134800000000002</v>
      </c>
      <c r="Y1877">
        <v>5</v>
      </c>
      <c r="Z1877" s="8">
        <f t="shared" si="209"/>
        <v>0.1388888888888889</v>
      </c>
      <c r="AA1877" s="8">
        <v>2.8377300000000001</v>
      </c>
    </row>
    <row r="1878" spans="2:27" ht="15" customHeight="1" x14ac:dyDescent="0.25">
      <c r="B1878">
        <v>602</v>
      </c>
      <c r="C1878" s="8">
        <v>-12176.6932</v>
      </c>
      <c r="D1878" s="2">
        <v>-12178.422008</v>
      </c>
      <c r="F1878" s="3">
        <v>0.99053500000000005</v>
      </c>
      <c r="G1878" s="2">
        <v>0.16047</v>
      </c>
      <c r="H1878">
        <v>5</v>
      </c>
      <c r="I1878">
        <v>8</v>
      </c>
      <c r="J1878" s="32"/>
      <c r="K1878" s="8">
        <f t="shared" si="203"/>
        <v>-0.82120769230823498</v>
      </c>
      <c r="L1878" s="8">
        <f t="shared" si="204"/>
        <v>-6.3169822485248842E-2</v>
      </c>
      <c r="M1878" s="8">
        <f t="shared" si="205"/>
        <v>-1.0236155384609447</v>
      </c>
      <c r="N1878" s="8">
        <f t="shared" si="206"/>
        <v>-7.8739656804688057E-2</v>
      </c>
      <c r="O1878" s="8"/>
      <c r="P1878" t="s">
        <v>2165</v>
      </c>
      <c r="Q1878">
        <v>35</v>
      </c>
      <c r="R1878" s="8">
        <v>2.8289499999999999</v>
      </c>
      <c r="S1878">
        <v>14</v>
      </c>
      <c r="T1878" s="8">
        <f t="shared" si="207"/>
        <v>0.4</v>
      </c>
      <c r="U1878" s="8">
        <v>2.8748300000000002</v>
      </c>
      <c r="V1878">
        <v>18</v>
      </c>
      <c r="W1878" s="8">
        <f t="shared" si="208"/>
        <v>0.51428571428571423</v>
      </c>
      <c r="X1878" s="8">
        <v>2.77589</v>
      </c>
      <c r="Y1878">
        <v>3</v>
      </c>
      <c r="Z1878" s="8">
        <f t="shared" si="209"/>
        <v>8.5714285714285715E-2</v>
      </c>
      <c r="AA1878" s="8">
        <v>2.9331700000000001</v>
      </c>
    </row>
    <row r="1879" spans="2:27" ht="15" customHeight="1" x14ac:dyDescent="0.25">
      <c r="B1879">
        <v>603</v>
      </c>
      <c r="C1879" s="8">
        <v>-12176.328100000001</v>
      </c>
      <c r="D1879" s="2">
        <v>-12178.118576000001</v>
      </c>
      <c r="F1879" s="3">
        <v>0.99050700000000003</v>
      </c>
      <c r="G1879" s="2">
        <v>0.16041</v>
      </c>
      <c r="H1879">
        <v>5</v>
      </c>
      <c r="I1879">
        <v>8</v>
      </c>
      <c r="J1879" s="32"/>
      <c r="K1879" s="8">
        <f t="shared" si="203"/>
        <v>-0.45610769230916048</v>
      </c>
      <c r="L1879" s="8">
        <f t="shared" si="204"/>
        <v>-3.5085207100704653E-2</v>
      </c>
      <c r="M1879" s="8">
        <f t="shared" si="205"/>
        <v>-0.72018353846215177</v>
      </c>
      <c r="N1879" s="8">
        <f t="shared" si="206"/>
        <v>-5.5398733727857828E-2</v>
      </c>
      <c r="O1879" s="8"/>
      <c r="P1879" t="s">
        <v>2166</v>
      </c>
      <c r="Q1879">
        <v>34</v>
      </c>
      <c r="R1879" s="8">
        <v>2.8171300000000001</v>
      </c>
      <c r="S1879">
        <v>15</v>
      </c>
      <c r="T1879" s="8">
        <f t="shared" si="207"/>
        <v>0.44117647058823528</v>
      </c>
      <c r="U1879" s="8">
        <v>2.83358</v>
      </c>
      <c r="V1879">
        <v>15</v>
      </c>
      <c r="W1879" s="8">
        <f t="shared" si="208"/>
        <v>0.44117647058823528</v>
      </c>
      <c r="X1879" s="8">
        <v>2.7870699999999999</v>
      </c>
      <c r="Y1879">
        <v>4</v>
      </c>
      <c r="Z1879" s="8">
        <f t="shared" si="209"/>
        <v>0.11764705882352941</v>
      </c>
      <c r="AA1879" s="8">
        <v>2.8681800000000002</v>
      </c>
    </row>
    <row r="1880" spans="2:27" ht="15" customHeight="1" x14ac:dyDescent="0.25">
      <c r="B1880">
        <v>604</v>
      </c>
      <c r="C1880" s="8">
        <v>-12176.6567</v>
      </c>
      <c r="D1880" s="2">
        <v>-12178.080142000001</v>
      </c>
      <c r="F1880" s="3">
        <v>0.99645499999999998</v>
      </c>
      <c r="G1880" s="2">
        <v>0.19003</v>
      </c>
      <c r="H1880">
        <v>5</v>
      </c>
      <c r="I1880">
        <v>8</v>
      </c>
      <c r="J1880" s="32"/>
      <c r="K1880" s="8">
        <f t="shared" si="203"/>
        <v>-0.78470769230807491</v>
      </c>
      <c r="L1880" s="8">
        <f t="shared" si="204"/>
        <v>-6.0362130177544222E-2</v>
      </c>
      <c r="M1880" s="8">
        <f t="shared" si="205"/>
        <v>-0.68174953846209974</v>
      </c>
      <c r="N1880" s="8">
        <f t="shared" si="206"/>
        <v>-5.2442272189392285E-2</v>
      </c>
      <c r="O1880" s="8"/>
      <c r="P1880" t="s">
        <v>2167</v>
      </c>
      <c r="Q1880">
        <v>36</v>
      </c>
      <c r="R1880" s="8">
        <v>2.83839</v>
      </c>
      <c r="S1880">
        <v>14</v>
      </c>
      <c r="T1880" s="8">
        <f t="shared" si="207"/>
        <v>0.3888888888888889</v>
      </c>
      <c r="U1880" s="8">
        <v>2.8733</v>
      </c>
      <c r="V1880">
        <v>18</v>
      </c>
      <c r="W1880" s="8">
        <f t="shared" si="208"/>
        <v>0.5</v>
      </c>
      <c r="X1880" s="8">
        <v>2.8046899999999999</v>
      </c>
      <c r="Y1880">
        <v>4</v>
      </c>
      <c r="Z1880" s="8">
        <f t="shared" si="209"/>
        <v>0.1111111111111111</v>
      </c>
      <c r="AA1880" s="8">
        <v>2.86788</v>
      </c>
    </row>
    <row r="1881" spans="2:27" ht="15" customHeight="1" x14ac:dyDescent="0.25">
      <c r="B1881">
        <v>605</v>
      </c>
      <c r="C1881" s="8">
        <v>-12176.7039</v>
      </c>
      <c r="D1881" s="2">
        <v>-12178.126802000001</v>
      </c>
      <c r="F1881" s="3">
        <v>0.99578900000000004</v>
      </c>
      <c r="G1881" s="2">
        <v>0.18489</v>
      </c>
      <c r="H1881">
        <v>5</v>
      </c>
      <c r="I1881">
        <v>8</v>
      </c>
      <c r="J1881" s="32"/>
      <c r="K1881" s="8">
        <f t="shared" si="203"/>
        <v>-0.83190769230895967</v>
      </c>
      <c r="L1881" s="8">
        <f t="shared" si="204"/>
        <v>-6.3992899408381515E-2</v>
      </c>
      <c r="M1881" s="8">
        <f t="shared" si="205"/>
        <v>-0.72840953846207412</v>
      </c>
      <c r="N1881" s="8">
        <f t="shared" si="206"/>
        <v>-5.6031502958621089E-2</v>
      </c>
      <c r="O1881" s="8"/>
      <c r="P1881" t="s">
        <v>2168</v>
      </c>
      <c r="Q1881">
        <v>36</v>
      </c>
      <c r="R1881" s="8">
        <v>2.8368799999999998</v>
      </c>
      <c r="S1881">
        <v>14</v>
      </c>
      <c r="T1881" s="8">
        <f t="shared" si="207"/>
        <v>0.3888888888888889</v>
      </c>
      <c r="U1881" s="8">
        <v>2.8603900000000002</v>
      </c>
      <c r="V1881">
        <v>18</v>
      </c>
      <c r="W1881" s="8">
        <f t="shared" si="208"/>
        <v>0.5</v>
      </c>
      <c r="X1881" s="8">
        <v>2.8148</v>
      </c>
      <c r="Y1881">
        <v>4</v>
      </c>
      <c r="Z1881" s="8">
        <f t="shared" si="209"/>
        <v>0.1111111111111111</v>
      </c>
      <c r="AA1881" s="8">
        <v>2.8539599999999998</v>
      </c>
    </row>
    <row r="1882" spans="2:27" ht="15" customHeight="1" x14ac:dyDescent="0.25">
      <c r="B1882">
        <v>606</v>
      </c>
      <c r="C1882" s="8">
        <v>-12176.4949</v>
      </c>
      <c r="D1882" s="2">
        <v>-12178.211832999999</v>
      </c>
      <c r="F1882" s="3">
        <v>0.994645</v>
      </c>
      <c r="G1882" s="2">
        <v>0.17763000000000001</v>
      </c>
      <c r="H1882">
        <v>5</v>
      </c>
      <c r="I1882">
        <v>8</v>
      </c>
      <c r="J1882" s="32"/>
      <c r="K1882" s="8">
        <f t="shared" si="203"/>
        <v>-0.62290769230821752</v>
      </c>
      <c r="L1882" s="8">
        <f t="shared" si="204"/>
        <v>-4.791597633140135E-2</v>
      </c>
      <c r="M1882" s="8">
        <f t="shared" si="205"/>
        <v>-0.81344053846078168</v>
      </c>
      <c r="N1882" s="8">
        <f t="shared" si="206"/>
        <v>-6.2572349112367823E-2</v>
      </c>
      <c r="O1882" s="8"/>
      <c r="P1882" t="s">
        <v>2169</v>
      </c>
      <c r="Q1882">
        <v>36</v>
      </c>
      <c r="R1882" s="8">
        <v>2.8370500000000001</v>
      </c>
      <c r="S1882">
        <v>16</v>
      </c>
      <c r="T1882" s="8">
        <f t="shared" si="207"/>
        <v>0.44444444444444442</v>
      </c>
      <c r="U1882" s="8">
        <v>2.8650600000000002</v>
      </c>
      <c r="V1882">
        <v>16</v>
      </c>
      <c r="W1882" s="8">
        <f t="shared" si="208"/>
        <v>0.44444444444444442</v>
      </c>
      <c r="X1882" s="8">
        <v>2.80328</v>
      </c>
      <c r="Y1882">
        <v>4</v>
      </c>
      <c r="Z1882" s="8">
        <f t="shared" si="209"/>
        <v>0.1111111111111111</v>
      </c>
      <c r="AA1882" s="8">
        <v>2.8601000000000001</v>
      </c>
    </row>
    <row r="1883" spans="2:27" ht="15" customHeight="1" x14ac:dyDescent="0.25">
      <c r="B1883">
        <v>607</v>
      </c>
      <c r="C1883" s="8">
        <v>-12176.7739</v>
      </c>
      <c r="D1883" s="2">
        <v>-12178.807353</v>
      </c>
      <c r="F1883" s="3">
        <v>0.99846800000000002</v>
      </c>
      <c r="G1883" s="2">
        <v>0.21520999999999901</v>
      </c>
      <c r="H1883">
        <v>5</v>
      </c>
      <c r="I1883">
        <v>8</v>
      </c>
      <c r="J1883" s="32"/>
      <c r="K1883" s="8">
        <f t="shared" si="203"/>
        <v>-0.90190769230866863</v>
      </c>
      <c r="L1883" s="8">
        <f t="shared" si="204"/>
        <v>-6.9377514792974507E-2</v>
      </c>
      <c r="M1883" s="8">
        <f t="shared" si="205"/>
        <v>-1.4089605384615425</v>
      </c>
      <c r="N1883" s="8">
        <f t="shared" si="206"/>
        <v>-0.10838157988165711</v>
      </c>
      <c r="O1883" s="8"/>
      <c r="P1883" t="s">
        <v>2170</v>
      </c>
      <c r="Q1883">
        <v>35</v>
      </c>
      <c r="R1883" s="8">
        <v>2.8242500000000001</v>
      </c>
      <c r="S1883">
        <v>12</v>
      </c>
      <c r="T1883" s="8">
        <f t="shared" si="207"/>
        <v>0.34285714285714286</v>
      </c>
      <c r="U1883" s="8">
        <v>2.8255300000000001</v>
      </c>
      <c r="V1883">
        <v>19</v>
      </c>
      <c r="W1883" s="8">
        <f t="shared" si="208"/>
        <v>0.54285714285714282</v>
      </c>
      <c r="X1883" s="8">
        <v>2.82762</v>
      </c>
      <c r="Y1883">
        <v>4</v>
      </c>
      <c r="Z1883" s="8">
        <f t="shared" si="209"/>
        <v>0.11428571428571428</v>
      </c>
      <c r="AA1883" s="8">
        <v>2.80444</v>
      </c>
    </row>
    <row r="1884" spans="2:27" ht="15" customHeight="1" x14ac:dyDescent="0.25">
      <c r="B1884">
        <v>608</v>
      </c>
      <c r="C1884" s="8">
        <v>-12176.483899999999</v>
      </c>
      <c r="D1884" s="2">
        <v>-12177.961799999999</v>
      </c>
      <c r="F1884" s="3">
        <v>0.99214199999999997</v>
      </c>
      <c r="G1884" s="2">
        <v>0.16608999999999999</v>
      </c>
      <c r="H1884">
        <v>5</v>
      </c>
      <c r="I1884">
        <v>8</v>
      </c>
      <c r="J1884" s="32"/>
      <c r="K1884" s="8">
        <f t="shared" si="203"/>
        <v>-0.61190769230779551</v>
      </c>
      <c r="L1884" s="8">
        <f t="shared" si="204"/>
        <v>-4.7069822485215039E-2</v>
      </c>
      <c r="M1884" s="8">
        <f t="shared" si="205"/>
        <v>-0.56340753846052394</v>
      </c>
      <c r="N1884" s="8">
        <f t="shared" si="206"/>
        <v>-4.3339041420040303E-2</v>
      </c>
      <c r="O1884" s="8"/>
      <c r="P1884" t="s">
        <v>2171</v>
      </c>
      <c r="Q1884">
        <v>36</v>
      </c>
      <c r="R1884" s="8">
        <v>2.8318099999999999</v>
      </c>
      <c r="S1884">
        <v>15</v>
      </c>
      <c r="T1884" s="8">
        <f t="shared" si="207"/>
        <v>0.41666666666666669</v>
      </c>
      <c r="U1884" s="8">
        <v>2.83494</v>
      </c>
      <c r="V1884">
        <v>16</v>
      </c>
      <c r="W1884" s="8">
        <f t="shared" si="208"/>
        <v>0.44444444444444442</v>
      </c>
      <c r="X1884" s="8">
        <v>2.8360599999999998</v>
      </c>
      <c r="Y1884">
        <v>5</v>
      </c>
      <c r="Z1884" s="8">
        <f t="shared" si="209"/>
        <v>0.1388888888888889</v>
      </c>
      <c r="AA1884" s="8">
        <v>2.8088099999999998</v>
      </c>
    </row>
    <row r="1885" spans="2:27" ht="15" customHeight="1" x14ac:dyDescent="0.25">
      <c r="B1885">
        <v>609</v>
      </c>
      <c r="C1885" s="8">
        <v>-12176.934800000001</v>
      </c>
      <c r="D1885" s="2">
        <v>-12178.669679000001</v>
      </c>
      <c r="F1885" s="3">
        <v>0.99762300000000004</v>
      </c>
      <c r="G1885" s="2">
        <v>0.20190999999999901</v>
      </c>
      <c r="H1885">
        <v>5</v>
      </c>
      <c r="I1885">
        <v>8</v>
      </c>
      <c r="J1885" s="32"/>
      <c r="K1885" s="8">
        <f t="shared" si="203"/>
        <v>-1.0628076923094341</v>
      </c>
      <c r="L1885" s="8">
        <f t="shared" si="204"/>
        <v>-8.1754437869956467E-2</v>
      </c>
      <c r="M1885" s="8">
        <f t="shared" si="205"/>
        <v>-1.2712865384619363</v>
      </c>
      <c r="N1885" s="8">
        <f t="shared" si="206"/>
        <v>-9.7791272189379719E-2</v>
      </c>
      <c r="O1885" s="8"/>
      <c r="P1885" t="s">
        <v>2172</v>
      </c>
      <c r="Q1885">
        <v>35</v>
      </c>
      <c r="R1885" s="8">
        <v>2.82193</v>
      </c>
      <c r="S1885">
        <v>11</v>
      </c>
      <c r="T1885" s="8">
        <f t="shared" si="207"/>
        <v>0.31428571428571428</v>
      </c>
      <c r="U1885" s="8">
        <v>2.8252100000000002</v>
      </c>
      <c r="V1885">
        <v>21</v>
      </c>
      <c r="W1885" s="8">
        <f t="shared" si="208"/>
        <v>0.6</v>
      </c>
      <c r="X1885" s="8">
        <v>2.8191299999999999</v>
      </c>
      <c r="Y1885">
        <v>3</v>
      </c>
      <c r="Z1885" s="8">
        <f t="shared" si="209"/>
        <v>8.5714285714285715E-2</v>
      </c>
      <c r="AA1885" s="8">
        <v>2.8294600000000001</v>
      </c>
    </row>
    <row r="1886" spans="2:27" ht="15" customHeight="1" x14ac:dyDescent="0.25">
      <c r="B1886">
        <v>610</v>
      </c>
      <c r="C1886" s="8">
        <v>-12176.5239</v>
      </c>
      <c r="D1886" s="2">
        <v>-12178.004735</v>
      </c>
      <c r="F1886" s="3">
        <v>0.991703</v>
      </c>
      <c r="G1886" s="2">
        <v>0.164439999999999</v>
      </c>
      <c r="H1886">
        <v>5</v>
      </c>
      <c r="I1886">
        <v>8</v>
      </c>
      <c r="J1886" s="32"/>
      <c r="K1886" s="8">
        <f t="shared" si="203"/>
        <v>-0.65190769230866863</v>
      </c>
      <c r="L1886" s="8">
        <f t="shared" si="204"/>
        <v>-5.0146745562205282E-2</v>
      </c>
      <c r="M1886" s="8">
        <f t="shared" si="205"/>
        <v>-0.60634253846183128</v>
      </c>
      <c r="N1886" s="8">
        <f t="shared" si="206"/>
        <v>-4.6641733727833173E-2</v>
      </c>
      <c r="O1886" s="8"/>
      <c r="P1886" t="s">
        <v>2173</v>
      </c>
      <c r="Q1886">
        <v>36</v>
      </c>
      <c r="R1886" s="8">
        <v>2.8345400000000001</v>
      </c>
      <c r="S1886">
        <v>15</v>
      </c>
      <c r="T1886" s="8">
        <f t="shared" si="207"/>
        <v>0.41666666666666669</v>
      </c>
      <c r="U1886" s="8">
        <v>2.8404199999999999</v>
      </c>
      <c r="V1886">
        <v>16</v>
      </c>
      <c r="W1886" s="8">
        <f t="shared" si="208"/>
        <v>0.44444444444444442</v>
      </c>
      <c r="X1886" s="8">
        <v>2.8338100000000002</v>
      </c>
      <c r="Y1886">
        <v>5</v>
      </c>
      <c r="Z1886" s="8">
        <f t="shared" si="209"/>
        <v>0.1388888888888889</v>
      </c>
      <c r="AA1886" s="8">
        <v>2.8192499999999998</v>
      </c>
    </row>
    <row r="1887" spans="2:27" ht="15" customHeight="1" x14ac:dyDescent="0.25">
      <c r="B1887">
        <v>611</v>
      </c>
      <c r="C1887" s="8">
        <v>-12176.758</v>
      </c>
      <c r="D1887" s="2">
        <v>-12178.758894000001</v>
      </c>
      <c r="F1887" s="3">
        <v>0.99826999999999999</v>
      </c>
      <c r="G1887" s="2">
        <v>0.211619999999999</v>
      </c>
      <c r="H1887">
        <v>5</v>
      </c>
      <c r="I1887">
        <v>8</v>
      </c>
      <c r="J1887" s="32"/>
      <c r="K1887" s="8">
        <f t="shared" si="203"/>
        <v>-0.88600769230833976</v>
      </c>
      <c r="L1887" s="8">
        <f t="shared" si="204"/>
        <v>-6.8154437869872284E-2</v>
      </c>
      <c r="M1887" s="8">
        <f t="shared" si="205"/>
        <v>-1.3605015384619037</v>
      </c>
      <c r="N1887" s="8">
        <f t="shared" si="206"/>
        <v>-0.10465396449706951</v>
      </c>
      <c r="O1887" s="8"/>
      <c r="P1887" t="s">
        <v>2174</v>
      </c>
      <c r="Q1887">
        <v>35</v>
      </c>
      <c r="R1887" s="8">
        <v>2.8239299999999998</v>
      </c>
      <c r="S1887">
        <v>12</v>
      </c>
      <c r="T1887" s="8">
        <f t="shared" si="207"/>
        <v>0.34285714285714286</v>
      </c>
      <c r="U1887" s="8">
        <v>2.83039</v>
      </c>
      <c r="V1887">
        <v>20</v>
      </c>
      <c r="W1887" s="8">
        <f t="shared" si="208"/>
        <v>0.5714285714285714</v>
      </c>
      <c r="X1887" s="8">
        <v>2.81094</v>
      </c>
      <c r="Y1887">
        <v>3</v>
      </c>
      <c r="Z1887" s="8">
        <f t="shared" si="209"/>
        <v>8.5714285714285715E-2</v>
      </c>
      <c r="AA1887" s="8">
        <v>2.8846500000000002</v>
      </c>
    </row>
    <row r="1888" spans="2:27" ht="15" customHeight="1" x14ac:dyDescent="0.25">
      <c r="B1888">
        <v>612</v>
      </c>
      <c r="C1888" s="8">
        <v>-12176.6792</v>
      </c>
      <c r="D1888" s="2">
        <v>-12178.427979</v>
      </c>
      <c r="F1888" s="3">
        <v>0.99030399999999996</v>
      </c>
      <c r="G1888" s="2">
        <v>0.15970999999999999</v>
      </c>
      <c r="H1888">
        <v>5</v>
      </c>
      <c r="I1888">
        <v>8</v>
      </c>
      <c r="J1888" s="32"/>
      <c r="K1888" s="8">
        <f t="shared" si="203"/>
        <v>-0.80720769230902079</v>
      </c>
      <c r="L1888" s="8">
        <f t="shared" si="204"/>
        <v>-6.2092899408386214E-2</v>
      </c>
      <c r="M1888" s="8">
        <f t="shared" si="205"/>
        <v>-1.0295865384614444</v>
      </c>
      <c r="N1888" s="8">
        <f t="shared" si="206"/>
        <v>-7.9198964497034188E-2</v>
      </c>
      <c r="O1888" s="8"/>
      <c r="P1888" t="s">
        <v>2175</v>
      </c>
      <c r="Q1888">
        <v>36</v>
      </c>
      <c r="R1888" s="8">
        <v>2.83521</v>
      </c>
      <c r="S1888">
        <v>13</v>
      </c>
      <c r="T1888" s="8">
        <f t="shared" si="207"/>
        <v>0.3611111111111111</v>
      </c>
      <c r="U1888" s="8">
        <v>2.8553999999999999</v>
      </c>
      <c r="V1888">
        <v>20</v>
      </c>
      <c r="W1888" s="8">
        <f t="shared" si="208"/>
        <v>0.55555555555555558</v>
      </c>
      <c r="X1888" s="8">
        <v>2.8185500000000001</v>
      </c>
      <c r="Y1888">
        <v>3</v>
      </c>
      <c r="Z1888" s="8">
        <f t="shared" si="209"/>
        <v>8.3333333333333329E-2</v>
      </c>
      <c r="AA1888" s="8">
        <v>2.8587699999999998</v>
      </c>
    </row>
    <row r="1889" spans="2:27" ht="15" customHeight="1" x14ac:dyDescent="0.25">
      <c r="B1889">
        <v>613</v>
      </c>
      <c r="C1889" s="8">
        <v>-12176.7012</v>
      </c>
      <c r="D1889" s="2">
        <v>-12178.404107</v>
      </c>
      <c r="F1889" s="3">
        <v>0.99461200000000005</v>
      </c>
      <c r="G1889" s="2">
        <v>0.17742999999999901</v>
      </c>
      <c r="H1889">
        <v>5</v>
      </c>
      <c r="I1889">
        <v>8</v>
      </c>
      <c r="J1889" s="32"/>
      <c r="K1889" s="8">
        <f t="shared" si="203"/>
        <v>-0.82920769230804581</v>
      </c>
      <c r="L1889" s="8">
        <f t="shared" si="204"/>
        <v>-6.3785207100618913E-2</v>
      </c>
      <c r="M1889" s="8">
        <f t="shared" si="205"/>
        <v>-1.0057145384616888</v>
      </c>
      <c r="N1889" s="8">
        <f t="shared" si="206"/>
        <v>-7.7362656804745286E-2</v>
      </c>
      <c r="O1889" s="8"/>
      <c r="P1889" t="s">
        <v>2176</v>
      </c>
      <c r="Q1889">
        <v>36</v>
      </c>
      <c r="R1889" s="8">
        <v>2.8343500000000001</v>
      </c>
      <c r="S1889">
        <v>13</v>
      </c>
      <c r="T1889" s="8">
        <f t="shared" si="207"/>
        <v>0.3611111111111111</v>
      </c>
      <c r="U1889" s="8">
        <v>2.8501099999999999</v>
      </c>
      <c r="V1889">
        <v>20</v>
      </c>
      <c r="W1889" s="8">
        <f t="shared" si="208"/>
        <v>0.55555555555555558</v>
      </c>
      <c r="X1889" s="8">
        <v>2.8272300000000001</v>
      </c>
      <c r="Y1889">
        <v>3</v>
      </c>
      <c r="Z1889" s="8">
        <f t="shared" si="209"/>
        <v>8.3333333333333329E-2</v>
      </c>
      <c r="AA1889" s="8">
        <v>2.8135300000000001</v>
      </c>
    </row>
    <row r="1890" spans="2:27" ht="15" customHeight="1" x14ac:dyDescent="0.25">
      <c r="B1890">
        <v>614</v>
      </c>
      <c r="C1890" s="8">
        <v>-12176.4162</v>
      </c>
      <c r="D1890" s="2">
        <v>-12178.196765999999</v>
      </c>
      <c r="F1890" s="3">
        <v>0.99346199999999996</v>
      </c>
      <c r="G1890" s="2">
        <v>0.17154</v>
      </c>
      <c r="H1890">
        <v>5</v>
      </c>
      <c r="I1890">
        <v>8</v>
      </c>
      <c r="J1890" s="32"/>
      <c r="K1890" s="8">
        <f t="shared" si="203"/>
        <v>-0.54420769230819133</v>
      </c>
      <c r="L1890" s="8">
        <f t="shared" si="204"/>
        <v>-4.1862130177553178E-2</v>
      </c>
      <c r="M1890" s="8">
        <f t="shared" si="205"/>
        <v>-0.79837353846050974</v>
      </c>
      <c r="N1890" s="8">
        <f t="shared" si="206"/>
        <v>-6.1413349112346902E-2</v>
      </c>
      <c r="O1890" s="8"/>
      <c r="P1890" t="s">
        <v>2177</v>
      </c>
      <c r="Q1890">
        <v>34</v>
      </c>
      <c r="R1890" s="8">
        <v>2.8169200000000001</v>
      </c>
      <c r="S1890">
        <v>14</v>
      </c>
      <c r="T1890" s="8">
        <f t="shared" si="207"/>
        <v>0.41176470588235292</v>
      </c>
      <c r="U1890" s="8">
        <v>2.8272499999999998</v>
      </c>
      <c r="V1890">
        <v>17</v>
      </c>
      <c r="W1890" s="8">
        <f t="shared" si="208"/>
        <v>0.5</v>
      </c>
      <c r="X1890" s="8">
        <v>2.80464</v>
      </c>
      <c r="Y1890">
        <v>3</v>
      </c>
      <c r="Z1890" s="8">
        <f t="shared" si="209"/>
        <v>8.8235294117647065E-2</v>
      </c>
      <c r="AA1890" s="8">
        <v>2.8382900000000002</v>
      </c>
    </row>
    <row r="1891" spans="2:27" ht="15" customHeight="1" x14ac:dyDescent="0.25">
      <c r="B1891">
        <v>615</v>
      </c>
      <c r="C1891" s="8">
        <v>-12176.8323</v>
      </c>
      <c r="D1891" s="2">
        <v>-12178.516337999999</v>
      </c>
      <c r="F1891" s="3">
        <v>0.99695900000000004</v>
      </c>
      <c r="G1891" s="2">
        <v>0.18795000000000001</v>
      </c>
      <c r="H1891">
        <v>5</v>
      </c>
      <c r="I1891">
        <v>8</v>
      </c>
      <c r="J1891" s="32"/>
      <c r="K1891" s="8">
        <f t="shared" si="203"/>
        <v>-0.96030769230856095</v>
      </c>
      <c r="L1891" s="8">
        <f t="shared" si="204"/>
        <v>-7.386982248527392E-2</v>
      </c>
      <c r="M1891" s="8">
        <f t="shared" si="205"/>
        <v>-1.1179455384608445</v>
      </c>
      <c r="N1891" s="8">
        <f t="shared" si="206"/>
        <v>-8.5995810650834198E-2</v>
      </c>
      <c r="O1891" s="8"/>
      <c r="P1891" t="s">
        <v>2178</v>
      </c>
      <c r="Q1891">
        <v>36</v>
      </c>
      <c r="R1891" s="8">
        <v>2.8352400000000002</v>
      </c>
      <c r="S1891">
        <v>13</v>
      </c>
      <c r="T1891" s="8">
        <f t="shared" si="207"/>
        <v>0.3611111111111111</v>
      </c>
      <c r="U1891" s="8">
        <v>2.8629899999999999</v>
      </c>
      <c r="V1891">
        <v>20</v>
      </c>
      <c r="W1891" s="8">
        <f t="shared" si="208"/>
        <v>0.55555555555555558</v>
      </c>
      <c r="X1891" s="8">
        <v>2.8243499999999999</v>
      </c>
      <c r="Y1891">
        <v>3</v>
      </c>
      <c r="Z1891" s="8">
        <f t="shared" si="209"/>
        <v>8.3333333333333329E-2</v>
      </c>
      <c r="AA1891" s="8">
        <v>2.7875399999999999</v>
      </c>
    </row>
    <row r="1892" spans="2:27" ht="15" customHeight="1" x14ac:dyDescent="0.25">
      <c r="B1892">
        <v>616</v>
      </c>
      <c r="C1892" s="8">
        <v>-12176.628199999999</v>
      </c>
      <c r="D1892" s="2">
        <v>-12178.402317</v>
      </c>
      <c r="F1892" s="3">
        <v>0.99646699999999999</v>
      </c>
      <c r="G1892" s="2">
        <v>0.19025</v>
      </c>
      <c r="H1892">
        <v>5</v>
      </c>
      <c r="I1892">
        <v>8</v>
      </c>
      <c r="J1892" s="32"/>
      <c r="K1892" s="8">
        <f t="shared" si="203"/>
        <v>-0.75620769230772567</v>
      </c>
      <c r="L1892" s="8">
        <f t="shared" si="204"/>
        <v>-5.8169822485209667E-2</v>
      </c>
      <c r="M1892" s="8">
        <f t="shared" si="205"/>
        <v>-1.0039245384614333</v>
      </c>
      <c r="N1892" s="8">
        <f t="shared" si="206"/>
        <v>-7.7224964497033324E-2</v>
      </c>
      <c r="O1892" s="8"/>
      <c r="P1892" t="s">
        <v>2179</v>
      </c>
      <c r="Q1892">
        <v>35</v>
      </c>
      <c r="R1892" s="8">
        <v>2.8245499999999999</v>
      </c>
      <c r="S1892">
        <v>14</v>
      </c>
      <c r="T1892" s="8">
        <f t="shared" si="207"/>
        <v>0.4</v>
      </c>
      <c r="U1892" s="8">
        <v>2.8489100000000001</v>
      </c>
      <c r="V1892">
        <v>18</v>
      </c>
      <c r="W1892" s="8">
        <f t="shared" si="208"/>
        <v>0.51428571428571423</v>
      </c>
      <c r="X1892" s="8">
        <v>2.7976700000000001</v>
      </c>
      <c r="Y1892">
        <v>3</v>
      </c>
      <c r="Z1892" s="8">
        <f t="shared" si="209"/>
        <v>8.5714285714285715E-2</v>
      </c>
      <c r="AA1892" s="8">
        <v>2.8721700000000001</v>
      </c>
    </row>
    <row r="1893" spans="2:27" ht="15" customHeight="1" x14ac:dyDescent="0.25">
      <c r="B1893">
        <v>617</v>
      </c>
      <c r="C1893" s="8">
        <v>-12176.7479</v>
      </c>
      <c r="D1893" s="2">
        <v>-12178.702380999999</v>
      </c>
      <c r="F1893" s="3">
        <v>0.99741400000000002</v>
      </c>
      <c r="G1893" s="2">
        <v>0.19849</v>
      </c>
      <c r="H1893">
        <v>5</v>
      </c>
      <c r="I1893">
        <v>8</v>
      </c>
      <c r="J1893" s="32"/>
      <c r="K1893" s="8">
        <f t="shared" si="203"/>
        <v>-0.8759076923088287</v>
      </c>
      <c r="L1893" s="8">
        <f t="shared" si="204"/>
        <v>-6.7377514792986828E-2</v>
      </c>
      <c r="M1893" s="8">
        <f t="shared" si="205"/>
        <v>-1.3039885384605441</v>
      </c>
      <c r="N1893" s="8">
        <f t="shared" si="206"/>
        <v>-0.10030681065081108</v>
      </c>
      <c r="O1893" s="8"/>
      <c r="P1893" t="s">
        <v>2180</v>
      </c>
      <c r="Q1893">
        <v>35</v>
      </c>
      <c r="R1893" s="8">
        <v>2.8268200000000001</v>
      </c>
      <c r="S1893">
        <v>11</v>
      </c>
      <c r="T1893" s="8">
        <f t="shared" si="207"/>
        <v>0.31428571428571428</v>
      </c>
      <c r="U1893" s="8">
        <v>2.8682500000000002</v>
      </c>
      <c r="V1893">
        <v>21</v>
      </c>
      <c r="W1893" s="8">
        <f t="shared" si="208"/>
        <v>0.6</v>
      </c>
      <c r="X1893" s="8">
        <v>2.8033999999999999</v>
      </c>
      <c r="Y1893">
        <v>3</v>
      </c>
      <c r="Z1893" s="8">
        <f t="shared" si="209"/>
        <v>8.5714285714285715E-2</v>
      </c>
      <c r="AA1893" s="8">
        <v>2.8388800000000001</v>
      </c>
    </row>
    <row r="1894" spans="2:27" ht="15" customHeight="1" x14ac:dyDescent="0.25">
      <c r="B1894">
        <v>618</v>
      </c>
      <c r="C1894" s="8">
        <v>-12176.771199999999</v>
      </c>
      <c r="D1894" s="2">
        <v>-12178.523316000001</v>
      </c>
      <c r="F1894" s="3">
        <v>0.99699499999999996</v>
      </c>
      <c r="G1894" s="2">
        <v>0.19497999999999899</v>
      </c>
      <c r="H1894">
        <v>5</v>
      </c>
      <c r="I1894">
        <v>8</v>
      </c>
      <c r="J1894" s="32"/>
      <c r="K1894" s="8">
        <f t="shared" si="203"/>
        <v>-0.89920769230775477</v>
      </c>
      <c r="L1894" s="8">
        <f t="shared" si="204"/>
        <v>-6.9169822485211904E-2</v>
      </c>
      <c r="M1894" s="8">
        <f t="shared" si="205"/>
        <v>-1.1249235384620988</v>
      </c>
      <c r="N1894" s="8">
        <f t="shared" si="206"/>
        <v>-8.6532579881699906E-2</v>
      </c>
      <c r="O1894" s="8"/>
      <c r="P1894" t="s">
        <v>2181</v>
      </c>
      <c r="Q1894">
        <v>36</v>
      </c>
      <c r="R1894" s="8">
        <v>2.8323399999999999</v>
      </c>
      <c r="S1894">
        <v>12</v>
      </c>
      <c r="T1894" s="8">
        <f t="shared" si="207"/>
        <v>0.33333333333333331</v>
      </c>
      <c r="U1894" s="8">
        <v>2.8250799999999998</v>
      </c>
      <c r="V1894">
        <v>20</v>
      </c>
      <c r="W1894" s="8">
        <f t="shared" si="208"/>
        <v>0.55555555555555558</v>
      </c>
      <c r="X1894" s="8">
        <v>2.8422900000000002</v>
      </c>
      <c r="Y1894">
        <v>4</v>
      </c>
      <c r="Z1894" s="8">
        <f t="shared" si="209"/>
        <v>0.1111111111111111</v>
      </c>
      <c r="AA1894" s="8">
        <v>2.8044099999999998</v>
      </c>
    </row>
    <row r="1895" spans="2:27" ht="15" customHeight="1" x14ac:dyDescent="0.25">
      <c r="B1895">
        <v>619</v>
      </c>
      <c r="C1895" s="8">
        <v>-12176.6504</v>
      </c>
      <c r="D1895" s="2">
        <v>-12178.185734000001</v>
      </c>
      <c r="F1895" s="3">
        <v>0.99531099999999995</v>
      </c>
      <c r="G1895" s="2">
        <v>0.18156999999999901</v>
      </c>
      <c r="H1895">
        <v>5</v>
      </c>
      <c r="I1895">
        <v>8</v>
      </c>
      <c r="J1895" s="32"/>
      <c r="K1895" s="8">
        <f t="shared" si="203"/>
        <v>-0.77840769230897422</v>
      </c>
      <c r="L1895" s="8">
        <f t="shared" si="204"/>
        <v>-5.9877514792998014E-2</v>
      </c>
      <c r="M1895" s="8">
        <f t="shared" si="205"/>
        <v>-0.78734153846198751</v>
      </c>
      <c r="N1895" s="8">
        <f t="shared" si="206"/>
        <v>-6.0564733727845196E-2</v>
      </c>
      <c r="O1895" s="8"/>
      <c r="P1895" t="s">
        <v>2182</v>
      </c>
      <c r="Q1895">
        <v>35</v>
      </c>
      <c r="R1895" s="8">
        <v>2.8252199999999998</v>
      </c>
      <c r="S1895">
        <v>14</v>
      </c>
      <c r="T1895" s="8">
        <f t="shared" si="207"/>
        <v>0.4</v>
      </c>
      <c r="U1895" s="8">
        <v>2.8387199999999999</v>
      </c>
      <c r="V1895">
        <v>17</v>
      </c>
      <c r="W1895" s="8">
        <f t="shared" si="208"/>
        <v>0.48571428571428571</v>
      </c>
      <c r="X1895" s="8">
        <v>2.8208199999999999</v>
      </c>
      <c r="Y1895">
        <v>4</v>
      </c>
      <c r="Z1895" s="8">
        <f t="shared" si="209"/>
        <v>0.11428571428571428</v>
      </c>
      <c r="AA1895" s="8">
        <v>2.7967200000000001</v>
      </c>
    </row>
    <row r="1896" spans="2:27" ht="15" customHeight="1" x14ac:dyDescent="0.25">
      <c r="B1896">
        <v>620</v>
      </c>
      <c r="C1896" s="8">
        <v>-12176.6481</v>
      </c>
      <c r="D1896" s="2">
        <v>-12178.163769000001</v>
      </c>
      <c r="F1896" s="3">
        <v>0.99596200000000001</v>
      </c>
      <c r="G1896" s="2">
        <v>0.18615000000000001</v>
      </c>
      <c r="H1896">
        <v>5</v>
      </c>
      <c r="I1896">
        <v>8</v>
      </c>
      <c r="J1896" s="32"/>
      <c r="K1896" s="8">
        <f t="shared" si="203"/>
        <v>-0.77610769230886945</v>
      </c>
      <c r="L1896" s="8">
        <f t="shared" si="204"/>
        <v>-5.9700591716066884E-2</v>
      </c>
      <c r="M1896" s="8">
        <f t="shared" si="205"/>
        <v>-0.76537653846207832</v>
      </c>
      <c r="N1896" s="8">
        <f t="shared" si="206"/>
        <v>-5.887511834323679E-2</v>
      </c>
      <c r="O1896" s="8"/>
      <c r="P1896" t="s">
        <v>2183</v>
      </c>
      <c r="Q1896">
        <v>35</v>
      </c>
      <c r="R1896" s="8">
        <v>2.82457</v>
      </c>
      <c r="S1896">
        <v>13</v>
      </c>
      <c r="T1896" s="8">
        <f t="shared" si="207"/>
        <v>0.37142857142857144</v>
      </c>
      <c r="U1896" s="8">
        <v>2.82138</v>
      </c>
      <c r="V1896">
        <v>18</v>
      </c>
      <c r="W1896" s="8">
        <f t="shared" si="208"/>
        <v>0.51428571428571423</v>
      </c>
      <c r="X1896" s="8">
        <v>2.8186</v>
      </c>
      <c r="Y1896">
        <v>4</v>
      </c>
      <c r="Z1896" s="8">
        <f t="shared" si="209"/>
        <v>0.11428571428571428</v>
      </c>
      <c r="AA1896" s="8">
        <v>2.86178</v>
      </c>
    </row>
    <row r="1897" spans="2:27" ht="15" customHeight="1" x14ac:dyDescent="0.25">
      <c r="B1897">
        <v>621</v>
      </c>
      <c r="C1897" s="8">
        <v>-12176.4637</v>
      </c>
      <c r="D1897" s="2">
        <v>-12178.131520000001</v>
      </c>
      <c r="F1897" s="3">
        <v>0.99687599999999998</v>
      </c>
      <c r="G1897" s="2">
        <v>0.19374</v>
      </c>
      <c r="H1897">
        <v>5</v>
      </c>
      <c r="I1897">
        <v>8</v>
      </c>
      <c r="J1897" s="32"/>
      <c r="K1897" s="8">
        <f t="shared" si="203"/>
        <v>-0.5917076923087734</v>
      </c>
      <c r="L1897" s="8">
        <f t="shared" si="204"/>
        <v>-4.5515976331444108E-2</v>
      </c>
      <c r="M1897" s="8">
        <f t="shared" si="205"/>
        <v>-0.73312753846221312</v>
      </c>
      <c r="N1897" s="8">
        <f t="shared" si="206"/>
        <v>-5.6394426035554855E-2</v>
      </c>
      <c r="O1897" s="8"/>
      <c r="P1897" t="s">
        <v>2184</v>
      </c>
      <c r="Q1897">
        <v>35</v>
      </c>
      <c r="R1897" s="8">
        <v>2.82389</v>
      </c>
      <c r="S1897">
        <v>15</v>
      </c>
      <c r="T1897" s="8">
        <f t="shared" si="207"/>
        <v>0.42857142857142855</v>
      </c>
      <c r="U1897" s="8">
        <v>2.8396599999999999</v>
      </c>
      <c r="V1897">
        <v>15</v>
      </c>
      <c r="W1897" s="8">
        <f t="shared" si="208"/>
        <v>0.42857142857142855</v>
      </c>
      <c r="X1897" s="8">
        <v>2.81325</v>
      </c>
      <c r="Y1897">
        <v>5</v>
      </c>
      <c r="Z1897" s="8">
        <f t="shared" si="209"/>
        <v>0.14285714285714285</v>
      </c>
      <c r="AA1897" s="8">
        <v>2.8084799999999999</v>
      </c>
    </row>
    <row r="1898" spans="2:27" ht="15" customHeight="1" x14ac:dyDescent="0.25">
      <c r="B1898">
        <v>622</v>
      </c>
      <c r="C1898" s="8">
        <v>-12176.704599999999</v>
      </c>
      <c r="D1898" s="2">
        <v>-12178.597897</v>
      </c>
      <c r="F1898" s="3">
        <v>0.99653000000000003</v>
      </c>
      <c r="G1898" s="2">
        <v>0.19070999999999999</v>
      </c>
      <c r="H1898">
        <v>5</v>
      </c>
      <c r="I1898">
        <v>8</v>
      </c>
      <c r="J1898" s="32"/>
      <c r="K1898" s="8">
        <f t="shared" si="203"/>
        <v>-0.83260769230764708</v>
      </c>
      <c r="L1898" s="8">
        <f t="shared" si="204"/>
        <v>-6.4046745562126695E-2</v>
      </c>
      <c r="M1898" s="8">
        <f t="shared" si="205"/>
        <v>-1.1995045384610421</v>
      </c>
      <c r="N1898" s="8">
        <f t="shared" si="206"/>
        <v>-9.226957988161863E-2</v>
      </c>
      <c r="O1898" s="8"/>
      <c r="P1898" t="s">
        <v>2185</v>
      </c>
      <c r="Q1898">
        <v>35</v>
      </c>
      <c r="R1898" s="8">
        <v>2.8264100000000001</v>
      </c>
      <c r="S1898">
        <v>13</v>
      </c>
      <c r="T1898" s="8">
        <f t="shared" si="207"/>
        <v>0.37142857142857144</v>
      </c>
      <c r="U1898" s="8">
        <v>2.8637700000000001</v>
      </c>
      <c r="V1898">
        <v>19</v>
      </c>
      <c r="W1898" s="8">
        <f t="shared" si="208"/>
        <v>0.54285714285714282</v>
      </c>
      <c r="X1898" s="8">
        <v>2.79582</v>
      </c>
      <c r="Y1898">
        <v>3</v>
      </c>
      <c r="Z1898" s="8">
        <f t="shared" si="209"/>
        <v>8.5714285714285715E-2</v>
      </c>
      <c r="AA1898" s="8">
        <v>2.85832</v>
      </c>
    </row>
    <row r="1899" spans="2:27" ht="15" customHeight="1" x14ac:dyDescent="0.25">
      <c r="B1899">
        <v>623</v>
      </c>
      <c r="C1899" s="8">
        <v>-12176.5849</v>
      </c>
      <c r="D1899" s="2">
        <v>-12178.471543</v>
      </c>
      <c r="F1899" s="3">
        <v>0.99475499999999994</v>
      </c>
      <c r="G1899" s="2">
        <v>0.17823</v>
      </c>
      <c r="H1899">
        <v>5</v>
      </c>
      <c r="I1899">
        <v>8</v>
      </c>
      <c r="J1899" s="32"/>
      <c r="K1899" s="8">
        <f t="shared" si="203"/>
        <v>-0.71290769230836304</v>
      </c>
      <c r="L1899" s="8">
        <f t="shared" si="204"/>
        <v>-5.4839053254489463E-2</v>
      </c>
      <c r="M1899" s="8">
        <f t="shared" si="205"/>
        <v>-1.07315053846105</v>
      </c>
      <c r="N1899" s="8">
        <f t="shared" si="206"/>
        <v>-8.2550041420080766E-2</v>
      </c>
      <c r="O1899" s="8"/>
      <c r="P1899" t="s">
        <v>2186</v>
      </c>
      <c r="Q1899">
        <v>36</v>
      </c>
      <c r="R1899" s="8">
        <v>2.8323800000000001</v>
      </c>
      <c r="S1899">
        <v>14</v>
      </c>
      <c r="T1899" s="8">
        <f t="shared" si="207"/>
        <v>0.3888888888888889</v>
      </c>
      <c r="U1899" s="8">
        <v>2.8411599999999999</v>
      </c>
      <c r="V1899">
        <v>18</v>
      </c>
      <c r="W1899" s="8">
        <f t="shared" si="208"/>
        <v>0.5</v>
      </c>
      <c r="X1899" s="8">
        <v>2.82735</v>
      </c>
      <c r="Y1899">
        <v>4</v>
      </c>
      <c r="Z1899" s="8">
        <f t="shared" si="209"/>
        <v>0.1111111111111111</v>
      </c>
      <c r="AA1899" s="8">
        <v>2.8243</v>
      </c>
    </row>
    <row r="1900" spans="2:27" ht="15" customHeight="1" x14ac:dyDescent="0.25">
      <c r="B1900">
        <v>624</v>
      </c>
      <c r="C1900" s="8">
        <v>-12176.4521</v>
      </c>
      <c r="D1900" s="2">
        <v>-12178.187701000001</v>
      </c>
      <c r="F1900" s="3">
        <v>0.99292000000000002</v>
      </c>
      <c r="G1900" s="2">
        <v>0.16919000000000001</v>
      </c>
      <c r="H1900">
        <v>5</v>
      </c>
      <c r="I1900">
        <v>8</v>
      </c>
      <c r="J1900" s="32"/>
      <c r="K1900" s="8">
        <f t="shared" si="203"/>
        <v>-0.58010769230895676</v>
      </c>
      <c r="L1900" s="8">
        <f t="shared" si="204"/>
        <v>-4.4623668639150522E-2</v>
      </c>
      <c r="M1900" s="8">
        <f t="shared" si="205"/>
        <v>-0.78930853846213722</v>
      </c>
      <c r="N1900" s="8">
        <f t="shared" si="206"/>
        <v>-6.0716041420164402E-2</v>
      </c>
      <c r="O1900" s="8"/>
      <c r="P1900" t="s">
        <v>2187</v>
      </c>
      <c r="Q1900">
        <v>34</v>
      </c>
      <c r="R1900" s="8">
        <v>2.82063</v>
      </c>
      <c r="S1900">
        <v>15</v>
      </c>
      <c r="T1900" s="8">
        <f t="shared" si="207"/>
        <v>0.44117647058823528</v>
      </c>
      <c r="U1900" s="8">
        <v>2.8364199999999999</v>
      </c>
      <c r="V1900">
        <v>16</v>
      </c>
      <c r="W1900" s="8">
        <f t="shared" si="208"/>
        <v>0.47058823529411764</v>
      </c>
      <c r="X1900" s="8">
        <v>2.8034500000000002</v>
      </c>
      <c r="Y1900">
        <v>3</v>
      </c>
      <c r="Z1900" s="8">
        <f t="shared" si="209"/>
        <v>8.8235294117647065E-2</v>
      </c>
      <c r="AA1900" s="8">
        <v>2.8332799999999998</v>
      </c>
    </row>
    <row r="1901" spans="2:27" ht="15" customHeight="1" x14ac:dyDescent="0.25">
      <c r="B1901">
        <v>625</v>
      </c>
      <c r="C1901" s="8">
        <v>-12176.6041</v>
      </c>
      <c r="D1901" s="2">
        <v>-12178.351839000001</v>
      </c>
      <c r="F1901" s="3">
        <v>0.99027200000000004</v>
      </c>
      <c r="G1901" s="2">
        <v>0.15961999999999901</v>
      </c>
      <c r="H1901">
        <v>5</v>
      </c>
      <c r="I1901">
        <v>8</v>
      </c>
      <c r="J1901" s="32"/>
      <c r="K1901" s="8">
        <f t="shared" si="203"/>
        <v>-0.73210769230900041</v>
      </c>
      <c r="L1901" s="8">
        <f t="shared" si="204"/>
        <v>-5.631597633146157E-2</v>
      </c>
      <c r="M1901" s="8">
        <f t="shared" si="205"/>
        <v>-0.95344653846223082</v>
      </c>
      <c r="N1901" s="8">
        <f t="shared" si="206"/>
        <v>-7.3342041420171603E-2</v>
      </c>
      <c r="O1901" s="8"/>
      <c r="P1901" t="s">
        <v>2188</v>
      </c>
      <c r="Q1901">
        <v>36</v>
      </c>
      <c r="R1901" s="8">
        <v>2.8428100000000001</v>
      </c>
      <c r="S1901">
        <v>13</v>
      </c>
      <c r="T1901" s="8">
        <f t="shared" si="207"/>
        <v>0.3611111111111111</v>
      </c>
      <c r="U1901" s="8">
        <v>2.91784</v>
      </c>
      <c r="V1901">
        <v>21</v>
      </c>
      <c r="W1901" s="8">
        <f t="shared" si="208"/>
        <v>0.58333333333333337</v>
      </c>
      <c r="X1901" s="8">
        <v>2.8037800000000002</v>
      </c>
      <c r="Y1901">
        <v>2</v>
      </c>
      <c r="Z1901" s="8">
        <f t="shared" si="209"/>
        <v>5.5555555555555552E-2</v>
      </c>
      <c r="AA1901" s="8">
        <v>2.7648299999999999</v>
      </c>
    </row>
    <row r="1902" spans="2:27" ht="15" customHeight="1" x14ac:dyDescent="0.25">
      <c r="B1902">
        <v>626</v>
      </c>
      <c r="C1902" s="8">
        <v>-12176.4845</v>
      </c>
      <c r="D1902" s="2">
        <v>-12178.295182</v>
      </c>
      <c r="F1902" s="3">
        <v>0.99352499999999999</v>
      </c>
      <c r="G1902" s="2">
        <v>0.17188000000000001</v>
      </c>
      <c r="H1902">
        <v>5</v>
      </c>
      <c r="I1902">
        <v>8</v>
      </c>
      <c r="J1902" s="32"/>
      <c r="K1902" s="8">
        <f t="shared" si="203"/>
        <v>-0.61250769230900914</v>
      </c>
      <c r="L1902" s="8">
        <f t="shared" si="204"/>
        <v>-4.7115976331462243E-2</v>
      </c>
      <c r="M1902" s="8">
        <f t="shared" si="205"/>
        <v>-0.89678953846123477</v>
      </c>
      <c r="N1902" s="8">
        <f t="shared" si="206"/>
        <v>-6.8983810650864216E-2</v>
      </c>
      <c r="O1902" s="8"/>
      <c r="P1902" t="s">
        <v>2189</v>
      </c>
      <c r="Q1902">
        <v>34</v>
      </c>
      <c r="R1902" s="8">
        <v>2.8156699999999999</v>
      </c>
      <c r="S1902">
        <v>14</v>
      </c>
      <c r="T1902" s="8">
        <f t="shared" si="207"/>
        <v>0.41176470588235292</v>
      </c>
      <c r="U1902" s="8">
        <v>2.8521299999999998</v>
      </c>
      <c r="V1902">
        <v>18</v>
      </c>
      <c r="W1902" s="8">
        <f t="shared" si="208"/>
        <v>0.52941176470588236</v>
      </c>
      <c r="X1902" s="8">
        <v>2.7874500000000002</v>
      </c>
      <c r="Y1902">
        <v>2</v>
      </c>
      <c r="Z1902" s="8">
        <f t="shared" si="209"/>
        <v>5.8823529411764705E-2</v>
      </c>
      <c r="AA1902" s="8">
        <v>2.8144499999999999</v>
      </c>
    </row>
    <row r="1903" spans="2:27" ht="15" customHeight="1" x14ac:dyDescent="0.25">
      <c r="B1903">
        <v>627</v>
      </c>
      <c r="C1903" s="8">
        <v>-12176.8267</v>
      </c>
      <c r="D1903" s="2">
        <v>-12178.268208</v>
      </c>
      <c r="F1903" s="3">
        <v>0.99768299999999999</v>
      </c>
      <c r="G1903" s="2">
        <v>0.20263999999999999</v>
      </c>
      <c r="H1903">
        <v>5</v>
      </c>
      <c r="I1903">
        <v>8</v>
      </c>
      <c r="J1903" s="32"/>
      <c r="K1903" s="8">
        <f t="shared" si="203"/>
        <v>-0.95470769230814767</v>
      </c>
      <c r="L1903" s="8">
        <f t="shared" si="204"/>
        <v>-7.3439053254472891E-2</v>
      </c>
      <c r="M1903" s="8">
        <f t="shared" si="205"/>
        <v>-0.8698155384608981</v>
      </c>
      <c r="N1903" s="8">
        <f t="shared" si="206"/>
        <v>-6.6908887573915235E-2</v>
      </c>
      <c r="O1903" s="8"/>
      <c r="P1903" t="s">
        <v>2190</v>
      </c>
      <c r="Q1903">
        <v>36</v>
      </c>
      <c r="R1903" s="8">
        <v>2.8328899999999999</v>
      </c>
      <c r="S1903">
        <v>12</v>
      </c>
      <c r="T1903" s="8">
        <f t="shared" si="207"/>
        <v>0.33333333333333331</v>
      </c>
      <c r="U1903" s="8">
        <v>2.8325</v>
      </c>
      <c r="V1903">
        <v>19</v>
      </c>
      <c r="W1903" s="8">
        <f t="shared" si="208"/>
        <v>0.52777777777777779</v>
      </c>
      <c r="X1903" s="8">
        <v>2.83955</v>
      </c>
      <c r="Y1903">
        <v>5</v>
      </c>
      <c r="Z1903" s="8">
        <f t="shared" si="209"/>
        <v>0.1388888888888889</v>
      </c>
      <c r="AA1903" s="8">
        <v>2.8084699999999998</v>
      </c>
    </row>
    <row r="1904" spans="2:27" ht="15" customHeight="1" x14ac:dyDescent="0.25">
      <c r="B1904">
        <v>628</v>
      </c>
      <c r="C1904" s="8">
        <v>-12176.4845</v>
      </c>
      <c r="D1904" s="2">
        <v>-12177.910624</v>
      </c>
      <c r="F1904" s="3">
        <v>0.99552300000000005</v>
      </c>
      <c r="G1904" s="2">
        <v>0.18296000000000001</v>
      </c>
      <c r="H1904">
        <v>5</v>
      </c>
      <c r="I1904">
        <v>8</v>
      </c>
      <c r="J1904" s="32"/>
      <c r="K1904" s="8">
        <f t="shared" si="203"/>
        <v>-0.61250769230900914</v>
      </c>
      <c r="L1904" s="8">
        <f t="shared" si="204"/>
        <v>-4.7115976331462243E-2</v>
      </c>
      <c r="M1904" s="8">
        <f t="shared" si="205"/>
        <v>-0.51223153846149216</v>
      </c>
      <c r="N1904" s="8">
        <f t="shared" si="206"/>
        <v>-3.9402426035499399E-2</v>
      </c>
      <c r="O1904" s="8"/>
      <c r="P1904" t="s">
        <v>2191</v>
      </c>
      <c r="Q1904">
        <v>35</v>
      </c>
      <c r="R1904" s="8">
        <v>2.8258299999999998</v>
      </c>
      <c r="S1904">
        <v>15</v>
      </c>
      <c r="T1904" s="8">
        <f t="shared" si="207"/>
        <v>0.42857142857142855</v>
      </c>
      <c r="U1904" s="8">
        <v>2.8388499999999999</v>
      </c>
      <c r="V1904">
        <v>14</v>
      </c>
      <c r="W1904" s="8">
        <f t="shared" si="208"/>
        <v>0.4</v>
      </c>
      <c r="X1904" s="8">
        <v>2.8246500000000001</v>
      </c>
      <c r="Y1904">
        <v>6</v>
      </c>
      <c r="Z1904" s="8">
        <f t="shared" si="209"/>
        <v>0.17142857142857143</v>
      </c>
      <c r="AA1904" s="8">
        <v>2.79603</v>
      </c>
    </row>
    <row r="1905" spans="1:27" ht="15" customHeight="1" x14ac:dyDescent="0.25">
      <c r="B1905">
        <v>629</v>
      </c>
      <c r="C1905" s="8">
        <v>-12176.7528</v>
      </c>
      <c r="D1905" s="2">
        <v>-12178.184628000001</v>
      </c>
      <c r="F1905" s="3">
        <v>0.99076699999999995</v>
      </c>
      <c r="G1905" s="2">
        <v>0.161189999999999</v>
      </c>
      <c r="H1905">
        <v>5</v>
      </c>
      <c r="I1905">
        <v>8</v>
      </c>
      <c r="J1905" s="32"/>
      <c r="K1905" s="8">
        <f t="shared" si="203"/>
        <v>-0.88080769230873557</v>
      </c>
      <c r="L1905" s="8">
        <f t="shared" si="204"/>
        <v>-6.7754437869902734E-2</v>
      </c>
      <c r="M1905" s="8">
        <f t="shared" si="205"/>
        <v>-0.78623553846227878</v>
      </c>
      <c r="N1905" s="8">
        <f t="shared" si="206"/>
        <v>-6.0479656804790678E-2</v>
      </c>
      <c r="O1905" s="8"/>
      <c r="P1905" t="s">
        <v>2192</v>
      </c>
      <c r="Q1905">
        <v>34</v>
      </c>
      <c r="R1905" s="8">
        <v>2.8163</v>
      </c>
      <c r="S1905">
        <v>14</v>
      </c>
      <c r="T1905" s="8">
        <f t="shared" si="207"/>
        <v>0.41176470588235292</v>
      </c>
      <c r="U1905" s="8">
        <v>2.81474</v>
      </c>
      <c r="V1905">
        <v>15</v>
      </c>
      <c r="W1905" s="8">
        <f t="shared" si="208"/>
        <v>0.44117647058823528</v>
      </c>
      <c r="X1905" s="8">
        <v>2.8069500000000001</v>
      </c>
      <c r="Y1905">
        <v>5</v>
      </c>
      <c r="Z1905" s="8">
        <f t="shared" si="209"/>
        <v>0.14705882352941177</v>
      </c>
      <c r="AA1905" s="8">
        <v>2.8487399999999998</v>
      </c>
    </row>
    <row r="1906" spans="1:27" ht="15" customHeight="1" x14ac:dyDescent="0.25">
      <c r="B1906">
        <v>630</v>
      </c>
      <c r="C1906" s="8">
        <v>-12176.6618</v>
      </c>
      <c r="D1906" s="2">
        <v>-12178.308638</v>
      </c>
      <c r="F1906" s="3">
        <v>0.99641900000000005</v>
      </c>
      <c r="G1906" s="2">
        <v>0.18981000000000001</v>
      </c>
      <c r="H1906">
        <v>5</v>
      </c>
      <c r="I1906">
        <v>8</v>
      </c>
      <c r="J1906" s="32"/>
      <c r="K1906" s="8">
        <f t="shared" si="203"/>
        <v>-0.78980769230838632</v>
      </c>
      <c r="L1906" s="8">
        <f t="shared" si="204"/>
        <v>-6.0754437869875874E-2</v>
      </c>
      <c r="M1906" s="8">
        <f t="shared" si="205"/>
        <v>-0.91024553846182243</v>
      </c>
      <c r="N1906" s="8">
        <f t="shared" si="206"/>
        <v>-7.0018887573986346E-2</v>
      </c>
      <c r="O1906" s="8"/>
      <c r="P1906" t="s">
        <v>2193</v>
      </c>
      <c r="Q1906">
        <v>35</v>
      </c>
      <c r="R1906" s="8">
        <v>2.8273600000000001</v>
      </c>
      <c r="S1906">
        <v>14</v>
      </c>
      <c r="T1906" s="8">
        <f t="shared" si="207"/>
        <v>0.4</v>
      </c>
      <c r="U1906" s="8">
        <v>2.8384900000000002</v>
      </c>
      <c r="V1906">
        <v>16</v>
      </c>
      <c r="W1906" s="8">
        <f t="shared" si="208"/>
        <v>0.45714285714285713</v>
      </c>
      <c r="X1906" s="8">
        <v>2.8195800000000002</v>
      </c>
      <c r="Y1906">
        <v>5</v>
      </c>
      <c r="Z1906" s="8">
        <f t="shared" si="209"/>
        <v>0.14285714285714285</v>
      </c>
      <c r="AA1906" s="8">
        <v>2.8210999999999999</v>
      </c>
    </row>
    <row r="1907" spans="1:27" ht="15" customHeight="1" x14ac:dyDescent="0.25">
      <c r="B1907">
        <v>631</v>
      </c>
      <c r="C1907" s="8">
        <v>-12176.6994</v>
      </c>
      <c r="D1907" s="2">
        <v>-12178.368192</v>
      </c>
      <c r="F1907" s="3">
        <v>0.99650799999999995</v>
      </c>
      <c r="G1907" s="2">
        <v>0.19045999999999999</v>
      </c>
      <c r="H1907">
        <v>5</v>
      </c>
      <c r="I1907">
        <v>8</v>
      </c>
      <c r="J1907" s="32"/>
      <c r="K1907" s="8">
        <f t="shared" si="203"/>
        <v>-0.8274076923080429</v>
      </c>
      <c r="L1907" s="8">
        <f t="shared" si="204"/>
        <v>-6.3646745562157145E-2</v>
      </c>
      <c r="M1907" s="8">
        <f t="shared" si="205"/>
        <v>-0.96979953846130229</v>
      </c>
      <c r="N1907" s="8">
        <f t="shared" si="206"/>
        <v>-7.4599964497023247E-2</v>
      </c>
      <c r="O1907" s="8"/>
      <c r="P1907" t="s">
        <v>2194</v>
      </c>
      <c r="Q1907">
        <v>35</v>
      </c>
      <c r="R1907" s="8">
        <v>2.8235199999999998</v>
      </c>
      <c r="S1907">
        <v>14</v>
      </c>
      <c r="T1907" s="8">
        <f t="shared" si="207"/>
        <v>0.4</v>
      </c>
      <c r="U1907" s="8">
        <v>2.8298000000000001</v>
      </c>
      <c r="V1907">
        <v>16</v>
      </c>
      <c r="W1907" s="8">
        <f t="shared" si="208"/>
        <v>0.45714285714285713</v>
      </c>
      <c r="X1907" s="8">
        <v>2.81867</v>
      </c>
      <c r="Y1907">
        <v>5</v>
      </c>
      <c r="Z1907" s="8">
        <f t="shared" si="209"/>
        <v>0.14285714285714285</v>
      </c>
      <c r="AA1907" s="8">
        <v>2.8214299999999999</v>
      </c>
    </row>
    <row r="1908" spans="1:27" ht="15" customHeight="1" x14ac:dyDescent="0.25">
      <c r="B1908">
        <v>632</v>
      </c>
      <c r="C1908" s="8">
        <v>-12176.526599999999</v>
      </c>
      <c r="D1908" s="2">
        <v>-12178.181076999999</v>
      </c>
      <c r="F1908" s="3">
        <v>0.99580400000000002</v>
      </c>
      <c r="G1908" s="2">
        <v>0.18495</v>
      </c>
      <c r="H1908">
        <v>5</v>
      </c>
      <c r="I1908">
        <v>8</v>
      </c>
      <c r="J1908" s="32"/>
      <c r="K1908" s="8">
        <f t="shared" si="203"/>
        <v>-0.6546076923077635</v>
      </c>
      <c r="L1908" s="8">
        <f t="shared" si="204"/>
        <v>-5.0354437869827962E-2</v>
      </c>
      <c r="M1908" s="8">
        <f t="shared" si="205"/>
        <v>-0.78268453846067132</v>
      </c>
      <c r="N1908" s="8">
        <f t="shared" si="206"/>
        <v>-6.0206502958513181E-2</v>
      </c>
      <c r="O1908" s="8"/>
      <c r="P1908" t="s">
        <v>2195</v>
      </c>
      <c r="Q1908">
        <v>34</v>
      </c>
      <c r="R1908" s="8">
        <v>2.8145899999999999</v>
      </c>
      <c r="S1908">
        <v>14</v>
      </c>
      <c r="T1908" s="8">
        <f t="shared" si="207"/>
        <v>0.41176470588235292</v>
      </c>
      <c r="U1908" s="8">
        <v>2.8190599999999999</v>
      </c>
      <c r="V1908">
        <v>16</v>
      </c>
      <c r="W1908" s="8">
        <f t="shared" si="208"/>
        <v>0.47058823529411764</v>
      </c>
      <c r="X1908" s="8">
        <v>2.8245399999999998</v>
      </c>
      <c r="Y1908">
        <v>4</v>
      </c>
      <c r="Z1908" s="8">
        <f t="shared" si="209"/>
        <v>0.11764705882352941</v>
      </c>
      <c r="AA1908" s="8">
        <v>2.7591299999999999</v>
      </c>
    </row>
    <row r="1909" spans="1:27" ht="15" customHeight="1" x14ac:dyDescent="0.25">
      <c r="B1909">
        <v>633</v>
      </c>
      <c r="C1909" s="8">
        <v>-12176.5738</v>
      </c>
      <c r="D1909" s="2">
        <v>-12178.245499000001</v>
      </c>
      <c r="F1909" s="3">
        <v>0.99639100000000003</v>
      </c>
      <c r="G1909" s="2">
        <v>0.1895</v>
      </c>
      <c r="H1909">
        <v>5</v>
      </c>
      <c r="I1909">
        <v>8</v>
      </c>
      <c r="J1909" s="32"/>
      <c r="K1909" s="8">
        <f t="shared" si="203"/>
        <v>-0.70180769230864826</v>
      </c>
      <c r="L1909" s="8">
        <f t="shared" si="204"/>
        <v>-5.3985207100665247E-2</v>
      </c>
      <c r="M1909" s="8">
        <f t="shared" si="205"/>
        <v>-0.84710653846195783</v>
      </c>
      <c r="N1909" s="8">
        <f t="shared" si="206"/>
        <v>-6.5162041420150599E-2</v>
      </c>
      <c r="O1909" s="8"/>
      <c r="P1909" t="s">
        <v>2196</v>
      </c>
      <c r="Q1909">
        <v>34</v>
      </c>
      <c r="R1909" s="8">
        <v>2.8169</v>
      </c>
      <c r="S1909">
        <v>15</v>
      </c>
      <c r="T1909" s="8">
        <f t="shared" si="207"/>
        <v>0.44117647058823528</v>
      </c>
      <c r="U1909" s="8">
        <v>2.8272400000000002</v>
      </c>
      <c r="V1909">
        <v>13</v>
      </c>
      <c r="W1909" s="8">
        <f t="shared" si="208"/>
        <v>0.38235294117647056</v>
      </c>
      <c r="X1909" s="8">
        <v>2.79853</v>
      </c>
      <c r="Y1909">
        <v>6</v>
      </c>
      <c r="Z1909" s="8">
        <f t="shared" si="209"/>
        <v>0.17647058823529413</v>
      </c>
      <c r="AA1909" s="8">
        <v>2.8308599999999999</v>
      </c>
    </row>
    <row r="1910" spans="1:27" ht="15" customHeight="1" x14ac:dyDescent="0.25">
      <c r="B1910">
        <v>634</v>
      </c>
      <c r="C1910" s="8">
        <v>-12176.837600000001</v>
      </c>
      <c r="D1910" s="2">
        <v>-12178.447731</v>
      </c>
      <c r="F1910" s="3">
        <v>0.99424199999999996</v>
      </c>
      <c r="G1910" s="2">
        <v>0.17537</v>
      </c>
      <c r="H1910">
        <v>5</v>
      </c>
      <c r="I1910">
        <v>8</v>
      </c>
      <c r="J1910" s="32"/>
      <c r="K1910" s="8">
        <f t="shared" si="203"/>
        <v>-0.9656076923092769</v>
      </c>
      <c r="L1910" s="8">
        <f t="shared" si="204"/>
        <v>-7.4277514793021304E-2</v>
      </c>
      <c r="M1910" s="8">
        <f t="shared" si="205"/>
        <v>-1.0493385384615976</v>
      </c>
      <c r="N1910" s="8">
        <f t="shared" si="206"/>
        <v>-8.0718349112430587E-2</v>
      </c>
      <c r="O1910" s="8"/>
      <c r="P1910" t="s">
        <v>2197</v>
      </c>
      <c r="Q1910">
        <v>35</v>
      </c>
      <c r="R1910" s="8">
        <v>2.8239399999999999</v>
      </c>
      <c r="S1910">
        <v>13</v>
      </c>
      <c r="T1910" s="8">
        <f t="shared" si="207"/>
        <v>0.37142857142857144</v>
      </c>
      <c r="U1910" s="8">
        <v>2.8249300000000002</v>
      </c>
      <c r="V1910">
        <v>18</v>
      </c>
      <c r="W1910" s="8">
        <f t="shared" si="208"/>
        <v>0.51428571428571423</v>
      </c>
      <c r="X1910" s="8">
        <v>2.8214399999999999</v>
      </c>
      <c r="Y1910">
        <v>4</v>
      </c>
      <c r="Z1910" s="8">
        <f t="shared" si="209"/>
        <v>0.11428571428571428</v>
      </c>
      <c r="AA1910" s="8">
        <v>2.8319700000000001</v>
      </c>
    </row>
    <row r="1911" spans="1:27" ht="15" customHeight="1" x14ac:dyDescent="0.25">
      <c r="B1911">
        <v>635</v>
      </c>
      <c r="C1911" s="8">
        <v>-12176.485199999999</v>
      </c>
      <c r="D1911" s="2">
        <v>-12178.142184</v>
      </c>
      <c r="F1911" s="3">
        <v>0.99458999999999997</v>
      </c>
      <c r="G1911" s="2">
        <v>0.17726</v>
      </c>
      <c r="H1911">
        <v>5</v>
      </c>
      <c r="I1911">
        <v>8</v>
      </c>
      <c r="J1911" s="32"/>
      <c r="K1911" s="8">
        <f t="shared" si="203"/>
        <v>-0.61320769230769656</v>
      </c>
      <c r="L1911" s="8">
        <f t="shared" si="204"/>
        <v>-4.716982248520743E-2</v>
      </c>
      <c r="M1911" s="8">
        <f t="shared" si="205"/>
        <v>-0.74379153846166446</v>
      </c>
      <c r="N1911" s="8">
        <f t="shared" si="206"/>
        <v>-5.7214733727820342E-2</v>
      </c>
      <c r="O1911" s="8"/>
      <c r="P1911" t="s">
        <v>2198</v>
      </c>
      <c r="Q1911">
        <v>36</v>
      </c>
      <c r="R1911" s="8">
        <v>2.83927</v>
      </c>
      <c r="S1911">
        <v>16</v>
      </c>
      <c r="T1911" s="8">
        <f t="shared" si="207"/>
        <v>0.44444444444444442</v>
      </c>
      <c r="U1911" s="8">
        <v>2.8461699999999999</v>
      </c>
      <c r="V1911">
        <v>15</v>
      </c>
      <c r="W1911" s="8">
        <f t="shared" si="208"/>
        <v>0.41666666666666669</v>
      </c>
      <c r="X1911" s="8">
        <v>2.8281000000000001</v>
      </c>
      <c r="Y1911">
        <v>5</v>
      </c>
      <c r="Z1911" s="8">
        <f t="shared" si="209"/>
        <v>0.1388888888888889</v>
      </c>
      <c r="AA1911" s="8">
        <v>2.8506800000000001</v>
      </c>
    </row>
    <row r="1912" spans="1:27" ht="15" customHeight="1" x14ac:dyDescent="0.25">
      <c r="B1912">
        <v>636</v>
      </c>
      <c r="C1912" s="8">
        <v>-12176.623900000001</v>
      </c>
      <c r="D1912" s="2">
        <v>-12178.307701</v>
      </c>
      <c r="F1912" s="3">
        <v>0.99531800000000004</v>
      </c>
      <c r="G1912" s="2">
        <v>0.18160999999999999</v>
      </c>
      <c r="H1912">
        <v>5</v>
      </c>
      <c r="I1912">
        <v>8</v>
      </c>
      <c r="J1912" s="32"/>
      <c r="K1912" s="8">
        <f t="shared" si="203"/>
        <v>-0.75190769230903243</v>
      </c>
      <c r="L1912" s="8">
        <f t="shared" si="204"/>
        <v>-5.7839053254540959E-2</v>
      </c>
      <c r="M1912" s="8">
        <f t="shared" si="205"/>
        <v>-0.90930853846111859</v>
      </c>
      <c r="N1912" s="8">
        <f t="shared" si="206"/>
        <v>-6.9946810650855271E-2</v>
      </c>
      <c r="O1912" s="8"/>
      <c r="P1912" t="s">
        <v>2199</v>
      </c>
      <c r="Q1912">
        <v>34</v>
      </c>
      <c r="R1912" s="8">
        <v>2.8224300000000002</v>
      </c>
      <c r="S1912">
        <v>15</v>
      </c>
      <c r="T1912" s="8">
        <f t="shared" si="207"/>
        <v>0.44117647058823528</v>
      </c>
      <c r="U1912" s="8">
        <v>2.8603700000000001</v>
      </c>
      <c r="V1912">
        <v>16</v>
      </c>
      <c r="W1912" s="8">
        <f t="shared" si="208"/>
        <v>0.47058823529411764</v>
      </c>
      <c r="X1912" s="8">
        <v>2.7996099999999999</v>
      </c>
      <c r="Y1912">
        <v>3</v>
      </c>
      <c r="Z1912" s="8">
        <f t="shared" si="209"/>
        <v>8.8235294117647065E-2</v>
      </c>
      <c r="AA1912" s="8">
        <v>2.75447</v>
      </c>
    </row>
    <row r="1913" spans="1:27" ht="15" customHeight="1" x14ac:dyDescent="0.25">
      <c r="A1913" s="8"/>
      <c r="B1913" s="40">
        <v>637</v>
      </c>
      <c r="C1913" s="40">
        <v>-12176.775537</v>
      </c>
      <c r="D1913" s="41">
        <v>-12178.653899000001</v>
      </c>
      <c r="E1913" s="40"/>
      <c r="F1913" s="42">
        <v>0.99455700000000002</v>
      </c>
      <c r="G1913" s="41">
        <v>0.17707000000000001</v>
      </c>
      <c r="H1913" s="40">
        <v>5</v>
      </c>
      <c r="I1913" s="40">
        <v>8</v>
      </c>
      <c r="J1913" s="32"/>
      <c r="K1913" s="8">
        <f t="shared" si="203"/>
        <v>-0.90354469230805989</v>
      </c>
      <c r="L1913" s="8">
        <f t="shared" si="204"/>
        <v>-6.9503437869850762E-2</v>
      </c>
      <c r="M1913" s="8">
        <f t="shared" si="205"/>
        <v>-1.2555065384622139</v>
      </c>
      <c r="N1913" s="8">
        <f t="shared" si="206"/>
        <v>-9.6577426035554914E-2</v>
      </c>
      <c r="O1913" s="8"/>
      <c r="P1913" t="s">
        <v>2200</v>
      </c>
      <c r="Q1913">
        <v>35</v>
      </c>
      <c r="R1913" s="8">
        <v>2.8295499999999998</v>
      </c>
      <c r="S1913">
        <v>13</v>
      </c>
      <c r="T1913" s="8">
        <f t="shared" si="207"/>
        <v>0.37142857142857144</v>
      </c>
      <c r="U1913" s="8">
        <v>2.8471199999999999</v>
      </c>
      <c r="V1913">
        <v>18</v>
      </c>
      <c r="W1913" s="8">
        <f t="shared" si="208"/>
        <v>0.51428571428571423</v>
      </c>
      <c r="X1913" s="8">
        <v>2.8220000000000001</v>
      </c>
      <c r="Y1913">
        <v>4</v>
      </c>
      <c r="Z1913" s="8">
        <f t="shared" si="209"/>
        <v>0.11428571428571428</v>
      </c>
      <c r="AA1913" s="8">
        <v>2.80646</v>
      </c>
    </row>
    <row r="1914" spans="1:27" ht="15" customHeight="1" x14ac:dyDescent="0.25">
      <c r="A1914" s="8"/>
      <c r="B1914">
        <v>638</v>
      </c>
      <c r="C1914" s="8">
        <v>-12176.792600000001</v>
      </c>
      <c r="D1914" s="2">
        <v>-12178.392433000001</v>
      </c>
      <c r="F1914" s="3">
        <v>0.99230600000000002</v>
      </c>
      <c r="G1914" s="2">
        <v>0.16669</v>
      </c>
      <c r="H1914">
        <v>5</v>
      </c>
      <c r="I1914">
        <v>8</v>
      </c>
      <c r="J1914" s="32"/>
      <c r="K1914" s="8">
        <f t="shared" si="203"/>
        <v>-0.92060769230920414</v>
      </c>
      <c r="L1914" s="8">
        <f t="shared" si="204"/>
        <v>-7.0815976331477237E-2</v>
      </c>
      <c r="M1914" s="8">
        <f t="shared" si="205"/>
        <v>-0.99404053846228635</v>
      </c>
      <c r="N1914" s="8">
        <f t="shared" si="206"/>
        <v>-7.6464656804791253E-2</v>
      </c>
      <c r="O1914" s="8"/>
      <c r="P1914" t="s">
        <v>2201</v>
      </c>
      <c r="Q1914">
        <v>36</v>
      </c>
      <c r="R1914" s="8">
        <v>2.83684</v>
      </c>
      <c r="S1914">
        <v>13</v>
      </c>
      <c r="T1914" s="8">
        <f t="shared" si="207"/>
        <v>0.3611111111111111</v>
      </c>
      <c r="U1914" s="8">
        <v>2.8424900000000002</v>
      </c>
      <c r="V1914">
        <v>19</v>
      </c>
      <c r="W1914" s="8">
        <f t="shared" si="208"/>
        <v>0.52777777777777779</v>
      </c>
      <c r="X1914" s="8">
        <v>2.8449399999999998</v>
      </c>
      <c r="Y1914">
        <v>4</v>
      </c>
      <c r="Z1914" s="8">
        <f t="shared" si="209"/>
        <v>0.1111111111111111</v>
      </c>
      <c r="AA1914" s="8">
        <v>2.7800099999999999</v>
      </c>
    </row>
    <row r="1915" spans="1:27" ht="15" customHeight="1" x14ac:dyDescent="0.25">
      <c r="A1915" s="8"/>
      <c r="B1915">
        <v>639</v>
      </c>
      <c r="C1915" s="8">
        <v>-12176.650799999999</v>
      </c>
      <c r="D1915" s="2">
        <v>-12178.402387</v>
      </c>
      <c r="F1915" s="3">
        <v>0.99248599999999998</v>
      </c>
      <c r="G1915" s="2">
        <v>0.16733999999999999</v>
      </c>
      <c r="H1915">
        <v>5</v>
      </c>
      <c r="I1915">
        <v>8</v>
      </c>
      <c r="J1915" s="32"/>
      <c r="K1915" s="8">
        <f t="shared" si="203"/>
        <v>-0.77880769230796432</v>
      </c>
      <c r="L1915" s="8">
        <f t="shared" si="204"/>
        <v>-5.9908284023689563E-2</v>
      </c>
      <c r="M1915" s="8">
        <f t="shared" si="205"/>
        <v>-1.0039945384614839</v>
      </c>
      <c r="N1915" s="8">
        <f t="shared" si="206"/>
        <v>-7.7230349112421839E-2</v>
      </c>
      <c r="O1915" s="8"/>
      <c r="P1915" t="s">
        <v>2202</v>
      </c>
      <c r="Q1915">
        <v>34</v>
      </c>
      <c r="R1915" s="8">
        <v>2.81569</v>
      </c>
      <c r="S1915">
        <v>12</v>
      </c>
      <c r="T1915" s="8">
        <f t="shared" si="207"/>
        <v>0.35294117647058826</v>
      </c>
      <c r="U1915" s="8">
        <v>2.8120699999999998</v>
      </c>
      <c r="V1915">
        <v>18</v>
      </c>
      <c r="W1915" s="8">
        <f t="shared" si="208"/>
        <v>0.52941176470588236</v>
      </c>
      <c r="X1915" s="8">
        <v>2.8019500000000002</v>
      </c>
      <c r="Y1915">
        <v>4</v>
      </c>
      <c r="Z1915" s="8">
        <f t="shared" si="209"/>
        <v>0.11764705882352941</v>
      </c>
      <c r="AA1915" s="8">
        <v>2.88835</v>
      </c>
    </row>
    <row r="1916" spans="1:27" ht="15" customHeight="1" x14ac:dyDescent="0.25">
      <c r="A1916" s="8"/>
      <c r="B1916">
        <v>640</v>
      </c>
      <c r="C1916" s="8">
        <v>-12176.6376</v>
      </c>
      <c r="D1916" s="2">
        <v>-12178.309474</v>
      </c>
      <c r="F1916" s="3">
        <v>0.99615500000000001</v>
      </c>
      <c r="G1916" s="2">
        <v>0.18764</v>
      </c>
      <c r="H1916">
        <v>5</v>
      </c>
      <c r="I1916">
        <v>8</v>
      </c>
      <c r="J1916" s="32"/>
      <c r="K1916" s="8">
        <f t="shared" si="203"/>
        <v>-0.7656076923085493</v>
      </c>
      <c r="L1916" s="8">
        <f t="shared" si="204"/>
        <v>-5.889289940834995E-2</v>
      </c>
      <c r="M1916" s="8">
        <f t="shared" si="205"/>
        <v>-0.91108153846107598</v>
      </c>
      <c r="N1916" s="8">
        <f t="shared" si="206"/>
        <v>-7.0083195266236617E-2</v>
      </c>
      <c r="O1916" s="8"/>
      <c r="P1916" t="s">
        <v>2203</v>
      </c>
      <c r="Q1916">
        <v>35</v>
      </c>
      <c r="R1916" s="8">
        <v>2.82117</v>
      </c>
      <c r="S1916">
        <v>14</v>
      </c>
      <c r="T1916" s="8">
        <f t="shared" si="207"/>
        <v>0.4</v>
      </c>
      <c r="U1916" s="8">
        <v>2.81643</v>
      </c>
      <c r="V1916">
        <v>18</v>
      </c>
      <c r="W1916" s="8">
        <f t="shared" si="208"/>
        <v>0.51428571428571423</v>
      </c>
      <c r="X1916" s="8">
        <v>2.8238500000000002</v>
      </c>
      <c r="Y1916">
        <v>3</v>
      </c>
      <c r="Z1916" s="8">
        <f t="shared" si="209"/>
        <v>8.5714285714285715E-2</v>
      </c>
      <c r="AA1916" s="8">
        <v>2.8272300000000001</v>
      </c>
    </row>
    <row r="1917" spans="1:27" ht="15" customHeight="1" x14ac:dyDescent="0.25">
      <c r="A1917" s="8"/>
      <c r="B1917">
        <v>641</v>
      </c>
      <c r="C1917" s="8">
        <v>-12176.710300000001</v>
      </c>
      <c r="D1917" s="2">
        <v>-12178.362236999999</v>
      </c>
      <c r="F1917" s="3">
        <v>0.99479899999999999</v>
      </c>
      <c r="G1917" s="2">
        <v>0.17845</v>
      </c>
      <c r="H1917">
        <v>5</v>
      </c>
      <c r="I1917">
        <v>8</v>
      </c>
      <c r="J1917" s="32"/>
      <c r="K1917" s="8">
        <f t="shared" si="203"/>
        <v>-0.83830769230917213</v>
      </c>
      <c r="L1917" s="8">
        <f t="shared" si="204"/>
        <v>-6.4485207100705544E-2</v>
      </c>
      <c r="M1917" s="8">
        <f t="shared" si="205"/>
        <v>-0.96384453846076212</v>
      </c>
      <c r="N1917" s="8">
        <f t="shared" si="206"/>
        <v>-7.4141887573904774E-2</v>
      </c>
      <c r="O1917" s="8"/>
      <c r="P1917" t="s">
        <v>2204</v>
      </c>
      <c r="Q1917">
        <v>36</v>
      </c>
      <c r="R1917" s="8">
        <v>2.8396599999999999</v>
      </c>
      <c r="S1917">
        <v>15</v>
      </c>
      <c r="T1917" s="8">
        <f t="shared" si="207"/>
        <v>0.41666666666666669</v>
      </c>
      <c r="U1917" s="8">
        <v>2.84666</v>
      </c>
      <c r="V1917">
        <v>17</v>
      </c>
      <c r="W1917" s="8">
        <f t="shared" si="208"/>
        <v>0.47222222222222221</v>
      </c>
      <c r="X1917" s="8">
        <v>2.8442699999999999</v>
      </c>
      <c r="Y1917">
        <v>4</v>
      </c>
      <c r="Z1917" s="8">
        <f t="shared" si="209"/>
        <v>0.1111111111111111</v>
      </c>
      <c r="AA1917" s="8">
        <v>2.7937799999999999</v>
      </c>
    </row>
    <row r="1918" spans="1:27" ht="15" customHeight="1" x14ac:dyDescent="0.25">
      <c r="A1918" s="8"/>
      <c r="B1918">
        <v>642</v>
      </c>
      <c r="C1918" s="8">
        <v>-12176.733399999999</v>
      </c>
      <c r="D1918" s="2">
        <v>-12178.118881</v>
      </c>
      <c r="F1918" s="3">
        <v>0.99660099999999996</v>
      </c>
      <c r="G1918" s="2">
        <v>0.19103000000000001</v>
      </c>
      <c r="H1918">
        <v>5</v>
      </c>
      <c r="I1918">
        <v>8</v>
      </c>
      <c r="J1918" s="32"/>
      <c r="K1918" s="8">
        <f t="shared" si="203"/>
        <v>-0.86140769230769365</v>
      </c>
      <c r="L1918" s="8">
        <f t="shared" si="204"/>
        <v>-6.6262130177514894E-2</v>
      </c>
      <c r="M1918" s="8">
        <f t="shared" si="205"/>
        <v>-0.72048853846172278</v>
      </c>
      <c r="N1918" s="8">
        <f t="shared" si="206"/>
        <v>-5.5422195266286368E-2</v>
      </c>
      <c r="O1918" s="8"/>
      <c r="P1918" t="s">
        <v>2205</v>
      </c>
      <c r="Q1918">
        <v>36</v>
      </c>
      <c r="R1918" s="8">
        <v>2.8359399999999999</v>
      </c>
      <c r="S1918">
        <v>14</v>
      </c>
      <c r="T1918" s="8">
        <f t="shared" si="207"/>
        <v>0.3888888888888889</v>
      </c>
      <c r="U1918" s="8">
        <v>2.8498899999999998</v>
      </c>
      <c r="V1918">
        <v>16</v>
      </c>
      <c r="W1918" s="8">
        <f t="shared" si="208"/>
        <v>0.44444444444444442</v>
      </c>
      <c r="X1918" s="8">
        <v>2.8378700000000001</v>
      </c>
      <c r="Y1918">
        <v>6</v>
      </c>
      <c r="Z1918" s="8">
        <f t="shared" si="209"/>
        <v>0.16666666666666666</v>
      </c>
      <c r="AA1918" s="8">
        <v>2.7982200000000002</v>
      </c>
    </row>
    <row r="1919" spans="1:27" ht="15" customHeight="1" x14ac:dyDescent="0.25">
      <c r="B1919">
        <v>643</v>
      </c>
      <c r="C1919" s="8">
        <v>-12176.684800000001</v>
      </c>
      <c r="D1919" s="2">
        <v>-12178.289123</v>
      </c>
      <c r="F1919" s="3">
        <v>0.99598500000000001</v>
      </c>
      <c r="G1919" s="2">
        <v>0.186249999999999</v>
      </c>
      <c r="H1919">
        <v>5</v>
      </c>
      <c r="I1919">
        <v>8</v>
      </c>
      <c r="J1919" s="32"/>
      <c r="K1919" s="8">
        <f t="shared" si="203"/>
        <v>-0.81280769230943406</v>
      </c>
      <c r="L1919" s="8">
        <f t="shared" si="204"/>
        <v>-6.2523668639187235E-2</v>
      </c>
      <c r="M1919" s="8">
        <f t="shared" si="205"/>
        <v>-0.89073053846186667</v>
      </c>
      <c r="N1919" s="8">
        <f t="shared" si="206"/>
        <v>-6.85177337278359E-2</v>
      </c>
      <c r="O1919" s="8"/>
      <c r="P1919" t="s">
        <v>2206</v>
      </c>
      <c r="Q1919">
        <v>34</v>
      </c>
      <c r="R1919" s="8">
        <v>2.8180700000000001</v>
      </c>
      <c r="S1919">
        <v>14</v>
      </c>
      <c r="T1919" s="8">
        <f t="shared" si="207"/>
        <v>0.41176470588235292</v>
      </c>
      <c r="U1919" s="8">
        <v>2.81968</v>
      </c>
      <c r="V1919">
        <v>14</v>
      </c>
      <c r="W1919" s="8">
        <f t="shared" si="208"/>
        <v>0.41176470588235292</v>
      </c>
      <c r="X1919" s="8">
        <v>2.8178000000000001</v>
      </c>
      <c r="Y1919">
        <v>6</v>
      </c>
      <c r="Z1919" s="8">
        <f t="shared" si="209"/>
        <v>0.17647058823529413</v>
      </c>
      <c r="AA1919" s="8">
        <v>2.8149500000000001</v>
      </c>
    </row>
    <row r="1920" spans="1:27" ht="15" customHeight="1" x14ac:dyDescent="0.25">
      <c r="C1920" s="4"/>
      <c r="J1920" s="32"/>
      <c r="K1920" s="8" t="str">
        <f t="shared" si="203"/>
        <v/>
      </c>
      <c r="L1920" s="8" t="str">
        <f t="shared" si="204"/>
        <v/>
      </c>
      <c r="M1920" s="8" t="str">
        <f t="shared" si="205"/>
        <v/>
      </c>
      <c r="N1920" s="8" t="str">
        <f t="shared" si="206"/>
        <v/>
      </c>
      <c r="O1920" s="8"/>
      <c r="T1920" s="8" t="str">
        <f t="shared" si="207"/>
        <v/>
      </c>
      <c r="W1920" s="8" t="str">
        <f t="shared" si="208"/>
        <v/>
      </c>
      <c r="Z1920" s="8" t="str">
        <f t="shared" si="209"/>
        <v/>
      </c>
    </row>
    <row r="1921" spans="1:27" ht="15" customHeight="1" x14ac:dyDescent="0.25">
      <c r="B1921" s="35" t="s">
        <v>1407</v>
      </c>
      <c r="C1921" s="5" t="s">
        <v>0</v>
      </c>
      <c r="D1921" s="6" t="s">
        <v>1</v>
      </c>
      <c r="E1921" s="7"/>
      <c r="F1921" s="7" t="s">
        <v>2</v>
      </c>
      <c r="G1921" s="7" t="s">
        <v>3</v>
      </c>
      <c r="H1921" s="7" t="s">
        <v>4</v>
      </c>
      <c r="I1921" s="7" t="s">
        <v>5</v>
      </c>
      <c r="K1921" s="8" t="str">
        <f t="shared" si="203"/>
        <v/>
      </c>
      <c r="L1921" s="8" t="str">
        <f t="shared" si="204"/>
        <v/>
      </c>
      <c r="M1921" s="8" t="str">
        <f t="shared" si="205"/>
        <v/>
      </c>
      <c r="N1921" s="8" t="str">
        <f t="shared" si="206"/>
        <v/>
      </c>
      <c r="O1921" s="8"/>
      <c r="T1921" s="8" t="str">
        <f t="shared" si="207"/>
        <v/>
      </c>
      <c r="W1921" s="8" t="str">
        <f t="shared" si="208"/>
        <v/>
      </c>
      <c r="Z1921" s="8" t="str">
        <f t="shared" si="209"/>
        <v/>
      </c>
    </row>
    <row r="1922" spans="1:27" ht="15" customHeight="1" x14ac:dyDescent="0.25">
      <c r="A1922" s="7" t="s">
        <v>2207</v>
      </c>
      <c r="B1922" s="1" t="s">
        <v>20</v>
      </c>
      <c r="C1922" s="8">
        <v>-12083.501899999999</v>
      </c>
      <c r="D1922" s="2">
        <v>-12085.090425</v>
      </c>
      <c r="F1922" s="3">
        <v>0.99550300000000003</v>
      </c>
      <c r="G1922" s="2">
        <v>0.18373</v>
      </c>
      <c r="H1922">
        <v>4</v>
      </c>
      <c r="I1922">
        <v>9</v>
      </c>
      <c r="K1922" s="8">
        <f t="shared" si="203"/>
        <v>-0.91524615384696517</v>
      </c>
      <c r="L1922" s="8">
        <f t="shared" si="204"/>
        <v>-7.0403550295920395E-2</v>
      </c>
      <c r="M1922" s="8">
        <f t="shared" si="205"/>
        <v>-0.92723223076973227</v>
      </c>
      <c r="N1922" s="8">
        <f t="shared" si="206"/>
        <v>-7.1325556213056335E-2</v>
      </c>
      <c r="O1922" s="8"/>
      <c r="P1922" t="s">
        <v>2208</v>
      </c>
      <c r="Q1922">
        <v>36</v>
      </c>
      <c r="R1922" s="8">
        <v>2.8371300000000002</v>
      </c>
      <c r="S1922">
        <v>15</v>
      </c>
      <c r="T1922" s="8">
        <f t="shared" si="207"/>
        <v>0.41666666666666669</v>
      </c>
      <c r="U1922" s="8">
        <v>2.7886099999999998</v>
      </c>
      <c r="V1922">
        <v>17</v>
      </c>
      <c r="W1922" s="8">
        <f t="shared" si="208"/>
        <v>0.47222222222222221</v>
      </c>
      <c r="X1922" s="8">
        <v>2.8873799999999998</v>
      </c>
      <c r="Y1922">
        <v>4</v>
      </c>
      <c r="Z1922" s="8">
        <f t="shared" si="209"/>
        <v>0.1111111111111111</v>
      </c>
      <c r="AA1922" s="8">
        <v>2.8055300000000001</v>
      </c>
    </row>
    <row r="1923" spans="1:27" ht="15" customHeight="1" x14ac:dyDescent="0.25">
      <c r="B1923" s="1" t="s">
        <v>24</v>
      </c>
      <c r="C1923" s="8">
        <v>-12083.6721</v>
      </c>
      <c r="D1923" s="2">
        <v>-12085.191666999999</v>
      </c>
      <c r="F1923" s="3">
        <v>0.99780400000000002</v>
      </c>
      <c r="G1923" s="2">
        <v>0.20348999999999901</v>
      </c>
      <c r="H1923">
        <v>4</v>
      </c>
      <c r="I1923">
        <v>9</v>
      </c>
      <c r="K1923" s="8">
        <f t="shared" ref="K1923:K1986" si="210">IF(ISNUMBER(C1923),C1923-(($C$3-$C$2236)/($H$3-$H$2236)*H1923+$C$2236),"")</f>
        <v>-1.0854461538474425</v>
      </c>
      <c r="L1923" s="8">
        <f t="shared" ref="L1923:L1986" si="211">IF(ISNUMBER(C1923),K1923/(H1923+I1923),"")</f>
        <v>-8.349585798826481E-2</v>
      </c>
      <c r="M1923" s="8">
        <f t="shared" ref="M1923:M1986" si="212">IF(ISNUMBER(D1923),D1923-(($D$3-$D$2236)/($H$3-$H$2236)*H1923+$D$2236),"")</f>
        <v>-1.0284742307685519</v>
      </c>
      <c r="N1923" s="8">
        <f t="shared" ref="N1923:N1986" si="213">IF(ISNUMBER(D1923),M1923/(H1923+I1923),"")</f>
        <v>-7.9113402366811691E-2</v>
      </c>
      <c r="O1923" s="8"/>
      <c r="P1923" t="s">
        <v>2209</v>
      </c>
      <c r="Q1923">
        <v>34</v>
      </c>
      <c r="R1923" s="8">
        <v>2.8197700000000001</v>
      </c>
      <c r="S1923">
        <v>15</v>
      </c>
      <c r="T1923" s="8">
        <f t="shared" ref="T1923:T1986" si="214">IF(ISNUMBER(S1923),S1923/(Q1923),"")</f>
        <v>0.44117647058823528</v>
      </c>
      <c r="U1923" s="8">
        <v>2.8099099999999999</v>
      </c>
      <c r="V1923">
        <v>16</v>
      </c>
      <c r="W1923" s="8">
        <f t="shared" ref="W1923:W1986" si="215">IF(ISNUMBER(V1923),V1923/($Q1923),"")</f>
        <v>0.47058823529411764</v>
      </c>
      <c r="X1923" s="8">
        <v>2.8396599999999999</v>
      </c>
      <c r="Y1923">
        <v>3</v>
      </c>
      <c r="Z1923" s="8">
        <f t="shared" ref="Z1923:Z1986" si="216">IF(ISNUMBER(Y1923),Y1923/($Q1923),"")</f>
        <v>8.8235294117647065E-2</v>
      </c>
      <c r="AA1923" s="8">
        <v>2.7629800000000002</v>
      </c>
    </row>
    <row r="1924" spans="1:27" ht="15" customHeight="1" x14ac:dyDescent="0.25">
      <c r="B1924" s="1" t="s">
        <v>26</v>
      </c>
      <c r="C1924" s="8">
        <v>-12083.542299999999</v>
      </c>
      <c r="D1924" s="2">
        <v>-12085.148347</v>
      </c>
      <c r="F1924" s="3">
        <v>0.99747399999999997</v>
      </c>
      <c r="G1924" s="2">
        <v>0.19531000000000001</v>
      </c>
      <c r="H1924">
        <v>4</v>
      </c>
      <c r="I1924">
        <v>9</v>
      </c>
      <c r="K1924" s="8">
        <f t="shared" si="210"/>
        <v>-0.95564615384682838</v>
      </c>
      <c r="L1924" s="8">
        <f t="shared" si="211"/>
        <v>-7.3511242603602187E-2</v>
      </c>
      <c r="M1924" s="8">
        <f t="shared" si="212"/>
        <v>-0.98515423076969455</v>
      </c>
      <c r="N1924" s="8">
        <f t="shared" si="213"/>
        <v>-7.578109467459189E-2</v>
      </c>
      <c r="O1924" s="8"/>
      <c r="P1924" t="s">
        <v>2210</v>
      </c>
      <c r="Q1924">
        <v>36</v>
      </c>
      <c r="R1924" s="8">
        <v>2.8311600000000001</v>
      </c>
      <c r="S1924">
        <v>14</v>
      </c>
      <c r="T1924" s="8">
        <f t="shared" si="214"/>
        <v>0.3888888888888889</v>
      </c>
      <c r="U1924" s="8">
        <v>2.7983500000000001</v>
      </c>
      <c r="V1924">
        <v>20</v>
      </c>
      <c r="W1924" s="8">
        <f t="shared" si="215"/>
        <v>0.55555555555555558</v>
      </c>
      <c r="X1924" s="8">
        <v>2.8526199999999999</v>
      </c>
      <c r="Y1924">
        <v>2</v>
      </c>
      <c r="Z1924" s="8">
        <f t="shared" si="216"/>
        <v>5.5555555555555552E-2</v>
      </c>
      <c r="AA1924" s="8">
        <v>2.8462200000000002</v>
      </c>
    </row>
    <row r="1925" spans="1:27" ht="15" customHeight="1" x14ac:dyDescent="0.25">
      <c r="B1925" s="1" t="s">
        <v>28</v>
      </c>
      <c r="C1925" s="8">
        <v>-12083.320599999999</v>
      </c>
      <c r="D1925" s="2">
        <v>-12084.883109</v>
      </c>
      <c r="F1925" s="3">
        <v>0.99553499999999995</v>
      </c>
      <c r="G1925" s="2">
        <v>0.18306999999999901</v>
      </c>
      <c r="H1925">
        <v>4</v>
      </c>
      <c r="I1925">
        <v>9</v>
      </c>
      <c r="K1925" s="8">
        <f t="shared" si="210"/>
        <v>-0.73394615384677309</v>
      </c>
      <c r="L1925" s="8">
        <f t="shared" si="211"/>
        <v>-5.6457396449751777E-2</v>
      </c>
      <c r="M1925" s="8">
        <f t="shared" si="212"/>
        <v>-0.71991623076974065</v>
      </c>
      <c r="N1925" s="8">
        <f t="shared" si="213"/>
        <v>-5.537817159767236E-2</v>
      </c>
      <c r="O1925" s="8"/>
      <c r="P1925" t="s">
        <v>2211</v>
      </c>
      <c r="Q1925">
        <v>36</v>
      </c>
      <c r="R1925" s="8">
        <v>2.8365</v>
      </c>
      <c r="S1925">
        <v>16</v>
      </c>
      <c r="T1925" s="8">
        <f t="shared" si="214"/>
        <v>0.44444444444444442</v>
      </c>
      <c r="U1925" s="8">
        <v>2.8019099999999999</v>
      </c>
      <c r="V1925">
        <v>15</v>
      </c>
      <c r="W1925" s="8">
        <f t="shared" si="215"/>
        <v>0.41666666666666669</v>
      </c>
      <c r="X1925" s="8">
        <v>2.86382</v>
      </c>
      <c r="Y1925">
        <v>5</v>
      </c>
      <c r="Z1925" s="8">
        <f t="shared" si="216"/>
        <v>0.1388888888888889</v>
      </c>
      <c r="AA1925" s="8">
        <v>2.8652099999999998</v>
      </c>
    </row>
    <row r="1926" spans="1:27" ht="15" customHeight="1" x14ac:dyDescent="0.25">
      <c r="B1926" s="1" t="s">
        <v>30</v>
      </c>
      <c r="C1926" s="8">
        <v>-12083.3686</v>
      </c>
      <c r="D1926" s="2">
        <v>-12084.923280000001</v>
      </c>
      <c r="F1926" s="3">
        <v>0.99331400000000003</v>
      </c>
      <c r="G1926" s="2">
        <v>0.17362999999999901</v>
      </c>
      <c r="H1926">
        <v>4</v>
      </c>
      <c r="I1926">
        <v>9</v>
      </c>
      <c r="K1926" s="8">
        <f t="shared" si="210"/>
        <v>-0.78194615384745703</v>
      </c>
      <c r="L1926" s="8">
        <f t="shared" si="211"/>
        <v>-6.0149704142112077E-2</v>
      </c>
      <c r="M1926" s="8">
        <f t="shared" si="212"/>
        <v>-0.76008723077029572</v>
      </c>
      <c r="N1926" s="8">
        <f t="shared" si="213"/>
        <v>-5.8468248520791979E-2</v>
      </c>
      <c r="O1926" s="8"/>
      <c r="P1926" t="s">
        <v>2212</v>
      </c>
      <c r="Q1926">
        <v>36</v>
      </c>
      <c r="R1926" s="8">
        <v>2.8336100000000002</v>
      </c>
      <c r="S1926">
        <v>16</v>
      </c>
      <c r="T1926" s="8">
        <f t="shared" si="214"/>
        <v>0.44444444444444442</v>
      </c>
      <c r="U1926" s="8">
        <v>2.8026800000000001</v>
      </c>
      <c r="V1926">
        <v>15</v>
      </c>
      <c r="W1926" s="8">
        <f t="shared" si="215"/>
        <v>0.41666666666666669</v>
      </c>
      <c r="X1926" s="8">
        <v>2.8676200000000001</v>
      </c>
      <c r="Y1926">
        <v>5</v>
      </c>
      <c r="Z1926" s="8">
        <f t="shared" si="216"/>
        <v>0.1388888888888889</v>
      </c>
      <c r="AA1926" s="8">
        <v>2.83053</v>
      </c>
    </row>
    <row r="1927" spans="1:27" ht="15" customHeight="1" x14ac:dyDescent="0.25">
      <c r="B1927" s="1" t="s">
        <v>38</v>
      </c>
      <c r="C1927" s="8">
        <v>-12083.382799999999</v>
      </c>
      <c r="D1927" s="2">
        <v>-12085.211926</v>
      </c>
      <c r="F1927" s="3">
        <v>0.99376200000000003</v>
      </c>
      <c r="G1927" s="2">
        <v>0.17638999999999999</v>
      </c>
      <c r="H1927">
        <v>4</v>
      </c>
      <c r="I1927">
        <v>9</v>
      </c>
      <c r="K1927" s="8">
        <f t="shared" si="210"/>
        <v>-0.79614615384707577</v>
      </c>
      <c r="L1927" s="8">
        <f t="shared" si="211"/>
        <v>-6.1242011834390445E-2</v>
      </c>
      <c r="M1927" s="8">
        <f t="shared" si="212"/>
        <v>-1.0487332307693578</v>
      </c>
      <c r="N1927" s="8">
        <f t="shared" si="213"/>
        <v>-8.0671786982258284E-2</v>
      </c>
      <c r="O1927" s="8"/>
      <c r="P1927" t="s">
        <v>2213</v>
      </c>
      <c r="Q1927">
        <v>36</v>
      </c>
      <c r="R1927" s="8">
        <v>2.83467</v>
      </c>
      <c r="S1927">
        <v>15</v>
      </c>
      <c r="T1927" s="8">
        <f t="shared" si="214"/>
        <v>0.41666666666666669</v>
      </c>
      <c r="U1927" s="8">
        <v>2.7994599999999998</v>
      </c>
      <c r="V1927">
        <v>17</v>
      </c>
      <c r="W1927" s="8">
        <f t="shared" si="215"/>
        <v>0.47222222222222221</v>
      </c>
      <c r="X1927" s="8">
        <v>2.8685100000000001</v>
      </c>
      <c r="Y1927">
        <v>4</v>
      </c>
      <c r="Z1927" s="8">
        <f t="shared" si="216"/>
        <v>0.1111111111111111</v>
      </c>
      <c r="AA1927" s="8">
        <v>2.8228499999999999</v>
      </c>
    </row>
    <row r="1928" spans="1:27" ht="15" customHeight="1" x14ac:dyDescent="0.25">
      <c r="B1928" s="1" t="s">
        <v>40</v>
      </c>
      <c r="C1928" s="8">
        <v>-12083.398800000001</v>
      </c>
      <c r="D1928" s="2">
        <v>-12084.926027</v>
      </c>
      <c r="F1928" s="3">
        <v>0.996614</v>
      </c>
      <c r="G1928" s="2">
        <v>0.18459999999999999</v>
      </c>
      <c r="H1928">
        <v>4</v>
      </c>
      <c r="I1928">
        <v>9</v>
      </c>
      <c r="K1928" s="8">
        <f t="shared" si="210"/>
        <v>-0.81214615384851641</v>
      </c>
      <c r="L1928" s="8">
        <f t="shared" si="211"/>
        <v>-6.2472781065270495E-2</v>
      </c>
      <c r="M1928" s="8">
        <f t="shared" si="212"/>
        <v>-0.76283423076893087</v>
      </c>
      <c r="N1928" s="8">
        <f t="shared" si="213"/>
        <v>-5.8679556212994685E-2</v>
      </c>
      <c r="O1928" s="8"/>
      <c r="P1928" t="s">
        <v>2214</v>
      </c>
      <c r="Q1928">
        <v>36</v>
      </c>
      <c r="R1928" s="8">
        <v>2.8378999999999999</v>
      </c>
      <c r="S1928">
        <v>16</v>
      </c>
      <c r="T1928" s="8">
        <f t="shared" si="214"/>
        <v>0.44444444444444442</v>
      </c>
      <c r="U1928" s="8">
        <v>2.8130700000000002</v>
      </c>
      <c r="V1928">
        <v>14</v>
      </c>
      <c r="W1928" s="8">
        <f t="shared" si="215"/>
        <v>0.3888888888888889</v>
      </c>
      <c r="X1928" s="8">
        <v>2.84552</v>
      </c>
      <c r="Y1928">
        <v>6</v>
      </c>
      <c r="Z1928" s="8">
        <f t="shared" si="216"/>
        <v>0.16666666666666666</v>
      </c>
      <c r="AA1928" s="8">
        <v>2.8863300000000001</v>
      </c>
    </row>
    <row r="1929" spans="1:27" ht="15" customHeight="1" x14ac:dyDescent="0.25">
      <c r="B1929" s="1" t="s">
        <v>42</v>
      </c>
      <c r="C1929" s="8">
        <v>-12083.516299999999</v>
      </c>
      <c r="D1929" s="2">
        <v>-12085.067765</v>
      </c>
      <c r="F1929" s="3">
        <v>0.99497599999999997</v>
      </c>
      <c r="G1929" s="2">
        <v>0.17784999999999901</v>
      </c>
      <c r="H1929">
        <v>4</v>
      </c>
      <c r="I1929">
        <v>9</v>
      </c>
      <c r="K1929" s="8">
        <f t="shared" si="210"/>
        <v>-0.92964615384698845</v>
      </c>
      <c r="L1929" s="8">
        <f t="shared" si="211"/>
        <v>-7.1511242603614494E-2</v>
      </c>
      <c r="M1929" s="8">
        <f t="shared" si="212"/>
        <v>-0.90457223076919036</v>
      </c>
      <c r="N1929" s="8">
        <f t="shared" si="213"/>
        <v>-6.9582479289937715E-2</v>
      </c>
      <c r="O1929" s="8"/>
      <c r="P1929" t="s">
        <v>2215</v>
      </c>
      <c r="Q1929">
        <v>36</v>
      </c>
      <c r="R1929" s="8">
        <v>2.8414000000000001</v>
      </c>
      <c r="S1929">
        <v>15</v>
      </c>
      <c r="T1929" s="8">
        <f t="shared" si="214"/>
        <v>0.41666666666666669</v>
      </c>
      <c r="U1929" s="8">
        <v>2.8138000000000001</v>
      </c>
      <c r="V1929">
        <v>16</v>
      </c>
      <c r="W1929" s="8">
        <f t="shared" si="215"/>
        <v>0.44444444444444442</v>
      </c>
      <c r="X1929" s="8">
        <v>2.8498399999999999</v>
      </c>
      <c r="Y1929">
        <v>5</v>
      </c>
      <c r="Z1929" s="8">
        <f t="shared" si="216"/>
        <v>0.1388888888888889</v>
      </c>
      <c r="AA1929" s="8">
        <v>2.8971800000000001</v>
      </c>
    </row>
    <row r="1930" spans="1:27" ht="15" customHeight="1" x14ac:dyDescent="0.25">
      <c r="B1930" s="1" t="s">
        <v>44</v>
      </c>
      <c r="C1930" s="8">
        <v>-12083.626399999999</v>
      </c>
      <c r="D1930" s="2">
        <v>-12085.140766</v>
      </c>
      <c r="F1930" s="3">
        <v>0.99584600000000001</v>
      </c>
      <c r="G1930" s="2">
        <v>0.18969</v>
      </c>
      <c r="H1930">
        <v>4</v>
      </c>
      <c r="I1930">
        <v>9</v>
      </c>
      <c r="K1930" s="8">
        <f t="shared" si="210"/>
        <v>-1.0397461538468633</v>
      </c>
      <c r="L1930" s="8">
        <f t="shared" si="211"/>
        <v>-7.9980473372835634E-2</v>
      </c>
      <c r="M1930" s="8">
        <f t="shared" si="212"/>
        <v>-0.97757323076984903</v>
      </c>
      <c r="N1930" s="8">
        <f t="shared" si="213"/>
        <v>-7.5197940828449925E-2</v>
      </c>
      <c r="O1930" s="8"/>
      <c r="P1930" t="s">
        <v>2216</v>
      </c>
      <c r="Q1930">
        <v>34</v>
      </c>
      <c r="R1930" s="8">
        <v>2.82091</v>
      </c>
      <c r="S1930">
        <v>16</v>
      </c>
      <c r="T1930" s="8">
        <f t="shared" si="214"/>
        <v>0.47058823529411764</v>
      </c>
      <c r="U1930" s="8">
        <v>2.82362</v>
      </c>
      <c r="V1930">
        <v>16</v>
      </c>
      <c r="W1930" s="8">
        <f t="shared" si="215"/>
        <v>0.47058823529411764</v>
      </c>
      <c r="X1930" s="8">
        <v>2.82362</v>
      </c>
      <c r="Y1930">
        <v>2</v>
      </c>
      <c r="Z1930" s="8">
        <f t="shared" si="216"/>
        <v>5.8823529411764705E-2</v>
      </c>
      <c r="AA1930" s="8">
        <v>2.7775400000000001</v>
      </c>
    </row>
    <row r="1931" spans="1:27" ht="15" customHeight="1" x14ac:dyDescent="0.25">
      <c r="B1931" s="1" t="s">
        <v>46</v>
      </c>
      <c r="C1931" s="8">
        <v>-12083.6901</v>
      </c>
      <c r="D1931" s="2">
        <v>-12085.207165</v>
      </c>
      <c r="F1931" s="3">
        <v>0.99603299999999995</v>
      </c>
      <c r="G1931" s="2">
        <v>0.18658999999999901</v>
      </c>
      <c r="H1931">
        <v>4</v>
      </c>
      <c r="I1931">
        <v>9</v>
      </c>
      <c r="K1931" s="8">
        <f t="shared" si="210"/>
        <v>-1.1034461538474716</v>
      </c>
      <c r="L1931" s="8">
        <f t="shared" si="211"/>
        <v>-8.4880473372882431E-2</v>
      </c>
      <c r="M1931" s="8">
        <f t="shared" si="212"/>
        <v>-1.0439722307692136</v>
      </c>
      <c r="N1931" s="8">
        <f t="shared" si="213"/>
        <v>-8.0305556213016438E-2</v>
      </c>
      <c r="O1931" s="8"/>
      <c r="P1931" t="s">
        <v>2217</v>
      </c>
      <c r="Q1931">
        <v>34</v>
      </c>
      <c r="R1931" s="8">
        <v>2.81521</v>
      </c>
      <c r="S1931">
        <v>15</v>
      </c>
      <c r="T1931" s="8">
        <f t="shared" si="214"/>
        <v>0.44117647058823528</v>
      </c>
      <c r="U1931" s="8">
        <v>2.7813599999999998</v>
      </c>
      <c r="V1931">
        <v>16</v>
      </c>
      <c r="W1931" s="8">
        <f t="shared" si="215"/>
        <v>0.47058823529411764</v>
      </c>
      <c r="X1931" s="8">
        <v>2.8487499999999999</v>
      </c>
      <c r="Y1931">
        <v>3</v>
      </c>
      <c r="Z1931" s="8">
        <f t="shared" si="216"/>
        <v>8.8235294117647065E-2</v>
      </c>
      <c r="AA1931" s="8">
        <v>2.8055699999999999</v>
      </c>
    </row>
    <row r="1932" spans="1:27" ht="15" customHeight="1" x14ac:dyDescent="0.25">
      <c r="B1932" s="1" t="s">
        <v>48</v>
      </c>
      <c r="C1932" s="8">
        <v>-12083.3361</v>
      </c>
      <c r="D1932" s="2">
        <v>-12084.902995</v>
      </c>
      <c r="F1932" s="3">
        <v>0.99555199999999999</v>
      </c>
      <c r="G1932" s="2">
        <v>0.182639999999999</v>
      </c>
      <c r="H1932">
        <v>4</v>
      </c>
      <c r="I1932">
        <v>9</v>
      </c>
      <c r="K1932" s="8">
        <f t="shared" si="210"/>
        <v>-0.74944615384811186</v>
      </c>
      <c r="L1932" s="8">
        <f t="shared" si="211"/>
        <v>-5.7649704142162451E-2</v>
      </c>
      <c r="M1932" s="8">
        <f t="shared" si="212"/>
        <v>-0.73980223076978291</v>
      </c>
      <c r="N1932" s="8">
        <f t="shared" si="213"/>
        <v>-5.6907863905367916E-2</v>
      </c>
      <c r="O1932" s="8"/>
      <c r="P1932" t="s">
        <v>2218</v>
      </c>
      <c r="Q1932">
        <v>36</v>
      </c>
      <c r="R1932" s="8">
        <v>2.8364799999999999</v>
      </c>
      <c r="S1932">
        <v>19</v>
      </c>
      <c r="T1932" s="8">
        <f t="shared" si="214"/>
        <v>0.52777777777777779</v>
      </c>
      <c r="U1932" s="8">
        <v>2.8376100000000002</v>
      </c>
      <c r="V1932">
        <v>14</v>
      </c>
      <c r="W1932" s="8">
        <f t="shared" si="215"/>
        <v>0.3888888888888889</v>
      </c>
      <c r="X1932" s="8">
        <v>2.8367300000000002</v>
      </c>
      <c r="Y1932">
        <v>3</v>
      </c>
      <c r="Z1932" s="8">
        <f t="shared" si="216"/>
        <v>8.3333333333333329E-2</v>
      </c>
      <c r="AA1932" s="8">
        <v>2.82816</v>
      </c>
    </row>
    <row r="1933" spans="1:27" ht="15" customHeight="1" x14ac:dyDescent="0.25">
      <c r="B1933" s="1" t="s">
        <v>50</v>
      </c>
      <c r="C1933" s="8">
        <v>-12083.463299999999</v>
      </c>
      <c r="D1933" s="2">
        <v>-12085.015416</v>
      </c>
      <c r="F1933" s="3">
        <v>0.99337600000000004</v>
      </c>
      <c r="G1933" s="2">
        <v>0.17316999999999999</v>
      </c>
      <c r="H1933">
        <v>4</v>
      </c>
      <c r="I1933">
        <v>9</v>
      </c>
      <c r="K1933" s="8">
        <f t="shared" si="210"/>
        <v>-0.87664615384710487</v>
      </c>
      <c r="L1933" s="8">
        <f t="shared" si="211"/>
        <v>-6.743431952670037E-2</v>
      </c>
      <c r="M1933" s="8">
        <f t="shared" si="212"/>
        <v>-0.85222323076959583</v>
      </c>
      <c r="N1933" s="8">
        <f t="shared" si="213"/>
        <v>-6.5555633136122754E-2</v>
      </c>
      <c r="O1933" s="8"/>
      <c r="P1933" t="s">
        <v>2219</v>
      </c>
      <c r="Q1933">
        <v>34</v>
      </c>
      <c r="R1933" s="8">
        <v>2.8124400000000001</v>
      </c>
      <c r="S1933">
        <v>16</v>
      </c>
      <c r="T1933" s="8">
        <f t="shared" si="214"/>
        <v>0.47058823529411764</v>
      </c>
      <c r="U1933" s="8">
        <v>2.7987000000000002</v>
      </c>
      <c r="V1933">
        <v>15</v>
      </c>
      <c r="W1933" s="8">
        <f t="shared" si="215"/>
        <v>0.44117647058823528</v>
      </c>
      <c r="X1933" s="8">
        <v>2.8275100000000002</v>
      </c>
      <c r="Y1933">
        <v>3</v>
      </c>
      <c r="Z1933" s="8">
        <f t="shared" si="216"/>
        <v>8.8235294117647065E-2</v>
      </c>
      <c r="AA1933" s="8">
        <v>2.81033</v>
      </c>
    </row>
    <row r="1934" spans="1:27" ht="15" customHeight="1" x14ac:dyDescent="0.25">
      <c r="B1934" s="1" t="s">
        <v>52</v>
      </c>
      <c r="C1934" s="8">
        <v>-12083.5743</v>
      </c>
      <c r="D1934" s="2">
        <v>-12085.149906000001</v>
      </c>
      <c r="F1934" s="3">
        <v>0.99621800000000005</v>
      </c>
      <c r="G1934" s="2">
        <v>0.15683999999999901</v>
      </c>
      <c r="H1934">
        <v>4</v>
      </c>
      <c r="I1934">
        <v>9</v>
      </c>
      <c r="K1934" s="8">
        <f t="shared" si="210"/>
        <v>-0.98764615384789067</v>
      </c>
      <c r="L1934" s="8">
        <f t="shared" si="211"/>
        <v>-7.5972781065222358E-2</v>
      </c>
      <c r="M1934" s="8">
        <f t="shared" si="212"/>
        <v>-0.98671323076996487</v>
      </c>
      <c r="N1934" s="8">
        <f t="shared" si="213"/>
        <v>-7.5901017751535765E-2</v>
      </c>
      <c r="O1934" s="8"/>
      <c r="P1934" t="s">
        <v>2220</v>
      </c>
      <c r="Q1934">
        <v>36</v>
      </c>
      <c r="R1934" s="8">
        <v>2.8316599999999998</v>
      </c>
      <c r="S1934">
        <v>14</v>
      </c>
      <c r="T1934" s="8">
        <f t="shared" si="214"/>
        <v>0.3888888888888889</v>
      </c>
      <c r="U1934" s="8">
        <v>2.7957399999999999</v>
      </c>
      <c r="V1934">
        <v>19</v>
      </c>
      <c r="W1934" s="8">
        <f t="shared" si="215"/>
        <v>0.52777777777777779</v>
      </c>
      <c r="X1934" s="8">
        <v>2.8627600000000002</v>
      </c>
      <c r="Y1934">
        <v>3</v>
      </c>
      <c r="Z1934" s="8">
        <f t="shared" si="216"/>
        <v>8.3333333333333329E-2</v>
      </c>
      <c r="AA1934" s="8">
        <v>2.8022999999999998</v>
      </c>
    </row>
    <row r="1935" spans="1:27" ht="15" customHeight="1" x14ac:dyDescent="0.25">
      <c r="B1935" s="1" t="s">
        <v>54</v>
      </c>
      <c r="C1935" s="8">
        <v>-12083.6389</v>
      </c>
      <c r="D1935" s="2">
        <v>-12085.296882000001</v>
      </c>
      <c r="F1935" s="3">
        <v>0.99502199999999996</v>
      </c>
      <c r="G1935" s="2">
        <v>0.184499999999999</v>
      </c>
      <c r="H1935">
        <v>4</v>
      </c>
      <c r="I1935">
        <v>9</v>
      </c>
      <c r="K1935" s="8">
        <f t="shared" si="210"/>
        <v>-1.0522461538475909</v>
      </c>
      <c r="L1935" s="8">
        <f t="shared" si="211"/>
        <v>-8.0942011834430075E-2</v>
      </c>
      <c r="M1935" s="8">
        <f t="shared" si="212"/>
        <v>-1.13368923076996</v>
      </c>
      <c r="N1935" s="8">
        <f t="shared" si="213"/>
        <v>-8.7206863905381543E-2</v>
      </c>
      <c r="O1935" s="8"/>
      <c r="P1935" t="s">
        <v>2221</v>
      </c>
      <c r="Q1935">
        <v>34</v>
      </c>
      <c r="R1935" s="8">
        <v>2.8151000000000002</v>
      </c>
      <c r="S1935">
        <v>15</v>
      </c>
      <c r="T1935" s="8">
        <f t="shared" si="214"/>
        <v>0.44117647058823528</v>
      </c>
      <c r="U1935" s="8">
        <v>2.8130799999999998</v>
      </c>
      <c r="V1935">
        <v>16</v>
      </c>
      <c r="W1935" s="8">
        <f t="shared" si="215"/>
        <v>0.47058823529411764</v>
      </c>
      <c r="X1935" s="8">
        <v>2.8017699999999999</v>
      </c>
      <c r="Y1935">
        <v>3</v>
      </c>
      <c r="Z1935" s="8">
        <f t="shared" si="216"/>
        <v>8.8235294117647065E-2</v>
      </c>
      <c r="AA1935" s="8">
        <v>2.8963299999999998</v>
      </c>
    </row>
    <row r="1936" spans="1:27" ht="15" customHeight="1" x14ac:dyDescent="0.25">
      <c r="B1936" s="1" t="s">
        <v>56</v>
      </c>
      <c r="C1936" s="8">
        <v>-12083.7021</v>
      </c>
      <c r="D1936" s="2">
        <v>-12085.262537000001</v>
      </c>
      <c r="F1936" s="3">
        <v>0.99577599999999999</v>
      </c>
      <c r="G1936" s="2">
        <v>0.18534</v>
      </c>
      <c r="H1936">
        <v>4</v>
      </c>
      <c r="I1936">
        <v>9</v>
      </c>
      <c r="K1936" s="8">
        <f t="shared" si="210"/>
        <v>-1.1154461538480973</v>
      </c>
      <c r="L1936" s="8">
        <f t="shared" si="211"/>
        <v>-8.5803550296007489E-2</v>
      </c>
      <c r="M1936" s="8">
        <f t="shared" si="212"/>
        <v>-1.0993442307699297</v>
      </c>
      <c r="N1936" s="8">
        <f t="shared" si="213"/>
        <v>-8.4564940828456128E-2</v>
      </c>
      <c r="O1936" s="8"/>
      <c r="P1936" t="s">
        <v>2222</v>
      </c>
      <c r="Q1936">
        <v>34</v>
      </c>
      <c r="R1936" s="8">
        <v>2.8143600000000002</v>
      </c>
      <c r="S1936">
        <v>15</v>
      </c>
      <c r="T1936" s="8">
        <f t="shared" si="214"/>
        <v>0.44117647058823528</v>
      </c>
      <c r="U1936" s="8">
        <v>2.8143600000000002</v>
      </c>
      <c r="V1936">
        <v>16</v>
      </c>
      <c r="W1936" s="8">
        <f t="shared" si="215"/>
        <v>0.47058823529411764</v>
      </c>
      <c r="X1936" s="8">
        <v>2.81237</v>
      </c>
      <c r="Y1936">
        <v>3</v>
      </c>
      <c r="Z1936" s="8">
        <f t="shared" si="216"/>
        <v>8.8235294117647065E-2</v>
      </c>
      <c r="AA1936" s="8">
        <v>2.8249</v>
      </c>
    </row>
    <row r="1937" spans="2:27" ht="15" customHeight="1" x14ac:dyDescent="0.25">
      <c r="B1937" s="1" t="s">
        <v>58</v>
      </c>
      <c r="C1937" s="8">
        <v>-12083.614600000001</v>
      </c>
      <c r="D1937" s="2">
        <v>-12085.400288999999</v>
      </c>
      <c r="F1937" s="3">
        <v>0.99727299999999997</v>
      </c>
      <c r="G1937" s="2">
        <v>0.19775000000000001</v>
      </c>
      <c r="H1937">
        <v>4</v>
      </c>
      <c r="I1937">
        <v>9</v>
      </c>
      <c r="K1937" s="8">
        <f t="shared" si="210"/>
        <v>-1.0279461538484611</v>
      </c>
      <c r="L1937" s="8">
        <f t="shared" si="211"/>
        <v>-7.9072781065266246E-2</v>
      </c>
      <c r="M1937" s="8">
        <f t="shared" si="212"/>
        <v>-1.2370962307686568</v>
      </c>
      <c r="N1937" s="8">
        <f t="shared" si="213"/>
        <v>-9.5161248520665903E-2</v>
      </c>
      <c r="O1937" s="8"/>
      <c r="P1937" t="s">
        <v>2223</v>
      </c>
      <c r="Q1937">
        <v>34</v>
      </c>
      <c r="R1937" s="8">
        <v>2.81521</v>
      </c>
      <c r="S1937">
        <v>15</v>
      </c>
      <c r="T1937" s="8">
        <f t="shared" si="214"/>
        <v>0.44117647058823528</v>
      </c>
      <c r="U1937" s="8">
        <v>2.81671</v>
      </c>
      <c r="V1937">
        <v>16</v>
      </c>
      <c r="W1937" s="8">
        <f t="shared" si="215"/>
        <v>0.47058823529411764</v>
      </c>
      <c r="X1937" s="8">
        <v>2.8071100000000002</v>
      </c>
      <c r="Y1937">
        <v>3</v>
      </c>
      <c r="Z1937" s="8">
        <f t="shared" si="216"/>
        <v>8.8235294117647065E-2</v>
      </c>
      <c r="AA1937" s="8">
        <v>2.8509199999999999</v>
      </c>
    </row>
    <row r="1938" spans="2:27" ht="15" customHeight="1" x14ac:dyDescent="0.25">
      <c r="B1938" s="1" t="s">
        <v>60</v>
      </c>
      <c r="C1938" s="8">
        <v>-12083.715200000001</v>
      </c>
      <c r="D1938" s="2">
        <v>-12085.484437999999</v>
      </c>
      <c r="F1938" s="3">
        <v>0.98869700000000005</v>
      </c>
      <c r="G1938" s="2">
        <v>0.15565999999999999</v>
      </c>
      <c r="H1938">
        <v>4</v>
      </c>
      <c r="I1938">
        <v>9</v>
      </c>
      <c r="K1938" s="8">
        <f t="shared" si="210"/>
        <v>-1.1285461538482195</v>
      </c>
      <c r="L1938" s="8">
        <f t="shared" si="211"/>
        <v>-8.6811242603709191E-2</v>
      </c>
      <c r="M1938" s="8">
        <f t="shared" si="212"/>
        <v>-1.3212452307689091</v>
      </c>
      <c r="N1938" s="8">
        <f t="shared" si="213"/>
        <v>-0.10163424852068531</v>
      </c>
      <c r="O1938" s="8"/>
      <c r="P1938" t="s">
        <v>2224</v>
      </c>
      <c r="Q1938">
        <v>34</v>
      </c>
      <c r="R1938" s="8">
        <v>2.8199100000000001</v>
      </c>
      <c r="S1938">
        <v>13</v>
      </c>
      <c r="T1938" s="8">
        <f t="shared" si="214"/>
        <v>0.38235294117647056</v>
      </c>
      <c r="U1938" s="8">
        <v>2.80307</v>
      </c>
      <c r="V1938">
        <v>18</v>
      </c>
      <c r="W1938" s="8">
        <f t="shared" si="215"/>
        <v>0.52941176470588236</v>
      </c>
      <c r="X1938" s="8">
        <v>2.8161900000000002</v>
      </c>
      <c r="Y1938">
        <v>3</v>
      </c>
      <c r="Z1938" s="8">
        <f t="shared" si="216"/>
        <v>8.8235294117647065E-2</v>
      </c>
      <c r="AA1938" s="8">
        <v>2.9152</v>
      </c>
    </row>
    <row r="1939" spans="2:27" ht="15" customHeight="1" x14ac:dyDescent="0.25">
      <c r="B1939" s="1" t="s">
        <v>62</v>
      </c>
      <c r="C1939" s="8">
        <v>-12083.4334</v>
      </c>
      <c r="D1939" s="2">
        <v>-12085.070162</v>
      </c>
      <c r="F1939" s="3">
        <v>0.99440099999999998</v>
      </c>
      <c r="G1939" s="2">
        <v>0.17413999999999999</v>
      </c>
      <c r="H1939">
        <v>4</v>
      </c>
      <c r="I1939">
        <v>9</v>
      </c>
      <c r="K1939" s="8">
        <f t="shared" si="210"/>
        <v>-0.8467461538475618</v>
      </c>
      <c r="L1939" s="8">
        <f t="shared" si="211"/>
        <v>-6.5134319526735526E-2</v>
      </c>
      <c r="M1939" s="8">
        <f t="shared" si="212"/>
        <v>-0.90696923076939129</v>
      </c>
      <c r="N1939" s="8">
        <f t="shared" si="213"/>
        <v>-6.9766863905337789E-2</v>
      </c>
      <c r="O1939" s="8"/>
      <c r="P1939" t="s">
        <v>2225</v>
      </c>
      <c r="Q1939">
        <v>35</v>
      </c>
      <c r="R1939" s="8">
        <v>2.8264</v>
      </c>
      <c r="S1939">
        <v>17</v>
      </c>
      <c r="T1939" s="8">
        <f t="shared" si="214"/>
        <v>0.48571428571428571</v>
      </c>
      <c r="U1939" s="8">
        <v>2.8327399999999998</v>
      </c>
      <c r="V1939">
        <v>16</v>
      </c>
      <c r="W1939" s="8">
        <f t="shared" si="215"/>
        <v>0.45714285714285713</v>
      </c>
      <c r="X1939" s="8">
        <v>2.8221699999999998</v>
      </c>
      <c r="Y1939">
        <v>2</v>
      </c>
      <c r="Z1939" s="8">
        <f t="shared" si="216"/>
        <v>5.7142857142857141E-2</v>
      </c>
      <c r="AA1939" s="8">
        <v>2.8065000000000002</v>
      </c>
    </row>
    <row r="1940" spans="2:27" ht="15" customHeight="1" x14ac:dyDescent="0.25">
      <c r="B1940" s="1" t="s">
        <v>64</v>
      </c>
      <c r="C1940" s="8">
        <v>-12083.5743</v>
      </c>
      <c r="D1940" s="2">
        <v>-12085.126589</v>
      </c>
      <c r="F1940" s="3">
        <v>0.99598299999999995</v>
      </c>
      <c r="G1940" s="2">
        <v>0.18074999999999999</v>
      </c>
      <c r="H1940">
        <v>4</v>
      </c>
      <c r="I1940">
        <v>9</v>
      </c>
      <c r="K1940" s="8">
        <f t="shared" si="210"/>
        <v>-0.98764615384789067</v>
      </c>
      <c r="L1940" s="8">
        <f t="shared" si="211"/>
        <v>-7.5972781065222358E-2</v>
      </c>
      <c r="M1940" s="8">
        <f t="shared" si="212"/>
        <v>-0.96339623076892167</v>
      </c>
      <c r="N1940" s="8">
        <f t="shared" si="213"/>
        <v>-7.410740236684013E-2</v>
      </c>
      <c r="O1940" s="8"/>
      <c r="P1940" t="s">
        <v>2226</v>
      </c>
      <c r="Q1940">
        <v>34</v>
      </c>
      <c r="R1940" s="8">
        <v>2.8157800000000002</v>
      </c>
      <c r="S1940">
        <v>14</v>
      </c>
      <c r="T1940" s="8">
        <f t="shared" si="214"/>
        <v>0.41176470588235292</v>
      </c>
      <c r="U1940" s="8">
        <v>2.7957999999999998</v>
      </c>
      <c r="V1940">
        <v>18</v>
      </c>
      <c r="W1940" s="8">
        <f t="shared" si="215"/>
        <v>0.52941176470588236</v>
      </c>
      <c r="X1940" s="8">
        <v>2.8294000000000001</v>
      </c>
      <c r="Y1940">
        <v>2</v>
      </c>
      <c r="Z1940" s="8">
        <f t="shared" si="216"/>
        <v>5.8823529411764705E-2</v>
      </c>
      <c r="AA1940" s="8">
        <v>2.8330700000000002</v>
      </c>
    </row>
    <row r="1941" spans="2:27" ht="15" customHeight="1" x14ac:dyDescent="0.25">
      <c r="B1941" s="1" t="s">
        <v>66</v>
      </c>
      <c r="C1941" s="8">
        <v>-12083.682699999999</v>
      </c>
      <c r="D1941" s="2">
        <v>-12085.205957</v>
      </c>
      <c r="F1941" s="3">
        <v>0.99801099999999998</v>
      </c>
      <c r="G1941" s="2">
        <v>0.205899999999999</v>
      </c>
      <c r="H1941">
        <v>4</v>
      </c>
      <c r="I1941">
        <v>9</v>
      </c>
      <c r="K1941" s="8">
        <f t="shared" si="210"/>
        <v>-1.0960461538470554</v>
      </c>
      <c r="L1941" s="8">
        <f t="shared" si="211"/>
        <v>-8.4311242603619649E-2</v>
      </c>
      <c r="M1941" s="8">
        <f t="shared" si="212"/>
        <v>-1.0427642307695351</v>
      </c>
      <c r="N1941" s="8">
        <f t="shared" si="213"/>
        <v>-8.0212633136118081E-2</v>
      </c>
      <c r="O1941" s="8"/>
      <c r="P1941" t="s">
        <v>2227</v>
      </c>
      <c r="Q1941">
        <v>34</v>
      </c>
      <c r="R1941" s="8">
        <v>2.8184800000000001</v>
      </c>
      <c r="S1941">
        <v>15</v>
      </c>
      <c r="T1941" s="8">
        <f t="shared" si="214"/>
        <v>0.44117647058823528</v>
      </c>
      <c r="U1941" s="8">
        <v>2.8058000000000001</v>
      </c>
      <c r="V1941">
        <v>15</v>
      </c>
      <c r="W1941" s="8">
        <f t="shared" si="215"/>
        <v>0.44117647058823528</v>
      </c>
      <c r="X1941" s="8">
        <v>2.8347799999999999</v>
      </c>
      <c r="Y1941">
        <v>4</v>
      </c>
      <c r="Z1941" s="8">
        <f t="shared" si="216"/>
        <v>0.11764705882352941</v>
      </c>
      <c r="AA1941" s="8">
        <v>2.8049200000000001</v>
      </c>
    </row>
    <row r="1942" spans="2:27" ht="15" customHeight="1" x14ac:dyDescent="0.25">
      <c r="B1942" s="1" t="s">
        <v>68</v>
      </c>
      <c r="C1942" s="8">
        <v>-12083.7237</v>
      </c>
      <c r="D1942" s="2">
        <v>-12085.211144000001</v>
      </c>
      <c r="F1942" s="3">
        <v>0.99594499999999997</v>
      </c>
      <c r="G1942" s="2">
        <v>0.19034000000000001</v>
      </c>
      <c r="H1942">
        <v>4</v>
      </c>
      <c r="I1942">
        <v>9</v>
      </c>
      <c r="K1942" s="8">
        <f t="shared" si="210"/>
        <v>-1.1370461538481322</v>
      </c>
      <c r="L1942" s="8">
        <f t="shared" si="211"/>
        <v>-8.7465088757548631E-2</v>
      </c>
      <c r="M1942" s="8">
        <f t="shared" si="212"/>
        <v>-1.0479512307701953</v>
      </c>
      <c r="N1942" s="8">
        <f t="shared" si="213"/>
        <v>-8.061163313616887E-2</v>
      </c>
      <c r="O1942" s="8"/>
      <c r="P1942" t="s">
        <v>2228</v>
      </c>
      <c r="Q1942">
        <v>34</v>
      </c>
      <c r="R1942" s="8">
        <v>2.81385</v>
      </c>
      <c r="S1942">
        <v>15</v>
      </c>
      <c r="T1942" s="8">
        <f t="shared" si="214"/>
        <v>0.44117647058823528</v>
      </c>
      <c r="U1942" s="8">
        <v>2.8166899999999999</v>
      </c>
      <c r="V1942">
        <v>17</v>
      </c>
      <c r="W1942" s="8">
        <f t="shared" si="215"/>
        <v>0.5</v>
      </c>
      <c r="X1942" s="8">
        <v>2.8085300000000002</v>
      </c>
      <c r="Y1942">
        <v>2</v>
      </c>
      <c r="Z1942" s="8">
        <f t="shared" si="216"/>
        <v>5.8823529411764705E-2</v>
      </c>
      <c r="AA1942" s="8">
        <v>2.8376700000000001</v>
      </c>
    </row>
    <row r="1943" spans="2:27" ht="15" customHeight="1" x14ac:dyDescent="0.25">
      <c r="B1943" s="1" t="s">
        <v>70</v>
      </c>
      <c r="C1943" s="8">
        <v>-12083.750099999999</v>
      </c>
      <c r="D1943" s="2">
        <v>-12085.243057</v>
      </c>
      <c r="F1943" s="3">
        <v>0.99575400000000003</v>
      </c>
      <c r="G1943" s="2">
        <v>0.18923000000000001</v>
      </c>
      <c r="H1943">
        <v>4</v>
      </c>
      <c r="I1943">
        <v>9</v>
      </c>
      <c r="K1943" s="8">
        <f t="shared" si="210"/>
        <v>-1.1634461538469623</v>
      </c>
      <c r="L1943" s="8">
        <f t="shared" si="211"/>
        <v>-8.9495857988227873E-2</v>
      </c>
      <c r="M1943" s="8">
        <f t="shared" si="212"/>
        <v>-1.0798642307690898</v>
      </c>
      <c r="N1943" s="8">
        <f t="shared" si="213"/>
        <v>-8.3066479289929981E-2</v>
      </c>
      <c r="O1943" s="8"/>
      <c r="P1943" t="s">
        <v>2229</v>
      </c>
      <c r="Q1943">
        <v>34</v>
      </c>
      <c r="R1943" s="8">
        <v>2.81853</v>
      </c>
      <c r="S1943">
        <v>14</v>
      </c>
      <c r="T1943" s="8">
        <f t="shared" si="214"/>
        <v>0.41176470588235292</v>
      </c>
      <c r="U1943" s="8">
        <v>2.80809</v>
      </c>
      <c r="V1943">
        <v>18</v>
      </c>
      <c r="W1943" s="8">
        <f t="shared" si="215"/>
        <v>0.52941176470588236</v>
      </c>
      <c r="X1943" s="8">
        <v>2.8167200000000001</v>
      </c>
      <c r="Y1943">
        <v>2</v>
      </c>
      <c r="Z1943" s="8">
        <f t="shared" si="216"/>
        <v>5.8823529411764705E-2</v>
      </c>
      <c r="AA1943" s="8">
        <v>2.9078499999999998</v>
      </c>
    </row>
    <row r="1944" spans="2:27" ht="15" customHeight="1" x14ac:dyDescent="0.25">
      <c r="B1944" s="1" t="s">
        <v>72</v>
      </c>
      <c r="C1944" s="8">
        <v>-12083.5645</v>
      </c>
      <c r="D1944" s="2">
        <v>-12085.219888</v>
      </c>
      <c r="F1944" s="3">
        <v>0.99807299999999999</v>
      </c>
      <c r="G1944" s="2">
        <v>0.19989999999999999</v>
      </c>
      <c r="H1944">
        <v>4</v>
      </c>
      <c r="I1944">
        <v>9</v>
      </c>
      <c r="K1944" s="8">
        <f t="shared" si="210"/>
        <v>-0.97784615384807694</v>
      </c>
      <c r="L1944" s="8">
        <f t="shared" si="211"/>
        <v>-7.5218934911390534E-2</v>
      </c>
      <c r="M1944" s="8">
        <f t="shared" si="212"/>
        <v>-1.0566952307690372</v>
      </c>
      <c r="N1944" s="8">
        <f t="shared" si="213"/>
        <v>-8.1284248520695171E-2</v>
      </c>
      <c r="O1944" s="8"/>
      <c r="P1944" t="s">
        <v>2230</v>
      </c>
      <c r="Q1944">
        <v>35</v>
      </c>
      <c r="R1944" s="8">
        <v>2.8301799999999999</v>
      </c>
      <c r="S1944">
        <v>16</v>
      </c>
      <c r="T1944" s="8">
        <f t="shared" si="214"/>
        <v>0.45714285714285713</v>
      </c>
      <c r="U1944" s="8">
        <v>2.8346</v>
      </c>
      <c r="V1944">
        <v>16</v>
      </c>
      <c r="W1944" s="8">
        <f t="shared" si="215"/>
        <v>0.45714285714285713</v>
      </c>
      <c r="X1944" s="8">
        <v>2.8187700000000002</v>
      </c>
      <c r="Y1944">
        <v>3</v>
      </c>
      <c r="Z1944" s="8">
        <f t="shared" si="216"/>
        <v>8.5714285714285715E-2</v>
      </c>
      <c r="AA1944" s="8">
        <v>2.8674200000000001</v>
      </c>
    </row>
    <row r="1945" spans="2:27" ht="15" customHeight="1" x14ac:dyDescent="0.25">
      <c r="B1945" s="1" t="s">
        <v>74</v>
      </c>
      <c r="C1945" s="8">
        <v>-12083.6453</v>
      </c>
      <c r="D1945" s="2">
        <v>-12085.281276</v>
      </c>
      <c r="F1945" s="3">
        <v>0.99756400000000001</v>
      </c>
      <c r="G1945" s="2">
        <v>0.19889000000000001</v>
      </c>
      <c r="H1945">
        <v>4</v>
      </c>
      <c r="I1945">
        <v>9</v>
      </c>
      <c r="K1945" s="8">
        <f t="shared" si="210"/>
        <v>-1.0586461538478034</v>
      </c>
      <c r="L1945" s="8">
        <f t="shared" si="211"/>
        <v>-8.1434319526754104E-2</v>
      </c>
      <c r="M1945" s="8">
        <f t="shared" si="212"/>
        <v>-1.1180832307691162</v>
      </c>
      <c r="N1945" s="8">
        <f t="shared" si="213"/>
        <v>-8.6006402366855098E-2</v>
      </c>
      <c r="O1945" s="8"/>
      <c r="P1945" t="s">
        <v>2231</v>
      </c>
      <c r="Q1945">
        <v>34</v>
      </c>
      <c r="R1945" s="8">
        <v>2.8212799999999998</v>
      </c>
      <c r="S1945">
        <v>14</v>
      </c>
      <c r="T1945" s="8">
        <f t="shared" si="214"/>
        <v>0.41176470588235292</v>
      </c>
      <c r="U1945" s="8">
        <v>2.8091400000000002</v>
      </c>
      <c r="V1945">
        <v>18</v>
      </c>
      <c r="W1945" s="8">
        <f t="shared" si="215"/>
        <v>0.52941176470588236</v>
      </c>
      <c r="X1945" s="8">
        <v>2.8311700000000002</v>
      </c>
      <c r="Y1945">
        <v>2</v>
      </c>
      <c r="Z1945" s="8">
        <f t="shared" si="216"/>
        <v>5.8823529411764705E-2</v>
      </c>
      <c r="AA1945" s="8">
        <v>2.8172100000000002</v>
      </c>
    </row>
    <row r="1946" spans="2:27" ht="15" customHeight="1" x14ac:dyDescent="0.25">
      <c r="B1946" s="51" t="s">
        <v>76</v>
      </c>
      <c r="C1946" s="5">
        <v>-12083.877699999999</v>
      </c>
      <c r="D1946" s="23">
        <v>-12085.323372000001</v>
      </c>
      <c r="E1946" s="7"/>
      <c r="F1946" s="34">
        <v>0.99770999999999999</v>
      </c>
      <c r="G1946" s="23">
        <v>0.20441999999999899</v>
      </c>
      <c r="H1946" s="7">
        <v>4</v>
      </c>
      <c r="I1946" s="7">
        <v>9</v>
      </c>
      <c r="K1946" s="8">
        <f t="shared" si="210"/>
        <v>-1.2910461538467644</v>
      </c>
      <c r="L1946" s="8">
        <f t="shared" si="211"/>
        <v>-9.9311242603597263E-2</v>
      </c>
      <c r="M1946" s="8">
        <f t="shared" si="212"/>
        <v>-1.1601792307701544</v>
      </c>
      <c r="N1946" s="8">
        <f t="shared" si="213"/>
        <v>-8.9244556213088799E-2</v>
      </c>
      <c r="O1946" s="8"/>
      <c r="P1946" t="s">
        <v>2232</v>
      </c>
      <c r="Q1946">
        <v>32</v>
      </c>
      <c r="R1946" s="8">
        <v>2.7939699999999998</v>
      </c>
      <c r="S1946">
        <v>13</v>
      </c>
      <c r="T1946" s="8">
        <f t="shared" si="214"/>
        <v>0.40625</v>
      </c>
      <c r="U1946" s="8">
        <v>2.77183</v>
      </c>
      <c r="V1946">
        <v>17</v>
      </c>
      <c r="W1946" s="8">
        <f t="shared" si="215"/>
        <v>0.53125</v>
      </c>
      <c r="X1946" s="8">
        <v>2.8142999999999998</v>
      </c>
      <c r="Y1946">
        <v>2</v>
      </c>
      <c r="Z1946" s="8">
        <f t="shared" si="216"/>
        <v>6.25E-2</v>
      </c>
      <c r="AA1946" s="8">
        <v>2.7651699999999999</v>
      </c>
    </row>
    <row r="1947" spans="2:27" ht="15" customHeight="1" x14ac:dyDescent="0.25">
      <c r="B1947" s="1" t="s">
        <v>180</v>
      </c>
      <c r="C1947" s="8">
        <v>-12083.6433</v>
      </c>
      <c r="D1947" s="2">
        <v>-12085.258915</v>
      </c>
      <c r="F1947" s="3">
        <v>0.99671100000000001</v>
      </c>
      <c r="G1947" s="2">
        <v>0.19306999999999999</v>
      </c>
      <c r="H1947">
        <v>4</v>
      </c>
      <c r="I1947">
        <v>9</v>
      </c>
      <c r="K1947" s="8">
        <f t="shared" si="210"/>
        <v>-1.0566461538473959</v>
      </c>
      <c r="L1947" s="8">
        <f t="shared" si="211"/>
        <v>-8.128047337287661E-2</v>
      </c>
      <c r="M1947" s="8">
        <f t="shared" si="212"/>
        <v>-1.0957222307697521</v>
      </c>
      <c r="N1947" s="8">
        <f t="shared" si="213"/>
        <v>-8.4286325443827081E-2</v>
      </c>
      <c r="O1947" s="8"/>
      <c r="P1947" t="s">
        <v>2233</v>
      </c>
      <c r="Q1947">
        <v>34</v>
      </c>
      <c r="R1947" s="8">
        <v>2.81562</v>
      </c>
      <c r="S1947">
        <v>15</v>
      </c>
      <c r="T1947" s="8">
        <f t="shared" si="214"/>
        <v>0.44117647058823528</v>
      </c>
      <c r="U1947" s="8">
        <v>2.7968899999999999</v>
      </c>
      <c r="V1947">
        <v>17</v>
      </c>
      <c r="W1947" s="8">
        <f t="shared" si="215"/>
        <v>0.5</v>
      </c>
      <c r="X1947" s="8">
        <v>2.8334199999999998</v>
      </c>
      <c r="Y1947">
        <v>2</v>
      </c>
      <c r="Z1947" s="8">
        <f t="shared" si="216"/>
        <v>5.8823529411764705E-2</v>
      </c>
      <c r="AA1947" s="8">
        <v>2.8047499999999999</v>
      </c>
    </row>
    <row r="1948" spans="2:27" ht="15" customHeight="1" x14ac:dyDescent="0.25">
      <c r="B1948" s="1" t="s">
        <v>150</v>
      </c>
      <c r="C1948" s="8">
        <v>-12083.7567</v>
      </c>
      <c r="D1948" s="2">
        <v>-12085.383041999999</v>
      </c>
      <c r="F1948" s="3">
        <v>0.99759399999999998</v>
      </c>
      <c r="G1948" s="2">
        <v>0.21509</v>
      </c>
      <c r="H1948">
        <v>4</v>
      </c>
      <c r="I1948">
        <v>9</v>
      </c>
      <c r="K1948" s="8">
        <f t="shared" si="210"/>
        <v>-1.1700461538475793</v>
      </c>
      <c r="L1948" s="8">
        <f t="shared" si="211"/>
        <v>-9.0003550295967641E-2</v>
      </c>
      <c r="M1948" s="8">
        <f t="shared" si="212"/>
        <v>-1.2198492307688866</v>
      </c>
      <c r="N1948" s="8">
        <f t="shared" si="213"/>
        <v>-9.3834556212991277E-2</v>
      </c>
      <c r="O1948" s="8"/>
      <c r="P1948" t="s">
        <v>2234</v>
      </c>
      <c r="Q1948">
        <v>35</v>
      </c>
      <c r="R1948" s="8">
        <v>2.8246199999999999</v>
      </c>
      <c r="S1948">
        <v>14</v>
      </c>
      <c r="T1948" s="8">
        <f t="shared" si="214"/>
        <v>0.4</v>
      </c>
      <c r="U1948" s="8">
        <v>2.8161299999999998</v>
      </c>
      <c r="V1948">
        <v>20</v>
      </c>
      <c r="W1948" s="8">
        <f t="shared" si="215"/>
        <v>0.5714285714285714</v>
      </c>
      <c r="X1948" s="8">
        <v>2.8331400000000002</v>
      </c>
      <c r="Y1948">
        <v>1</v>
      </c>
      <c r="Z1948" s="8">
        <f t="shared" si="216"/>
        <v>2.8571428571428571E-2</v>
      </c>
      <c r="AA1948" s="8">
        <v>2.7730399999999999</v>
      </c>
    </row>
    <row r="1949" spans="2:27" ht="15" customHeight="1" x14ac:dyDescent="0.25">
      <c r="B1949" s="1" t="s">
        <v>230</v>
      </c>
      <c r="C1949" s="8">
        <v>-12083.532499999999</v>
      </c>
      <c r="D1949" s="2">
        <v>-12085.042293</v>
      </c>
      <c r="F1949" s="3">
        <v>0.99368900000000004</v>
      </c>
      <c r="G1949" s="2">
        <v>0.17265999999999901</v>
      </c>
      <c r="H1949">
        <v>4</v>
      </c>
      <c r="I1949">
        <v>9</v>
      </c>
      <c r="K1949" s="8">
        <f t="shared" si="210"/>
        <v>-0.94584615384701465</v>
      </c>
      <c r="L1949" s="8">
        <f t="shared" si="211"/>
        <v>-7.2757396449770362E-2</v>
      </c>
      <c r="M1949" s="8">
        <f t="shared" si="212"/>
        <v>-0.87910023076983634</v>
      </c>
      <c r="N1949" s="8">
        <f t="shared" si="213"/>
        <v>-6.7623094674602799E-2</v>
      </c>
      <c r="O1949" s="8"/>
      <c r="P1949" t="s">
        <v>2235</v>
      </c>
      <c r="Q1949">
        <v>32</v>
      </c>
      <c r="R1949" s="8">
        <v>2.7959399999999999</v>
      </c>
      <c r="S1949">
        <v>14</v>
      </c>
      <c r="T1949" s="8">
        <f t="shared" si="214"/>
        <v>0.4375</v>
      </c>
      <c r="U1949" s="8">
        <v>2.7932000000000001</v>
      </c>
      <c r="V1949">
        <v>17</v>
      </c>
      <c r="W1949" s="8">
        <f t="shared" si="215"/>
        <v>0.53125</v>
      </c>
      <c r="X1949" s="8">
        <v>2.8013300000000001</v>
      </c>
      <c r="Y1949">
        <v>1</v>
      </c>
      <c r="Z1949" s="8">
        <f t="shared" si="216"/>
        <v>3.125E-2</v>
      </c>
      <c r="AA1949" s="8">
        <v>2.74274</v>
      </c>
    </row>
    <row r="1950" spans="2:27" ht="15" customHeight="1" x14ac:dyDescent="0.25">
      <c r="B1950" s="1" t="s">
        <v>197</v>
      </c>
      <c r="C1950" s="8">
        <v>-12083.333500000001</v>
      </c>
      <c r="D1950" s="2">
        <v>-12084.963809999999</v>
      </c>
      <c r="F1950" s="3">
        <v>0.99443199999999998</v>
      </c>
      <c r="G1950" s="2">
        <v>0.17641999999999899</v>
      </c>
      <c r="H1950">
        <v>4</v>
      </c>
      <c r="I1950">
        <v>9</v>
      </c>
      <c r="K1950" s="8">
        <f t="shared" si="210"/>
        <v>-0.74684615384830977</v>
      </c>
      <c r="L1950" s="8">
        <f t="shared" si="211"/>
        <v>-5.7449704142177677E-2</v>
      </c>
      <c r="M1950" s="8">
        <f t="shared" si="212"/>
        <v>-0.80061723076869384</v>
      </c>
      <c r="N1950" s="8">
        <f t="shared" si="213"/>
        <v>-6.1585940828361066E-2</v>
      </c>
      <c r="O1950" s="8"/>
      <c r="P1950" t="s">
        <v>2236</v>
      </c>
      <c r="Q1950">
        <v>36</v>
      </c>
      <c r="R1950" s="8">
        <v>2.8329</v>
      </c>
      <c r="S1950">
        <v>15</v>
      </c>
      <c r="T1950" s="8">
        <f t="shared" si="214"/>
        <v>0.41666666666666669</v>
      </c>
      <c r="U1950" s="8">
        <v>2.81175</v>
      </c>
      <c r="V1950">
        <v>17</v>
      </c>
      <c r="W1950" s="8">
        <f t="shared" si="215"/>
        <v>0.47222222222222221</v>
      </c>
      <c r="X1950" s="8">
        <v>2.8385600000000002</v>
      </c>
      <c r="Y1950">
        <v>4</v>
      </c>
      <c r="Z1950" s="8">
        <f t="shared" si="216"/>
        <v>0.1111111111111111</v>
      </c>
      <c r="AA1950" s="8">
        <v>2.8881899999999998</v>
      </c>
    </row>
    <row r="1951" spans="2:27" ht="15" customHeight="1" x14ac:dyDescent="0.25">
      <c r="B1951" s="1" t="s">
        <v>194</v>
      </c>
      <c r="C1951" s="8">
        <v>-12083.4077</v>
      </c>
      <c r="D1951" s="2">
        <v>-12084.918806</v>
      </c>
      <c r="F1951" s="3">
        <v>0.996556</v>
      </c>
      <c r="G1951" s="2">
        <v>0.19087999999999899</v>
      </c>
      <c r="H1951">
        <v>4</v>
      </c>
      <c r="I1951">
        <v>9</v>
      </c>
      <c r="K1951" s="8">
        <f t="shared" si="210"/>
        <v>-0.82104615384741919</v>
      </c>
      <c r="L1951" s="8">
        <f t="shared" si="211"/>
        <v>-6.3157396449801478E-2</v>
      </c>
      <c r="M1951" s="8">
        <f t="shared" si="212"/>
        <v>-0.75561323076908593</v>
      </c>
      <c r="N1951" s="8">
        <f t="shared" si="213"/>
        <v>-5.8124094674545074E-2</v>
      </c>
      <c r="O1951" s="8"/>
      <c r="P1951" t="s">
        <v>2237</v>
      </c>
      <c r="Q1951">
        <v>34</v>
      </c>
      <c r="R1951" s="8">
        <v>2.8218700000000001</v>
      </c>
      <c r="S1951">
        <v>16</v>
      </c>
      <c r="T1951" s="8">
        <f t="shared" si="214"/>
        <v>0.47058823529411764</v>
      </c>
      <c r="U1951" s="8">
        <v>2.8201299999999998</v>
      </c>
      <c r="V1951">
        <v>14</v>
      </c>
      <c r="W1951" s="8">
        <f t="shared" si="215"/>
        <v>0.41176470588235292</v>
      </c>
      <c r="X1951" s="8">
        <v>2.7967200000000001</v>
      </c>
      <c r="Y1951">
        <v>4</v>
      </c>
      <c r="Z1951" s="8">
        <f t="shared" si="216"/>
        <v>0.11764705882352941</v>
      </c>
      <c r="AA1951" s="8">
        <v>2.9168799999999999</v>
      </c>
    </row>
    <row r="1952" spans="2:27" ht="15" customHeight="1" x14ac:dyDescent="0.25">
      <c r="B1952" s="1" t="s">
        <v>153</v>
      </c>
      <c r="C1952" s="8">
        <v>-12083.589400000001</v>
      </c>
      <c r="D1952" s="2">
        <v>-12085.209440000001</v>
      </c>
      <c r="F1952" s="3">
        <v>0.99692899999999995</v>
      </c>
      <c r="G1952" s="2">
        <v>0.19431999999999999</v>
      </c>
      <c r="H1952">
        <v>4</v>
      </c>
      <c r="I1952">
        <v>9</v>
      </c>
      <c r="K1952" s="8">
        <f t="shared" si="210"/>
        <v>-1.0027461538484204</v>
      </c>
      <c r="L1952" s="8">
        <f t="shared" si="211"/>
        <v>-7.7134319526801567E-2</v>
      </c>
      <c r="M1952" s="8">
        <f t="shared" si="212"/>
        <v>-1.04624723076995</v>
      </c>
      <c r="N1952" s="8">
        <f t="shared" si="213"/>
        <v>-8.0480556213073068E-2</v>
      </c>
      <c r="O1952" s="8"/>
      <c r="P1952" t="s">
        <v>2238</v>
      </c>
      <c r="Q1952">
        <v>34</v>
      </c>
      <c r="R1952" s="8">
        <v>2.81359</v>
      </c>
      <c r="S1952">
        <v>15</v>
      </c>
      <c r="T1952" s="8">
        <f t="shared" si="214"/>
        <v>0.44117647058823528</v>
      </c>
      <c r="U1952" s="8">
        <v>2.7991299999999999</v>
      </c>
      <c r="V1952">
        <v>16</v>
      </c>
      <c r="W1952" s="8">
        <f t="shared" si="215"/>
        <v>0.47058823529411764</v>
      </c>
      <c r="X1952" s="8">
        <v>2.8183099999999999</v>
      </c>
      <c r="Y1952">
        <v>3</v>
      </c>
      <c r="Z1952" s="8">
        <f t="shared" si="216"/>
        <v>8.8235294117647065E-2</v>
      </c>
      <c r="AA1952" s="8">
        <v>2.8607800000000001</v>
      </c>
    </row>
    <row r="1953" spans="2:27" ht="15" customHeight="1" x14ac:dyDescent="0.25">
      <c r="B1953" s="1" t="s">
        <v>215</v>
      </c>
      <c r="C1953" s="8">
        <v>-12083.178900000001</v>
      </c>
      <c r="D1953" s="2">
        <v>-12084.726134</v>
      </c>
      <c r="F1953" s="3">
        <v>0.99333400000000005</v>
      </c>
      <c r="G1953" s="2">
        <v>0.171009999999999</v>
      </c>
      <c r="H1953">
        <v>4</v>
      </c>
      <c r="I1953">
        <v>9</v>
      </c>
      <c r="K1953" s="8">
        <f t="shared" si="210"/>
        <v>-0.59224615384846402</v>
      </c>
      <c r="L1953" s="8">
        <f t="shared" si="211"/>
        <v>-4.5557396449881847E-2</v>
      </c>
      <c r="M1953" s="8">
        <f t="shared" si="212"/>
        <v>-0.5629412307698658</v>
      </c>
      <c r="N1953" s="8">
        <f t="shared" si="213"/>
        <v>-4.3303171597681982E-2</v>
      </c>
      <c r="O1953" s="8"/>
      <c r="P1953" t="s">
        <v>2239</v>
      </c>
      <c r="Q1953">
        <v>36</v>
      </c>
      <c r="R1953" s="8">
        <v>2.83575</v>
      </c>
      <c r="S1953">
        <v>17</v>
      </c>
      <c r="T1953" s="8">
        <f t="shared" si="214"/>
        <v>0.47222222222222221</v>
      </c>
      <c r="U1953" s="8">
        <v>2.8134899999999998</v>
      </c>
      <c r="V1953">
        <v>14</v>
      </c>
      <c r="W1953" s="8">
        <f t="shared" si="215"/>
        <v>0.3888888888888889</v>
      </c>
      <c r="X1953" s="8">
        <v>2.84707</v>
      </c>
      <c r="Y1953">
        <v>5</v>
      </c>
      <c r="Z1953" s="8">
        <f t="shared" si="216"/>
        <v>0.1388888888888889</v>
      </c>
      <c r="AA1953" s="8">
        <v>2.8797600000000001</v>
      </c>
    </row>
    <row r="1954" spans="2:27" ht="15" customHeight="1" x14ac:dyDescent="0.25">
      <c r="B1954" s="1" t="s">
        <v>175</v>
      </c>
      <c r="C1954" s="8">
        <v>-12083.433000000001</v>
      </c>
      <c r="D1954" s="2">
        <v>-12084.959833000001</v>
      </c>
      <c r="F1954" s="3">
        <v>0.99479600000000001</v>
      </c>
      <c r="G1954" s="2">
        <v>0.17591999999999999</v>
      </c>
      <c r="H1954">
        <v>4</v>
      </c>
      <c r="I1954">
        <v>9</v>
      </c>
      <c r="K1954" s="8">
        <f t="shared" si="210"/>
        <v>-0.8463461538485717</v>
      </c>
      <c r="L1954" s="8">
        <f t="shared" si="211"/>
        <v>-6.5103550296043977E-2</v>
      </c>
      <c r="M1954" s="8">
        <f t="shared" si="212"/>
        <v>-0.79664023077020829</v>
      </c>
      <c r="N1954" s="8">
        <f t="shared" si="213"/>
        <v>-6.1280017751554484E-2</v>
      </c>
      <c r="O1954" s="8"/>
      <c r="P1954" t="s">
        <v>2240</v>
      </c>
      <c r="Q1954">
        <v>36</v>
      </c>
      <c r="R1954" s="8">
        <v>2.83446</v>
      </c>
      <c r="S1954">
        <v>15</v>
      </c>
      <c r="T1954" s="8">
        <f t="shared" si="214"/>
        <v>0.41666666666666669</v>
      </c>
      <c r="U1954" s="8">
        <v>2.80945</v>
      </c>
      <c r="V1954">
        <v>18</v>
      </c>
      <c r="W1954" s="8">
        <f t="shared" si="215"/>
        <v>0.5</v>
      </c>
      <c r="X1954" s="8">
        <v>2.83948</v>
      </c>
      <c r="Y1954">
        <v>3</v>
      </c>
      <c r="Z1954" s="8">
        <f t="shared" si="216"/>
        <v>8.3333333333333329E-2</v>
      </c>
      <c r="AA1954" s="8">
        <v>2.9294099999999998</v>
      </c>
    </row>
    <row r="1955" spans="2:27" ht="15" customHeight="1" x14ac:dyDescent="0.25">
      <c r="B1955" s="1" t="s">
        <v>94</v>
      </c>
      <c r="C1955" s="8">
        <v>-12083.5597</v>
      </c>
      <c r="D1955" s="2">
        <v>-12085.530575999999</v>
      </c>
      <c r="F1955" s="3">
        <v>0.99707199999999996</v>
      </c>
      <c r="G1955" s="2">
        <v>0.20943000000000001</v>
      </c>
      <c r="H1955">
        <v>4</v>
      </c>
      <c r="I1955">
        <v>9</v>
      </c>
      <c r="K1955" s="8">
        <f t="shared" si="210"/>
        <v>-0.97304615384746285</v>
      </c>
      <c r="L1955" s="8">
        <f t="shared" si="211"/>
        <v>-7.4849704142112533E-2</v>
      </c>
      <c r="M1955" s="8">
        <f t="shared" si="212"/>
        <v>-1.3673832307686098</v>
      </c>
      <c r="N1955" s="8">
        <f t="shared" si="213"/>
        <v>-0.10518332544373922</v>
      </c>
      <c r="O1955" s="8"/>
      <c r="P1955" t="s">
        <v>2241</v>
      </c>
      <c r="Q1955">
        <v>36</v>
      </c>
      <c r="R1955" s="8">
        <v>2.8392400000000002</v>
      </c>
      <c r="S1955">
        <v>14</v>
      </c>
      <c r="T1955" s="8">
        <f t="shared" si="214"/>
        <v>0.3888888888888889</v>
      </c>
      <c r="U1955" s="8">
        <v>2.80891</v>
      </c>
      <c r="V1955">
        <v>18</v>
      </c>
      <c r="W1955" s="8">
        <f t="shared" si="215"/>
        <v>0.5</v>
      </c>
      <c r="X1955" s="8">
        <v>2.8443999999999998</v>
      </c>
      <c r="Y1955">
        <v>4</v>
      </c>
      <c r="Z1955" s="8">
        <f t="shared" si="216"/>
        <v>0.1111111111111111</v>
      </c>
      <c r="AA1955" s="8">
        <v>2.9221400000000002</v>
      </c>
    </row>
    <row r="1956" spans="2:27" ht="15" customHeight="1" x14ac:dyDescent="0.25">
      <c r="B1956" s="1" t="s">
        <v>186</v>
      </c>
      <c r="C1956" s="8">
        <v>-12083.74</v>
      </c>
      <c r="D1956" s="2">
        <v>-12085.37702</v>
      </c>
      <c r="F1956" s="3">
        <v>0.99634699999999998</v>
      </c>
      <c r="G1956" s="2">
        <v>0.18751000000000001</v>
      </c>
      <c r="H1956">
        <v>4</v>
      </c>
      <c r="I1956">
        <v>9</v>
      </c>
      <c r="K1956" s="8">
        <f t="shared" si="210"/>
        <v>-1.1533461538474512</v>
      </c>
      <c r="L1956" s="8">
        <f t="shared" si="211"/>
        <v>-8.8718934911342404E-2</v>
      </c>
      <c r="M1956" s="8">
        <f t="shared" si="212"/>
        <v>-1.2138272307693114</v>
      </c>
      <c r="N1956" s="8">
        <f t="shared" si="213"/>
        <v>-9.3371325443793188E-2</v>
      </c>
      <c r="O1956" s="8"/>
      <c r="P1956" t="s">
        <v>2242</v>
      </c>
      <c r="Q1956">
        <v>34</v>
      </c>
      <c r="R1956" s="8">
        <v>2.8152200000000001</v>
      </c>
      <c r="S1956">
        <v>14</v>
      </c>
      <c r="T1956" s="8">
        <f t="shared" si="214"/>
        <v>0.41176470588235292</v>
      </c>
      <c r="U1956" s="8">
        <v>2.8086099999999998</v>
      </c>
      <c r="V1956">
        <v>18</v>
      </c>
      <c r="W1956" s="8">
        <f t="shared" si="215"/>
        <v>0.52941176470588236</v>
      </c>
      <c r="X1956" s="8">
        <v>2.81</v>
      </c>
      <c r="Y1956">
        <v>2</v>
      </c>
      <c r="Z1956" s="8">
        <f t="shared" si="216"/>
        <v>5.8823529411764705E-2</v>
      </c>
      <c r="AA1956" s="8">
        <v>2.90855</v>
      </c>
    </row>
    <row r="1957" spans="2:27" ht="15" customHeight="1" x14ac:dyDescent="0.25">
      <c r="B1957" s="1" t="s">
        <v>135</v>
      </c>
      <c r="C1957" s="8">
        <v>-12083.437900000001</v>
      </c>
      <c r="D1957" s="2">
        <v>-12085.080359</v>
      </c>
      <c r="F1957" s="3">
        <v>0.99389000000000005</v>
      </c>
      <c r="G1957" s="2">
        <v>0.173459999999999</v>
      </c>
      <c r="H1957">
        <v>4</v>
      </c>
      <c r="I1957">
        <v>9</v>
      </c>
      <c r="K1957" s="8">
        <f t="shared" si="210"/>
        <v>-0.85124615384847857</v>
      </c>
      <c r="L1957" s="8">
        <f t="shared" si="211"/>
        <v>-6.5480473372959896E-2</v>
      </c>
      <c r="M1957" s="8">
        <f t="shared" si="212"/>
        <v>-0.9171662307689985</v>
      </c>
      <c r="N1957" s="8">
        <f t="shared" si="213"/>
        <v>-7.0551248520692195E-2</v>
      </c>
      <c r="O1957" s="8"/>
      <c r="P1957" t="s">
        <v>2243</v>
      </c>
      <c r="Q1957">
        <v>36</v>
      </c>
      <c r="R1957" s="8">
        <v>2.8364600000000002</v>
      </c>
      <c r="S1957">
        <v>15</v>
      </c>
      <c r="T1957" s="8">
        <f t="shared" si="214"/>
        <v>0.41666666666666669</v>
      </c>
      <c r="U1957" s="8">
        <v>2.8147799999999998</v>
      </c>
      <c r="V1957">
        <v>18</v>
      </c>
      <c r="W1957" s="8">
        <f t="shared" si="215"/>
        <v>0.5</v>
      </c>
      <c r="X1957" s="8">
        <v>2.8412700000000002</v>
      </c>
      <c r="Y1957">
        <v>3</v>
      </c>
      <c r="Z1957" s="8">
        <f t="shared" si="216"/>
        <v>8.3333333333333329E-2</v>
      </c>
      <c r="AA1957" s="8">
        <v>2.9160300000000001</v>
      </c>
    </row>
    <row r="1958" spans="2:27" ht="15" customHeight="1" x14ac:dyDescent="0.25">
      <c r="B1958" s="1" t="s">
        <v>200</v>
      </c>
      <c r="C1958" s="8">
        <v>-12083.552100000001</v>
      </c>
      <c r="D1958" s="2">
        <v>-12085.228687000001</v>
      </c>
      <c r="F1958" s="3">
        <v>0.99474799999999997</v>
      </c>
      <c r="G1958" s="2">
        <v>0.18345</v>
      </c>
      <c r="H1958">
        <v>4</v>
      </c>
      <c r="I1958">
        <v>9</v>
      </c>
      <c r="K1958" s="8">
        <f t="shared" si="210"/>
        <v>-0.96544615384846111</v>
      </c>
      <c r="L1958" s="8">
        <f t="shared" si="211"/>
        <v>-7.4265088757573927E-2</v>
      </c>
      <c r="M1958" s="8">
        <f t="shared" si="212"/>
        <v>-1.0654942307701276</v>
      </c>
      <c r="N1958" s="8">
        <f t="shared" si="213"/>
        <v>-8.1961094674625201E-2</v>
      </c>
      <c r="O1958" s="8"/>
      <c r="P1958" t="s">
        <v>2244</v>
      </c>
      <c r="Q1958">
        <v>34</v>
      </c>
      <c r="R1958" s="8">
        <v>2.8158599999999998</v>
      </c>
      <c r="S1958">
        <v>15</v>
      </c>
      <c r="T1958" s="8">
        <f t="shared" si="214"/>
        <v>0.44117647058823528</v>
      </c>
      <c r="U1958" s="8">
        <v>2.8086500000000001</v>
      </c>
      <c r="V1958">
        <v>16</v>
      </c>
      <c r="W1958" s="8">
        <f t="shared" si="215"/>
        <v>0.47058823529411764</v>
      </c>
      <c r="X1958" s="8">
        <v>2.81555</v>
      </c>
      <c r="Y1958">
        <v>3</v>
      </c>
      <c r="Z1958" s="8">
        <f t="shared" si="216"/>
        <v>8.8235294117647065E-2</v>
      </c>
      <c r="AA1958" s="8">
        <v>2.8536199999999998</v>
      </c>
    </row>
    <row r="1959" spans="2:27" ht="15" customHeight="1" x14ac:dyDescent="0.25">
      <c r="B1959" s="1" t="s">
        <v>163</v>
      </c>
      <c r="C1959" s="8">
        <v>-12083.598400000001</v>
      </c>
      <c r="D1959" s="2">
        <v>-12085.149775</v>
      </c>
      <c r="F1959" s="3">
        <v>0.99642900000000001</v>
      </c>
      <c r="G1959" s="2">
        <v>0.18962000000000001</v>
      </c>
      <c r="H1959">
        <v>4</v>
      </c>
      <c r="I1959">
        <v>9</v>
      </c>
      <c r="K1959" s="8">
        <f t="shared" si="210"/>
        <v>-1.0117461538484349</v>
      </c>
      <c r="L1959" s="8">
        <f t="shared" si="211"/>
        <v>-7.7826627219110378E-2</v>
      </c>
      <c r="M1959" s="8">
        <f t="shared" si="212"/>
        <v>-0.98658223076927243</v>
      </c>
      <c r="N1959" s="8">
        <f t="shared" si="213"/>
        <v>-7.589094082840557E-2</v>
      </c>
      <c r="O1959" s="8"/>
      <c r="P1959" t="s">
        <v>2245</v>
      </c>
      <c r="Q1959">
        <v>34</v>
      </c>
      <c r="R1959" s="8">
        <v>2.8138100000000001</v>
      </c>
      <c r="S1959">
        <v>13</v>
      </c>
      <c r="T1959" s="8">
        <f t="shared" si="214"/>
        <v>0.38235294117647056</v>
      </c>
      <c r="U1959" s="8">
        <v>2.8065500000000001</v>
      </c>
      <c r="V1959">
        <v>19</v>
      </c>
      <c r="W1959" s="8">
        <f t="shared" si="215"/>
        <v>0.55882352941176472</v>
      </c>
      <c r="X1959" s="8">
        <v>2.8151700000000002</v>
      </c>
      <c r="Y1959">
        <v>2</v>
      </c>
      <c r="Z1959" s="8">
        <f t="shared" si="216"/>
        <v>5.8823529411764705E-2</v>
      </c>
      <c r="AA1959" s="8">
        <v>2.84802</v>
      </c>
    </row>
    <row r="1960" spans="2:27" ht="15" customHeight="1" x14ac:dyDescent="0.25">
      <c r="B1960" s="1" t="s">
        <v>147</v>
      </c>
      <c r="C1960" s="8">
        <v>-12083.377200000001</v>
      </c>
      <c r="D1960" s="2">
        <v>-12085.043156</v>
      </c>
      <c r="F1960" s="3">
        <v>0.991317</v>
      </c>
      <c r="G1960" s="2">
        <v>0.16467000000000001</v>
      </c>
      <c r="H1960">
        <v>4</v>
      </c>
      <c r="I1960">
        <v>9</v>
      </c>
      <c r="K1960" s="8">
        <f t="shared" si="210"/>
        <v>-0.79054615384848148</v>
      </c>
      <c r="L1960" s="8">
        <f t="shared" si="211"/>
        <v>-6.0811242603729346E-2</v>
      </c>
      <c r="M1960" s="8">
        <f t="shared" si="212"/>
        <v>-0.87996323076913541</v>
      </c>
      <c r="N1960" s="8">
        <f t="shared" si="213"/>
        <v>-6.7689479289933491E-2</v>
      </c>
      <c r="O1960" s="8"/>
      <c r="P1960" t="s">
        <v>2246</v>
      </c>
      <c r="Q1960">
        <v>34</v>
      </c>
      <c r="R1960" s="8">
        <v>2.8167300000000002</v>
      </c>
      <c r="S1960">
        <v>17</v>
      </c>
      <c r="T1960" s="8">
        <f t="shared" si="214"/>
        <v>0.5</v>
      </c>
      <c r="U1960" s="8">
        <v>2.8376600000000001</v>
      </c>
      <c r="V1960">
        <v>15</v>
      </c>
      <c r="W1960" s="8">
        <f t="shared" si="215"/>
        <v>0.44117647058823528</v>
      </c>
      <c r="X1960" s="8">
        <v>2.7909299999999999</v>
      </c>
      <c r="Y1960">
        <v>2</v>
      </c>
      <c r="Z1960" s="8">
        <f t="shared" si="216"/>
        <v>5.8823529411764705E-2</v>
      </c>
      <c r="AA1960" s="8">
        <v>2.83229</v>
      </c>
    </row>
    <row r="1961" spans="2:27" ht="15" customHeight="1" x14ac:dyDescent="0.25">
      <c r="B1961" s="1" t="s">
        <v>117</v>
      </c>
      <c r="C1961" s="8">
        <v>-12083.6769</v>
      </c>
      <c r="D1961" s="2">
        <v>-12085.163003</v>
      </c>
      <c r="F1961" s="3">
        <v>0.99588200000000004</v>
      </c>
      <c r="G1961" s="2">
        <v>0.18028</v>
      </c>
      <c r="H1961">
        <v>4</v>
      </c>
      <c r="I1961">
        <v>9</v>
      </c>
      <c r="K1961" s="8">
        <f t="shared" si="210"/>
        <v>-1.0902461538480566</v>
      </c>
      <c r="L1961" s="8">
        <f t="shared" si="211"/>
        <v>-8.3865088757542811E-2</v>
      </c>
      <c r="M1961" s="8">
        <f t="shared" si="212"/>
        <v>-0.9998102307690715</v>
      </c>
      <c r="N1961" s="8">
        <f t="shared" si="213"/>
        <v>-7.6908479289928583E-2</v>
      </c>
      <c r="O1961" s="8"/>
      <c r="P1961" t="s">
        <v>2247</v>
      </c>
      <c r="Q1961">
        <v>34</v>
      </c>
      <c r="R1961" s="8">
        <v>2.8115999999999999</v>
      </c>
      <c r="S1961">
        <v>16</v>
      </c>
      <c r="T1961" s="8">
        <f t="shared" si="214"/>
        <v>0.47058823529411764</v>
      </c>
      <c r="U1961" s="8">
        <v>2.8187199999999999</v>
      </c>
      <c r="V1961">
        <v>16</v>
      </c>
      <c r="W1961" s="8">
        <f t="shared" si="215"/>
        <v>0.47058823529411764</v>
      </c>
      <c r="X1961" s="8">
        <v>2.7976700000000001</v>
      </c>
      <c r="Y1961">
        <v>2</v>
      </c>
      <c r="Z1961" s="8">
        <f t="shared" si="216"/>
        <v>5.8823529411764705E-2</v>
      </c>
      <c r="AA1961" s="8">
        <v>2.8660899999999998</v>
      </c>
    </row>
    <row r="1962" spans="2:27" ht="15" customHeight="1" x14ac:dyDescent="0.25">
      <c r="B1962" s="1" t="s">
        <v>269</v>
      </c>
      <c r="C1962" s="8">
        <v>-12083.6538</v>
      </c>
      <c r="D1962" s="2">
        <v>-12085.280542</v>
      </c>
      <c r="F1962" s="3">
        <v>0.99619599999999997</v>
      </c>
      <c r="G1962" s="2">
        <v>0.19353999999999999</v>
      </c>
      <c r="H1962">
        <v>4</v>
      </c>
      <c r="I1962">
        <v>9</v>
      </c>
      <c r="K1962" s="8">
        <f t="shared" si="210"/>
        <v>-1.0671461538477161</v>
      </c>
      <c r="L1962" s="8">
        <f t="shared" si="211"/>
        <v>-8.2088165680593544E-2</v>
      </c>
      <c r="M1962" s="8">
        <f t="shared" si="212"/>
        <v>-1.1173492307698325</v>
      </c>
      <c r="N1962" s="8">
        <f t="shared" si="213"/>
        <v>-8.5949940828448659E-2</v>
      </c>
      <c r="O1962" s="8"/>
      <c r="P1962" t="s">
        <v>2248</v>
      </c>
      <c r="Q1962">
        <v>34</v>
      </c>
      <c r="R1962" s="8">
        <v>2.8133400000000002</v>
      </c>
      <c r="S1962">
        <v>14</v>
      </c>
      <c r="T1962" s="8">
        <f t="shared" si="214"/>
        <v>0.41176470588235292</v>
      </c>
      <c r="U1962" s="8">
        <v>2.7956799999999999</v>
      </c>
      <c r="V1962">
        <v>17</v>
      </c>
      <c r="W1962" s="8">
        <f t="shared" si="215"/>
        <v>0.5</v>
      </c>
      <c r="X1962" s="8">
        <v>2.82009</v>
      </c>
      <c r="Y1962">
        <v>3</v>
      </c>
      <c r="Z1962" s="8">
        <f t="shared" si="216"/>
        <v>8.8235294117647065E-2</v>
      </c>
      <c r="AA1962" s="8">
        <v>2.85751</v>
      </c>
    </row>
    <row r="1963" spans="2:27" ht="15" customHeight="1" x14ac:dyDescent="0.25">
      <c r="B1963" s="1" t="s">
        <v>189</v>
      </c>
      <c r="C1963" s="8">
        <v>-12083.7345</v>
      </c>
      <c r="D1963" s="2">
        <v>-12085.411700000001</v>
      </c>
      <c r="F1963" s="3">
        <v>0.99800800000000001</v>
      </c>
      <c r="G1963" s="2">
        <v>0.20094999999999999</v>
      </c>
      <c r="H1963">
        <v>4</v>
      </c>
      <c r="I1963">
        <v>9</v>
      </c>
      <c r="K1963" s="8">
        <f t="shared" si="210"/>
        <v>-1.1478461538481497</v>
      </c>
      <c r="L1963" s="8">
        <f t="shared" si="211"/>
        <v>-8.829585798831921E-2</v>
      </c>
      <c r="M1963" s="8">
        <f t="shared" si="212"/>
        <v>-1.2485072307699738</v>
      </c>
      <c r="N1963" s="8">
        <f t="shared" si="213"/>
        <v>-9.6039017751536448E-2</v>
      </c>
      <c r="O1963" s="8"/>
      <c r="P1963" t="s">
        <v>2249</v>
      </c>
      <c r="Q1963">
        <v>34</v>
      </c>
      <c r="R1963" s="8">
        <v>2.81711</v>
      </c>
      <c r="S1963">
        <v>14</v>
      </c>
      <c r="T1963" s="8">
        <f t="shared" si="214"/>
        <v>0.41176470588235292</v>
      </c>
      <c r="U1963" s="8">
        <v>2.8054999999999999</v>
      </c>
      <c r="V1963">
        <v>18</v>
      </c>
      <c r="W1963" s="8">
        <f t="shared" si="215"/>
        <v>0.52941176470588236</v>
      </c>
      <c r="X1963" s="8">
        <v>2.81372</v>
      </c>
      <c r="Y1963">
        <v>2</v>
      </c>
      <c r="Z1963" s="8">
        <f t="shared" si="216"/>
        <v>5.8823529411764705E-2</v>
      </c>
      <c r="AA1963" s="8">
        <v>2.9289900000000002</v>
      </c>
    </row>
    <row r="1964" spans="2:27" ht="15" customHeight="1" x14ac:dyDescent="0.25">
      <c r="B1964" s="1" t="s">
        <v>221</v>
      </c>
      <c r="C1964" s="8">
        <v>-12083.3879</v>
      </c>
      <c r="D1964" s="2">
        <v>-12085.027563</v>
      </c>
      <c r="F1964" s="3">
        <v>0.997672</v>
      </c>
      <c r="G1964" s="2">
        <v>0.19581999999999899</v>
      </c>
      <c r="H1964">
        <v>4</v>
      </c>
      <c r="I1964">
        <v>9</v>
      </c>
      <c r="K1964" s="8">
        <f t="shared" si="210"/>
        <v>-0.80124615384738718</v>
      </c>
      <c r="L1964" s="8">
        <f t="shared" si="211"/>
        <v>-6.1634319526722089E-2</v>
      </c>
      <c r="M1964" s="8">
        <f t="shared" si="212"/>
        <v>-0.86437023076905461</v>
      </c>
      <c r="N1964" s="8">
        <f t="shared" si="213"/>
        <v>-6.6490017751465735E-2</v>
      </c>
      <c r="O1964" s="8"/>
      <c r="P1964" t="s">
        <v>2250</v>
      </c>
      <c r="Q1964">
        <v>34</v>
      </c>
      <c r="R1964" s="8">
        <v>2.8142800000000001</v>
      </c>
      <c r="S1964">
        <v>17</v>
      </c>
      <c r="T1964" s="8">
        <f t="shared" si="214"/>
        <v>0.5</v>
      </c>
      <c r="U1964" s="8">
        <v>2.80925</v>
      </c>
      <c r="V1964">
        <v>14</v>
      </c>
      <c r="W1964" s="8">
        <f t="shared" si="215"/>
        <v>0.41176470588235292</v>
      </c>
      <c r="X1964" s="8">
        <v>2.8239100000000001</v>
      </c>
      <c r="Y1964">
        <v>3</v>
      </c>
      <c r="Z1964" s="8">
        <f t="shared" si="216"/>
        <v>8.8235294117647065E-2</v>
      </c>
      <c r="AA1964" s="8">
        <v>2.7978700000000001</v>
      </c>
    </row>
    <row r="1965" spans="2:27" ht="15" customHeight="1" x14ac:dyDescent="0.25">
      <c r="B1965" s="1" t="s">
        <v>218</v>
      </c>
      <c r="C1965" s="8">
        <v>-12083.642</v>
      </c>
      <c r="D1965" s="2">
        <v>-12085.147161000001</v>
      </c>
      <c r="F1965" s="3">
        <v>0.99534900000000004</v>
      </c>
      <c r="G1965" s="2">
        <v>0.17995</v>
      </c>
      <c r="H1965">
        <v>4</v>
      </c>
      <c r="I1965">
        <v>9</v>
      </c>
      <c r="K1965" s="8">
        <f t="shared" si="210"/>
        <v>-1.0553461538474949</v>
      </c>
      <c r="L1965" s="8">
        <f t="shared" si="211"/>
        <v>-8.1180473372884226E-2</v>
      </c>
      <c r="M1965" s="8">
        <f t="shared" si="212"/>
        <v>-0.9839682307701878</v>
      </c>
      <c r="N1965" s="8">
        <f t="shared" si="213"/>
        <v>-7.5689863905399057E-2</v>
      </c>
      <c r="O1965" s="8"/>
      <c r="P1965" t="s">
        <v>2251</v>
      </c>
      <c r="Q1965">
        <v>34</v>
      </c>
      <c r="R1965" s="8">
        <v>2.8157399999999999</v>
      </c>
      <c r="S1965">
        <v>15</v>
      </c>
      <c r="T1965" s="8">
        <f t="shared" si="214"/>
        <v>0.44117647058823528</v>
      </c>
      <c r="U1965" s="8">
        <v>2.8183500000000001</v>
      </c>
      <c r="V1965">
        <v>17</v>
      </c>
      <c r="W1965" s="8">
        <f t="shared" si="215"/>
        <v>0.5</v>
      </c>
      <c r="X1965" s="8">
        <v>2.8071299999999999</v>
      </c>
      <c r="Y1965">
        <v>2</v>
      </c>
      <c r="Z1965" s="8">
        <f t="shared" si="216"/>
        <v>5.8823529411764705E-2</v>
      </c>
      <c r="AA1965" s="8">
        <v>2.8693399999999998</v>
      </c>
    </row>
    <row r="1966" spans="2:27" ht="15" customHeight="1" x14ac:dyDescent="0.25">
      <c r="B1966" s="1" t="s">
        <v>82</v>
      </c>
      <c r="C1966" s="8">
        <v>-12083.766799999999</v>
      </c>
      <c r="D1966" s="2">
        <v>-12085.248369999999</v>
      </c>
      <c r="F1966" s="3">
        <v>0.99748899999999996</v>
      </c>
      <c r="G1966" s="2">
        <v>0.19406999999999999</v>
      </c>
      <c r="H1966">
        <v>4</v>
      </c>
      <c r="I1966">
        <v>9</v>
      </c>
      <c r="K1966" s="8">
        <f t="shared" si="210"/>
        <v>-1.1801461538470903</v>
      </c>
      <c r="L1966" s="8">
        <f t="shared" si="211"/>
        <v>-9.0780473372853096E-2</v>
      </c>
      <c r="M1966" s="8">
        <f t="shared" si="212"/>
        <v>-1.0851772307687497</v>
      </c>
      <c r="N1966" s="8">
        <f t="shared" si="213"/>
        <v>-8.3475171597596126E-2</v>
      </c>
      <c r="O1966" s="8"/>
      <c r="P1966" t="s">
        <v>2252</v>
      </c>
      <c r="Q1966">
        <v>34</v>
      </c>
      <c r="R1966" s="8">
        <v>2.8225099999999999</v>
      </c>
      <c r="S1966">
        <v>13</v>
      </c>
      <c r="T1966" s="8">
        <f t="shared" si="214"/>
        <v>0.38235294117647056</v>
      </c>
      <c r="U1966" s="8">
        <v>2.8136700000000001</v>
      </c>
      <c r="V1966">
        <v>20</v>
      </c>
      <c r="W1966" s="8">
        <f t="shared" si="215"/>
        <v>0.58823529411764708</v>
      </c>
      <c r="X1966" s="8">
        <v>2.8096000000000001</v>
      </c>
      <c r="Y1966">
        <v>1</v>
      </c>
      <c r="Z1966" s="8">
        <f t="shared" si="216"/>
        <v>2.9411764705882353E-2</v>
      </c>
      <c r="AA1966" s="8">
        <v>3.19556</v>
      </c>
    </row>
    <row r="1967" spans="2:27" ht="15" customHeight="1" x14ac:dyDescent="0.25">
      <c r="B1967" s="1" t="s">
        <v>224</v>
      </c>
      <c r="C1967" s="8">
        <v>-12083.8002</v>
      </c>
      <c r="D1967" s="2">
        <v>-12085.483897</v>
      </c>
      <c r="F1967" s="3">
        <v>0.99690400000000001</v>
      </c>
      <c r="G1967" s="2">
        <v>0.19597999999999899</v>
      </c>
      <c r="H1967">
        <v>4</v>
      </c>
      <c r="I1967">
        <v>9</v>
      </c>
      <c r="K1967" s="8">
        <f t="shared" si="210"/>
        <v>-1.2135461538473464</v>
      </c>
      <c r="L1967" s="8">
        <f t="shared" si="211"/>
        <v>-9.3349704142103571E-2</v>
      </c>
      <c r="M1967" s="8">
        <f t="shared" si="212"/>
        <v>-1.3207042307694792</v>
      </c>
      <c r="N1967" s="8">
        <f t="shared" si="213"/>
        <v>-0.10159263313611379</v>
      </c>
      <c r="O1967" s="8"/>
      <c r="P1967" t="s">
        <v>2253</v>
      </c>
      <c r="Q1967">
        <v>34</v>
      </c>
      <c r="R1967" s="8">
        <v>2.8158699999999999</v>
      </c>
      <c r="S1967">
        <v>13</v>
      </c>
      <c r="T1967" s="8">
        <f t="shared" si="214"/>
        <v>0.38235294117647056</v>
      </c>
      <c r="U1967" s="8">
        <v>2.7924899999999999</v>
      </c>
      <c r="V1967">
        <v>18</v>
      </c>
      <c r="W1967" s="8">
        <f t="shared" si="215"/>
        <v>0.52941176470588236</v>
      </c>
      <c r="X1967" s="8">
        <v>2.8120500000000002</v>
      </c>
      <c r="Y1967">
        <v>3</v>
      </c>
      <c r="Z1967" s="8">
        <f t="shared" si="216"/>
        <v>8.8235294117647065E-2</v>
      </c>
      <c r="AA1967" s="8">
        <v>2.94007</v>
      </c>
    </row>
    <row r="1968" spans="2:27" ht="15" customHeight="1" x14ac:dyDescent="0.25">
      <c r="B1968" s="1" t="s">
        <v>245</v>
      </c>
      <c r="C1968" s="8">
        <v>-12083.601199999999</v>
      </c>
      <c r="D1968" s="2">
        <v>-12085.258132000001</v>
      </c>
      <c r="F1968" s="3">
        <v>0.99314400000000003</v>
      </c>
      <c r="G1968" s="2">
        <v>0.17305999999999999</v>
      </c>
      <c r="H1968">
        <v>4</v>
      </c>
      <c r="I1968">
        <v>9</v>
      </c>
      <c r="K1968" s="8">
        <f t="shared" si="210"/>
        <v>-1.0145461538468226</v>
      </c>
      <c r="L1968" s="8">
        <f t="shared" si="211"/>
        <v>-7.804201183437097E-2</v>
      </c>
      <c r="M1968" s="8">
        <f t="shared" si="212"/>
        <v>-1.094939230770251</v>
      </c>
      <c r="N1968" s="8">
        <f t="shared" si="213"/>
        <v>-8.4226094674634697E-2</v>
      </c>
      <c r="O1968" s="8"/>
      <c r="P1968" t="s">
        <v>2254</v>
      </c>
      <c r="Q1968">
        <v>35</v>
      </c>
      <c r="R1968" s="8">
        <v>2.8298800000000002</v>
      </c>
      <c r="S1968">
        <v>15</v>
      </c>
      <c r="T1968" s="8">
        <f t="shared" si="214"/>
        <v>0.42857142857142855</v>
      </c>
      <c r="U1968" s="8">
        <v>2.8287900000000001</v>
      </c>
      <c r="V1968">
        <v>18</v>
      </c>
      <c r="W1968" s="8">
        <f t="shared" si="215"/>
        <v>0.51428571428571423</v>
      </c>
      <c r="X1968" s="8">
        <v>2.8199800000000002</v>
      </c>
      <c r="Y1968">
        <v>2</v>
      </c>
      <c r="Z1968" s="8">
        <f t="shared" si="216"/>
        <v>5.7142857142857141E-2</v>
      </c>
      <c r="AA1968" s="8">
        <v>2.9270800000000001</v>
      </c>
    </row>
    <row r="1969" spans="2:27" ht="15" customHeight="1" x14ac:dyDescent="0.25">
      <c r="B1969" s="1" t="s">
        <v>203</v>
      </c>
      <c r="C1969" s="8">
        <v>-12083.624100000001</v>
      </c>
      <c r="D1969" s="2">
        <v>-12085.316226000001</v>
      </c>
      <c r="F1969" s="3">
        <v>0.99321999999999999</v>
      </c>
      <c r="G1969" s="2">
        <v>0.17055000000000001</v>
      </c>
      <c r="H1969">
        <v>4</v>
      </c>
      <c r="I1969">
        <v>9</v>
      </c>
      <c r="K1969" s="8">
        <f t="shared" si="210"/>
        <v>-1.0374461538485775</v>
      </c>
      <c r="L1969" s="8">
        <f t="shared" si="211"/>
        <v>-7.9803550296044426E-2</v>
      </c>
      <c r="M1969" s="8">
        <f t="shared" si="212"/>
        <v>-1.1530332307702338</v>
      </c>
      <c r="N1969" s="8">
        <f t="shared" si="213"/>
        <v>-8.8694863905402599E-2</v>
      </c>
      <c r="O1969" s="8"/>
      <c r="P1969" t="s">
        <v>2255</v>
      </c>
      <c r="Q1969">
        <v>34</v>
      </c>
      <c r="R1969" s="8">
        <v>2.8130600000000001</v>
      </c>
      <c r="S1969">
        <v>14</v>
      </c>
      <c r="T1969" s="8">
        <f t="shared" si="214"/>
        <v>0.41176470588235292</v>
      </c>
      <c r="U1969" s="8">
        <v>2.7911800000000002</v>
      </c>
      <c r="V1969">
        <v>17</v>
      </c>
      <c r="W1969" s="8">
        <f t="shared" si="215"/>
        <v>0.5</v>
      </c>
      <c r="X1969" s="8">
        <v>2.8139599999999998</v>
      </c>
      <c r="Y1969">
        <v>3</v>
      </c>
      <c r="Z1969" s="8">
        <f t="shared" si="216"/>
        <v>8.8235294117647065E-2</v>
      </c>
      <c r="AA1969" s="8">
        <v>2.91012</v>
      </c>
    </row>
    <row r="1970" spans="2:27" ht="15" customHeight="1" x14ac:dyDescent="0.25">
      <c r="B1970" s="1" t="s">
        <v>183</v>
      </c>
      <c r="C1970" s="8">
        <v>-12083.8644</v>
      </c>
      <c r="D1970" s="2">
        <v>-12085.33842</v>
      </c>
      <c r="F1970" s="3">
        <v>0.99709800000000004</v>
      </c>
      <c r="G1970" s="2">
        <v>0.19461999999999999</v>
      </c>
      <c r="H1970">
        <v>4</v>
      </c>
      <c r="I1970">
        <v>9</v>
      </c>
      <c r="K1970" s="8">
        <f t="shared" si="210"/>
        <v>-1.2777461538480566</v>
      </c>
      <c r="L1970" s="8">
        <f t="shared" si="211"/>
        <v>-9.8288165680619738E-2</v>
      </c>
      <c r="M1970" s="8">
        <f t="shared" si="212"/>
        <v>-1.1752272307694511</v>
      </c>
      <c r="N1970" s="8">
        <f t="shared" si="213"/>
        <v>-9.0402094674573164E-2</v>
      </c>
      <c r="O1970" s="8"/>
      <c r="P1970" t="s">
        <v>2256</v>
      </c>
      <c r="Q1970">
        <v>34</v>
      </c>
      <c r="R1970" s="8">
        <v>2.8129</v>
      </c>
      <c r="S1970">
        <v>13</v>
      </c>
      <c r="T1970" s="8">
        <f t="shared" si="214"/>
        <v>0.38235294117647056</v>
      </c>
      <c r="U1970" s="8">
        <v>2.7895400000000001</v>
      </c>
      <c r="V1970">
        <v>19</v>
      </c>
      <c r="W1970" s="8">
        <f t="shared" si="215"/>
        <v>0.55882352941176472</v>
      </c>
      <c r="X1970" s="8">
        <v>2.82253</v>
      </c>
      <c r="Y1970">
        <v>2</v>
      </c>
      <c r="Z1970" s="8">
        <f t="shared" si="216"/>
        <v>5.8823529411764705E-2</v>
      </c>
      <c r="AA1970" s="8">
        <v>2.8732500000000001</v>
      </c>
    </row>
    <row r="1971" spans="2:27" ht="15" customHeight="1" x14ac:dyDescent="0.25">
      <c r="B1971" s="1" t="s">
        <v>102</v>
      </c>
      <c r="C1971" s="8">
        <v>-12083.513199999999</v>
      </c>
      <c r="D1971" s="2">
        <v>-12085.174832999999</v>
      </c>
      <c r="F1971" s="3">
        <v>0.99535499999999999</v>
      </c>
      <c r="G1971" s="2">
        <v>0.179779999999999</v>
      </c>
      <c r="H1971">
        <v>4</v>
      </c>
      <c r="I1971">
        <v>9</v>
      </c>
      <c r="K1971" s="8">
        <f t="shared" si="210"/>
        <v>-0.9265461538470845</v>
      </c>
      <c r="L1971" s="8">
        <f t="shared" si="211"/>
        <v>-7.1272781065160343E-2</v>
      </c>
      <c r="M1971" s="8">
        <f t="shared" si="212"/>
        <v>-1.0116402307685348</v>
      </c>
      <c r="N1971" s="8">
        <f t="shared" si="213"/>
        <v>-7.7818479289887291E-2</v>
      </c>
      <c r="O1971" s="8"/>
      <c r="P1971" t="s">
        <v>2257</v>
      </c>
      <c r="Q1971">
        <v>34</v>
      </c>
      <c r="R1971" s="8">
        <v>2.8161</v>
      </c>
      <c r="S1971">
        <v>15</v>
      </c>
      <c r="T1971" s="8">
        <f t="shared" si="214"/>
        <v>0.44117647058823528</v>
      </c>
      <c r="U1971" s="8">
        <v>2.79738</v>
      </c>
      <c r="V1971">
        <v>16</v>
      </c>
      <c r="W1971" s="8">
        <f t="shared" si="215"/>
        <v>0.47058823529411764</v>
      </c>
      <c r="X1971" s="8">
        <v>2.8086799999999998</v>
      </c>
      <c r="Y1971">
        <v>3</v>
      </c>
      <c r="Z1971" s="8">
        <f t="shared" si="216"/>
        <v>8.8235294117647065E-2</v>
      </c>
      <c r="AA1971" s="8">
        <v>2.9493200000000002</v>
      </c>
    </row>
    <row r="1972" spans="2:27" ht="15" customHeight="1" x14ac:dyDescent="0.25">
      <c r="B1972" s="1" t="s">
        <v>206</v>
      </c>
      <c r="C1972" s="8">
        <v>-12083.7423</v>
      </c>
      <c r="D1972" s="2">
        <v>-12085.413791999999</v>
      </c>
      <c r="F1972" s="3">
        <v>0.99612900000000004</v>
      </c>
      <c r="G1972" s="2">
        <v>0.18445</v>
      </c>
      <c r="H1972">
        <v>4</v>
      </c>
      <c r="I1972">
        <v>9</v>
      </c>
      <c r="K1972" s="8">
        <f t="shared" si="210"/>
        <v>-1.155646153847556</v>
      </c>
      <c r="L1972" s="8">
        <f t="shared" si="211"/>
        <v>-8.8895857988273541E-2</v>
      </c>
      <c r="M1972" s="8">
        <f t="shared" si="212"/>
        <v>-1.2505992307687848</v>
      </c>
      <c r="N1972" s="8">
        <f t="shared" si="213"/>
        <v>-9.6199940828368052E-2</v>
      </c>
      <c r="O1972" s="8"/>
      <c r="P1972" t="s">
        <v>2258</v>
      </c>
      <c r="Q1972">
        <v>34</v>
      </c>
      <c r="R1972" s="8">
        <v>2.8109700000000002</v>
      </c>
      <c r="S1972">
        <v>13</v>
      </c>
      <c r="T1972" s="8">
        <f t="shared" si="214"/>
        <v>0.38235294117647056</v>
      </c>
      <c r="U1972" s="8">
        <v>2.7955800000000002</v>
      </c>
      <c r="V1972">
        <v>20</v>
      </c>
      <c r="W1972" s="8">
        <f t="shared" si="215"/>
        <v>0.58823529411764708</v>
      </c>
      <c r="X1972" s="8">
        <v>2.8184</v>
      </c>
      <c r="Y1972">
        <v>1</v>
      </c>
      <c r="Z1972" s="8">
        <f t="shared" si="216"/>
        <v>2.9411764705882353E-2</v>
      </c>
      <c r="AA1972" s="8">
        <v>2.8624399999999999</v>
      </c>
    </row>
    <row r="1973" spans="2:27" ht="15" customHeight="1" x14ac:dyDescent="0.25">
      <c r="B1973" s="1" t="s">
        <v>126</v>
      </c>
      <c r="C1973" s="8">
        <v>-12083.680700000001</v>
      </c>
      <c r="D1973" s="2">
        <v>-12085.182964</v>
      </c>
      <c r="F1973" s="3">
        <v>0.99694899999999997</v>
      </c>
      <c r="G1973" s="2">
        <v>0.191579999999999</v>
      </c>
      <c r="H1973">
        <v>4</v>
      </c>
      <c r="I1973">
        <v>9</v>
      </c>
      <c r="K1973" s="8">
        <f t="shared" si="210"/>
        <v>-1.0940461538484669</v>
      </c>
      <c r="L1973" s="8">
        <f t="shared" si="211"/>
        <v>-8.4157396449882071E-2</v>
      </c>
      <c r="M1973" s="8">
        <f t="shared" si="212"/>
        <v>-1.0197712307690381</v>
      </c>
      <c r="N1973" s="8">
        <f t="shared" si="213"/>
        <v>-7.8443940828387543E-2</v>
      </c>
      <c r="O1973" s="8"/>
      <c r="P1973" t="s">
        <v>2259</v>
      </c>
      <c r="Q1973">
        <v>34</v>
      </c>
      <c r="R1973" s="8">
        <v>2.8150200000000001</v>
      </c>
      <c r="S1973">
        <v>15</v>
      </c>
      <c r="T1973" s="8">
        <f t="shared" si="214"/>
        <v>0.44117647058823528</v>
      </c>
      <c r="U1973" s="8">
        <v>2.81121</v>
      </c>
      <c r="V1973">
        <v>17</v>
      </c>
      <c r="W1973" s="8">
        <f t="shared" si="215"/>
        <v>0.5</v>
      </c>
      <c r="X1973" s="8">
        <v>2.79732</v>
      </c>
      <c r="Y1973">
        <v>2</v>
      </c>
      <c r="Z1973" s="8">
        <f t="shared" si="216"/>
        <v>5.8823529411764705E-2</v>
      </c>
      <c r="AA1973" s="8">
        <v>2.9940600000000002</v>
      </c>
    </row>
    <row r="1974" spans="2:27" ht="15" customHeight="1" x14ac:dyDescent="0.25">
      <c r="B1974" s="1" t="s">
        <v>212</v>
      </c>
      <c r="C1974" s="8">
        <v>-12083.7143</v>
      </c>
      <c r="D1974" s="2">
        <v>-12085.314485999999</v>
      </c>
      <c r="F1974" s="3">
        <v>0.99629400000000001</v>
      </c>
      <c r="G1974" s="2">
        <v>0.19284999999999999</v>
      </c>
      <c r="H1974">
        <v>4</v>
      </c>
      <c r="I1974">
        <v>9</v>
      </c>
      <c r="K1974" s="8">
        <f t="shared" si="210"/>
        <v>-1.1276461538473086</v>
      </c>
      <c r="L1974" s="8">
        <f t="shared" si="211"/>
        <v>-8.6742011834408356E-2</v>
      </c>
      <c r="M1974" s="8">
        <f t="shared" si="212"/>
        <v>-1.1512932307687151</v>
      </c>
      <c r="N1974" s="8">
        <f t="shared" si="213"/>
        <v>-8.8561017751439625E-2</v>
      </c>
      <c r="O1974" s="8"/>
      <c r="P1974" t="s">
        <v>2260</v>
      </c>
      <c r="Q1974">
        <v>34</v>
      </c>
      <c r="R1974" s="8">
        <v>2.8113800000000002</v>
      </c>
      <c r="S1974">
        <v>15</v>
      </c>
      <c r="T1974" s="8">
        <f t="shared" si="214"/>
        <v>0.44117647058823528</v>
      </c>
      <c r="U1974" s="8">
        <v>2.7978100000000001</v>
      </c>
      <c r="V1974">
        <v>17</v>
      </c>
      <c r="W1974" s="8">
        <f t="shared" si="215"/>
        <v>0.5</v>
      </c>
      <c r="X1974" s="8">
        <v>2.8176899999999998</v>
      </c>
      <c r="Y1974">
        <v>2</v>
      </c>
      <c r="Z1974" s="8">
        <f t="shared" si="216"/>
        <v>5.8823529411764705E-2</v>
      </c>
      <c r="AA1974" s="8">
        <v>2.8594599999999999</v>
      </c>
    </row>
    <row r="1975" spans="2:27" ht="15" customHeight="1" x14ac:dyDescent="0.25">
      <c r="B1975" s="1" t="s">
        <v>97</v>
      </c>
      <c r="C1975" s="8">
        <v>-12083.476699999999</v>
      </c>
      <c r="D1975" s="2">
        <v>-12085.125822</v>
      </c>
      <c r="F1975" s="3">
        <v>0.99287899999999996</v>
      </c>
      <c r="G1975" s="2">
        <v>0.167789999999999</v>
      </c>
      <c r="H1975">
        <v>4</v>
      </c>
      <c r="I1975">
        <v>9</v>
      </c>
      <c r="K1975" s="8">
        <f t="shared" si="210"/>
        <v>-0.89004615384692443</v>
      </c>
      <c r="L1975" s="8">
        <f t="shared" si="211"/>
        <v>-6.846508875745573E-2</v>
      </c>
      <c r="M1975" s="8">
        <f t="shared" si="212"/>
        <v>-0.96262923076938023</v>
      </c>
      <c r="N1975" s="8">
        <f t="shared" si="213"/>
        <v>-7.4048402366875404E-2</v>
      </c>
      <c r="O1975" s="8"/>
      <c r="P1975" t="s">
        <v>2261</v>
      </c>
      <c r="Q1975">
        <v>34</v>
      </c>
      <c r="R1975" s="8">
        <v>2.8126500000000001</v>
      </c>
      <c r="S1975">
        <v>17</v>
      </c>
      <c r="T1975" s="8">
        <f t="shared" si="214"/>
        <v>0.5</v>
      </c>
      <c r="U1975" s="8">
        <v>2.8264300000000002</v>
      </c>
      <c r="V1975">
        <v>16</v>
      </c>
      <c r="W1975" s="8">
        <f t="shared" si="215"/>
        <v>0.47058823529411764</v>
      </c>
      <c r="X1975" s="8">
        <v>2.7967900000000001</v>
      </c>
      <c r="Y1975">
        <v>1</v>
      </c>
      <c r="Z1975" s="8">
        <f t="shared" si="216"/>
        <v>2.9411764705882353E-2</v>
      </c>
      <c r="AA1975" s="8">
        <v>2.83229</v>
      </c>
    </row>
    <row r="1976" spans="2:27" ht="15" customHeight="1" x14ac:dyDescent="0.25">
      <c r="B1976" s="1" t="s">
        <v>141</v>
      </c>
      <c r="C1976" s="8">
        <v>-12083.8521</v>
      </c>
      <c r="D1976" s="2">
        <v>-12085.458017999999</v>
      </c>
      <c r="F1976" s="3">
        <v>0.998282</v>
      </c>
      <c r="G1976" s="2">
        <v>0.20502000000000001</v>
      </c>
      <c r="H1976">
        <v>4</v>
      </c>
      <c r="I1976">
        <v>9</v>
      </c>
      <c r="K1976" s="8">
        <f t="shared" si="210"/>
        <v>-1.2654461538477335</v>
      </c>
      <c r="L1976" s="8">
        <f t="shared" si="211"/>
        <v>-9.7342011834441036E-2</v>
      </c>
      <c r="M1976" s="8">
        <f t="shared" si="212"/>
        <v>-1.2948252307687653</v>
      </c>
      <c r="N1976" s="8">
        <f t="shared" si="213"/>
        <v>-9.960194082836657E-2</v>
      </c>
      <c r="O1976" s="8"/>
      <c r="P1976" t="s">
        <v>2262</v>
      </c>
      <c r="Q1976">
        <v>34</v>
      </c>
      <c r="R1976" s="8">
        <v>2.8161900000000002</v>
      </c>
      <c r="S1976">
        <v>13</v>
      </c>
      <c r="T1976" s="8">
        <f t="shared" si="214"/>
        <v>0.38235294117647056</v>
      </c>
      <c r="U1976" s="8">
        <v>2.7962699999999998</v>
      </c>
      <c r="V1976">
        <v>19</v>
      </c>
      <c r="W1976" s="8">
        <f t="shared" si="215"/>
        <v>0.55882352941176472</v>
      </c>
      <c r="X1976" s="8">
        <v>2.8188499999999999</v>
      </c>
      <c r="Y1976">
        <v>2</v>
      </c>
      <c r="Z1976" s="8">
        <f t="shared" si="216"/>
        <v>5.8823529411764705E-2</v>
      </c>
      <c r="AA1976" s="8">
        <v>2.92035</v>
      </c>
    </row>
    <row r="1977" spans="2:27" ht="15" customHeight="1" x14ac:dyDescent="0.25">
      <c r="B1977" s="1" t="s">
        <v>91</v>
      </c>
      <c r="C1977" s="8">
        <v>-12083.793799999999</v>
      </c>
      <c r="D1977" s="2">
        <v>-12085.251410999999</v>
      </c>
      <c r="F1977" s="3">
        <v>0.99583600000000005</v>
      </c>
      <c r="G1977" s="2">
        <v>0.18684999999999999</v>
      </c>
      <c r="H1977">
        <v>4</v>
      </c>
      <c r="I1977">
        <v>9</v>
      </c>
      <c r="K1977" s="8">
        <f t="shared" si="210"/>
        <v>-1.207146153847134</v>
      </c>
      <c r="L1977" s="8">
        <f t="shared" si="211"/>
        <v>-9.2857396449779542E-2</v>
      </c>
      <c r="M1977" s="8">
        <f t="shared" si="212"/>
        <v>-1.088218230768689</v>
      </c>
      <c r="N1977" s="8">
        <f t="shared" si="213"/>
        <v>-8.3709094674514539E-2</v>
      </c>
      <c r="O1977" s="8"/>
      <c r="P1977" t="s">
        <v>2263</v>
      </c>
      <c r="Q1977">
        <v>32</v>
      </c>
      <c r="R1977" s="8">
        <v>2.7942999999999998</v>
      </c>
      <c r="S1977">
        <v>14</v>
      </c>
      <c r="T1977" s="8">
        <f t="shared" si="214"/>
        <v>0.4375</v>
      </c>
      <c r="U1977" s="8">
        <v>2.7909999999999999</v>
      </c>
      <c r="V1977">
        <v>16</v>
      </c>
      <c r="W1977" s="8">
        <f t="shared" si="215"/>
        <v>0.5</v>
      </c>
      <c r="X1977" s="8">
        <v>2.8004699999999998</v>
      </c>
      <c r="Y1977">
        <v>2</v>
      </c>
      <c r="Z1977" s="8">
        <f t="shared" si="216"/>
        <v>6.25E-2</v>
      </c>
      <c r="AA1977" s="8">
        <v>2.76803</v>
      </c>
    </row>
    <row r="1978" spans="2:27" ht="15" customHeight="1" x14ac:dyDescent="0.25">
      <c r="B1978" s="1" t="s">
        <v>85</v>
      </c>
      <c r="C1978" s="8">
        <v>-12083.624400000001</v>
      </c>
      <c r="D1978" s="2">
        <v>-12085.070873000001</v>
      </c>
      <c r="F1978" s="3">
        <v>0.996062</v>
      </c>
      <c r="G1978" s="2">
        <v>0.18856000000000001</v>
      </c>
      <c r="H1978">
        <v>4</v>
      </c>
      <c r="I1978">
        <v>9</v>
      </c>
      <c r="K1978" s="8">
        <f t="shared" si="210"/>
        <v>-1.0377461538482748</v>
      </c>
      <c r="L1978" s="8">
        <f t="shared" si="211"/>
        <v>-7.982662721909807E-2</v>
      </c>
      <c r="M1978" s="8">
        <f t="shared" si="212"/>
        <v>-0.90768023076998361</v>
      </c>
      <c r="N1978" s="8">
        <f t="shared" si="213"/>
        <v>-6.9821556213075661E-2</v>
      </c>
      <c r="O1978" s="8"/>
      <c r="P1978" t="s">
        <v>2264</v>
      </c>
      <c r="Q1978">
        <v>34</v>
      </c>
      <c r="R1978" s="8">
        <v>2.8227099999999998</v>
      </c>
      <c r="S1978">
        <v>15</v>
      </c>
      <c r="T1978" s="8">
        <f t="shared" si="214"/>
        <v>0.44117647058823528</v>
      </c>
      <c r="U1978" s="8">
        <v>2.8066399999999998</v>
      </c>
      <c r="V1978">
        <v>16</v>
      </c>
      <c r="W1978" s="8">
        <f t="shared" si="215"/>
        <v>0.47058823529411764</v>
      </c>
      <c r="X1978" s="8">
        <v>2.8384399999999999</v>
      </c>
      <c r="Y1978">
        <v>3</v>
      </c>
      <c r="Z1978" s="8">
        <f t="shared" si="216"/>
        <v>8.8235294117647065E-2</v>
      </c>
      <c r="AA1978" s="8">
        <v>2.81908</v>
      </c>
    </row>
    <row r="1979" spans="2:27" ht="15" customHeight="1" x14ac:dyDescent="0.25">
      <c r="B1979" s="1" t="s">
        <v>129</v>
      </c>
      <c r="C1979" s="8">
        <v>-12083.845499999999</v>
      </c>
      <c r="D1979" s="2">
        <v>-12085.272158</v>
      </c>
      <c r="F1979" s="3">
        <v>0.99549799999999999</v>
      </c>
      <c r="G1979" s="2">
        <v>0.18282999999999999</v>
      </c>
      <c r="H1979">
        <v>4</v>
      </c>
      <c r="I1979">
        <v>9</v>
      </c>
      <c r="K1979" s="8">
        <f t="shared" si="210"/>
        <v>-1.2588461538471165</v>
      </c>
      <c r="L1979" s="8">
        <f t="shared" si="211"/>
        <v>-9.6834319526701268E-2</v>
      </c>
      <c r="M1979" s="8">
        <f t="shared" si="212"/>
        <v>-1.1089652307691722</v>
      </c>
      <c r="N1979" s="8">
        <f t="shared" si="213"/>
        <v>-8.5305017751474782E-2</v>
      </c>
      <c r="O1979" s="8"/>
      <c r="P1979" t="s">
        <v>2265</v>
      </c>
      <c r="Q1979">
        <v>34</v>
      </c>
      <c r="R1979" s="8">
        <v>2.8218700000000001</v>
      </c>
      <c r="S1979">
        <v>13</v>
      </c>
      <c r="T1979" s="8">
        <f t="shared" si="214"/>
        <v>0.38235294117647056</v>
      </c>
      <c r="U1979" s="8">
        <v>2.81854</v>
      </c>
      <c r="V1979">
        <v>20</v>
      </c>
      <c r="W1979" s="8">
        <f t="shared" si="215"/>
        <v>0.58823529411764708</v>
      </c>
      <c r="X1979" s="8">
        <v>2.8192300000000001</v>
      </c>
      <c r="Y1979">
        <v>1</v>
      </c>
      <c r="Z1979" s="8">
        <f t="shared" si="216"/>
        <v>2.9411764705882353E-2</v>
      </c>
      <c r="AA1979" s="8">
        <v>2.9180600000000001</v>
      </c>
    </row>
    <row r="1980" spans="2:27" ht="15" customHeight="1" x14ac:dyDescent="0.25">
      <c r="B1980" s="1" t="s">
        <v>138</v>
      </c>
      <c r="C1980" s="8">
        <v>-12083.7891</v>
      </c>
      <c r="D1980" s="2">
        <v>-12085.248115</v>
      </c>
      <c r="F1980" s="3">
        <v>0.99606600000000001</v>
      </c>
      <c r="G1980" s="2">
        <v>0.183339999999999</v>
      </c>
      <c r="H1980">
        <v>4</v>
      </c>
      <c r="I1980">
        <v>9</v>
      </c>
      <c r="K1980" s="8">
        <f t="shared" si="210"/>
        <v>-1.2024461538476316</v>
      </c>
      <c r="L1980" s="8">
        <f t="shared" si="211"/>
        <v>-9.2495857988279362E-2</v>
      </c>
      <c r="M1980" s="8">
        <f t="shared" si="212"/>
        <v>-1.0849222307697346</v>
      </c>
      <c r="N1980" s="8">
        <f t="shared" si="213"/>
        <v>-8.3455556213056503E-2</v>
      </c>
      <c r="O1980" s="8"/>
      <c r="P1980" t="s">
        <v>2266</v>
      </c>
      <c r="Q1980">
        <v>34</v>
      </c>
      <c r="R1980" s="8">
        <v>2.81731</v>
      </c>
      <c r="S1980">
        <v>14</v>
      </c>
      <c r="T1980" s="8">
        <f t="shared" si="214"/>
        <v>0.41176470588235292</v>
      </c>
      <c r="U1980" s="8">
        <v>2.8171599999999999</v>
      </c>
      <c r="V1980">
        <v>19</v>
      </c>
      <c r="W1980" s="8">
        <f t="shared" si="215"/>
        <v>0.55882352941176472</v>
      </c>
      <c r="X1980" s="8">
        <v>2.8174299999999999</v>
      </c>
      <c r="Y1980">
        <v>1</v>
      </c>
      <c r="Z1980" s="8">
        <f t="shared" si="216"/>
        <v>2.9411764705882353E-2</v>
      </c>
      <c r="AA1980" s="8">
        <v>2.81725</v>
      </c>
    </row>
    <row r="1981" spans="2:27" ht="15" customHeight="1" x14ac:dyDescent="0.25">
      <c r="B1981" s="1" t="s">
        <v>120</v>
      </c>
      <c r="C1981" s="8">
        <v>-12083.7009</v>
      </c>
      <c r="D1981" s="2">
        <v>-12085.337045</v>
      </c>
      <c r="F1981" s="3">
        <v>0.99693699999999996</v>
      </c>
      <c r="G1981" s="2">
        <v>0.20080999999999999</v>
      </c>
      <c r="H1981">
        <v>4</v>
      </c>
      <c r="I1981">
        <v>9</v>
      </c>
      <c r="K1981" s="8">
        <f t="shared" si="210"/>
        <v>-1.114246153847489</v>
      </c>
      <c r="L1981" s="8">
        <f t="shared" si="211"/>
        <v>-8.571124260365301E-2</v>
      </c>
      <c r="M1981" s="8">
        <f t="shared" si="212"/>
        <v>-1.1738522307696257</v>
      </c>
      <c r="N1981" s="8">
        <f t="shared" si="213"/>
        <v>-9.0296325443817368E-2</v>
      </c>
      <c r="O1981" s="8"/>
      <c r="P1981" t="s">
        <v>2267</v>
      </c>
      <c r="Q1981">
        <v>34</v>
      </c>
      <c r="R1981" s="8">
        <v>2.8137500000000002</v>
      </c>
      <c r="S1981">
        <v>14</v>
      </c>
      <c r="T1981" s="8">
        <f t="shared" si="214"/>
        <v>0.41176470588235292</v>
      </c>
      <c r="U1981" s="8">
        <v>2.7902800000000001</v>
      </c>
      <c r="V1981">
        <v>19</v>
      </c>
      <c r="W1981" s="8">
        <f t="shared" si="215"/>
        <v>0.55882352941176472</v>
      </c>
      <c r="X1981" s="8">
        <v>2.8327900000000001</v>
      </c>
      <c r="Y1981">
        <v>1</v>
      </c>
      <c r="Z1981" s="8">
        <f t="shared" si="216"/>
        <v>2.9411764705882353E-2</v>
      </c>
      <c r="AA1981" s="8">
        <v>2.7805</v>
      </c>
    </row>
    <row r="1982" spans="2:27" ht="15" customHeight="1" x14ac:dyDescent="0.25">
      <c r="B1982" s="1" t="s">
        <v>240</v>
      </c>
      <c r="C1982" s="8">
        <v>-12083.187900000001</v>
      </c>
      <c r="D1982" s="2">
        <v>-12084.758277000001</v>
      </c>
      <c r="F1982" s="3">
        <v>0.99905699999999997</v>
      </c>
      <c r="G1982" s="2">
        <v>0.13374</v>
      </c>
      <c r="H1982">
        <v>4</v>
      </c>
      <c r="I1982">
        <v>9</v>
      </c>
      <c r="K1982" s="8">
        <f t="shared" si="210"/>
        <v>-0.60124615384847857</v>
      </c>
      <c r="L1982" s="8">
        <f t="shared" si="211"/>
        <v>-4.6249704142190658E-2</v>
      </c>
      <c r="M1982" s="8">
        <f t="shared" si="212"/>
        <v>-0.59508423077022599</v>
      </c>
      <c r="N1982" s="8">
        <f t="shared" si="213"/>
        <v>-4.5775710059248152E-2</v>
      </c>
      <c r="O1982" s="8"/>
      <c r="P1982" t="s">
        <v>2268</v>
      </c>
      <c r="Q1982">
        <v>36</v>
      </c>
      <c r="R1982" s="8">
        <v>2.8298399999999999</v>
      </c>
      <c r="S1982">
        <v>19</v>
      </c>
      <c r="T1982" s="8">
        <f t="shared" si="214"/>
        <v>0.52777777777777779</v>
      </c>
      <c r="U1982" s="8">
        <v>2.8464700000000001</v>
      </c>
      <c r="V1982">
        <v>14</v>
      </c>
      <c r="W1982" s="8">
        <f t="shared" si="215"/>
        <v>0.3888888888888889</v>
      </c>
      <c r="X1982" s="8">
        <v>2.7961100000000001</v>
      </c>
      <c r="Y1982">
        <v>3</v>
      </c>
      <c r="Z1982" s="8">
        <f t="shared" si="216"/>
        <v>8.3333333333333329E-2</v>
      </c>
      <c r="AA1982" s="8">
        <v>2.88184</v>
      </c>
    </row>
    <row r="1983" spans="2:27" ht="15" customHeight="1" x14ac:dyDescent="0.25">
      <c r="B1983" s="1" t="s">
        <v>254</v>
      </c>
      <c r="C1983" s="8">
        <v>-12083.3362</v>
      </c>
      <c r="D1983" s="2">
        <v>-12084.951359000001</v>
      </c>
      <c r="F1983" s="3">
        <v>0.99707199999999996</v>
      </c>
      <c r="G1983" s="2">
        <v>0.13600999999999999</v>
      </c>
      <c r="H1983">
        <v>4</v>
      </c>
      <c r="I1983">
        <v>9</v>
      </c>
      <c r="K1983" s="8">
        <f t="shared" si="210"/>
        <v>-0.74954615384740464</v>
      </c>
      <c r="L1983" s="8">
        <f t="shared" si="211"/>
        <v>-5.7657396449800356E-2</v>
      </c>
      <c r="M1983" s="8">
        <f t="shared" si="212"/>
        <v>-0.78816623077000258</v>
      </c>
      <c r="N1983" s="8">
        <f t="shared" si="213"/>
        <v>-6.0628171597692508E-2</v>
      </c>
      <c r="O1983" s="8"/>
      <c r="P1983" t="s">
        <v>2269</v>
      </c>
      <c r="Q1983">
        <v>36</v>
      </c>
      <c r="R1983" s="8">
        <v>2.8271199999999999</v>
      </c>
      <c r="S1983">
        <v>18</v>
      </c>
      <c r="T1983" s="8">
        <f t="shared" si="214"/>
        <v>0.5</v>
      </c>
      <c r="U1983" s="8">
        <v>2.8393600000000001</v>
      </c>
      <c r="V1983">
        <v>16</v>
      </c>
      <c r="W1983" s="8">
        <f t="shared" si="215"/>
        <v>0.44444444444444442</v>
      </c>
      <c r="X1983" s="8">
        <v>2.8146399999999998</v>
      </c>
      <c r="Y1983">
        <v>2</v>
      </c>
      <c r="Z1983" s="8">
        <f t="shared" si="216"/>
        <v>5.5555555555555552E-2</v>
      </c>
      <c r="AA1983" s="8">
        <v>2.8167</v>
      </c>
    </row>
    <row r="1984" spans="2:27" ht="15" customHeight="1" x14ac:dyDescent="0.25">
      <c r="B1984" s="1" t="s">
        <v>160</v>
      </c>
      <c r="C1984" s="8">
        <v>-12083.226500000001</v>
      </c>
      <c r="D1984" s="2">
        <v>-12085.015434999999</v>
      </c>
      <c r="F1984" s="3">
        <v>0.98801499999999998</v>
      </c>
      <c r="G1984" s="2">
        <v>0.15404999999999899</v>
      </c>
      <c r="H1984">
        <v>4</v>
      </c>
      <c r="I1984">
        <v>9</v>
      </c>
      <c r="K1984" s="8">
        <f t="shared" si="210"/>
        <v>-0.63984615384833887</v>
      </c>
      <c r="L1984" s="8">
        <f t="shared" si="211"/>
        <v>-4.9218934911410682E-2</v>
      </c>
      <c r="M1984" s="8">
        <f t="shared" si="212"/>
        <v>-0.85224223076875205</v>
      </c>
      <c r="N1984" s="8">
        <f t="shared" si="213"/>
        <v>-6.5557094674519395E-2</v>
      </c>
      <c r="O1984" s="8"/>
      <c r="P1984" t="s">
        <v>2270</v>
      </c>
      <c r="Q1984">
        <v>36</v>
      </c>
      <c r="R1984" s="8">
        <v>2.8246099999999998</v>
      </c>
      <c r="S1984">
        <v>18</v>
      </c>
      <c r="T1984" s="8">
        <f t="shared" si="214"/>
        <v>0.5</v>
      </c>
      <c r="U1984" s="8">
        <v>2.8366899999999999</v>
      </c>
      <c r="V1984">
        <v>16</v>
      </c>
      <c r="W1984" s="8">
        <f t="shared" si="215"/>
        <v>0.44444444444444442</v>
      </c>
      <c r="X1984" s="8">
        <v>2.8121700000000001</v>
      </c>
      <c r="Y1984">
        <v>2</v>
      </c>
      <c r="Z1984" s="8">
        <f t="shared" si="216"/>
        <v>5.5555555555555552E-2</v>
      </c>
      <c r="AA1984" s="8">
        <v>2.81548</v>
      </c>
    </row>
    <row r="1985" spans="2:27" ht="15" customHeight="1" x14ac:dyDescent="0.25">
      <c r="B1985" s="1" t="s">
        <v>257</v>
      </c>
      <c r="C1985" s="8">
        <v>-12083.2927</v>
      </c>
      <c r="D1985" s="2">
        <v>-12085.274533</v>
      </c>
      <c r="F1985" s="3">
        <v>0.99531599999999998</v>
      </c>
      <c r="G1985" s="2">
        <v>0.18026</v>
      </c>
      <c r="H1985">
        <v>4</v>
      </c>
      <c r="I1985">
        <v>9</v>
      </c>
      <c r="K1985" s="8">
        <f t="shared" si="210"/>
        <v>-0.70604615384763747</v>
      </c>
      <c r="L1985" s="8">
        <f t="shared" si="211"/>
        <v>-5.431124260366442E-2</v>
      </c>
      <c r="M1985" s="8">
        <f t="shared" si="212"/>
        <v>-1.1113402307692013</v>
      </c>
      <c r="N1985" s="8">
        <f t="shared" si="213"/>
        <v>-8.5487710059169331E-2</v>
      </c>
      <c r="O1985" s="8"/>
      <c r="P1985" t="s">
        <v>2271</v>
      </c>
      <c r="Q1985">
        <v>36</v>
      </c>
      <c r="R1985" s="8">
        <v>2.8327300000000002</v>
      </c>
      <c r="S1985">
        <v>18</v>
      </c>
      <c r="T1985" s="8">
        <f t="shared" si="214"/>
        <v>0.5</v>
      </c>
      <c r="U1985" s="8">
        <v>2.8523000000000001</v>
      </c>
      <c r="V1985">
        <v>15</v>
      </c>
      <c r="W1985" s="8">
        <f t="shared" si="215"/>
        <v>0.41666666666666669</v>
      </c>
      <c r="X1985" s="8">
        <v>2.8047</v>
      </c>
      <c r="Y1985">
        <v>3</v>
      </c>
      <c r="Z1985" s="8">
        <f t="shared" si="216"/>
        <v>8.3333333333333329E-2</v>
      </c>
      <c r="AA1985" s="8">
        <v>2.85548</v>
      </c>
    </row>
    <row r="1986" spans="2:27" ht="15" customHeight="1" x14ac:dyDescent="0.25">
      <c r="B1986" s="1" t="s">
        <v>169</v>
      </c>
      <c r="C1986" s="8">
        <v>-12083.411899999999</v>
      </c>
      <c r="D1986" s="2">
        <v>-12085.350382000001</v>
      </c>
      <c r="F1986" s="3">
        <v>0.99057200000000001</v>
      </c>
      <c r="G1986" s="2">
        <v>0.16447000000000001</v>
      </c>
      <c r="H1986">
        <v>4</v>
      </c>
      <c r="I1986">
        <v>9</v>
      </c>
      <c r="K1986" s="8">
        <f t="shared" si="210"/>
        <v>-0.82524615384681965</v>
      </c>
      <c r="L1986" s="8">
        <f t="shared" si="211"/>
        <v>-6.3480473372832275E-2</v>
      </c>
      <c r="M1986" s="8">
        <f t="shared" si="212"/>
        <v>-1.1871892307699454</v>
      </c>
      <c r="N1986" s="8">
        <f t="shared" si="213"/>
        <v>-9.1322248520765037E-2</v>
      </c>
      <c r="O1986" s="8"/>
      <c r="P1986" t="s">
        <v>2272</v>
      </c>
      <c r="Q1986">
        <v>36</v>
      </c>
      <c r="R1986" s="8">
        <v>2.8315100000000002</v>
      </c>
      <c r="S1986">
        <v>17</v>
      </c>
      <c r="T1986" s="8">
        <f t="shared" si="214"/>
        <v>0.47222222222222221</v>
      </c>
      <c r="U1986" s="8">
        <v>2.8544700000000001</v>
      </c>
      <c r="V1986">
        <v>17</v>
      </c>
      <c r="W1986" s="8">
        <f t="shared" si="215"/>
        <v>0.47222222222222221</v>
      </c>
      <c r="X1986" s="8">
        <v>2.8115299999999999</v>
      </c>
      <c r="Y1986">
        <v>2</v>
      </c>
      <c r="Z1986" s="8">
        <f t="shared" si="216"/>
        <v>5.5555555555555552E-2</v>
      </c>
      <c r="AA1986" s="8">
        <v>2.8062900000000002</v>
      </c>
    </row>
    <row r="1987" spans="2:27" ht="15" customHeight="1" x14ac:dyDescent="0.25">
      <c r="B1987" s="51" t="s">
        <v>132</v>
      </c>
      <c r="C1987" s="19">
        <v>-12083.4359</v>
      </c>
      <c r="D1987" s="20">
        <v>-12085.716555000001</v>
      </c>
      <c r="E1987" s="7"/>
      <c r="F1987" s="34">
        <v>0.99734900000000004</v>
      </c>
      <c r="G1987" s="23">
        <v>0.19994000000000001</v>
      </c>
      <c r="H1987" s="7">
        <v>4</v>
      </c>
      <c r="I1987" s="7">
        <v>9</v>
      </c>
      <c r="K1987" s="8">
        <f t="shared" ref="K1987:K2050" si="217">IF(ISNUMBER(C1987),C1987-(($C$3-$C$2236)/($H$3-$H$2236)*H1987+$C$2236),"")</f>
        <v>-0.84924615384807112</v>
      </c>
      <c r="L1987" s="8">
        <f t="shared" ref="L1987:L2050" si="218">IF(ISNUMBER(C1987),K1987/(H1987+I1987),"")</f>
        <v>-6.5326627219082389E-2</v>
      </c>
      <c r="M1987" s="8">
        <f t="shared" ref="M1987:M2050" si="219">IF(ISNUMBER(D1987),D1987-(($D$3-$D$2236)/($H$3-$H$2236)*H1987+$D$2236),"")</f>
        <v>-1.5533622307702899</v>
      </c>
      <c r="N1987" s="8">
        <f t="shared" ref="N1987:N2050" si="220">IF(ISNUMBER(D1987),M1987/(H1987+I1987),"")</f>
        <v>-0.11948940236694537</v>
      </c>
      <c r="O1987" s="8"/>
      <c r="P1987" t="s">
        <v>2273</v>
      </c>
      <c r="Q1987">
        <v>35</v>
      </c>
      <c r="R1987" s="8">
        <v>2.82559</v>
      </c>
      <c r="S1987">
        <v>17</v>
      </c>
      <c r="T1987" s="8">
        <f t="shared" ref="T1987:T2050" si="221">IF(ISNUMBER(S1987),S1987/(Q1987),"")</f>
        <v>0.48571428571428571</v>
      </c>
      <c r="U1987" s="8">
        <v>2.8466800000000001</v>
      </c>
      <c r="V1987">
        <v>16</v>
      </c>
      <c r="W1987" s="8">
        <f t="shared" ref="W1987:W2050" si="222">IF(ISNUMBER(V1987),V1987/($Q1987),"")</f>
        <v>0.45714285714285713</v>
      </c>
      <c r="X1987" s="8">
        <v>2.8007399999999998</v>
      </c>
      <c r="Y1987">
        <v>2</v>
      </c>
      <c r="Z1987" s="8">
        <f t="shared" ref="Z1987:Z2050" si="223">IF(ISNUMBER(Y1987),Y1987/($Q1987),"")</f>
        <v>5.7142857142857141E-2</v>
      </c>
      <c r="AA1987" s="8">
        <v>2.8451499999999998</v>
      </c>
    </row>
    <row r="1988" spans="2:27" ht="15" customHeight="1" x14ac:dyDescent="0.25">
      <c r="B1988" s="1" t="s">
        <v>172</v>
      </c>
      <c r="C1988" s="8">
        <v>-12083.5023</v>
      </c>
      <c r="D1988" s="2">
        <v>-12085.481492000001</v>
      </c>
      <c r="F1988" s="3">
        <v>0.994784</v>
      </c>
      <c r="G1988" s="2">
        <v>0.17902000000000001</v>
      </c>
      <c r="H1988">
        <v>4</v>
      </c>
      <c r="I1988">
        <v>9</v>
      </c>
      <c r="K1988" s="8">
        <f t="shared" si="217"/>
        <v>-0.91564615384777426</v>
      </c>
      <c r="L1988" s="8">
        <f t="shared" si="218"/>
        <v>-7.043431952675186E-2</v>
      </c>
      <c r="M1988" s="8">
        <f t="shared" si="219"/>
        <v>-1.3182992307702079</v>
      </c>
      <c r="N1988" s="8">
        <f t="shared" si="220"/>
        <v>-0.10140763313616984</v>
      </c>
      <c r="O1988" s="8"/>
      <c r="P1988" t="s">
        <v>2274</v>
      </c>
      <c r="Q1988">
        <v>36</v>
      </c>
      <c r="R1988" s="8">
        <v>2.8288000000000002</v>
      </c>
      <c r="S1988">
        <v>17</v>
      </c>
      <c r="T1988" s="8">
        <f t="shared" si="221"/>
        <v>0.47222222222222221</v>
      </c>
      <c r="U1988" s="8">
        <v>2.8404400000000001</v>
      </c>
      <c r="V1988">
        <v>17</v>
      </c>
      <c r="W1988" s="8">
        <f t="shared" si="222"/>
        <v>0.47222222222222221</v>
      </c>
      <c r="X1988" s="8">
        <v>2.8142800000000001</v>
      </c>
      <c r="Y1988">
        <v>2</v>
      </c>
      <c r="Z1988" s="8">
        <f t="shared" si="223"/>
        <v>5.5555555555555552E-2</v>
      </c>
      <c r="AA1988" s="8">
        <v>2.8532799999999998</v>
      </c>
    </row>
    <row r="1989" spans="2:27" ht="15" customHeight="1" x14ac:dyDescent="0.25">
      <c r="B1989" s="1" t="s">
        <v>79</v>
      </c>
      <c r="C1989" s="8">
        <v>-12083.176100000001</v>
      </c>
      <c r="D1989" s="2">
        <v>-12085.320904</v>
      </c>
      <c r="F1989" s="3">
        <v>0.99630200000000002</v>
      </c>
      <c r="G1989" s="2">
        <v>0.18639999999999901</v>
      </c>
      <c r="H1989">
        <v>4</v>
      </c>
      <c r="I1989">
        <v>9</v>
      </c>
      <c r="K1989" s="8">
        <f t="shared" si="217"/>
        <v>-0.58944615384825738</v>
      </c>
      <c r="L1989" s="8">
        <f t="shared" si="218"/>
        <v>-4.534201183448134E-2</v>
      </c>
      <c r="M1989" s="8">
        <f t="shared" si="219"/>
        <v>-1.1577112307695643</v>
      </c>
      <c r="N1989" s="8">
        <f t="shared" si="220"/>
        <v>-8.9054710059197253E-2</v>
      </c>
      <c r="O1989" s="8"/>
      <c r="P1989" t="s">
        <v>2275</v>
      </c>
      <c r="Q1989">
        <v>36</v>
      </c>
      <c r="R1989" s="8">
        <v>2.83039</v>
      </c>
      <c r="S1989">
        <v>19</v>
      </c>
      <c r="T1989" s="8">
        <f t="shared" si="221"/>
        <v>0.52777777777777779</v>
      </c>
      <c r="U1989" s="8">
        <v>2.85311</v>
      </c>
      <c r="V1989">
        <v>15</v>
      </c>
      <c r="W1989" s="8">
        <f t="shared" si="222"/>
        <v>0.41666666666666669</v>
      </c>
      <c r="X1989" s="8">
        <v>2.78905</v>
      </c>
      <c r="Y1989">
        <v>2</v>
      </c>
      <c r="Z1989" s="8">
        <f t="shared" si="223"/>
        <v>5.5555555555555552E-2</v>
      </c>
      <c r="AA1989" s="8">
        <v>2.9245299999999999</v>
      </c>
    </row>
    <row r="1990" spans="2:27" ht="15" customHeight="1" x14ac:dyDescent="0.25">
      <c r="B1990" s="1" t="s">
        <v>166</v>
      </c>
      <c r="C1990" s="8">
        <v>-12083.3184</v>
      </c>
      <c r="D1990" s="2">
        <v>-12085.039957000001</v>
      </c>
      <c r="F1990" s="3">
        <v>0.99629999999999996</v>
      </c>
      <c r="G1990" s="2">
        <v>0.182949999999999</v>
      </c>
      <c r="H1990">
        <v>4</v>
      </c>
      <c r="I1990">
        <v>9</v>
      </c>
      <c r="K1990" s="8">
        <f t="shared" si="217"/>
        <v>-0.73174615384778008</v>
      </c>
      <c r="L1990" s="8">
        <f t="shared" si="218"/>
        <v>-5.6288165680598468E-2</v>
      </c>
      <c r="M1990" s="8">
        <f t="shared" si="219"/>
        <v>-0.87676423077027721</v>
      </c>
      <c r="N1990" s="8">
        <f t="shared" si="220"/>
        <v>-6.7443402366944405E-2</v>
      </c>
      <c r="O1990" s="8"/>
      <c r="P1990" t="s">
        <v>2276</v>
      </c>
      <c r="Q1990">
        <v>36</v>
      </c>
      <c r="R1990" s="8">
        <v>2.8305899999999999</v>
      </c>
      <c r="S1990">
        <v>18</v>
      </c>
      <c r="T1990" s="8">
        <f t="shared" si="221"/>
        <v>0.5</v>
      </c>
      <c r="U1990" s="8">
        <v>2.8569599999999999</v>
      </c>
      <c r="V1990">
        <v>17</v>
      </c>
      <c r="W1990" s="8">
        <f t="shared" si="222"/>
        <v>0.47222222222222221</v>
      </c>
      <c r="X1990" s="8">
        <v>2.8030400000000002</v>
      </c>
      <c r="Y1990">
        <v>1</v>
      </c>
      <c r="Z1990" s="8">
        <f t="shared" si="223"/>
        <v>2.7777777777777776E-2</v>
      </c>
      <c r="AA1990" s="8">
        <v>2.8242699999999998</v>
      </c>
    </row>
    <row r="1991" spans="2:27" ht="15" customHeight="1" x14ac:dyDescent="0.25">
      <c r="B1991" s="1" t="s">
        <v>144</v>
      </c>
      <c r="C1991" s="8">
        <v>-12083.516600000001</v>
      </c>
      <c r="D1991" s="2">
        <v>-12085.09059</v>
      </c>
      <c r="F1991" s="3">
        <v>0.99641100000000005</v>
      </c>
      <c r="G1991" s="2">
        <v>0.19464999999999999</v>
      </c>
      <c r="H1991">
        <v>4</v>
      </c>
      <c r="I1991">
        <v>9</v>
      </c>
      <c r="K1991" s="8">
        <f t="shared" si="217"/>
        <v>-0.92994615384850476</v>
      </c>
      <c r="L1991" s="8">
        <f t="shared" si="218"/>
        <v>-7.1534319526808055E-2</v>
      </c>
      <c r="M1991" s="8">
        <f t="shared" si="219"/>
        <v>-0.927397230769202</v>
      </c>
      <c r="N1991" s="8">
        <f t="shared" si="220"/>
        <v>-7.1338248520707845E-2</v>
      </c>
      <c r="O1991" s="8"/>
      <c r="P1991" t="s">
        <v>2277</v>
      </c>
      <c r="Q1991">
        <v>36</v>
      </c>
      <c r="R1991" s="8">
        <v>2.8321700000000001</v>
      </c>
      <c r="S1991">
        <v>17</v>
      </c>
      <c r="T1991" s="8">
        <f t="shared" si="221"/>
        <v>0.47222222222222221</v>
      </c>
      <c r="U1991" s="8">
        <v>2.8371900000000001</v>
      </c>
      <c r="V1991">
        <v>16</v>
      </c>
      <c r="W1991" s="8">
        <f t="shared" si="222"/>
        <v>0.44444444444444442</v>
      </c>
      <c r="X1991" s="8">
        <v>2.8257500000000002</v>
      </c>
      <c r="Y1991">
        <v>3</v>
      </c>
      <c r="Z1991" s="8">
        <f t="shared" si="223"/>
        <v>8.3333333333333329E-2</v>
      </c>
      <c r="AA1991" s="8">
        <v>2.8379400000000001</v>
      </c>
    </row>
    <row r="1992" spans="2:27" ht="15" customHeight="1" x14ac:dyDescent="0.25">
      <c r="B1992" s="1" t="s">
        <v>123</v>
      </c>
      <c r="C1992" s="8">
        <v>-12083.454599999999</v>
      </c>
      <c r="D1992" s="2">
        <v>-12084.953996</v>
      </c>
      <c r="F1992" s="3">
        <v>0.99720299999999995</v>
      </c>
      <c r="G1992" s="2">
        <v>0.19267999999999999</v>
      </c>
      <c r="H1992">
        <v>4</v>
      </c>
      <c r="I1992">
        <v>9</v>
      </c>
      <c r="K1992" s="8">
        <f t="shared" si="217"/>
        <v>-0.86794615384678764</v>
      </c>
      <c r="L1992" s="8">
        <f t="shared" si="218"/>
        <v>-6.6765088757445204E-2</v>
      </c>
      <c r="M1992" s="8">
        <f t="shared" si="219"/>
        <v>-0.79080323076959758</v>
      </c>
      <c r="N1992" s="8">
        <f t="shared" si="220"/>
        <v>-6.0831017751507503E-2</v>
      </c>
      <c r="O1992" s="8"/>
      <c r="P1992" t="s">
        <v>2278</v>
      </c>
      <c r="Q1992">
        <v>36</v>
      </c>
      <c r="R1992" s="8">
        <v>2.8277100000000002</v>
      </c>
      <c r="S1992">
        <v>17</v>
      </c>
      <c r="T1992" s="8">
        <f t="shared" si="221"/>
        <v>0.47222222222222221</v>
      </c>
      <c r="U1992" s="8">
        <v>2.8399299999999998</v>
      </c>
      <c r="V1992">
        <v>16</v>
      </c>
      <c r="W1992" s="8">
        <f t="shared" si="222"/>
        <v>0.44444444444444442</v>
      </c>
      <c r="X1992" s="8">
        <v>2.80715</v>
      </c>
      <c r="Y1992">
        <v>3</v>
      </c>
      <c r="Z1992" s="8">
        <f t="shared" si="223"/>
        <v>8.3333333333333329E-2</v>
      </c>
      <c r="AA1992" s="8">
        <v>2.86815</v>
      </c>
    </row>
    <row r="1993" spans="2:27" ht="15" customHeight="1" x14ac:dyDescent="0.25">
      <c r="B1993" s="1" t="s">
        <v>114</v>
      </c>
      <c r="C1993" s="8">
        <v>-12083.474</v>
      </c>
      <c r="D1993" s="2">
        <v>-12084.969994999999</v>
      </c>
      <c r="F1993" s="3">
        <v>0.99981100000000001</v>
      </c>
      <c r="G1993" s="2">
        <v>0.15587999999999999</v>
      </c>
      <c r="H1993">
        <v>4</v>
      </c>
      <c r="I1993">
        <v>9</v>
      </c>
      <c r="K1993" s="8">
        <f t="shared" si="217"/>
        <v>-0.88734615384782956</v>
      </c>
      <c r="L1993" s="8">
        <f t="shared" si="218"/>
        <v>-6.8257396449833044E-2</v>
      </c>
      <c r="M1993" s="8">
        <f t="shared" si="219"/>
        <v>-0.80680223076888069</v>
      </c>
      <c r="N1993" s="8">
        <f t="shared" si="220"/>
        <v>-6.2061710059144667E-2</v>
      </c>
      <c r="O1993" s="8"/>
      <c r="P1993" t="s">
        <v>2279</v>
      </c>
      <c r="Q1993">
        <v>36</v>
      </c>
      <c r="R1993" s="8">
        <v>2.8292099999999998</v>
      </c>
      <c r="S1993">
        <v>16</v>
      </c>
      <c r="T1993" s="8">
        <f t="shared" si="221"/>
        <v>0.44444444444444442</v>
      </c>
      <c r="U1993" s="8">
        <v>2.84022</v>
      </c>
      <c r="V1993">
        <v>18</v>
      </c>
      <c r="W1993" s="8">
        <f t="shared" si="222"/>
        <v>0.5</v>
      </c>
      <c r="X1993" s="8">
        <v>2.8193899999999998</v>
      </c>
      <c r="Y1993">
        <v>2</v>
      </c>
      <c r="Z1993" s="8">
        <f t="shared" si="223"/>
        <v>5.5555555555555552E-2</v>
      </c>
      <c r="AA1993" s="8">
        <v>2.8295400000000002</v>
      </c>
    </row>
    <row r="1994" spans="2:27" ht="15" customHeight="1" x14ac:dyDescent="0.25">
      <c r="B1994" s="1" t="s">
        <v>108</v>
      </c>
      <c r="C1994" s="8">
        <v>-12083.338299999999</v>
      </c>
      <c r="D1994" s="2">
        <v>-12085.194363000001</v>
      </c>
      <c r="F1994" s="3">
        <v>0.99451299999999998</v>
      </c>
      <c r="G1994" s="2">
        <v>0.17595</v>
      </c>
      <c r="H1994">
        <v>4</v>
      </c>
      <c r="I1994">
        <v>9</v>
      </c>
      <c r="K1994" s="8">
        <f t="shared" si="217"/>
        <v>-0.75164615384710487</v>
      </c>
      <c r="L1994" s="8">
        <f t="shared" si="218"/>
        <v>-5.7818934911315761E-2</v>
      </c>
      <c r="M1994" s="8">
        <f t="shared" si="219"/>
        <v>-1.0311702307699306</v>
      </c>
      <c r="N1994" s="8">
        <f t="shared" si="220"/>
        <v>-7.9320786982302355E-2</v>
      </c>
      <c r="O1994" s="8"/>
      <c r="P1994" t="s">
        <v>2280</v>
      </c>
      <c r="Q1994">
        <v>36</v>
      </c>
      <c r="R1994" s="8">
        <v>2.8300800000000002</v>
      </c>
      <c r="S1994">
        <v>18</v>
      </c>
      <c r="T1994" s="8">
        <f t="shared" si="221"/>
        <v>0.5</v>
      </c>
      <c r="U1994" s="8">
        <v>2.8599700000000001</v>
      </c>
      <c r="V1994">
        <v>16</v>
      </c>
      <c r="W1994" s="8">
        <f t="shared" si="222"/>
        <v>0.44444444444444442</v>
      </c>
      <c r="X1994" s="8">
        <v>2.7967399999999998</v>
      </c>
      <c r="Y1994">
        <v>2</v>
      </c>
      <c r="Z1994" s="8">
        <f t="shared" si="223"/>
        <v>5.5555555555555552E-2</v>
      </c>
      <c r="AA1994" s="8">
        <v>2.8277600000000001</v>
      </c>
    </row>
    <row r="1995" spans="2:27" ht="15" customHeight="1" x14ac:dyDescent="0.25">
      <c r="B1995" s="1" t="s">
        <v>111</v>
      </c>
      <c r="C1995" s="8">
        <v>-12083.430399999999</v>
      </c>
      <c r="D1995" s="2">
        <v>-12085.205672</v>
      </c>
      <c r="F1995" s="3">
        <v>0.99663500000000005</v>
      </c>
      <c r="G1995" s="2">
        <v>0.187419999999999</v>
      </c>
      <c r="H1995">
        <v>4</v>
      </c>
      <c r="I1995">
        <v>9</v>
      </c>
      <c r="K1995" s="8">
        <f t="shared" si="217"/>
        <v>-0.84374615384695062</v>
      </c>
      <c r="L1995" s="8">
        <f t="shared" si="218"/>
        <v>-6.4903550295919279E-2</v>
      </c>
      <c r="M1995" s="8">
        <f t="shared" si="219"/>
        <v>-1.0424792307694588</v>
      </c>
      <c r="N1995" s="8">
        <f t="shared" si="220"/>
        <v>-8.0190710059189138E-2</v>
      </c>
      <c r="O1995" s="8"/>
      <c r="P1995" t="s">
        <v>2281</v>
      </c>
      <c r="Q1995">
        <v>36</v>
      </c>
      <c r="R1995" s="8">
        <v>2.8323299999999998</v>
      </c>
      <c r="S1995">
        <v>17</v>
      </c>
      <c r="T1995" s="8">
        <f t="shared" si="221"/>
        <v>0.47222222222222221</v>
      </c>
      <c r="U1995" s="8">
        <v>2.8698899999999998</v>
      </c>
      <c r="V1995">
        <v>18</v>
      </c>
      <c r="W1995" s="8">
        <f t="shared" si="222"/>
        <v>0.5</v>
      </c>
      <c r="X1995" s="8">
        <v>2.794</v>
      </c>
      <c r="Y1995">
        <v>1</v>
      </c>
      <c r="Z1995" s="8">
        <f t="shared" si="223"/>
        <v>2.7777777777777776E-2</v>
      </c>
      <c r="AA1995" s="8">
        <v>2.8838699999999999</v>
      </c>
    </row>
    <row r="1996" spans="2:27" ht="15" customHeight="1" x14ac:dyDescent="0.25">
      <c r="B1996" s="1" t="s">
        <v>88</v>
      </c>
      <c r="C1996" s="8">
        <v>-12083.2474</v>
      </c>
      <c r="D1996" s="2">
        <v>-12084.757578999999</v>
      </c>
      <c r="F1996" s="3">
        <v>0.99430300000000005</v>
      </c>
      <c r="G1996" s="2">
        <v>0.17821999999999899</v>
      </c>
      <c r="H1996">
        <v>4</v>
      </c>
      <c r="I1996">
        <v>9</v>
      </c>
      <c r="K1996" s="8">
        <f t="shared" si="217"/>
        <v>-0.66074615384786739</v>
      </c>
      <c r="L1996" s="8">
        <f t="shared" si="218"/>
        <v>-5.0826627219066722E-2</v>
      </c>
      <c r="M1996" s="8">
        <f t="shared" si="219"/>
        <v>-0.59438623076857766</v>
      </c>
      <c r="N1996" s="8">
        <f t="shared" si="220"/>
        <v>-4.5722017751429048E-2</v>
      </c>
      <c r="O1996" s="8"/>
      <c r="P1996" t="s">
        <v>2282</v>
      </c>
      <c r="Q1996">
        <v>36</v>
      </c>
      <c r="R1996" s="8">
        <v>2.8397399999999999</v>
      </c>
      <c r="S1996">
        <v>18</v>
      </c>
      <c r="T1996" s="8">
        <f t="shared" si="221"/>
        <v>0.5</v>
      </c>
      <c r="U1996" s="8">
        <v>2.8877000000000002</v>
      </c>
      <c r="V1996">
        <v>18</v>
      </c>
      <c r="W1996" s="8">
        <f t="shared" si="222"/>
        <v>0.5</v>
      </c>
      <c r="X1996" s="8">
        <v>2.7917700000000001</v>
      </c>
      <c r="Y1996">
        <v>0</v>
      </c>
      <c r="Z1996" s="8">
        <f t="shared" si="223"/>
        <v>0</v>
      </c>
      <c r="AA1996" s="8">
        <v>0</v>
      </c>
    </row>
    <row r="1997" spans="2:27" ht="15" customHeight="1" x14ac:dyDescent="0.25">
      <c r="B1997" s="1" t="s">
        <v>227</v>
      </c>
      <c r="C1997" s="8">
        <v>-12083.0821</v>
      </c>
      <c r="D1997" s="2">
        <v>-12085.279560000001</v>
      </c>
      <c r="F1997" s="3">
        <v>0.99874799999999997</v>
      </c>
      <c r="G1997" s="2">
        <v>0.22126999999999999</v>
      </c>
      <c r="H1997">
        <v>4</v>
      </c>
      <c r="I1997">
        <v>9</v>
      </c>
      <c r="K1997" s="8">
        <f t="shared" si="217"/>
        <v>-0.49544615384729696</v>
      </c>
      <c r="L1997" s="8">
        <f t="shared" si="218"/>
        <v>-3.8111242603638226E-2</v>
      </c>
      <c r="M1997" s="8">
        <f t="shared" si="219"/>
        <v>-1.1163672307702655</v>
      </c>
      <c r="N1997" s="8">
        <f t="shared" si="220"/>
        <v>-8.5874402366943492E-2</v>
      </c>
      <c r="O1997" s="8"/>
      <c r="P1997" t="s">
        <v>2283</v>
      </c>
      <c r="Q1997">
        <v>36</v>
      </c>
      <c r="R1997" s="8">
        <v>2.82864</v>
      </c>
      <c r="S1997">
        <v>19</v>
      </c>
      <c r="T1997" s="8">
        <f t="shared" si="221"/>
        <v>0.52777777777777779</v>
      </c>
      <c r="U1997" s="8">
        <v>2.8404799999999999</v>
      </c>
      <c r="V1997">
        <v>14</v>
      </c>
      <c r="W1997" s="8">
        <f t="shared" si="222"/>
        <v>0.3888888888888889</v>
      </c>
      <c r="X1997" s="8">
        <v>2.8101699999999998</v>
      </c>
      <c r="Y1997">
        <v>3</v>
      </c>
      <c r="Z1997" s="8">
        <f t="shared" si="223"/>
        <v>8.3333333333333329E-2</v>
      </c>
      <c r="AA1997" s="8">
        <v>2.8398400000000001</v>
      </c>
    </row>
    <row r="1998" spans="2:27" ht="15" customHeight="1" x14ac:dyDescent="0.25">
      <c r="B1998" s="1" t="s">
        <v>233</v>
      </c>
      <c r="C1998" s="8">
        <v>-12083.170599999999</v>
      </c>
      <c r="D1998" s="2">
        <v>-12085.502404999999</v>
      </c>
      <c r="F1998" s="3">
        <v>0.99817</v>
      </c>
      <c r="G1998" s="2">
        <v>0.19835</v>
      </c>
      <c r="H1998">
        <v>4</v>
      </c>
      <c r="I1998">
        <v>9</v>
      </c>
      <c r="K1998" s="8">
        <f t="shared" si="217"/>
        <v>-0.58394615384713688</v>
      </c>
      <c r="L1998" s="8">
        <f t="shared" si="218"/>
        <v>-4.4918934911318223E-2</v>
      </c>
      <c r="M1998" s="8">
        <f t="shared" si="219"/>
        <v>-1.3392122307686805</v>
      </c>
      <c r="N1998" s="8">
        <f t="shared" si="220"/>
        <v>-0.10301632544374464</v>
      </c>
      <c r="O1998" s="8"/>
      <c r="P1998" t="s">
        <v>2284</v>
      </c>
      <c r="Q1998">
        <v>36</v>
      </c>
      <c r="R1998" s="8">
        <v>2.8348</v>
      </c>
      <c r="S1998">
        <v>18</v>
      </c>
      <c r="T1998" s="8">
        <f t="shared" si="221"/>
        <v>0.5</v>
      </c>
      <c r="U1998" s="8">
        <v>2.8568899999999999</v>
      </c>
      <c r="V1998">
        <v>16</v>
      </c>
      <c r="W1998" s="8">
        <f t="shared" si="222"/>
        <v>0.44444444444444442</v>
      </c>
      <c r="X1998" s="8">
        <v>2.8041800000000001</v>
      </c>
      <c r="Y1998">
        <v>2</v>
      </c>
      <c r="Z1998" s="8">
        <f t="shared" si="223"/>
        <v>5.5555555555555552E-2</v>
      </c>
      <c r="AA1998" s="8">
        <v>2.88097</v>
      </c>
    </row>
    <row r="1999" spans="2:27" ht="15" customHeight="1" x14ac:dyDescent="0.25">
      <c r="B1999" s="1" t="s">
        <v>274</v>
      </c>
      <c r="C1999" s="8">
        <v>-12083.081399999999</v>
      </c>
      <c r="D1999" s="2">
        <v>-12085.414321</v>
      </c>
      <c r="F1999" s="3">
        <v>0.99699300000000002</v>
      </c>
      <c r="G1999" s="2">
        <v>0.19879999999999901</v>
      </c>
      <c r="H1999">
        <v>4</v>
      </c>
      <c r="I1999">
        <v>9</v>
      </c>
      <c r="K1999" s="8">
        <f t="shared" si="217"/>
        <v>-0.49474615384679055</v>
      </c>
      <c r="L1999" s="8">
        <f t="shared" si="218"/>
        <v>-3.8057396449753117E-2</v>
      </c>
      <c r="M1999" s="8">
        <f t="shared" si="219"/>
        <v>-1.2511282307696092</v>
      </c>
      <c r="N1999" s="8">
        <f t="shared" si="220"/>
        <v>-9.6240633136123785E-2</v>
      </c>
      <c r="O1999" s="8"/>
      <c r="P1999" t="s">
        <v>2285</v>
      </c>
      <c r="Q1999">
        <v>36</v>
      </c>
      <c r="R1999" s="8">
        <v>2.8367399999999998</v>
      </c>
      <c r="S1999">
        <v>19</v>
      </c>
      <c r="T1999" s="8">
        <f t="shared" si="221"/>
        <v>0.52777777777777779</v>
      </c>
      <c r="U1999" s="8">
        <v>2.8525999999999998</v>
      </c>
      <c r="V1999">
        <v>13</v>
      </c>
      <c r="W1999" s="8">
        <f t="shared" si="222"/>
        <v>0.3611111111111111</v>
      </c>
      <c r="X1999" s="8">
        <v>2.7998400000000001</v>
      </c>
      <c r="Y1999">
        <v>4</v>
      </c>
      <c r="Z1999" s="8">
        <f t="shared" si="223"/>
        <v>0.1111111111111111</v>
      </c>
      <c r="AA1999" s="8">
        <v>2.8812799999999998</v>
      </c>
    </row>
    <row r="2000" spans="2:27" ht="15" customHeight="1" x14ac:dyDescent="0.25">
      <c r="B2000" s="1" t="s">
        <v>209</v>
      </c>
      <c r="C2000" s="8">
        <v>-12083.2798</v>
      </c>
      <c r="D2000" s="2">
        <v>-12085.585859999999</v>
      </c>
      <c r="F2000" s="3">
        <v>0.99516499999999997</v>
      </c>
      <c r="G2000" s="2">
        <v>0.17530999999999899</v>
      </c>
      <c r="H2000">
        <v>4</v>
      </c>
      <c r="I2000">
        <v>9</v>
      </c>
      <c r="K2000" s="8">
        <f t="shared" si="217"/>
        <v>-0.69314615384791978</v>
      </c>
      <c r="L2000" s="8">
        <f t="shared" si="218"/>
        <v>-5.3318934911378443E-2</v>
      </c>
      <c r="M2000" s="8">
        <f t="shared" si="219"/>
        <v>-1.4226672307686385</v>
      </c>
      <c r="N2000" s="8">
        <f t="shared" si="220"/>
        <v>-0.10943594082835681</v>
      </c>
      <c r="O2000" s="8"/>
      <c r="P2000" t="s">
        <v>2286</v>
      </c>
      <c r="Q2000">
        <v>35</v>
      </c>
      <c r="R2000" s="8">
        <v>2.8229000000000002</v>
      </c>
      <c r="S2000">
        <v>18</v>
      </c>
      <c r="T2000" s="8">
        <f t="shared" si="221"/>
        <v>0.51428571428571423</v>
      </c>
      <c r="U2000" s="8">
        <v>2.8381599999999998</v>
      </c>
      <c r="V2000">
        <v>14</v>
      </c>
      <c r="W2000" s="8">
        <f t="shared" si="222"/>
        <v>0.4</v>
      </c>
      <c r="X2000" s="8">
        <v>2.7944100000000001</v>
      </c>
      <c r="Y2000">
        <v>3</v>
      </c>
      <c r="Z2000" s="8">
        <f t="shared" si="223"/>
        <v>8.5714285714285715E-2</v>
      </c>
      <c r="AA2000" s="8">
        <v>2.86429</v>
      </c>
    </row>
    <row r="2001" spans="2:27" ht="15" customHeight="1" x14ac:dyDescent="0.25">
      <c r="B2001" s="1" t="s">
        <v>260</v>
      </c>
      <c r="C2001" s="8">
        <v>-12083.187400000001</v>
      </c>
      <c r="D2001" s="2">
        <v>-12085.238590000001</v>
      </c>
      <c r="F2001" s="3">
        <v>0.99256500000000003</v>
      </c>
      <c r="G2001" s="2">
        <v>0.16858999999999999</v>
      </c>
      <c r="H2001">
        <v>4</v>
      </c>
      <c r="I2001">
        <v>9</v>
      </c>
      <c r="K2001" s="8">
        <f t="shared" si="217"/>
        <v>-0.60074615384837671</v>
      </c>
      <c r="L2001" s="8">
        <f t="shared" si="218"/>
        <v>-4.6211242603721288E-2</v>
      </c>
      <c r="M2001" s="8">
        <f t="shared" si="219"/>
        <v>-1.0753972307702497</v>
      </c>
      <c r="N2001" s="8">
        <f t="shared" si="220"/>
        <v>-8.2722863905403829E-2</v>
      </c>
      <c r="O2001" s="8"/>
      <c r="P2001" t="s">
        <v>2287</v>
      </c>
      <c r="Q2001">
        <v>36</v>
      </c>
      <c r="R2001" s="8">
        <v>2.83561</v>
      </c>
      <c r="S2001">
        <v>18</v>
      </c>
      <c r="T2001" s="8">
        <f t="shared" si="221"/>
        <v>0.5</v>
      </c>
      <c r="U2001" s="8">
        <v>2.8573200000000001</v>
      </c>
      <c r="V2001">
        <v>15</v>
      </c>
      <c r="W2001" s="8">
        <f t="shared" si="222"/>
        <v>0.41666666666666669</v>
      </c>
      <c r="X2001" s="8">
        <v>2.80017</v>
      </c>
      <c r="Y2001">
        <v>3</v>
      </c>
      <c r="Z2001" s="8">
        <f t="shared" si="223"/>
        <v>8.3333333333333329E-2</v>
      </c>
      <c r="AA2001" s="8">
        <v>2.88253</v>
      </c>
    </row>
    <row r="2002" spans="2:27" ht="15" customHeight="1" x14ac:dyDescent="0.25">
      <c r="B2002" s="1" t="s">
        <v>105</v>
      </c>
      <c r="C2002" s="8">
        <v>-12083.3737</v>
      </c>
      <c r="D2002" s="2">
        <v>-12085.448807000001</v>
      </c>
      <c r="F2002" s="3">
        <v>0.99166900000000002</v>
      </c>
      <c r="G2002" s="2">
        <v>0.16255</v>
      </c>
      <c r="H2002">
        <v>4</v>
      </c>
      <c r="I2002">
        <v>9</v>
      </c>
      <c r="K2002" s="8">
        <f t="shared" si="217"/>
        <v>-0.78704615384776844</v>
      </c>
      <c r="L2002" s="8">
        <f t="shared" si="218"/>
        <v>-6.0542011834443729E-2</v>
      </c>
      <c r="M2002" s="8">
        <f t="shared" si="219"/>
        <v>-1.2856142307700793</v>
      </c>
      <c r="N2002" s="8">
        <f t="shared" si="220"/>
        <v>-9.8893402366929173E-2</v>
      </c>
      <c r="O2002" s="8"/>
      <c r="P2002" t="s">
        <v>2288</v>
      </c>
      <c r="Q2002">
        <v>36</v>
      </c>
      <c r="R2002" s="8">
        <v>2.8310499999999998</v>
      </c>
      <c r="S2002">
        <v>17</v>
      </c>
      <c r="T2002" s="8">
        <f t="shared" si="221"/>
        <v>0.47222222222222221</v>
      </c>
      <c r="U2002" s="8">
        <v>2.8485900000000002</v>
      </c>
      <c r="V2002">
        <v>17</v>
      </c>
      <c r="W2002" s="8">
        <f t="shared" si="222"/>
        <v>0.47222222222222221</v>
      </c>
      <c r="X2002" s="8">
        <v>2.8072699999999999</v>
      </c>
      <c r="Y2002">
        <v>2</v>
      </c>
      <c r="Z2002" s="8">
        <f t="shared" si="223"/>
        <v>5.5555555555555552E-2</v>
      </c>
      <c r="AA2002" s="8">
        <v>2.88408</v>
      </c>
    </row>
    <row r="2003" spans="2:27" ht="15" customHeight="1" x14ac:dyDescent="0.25">
      <c r="B2003" s="1" t="s">
        <v>379</v>
      </c>
      <c r="C2003" s="8">
        <v>-12082.891299999999</v>
      </c>
      <c r="D2003" s="2">
        <v>-12085.225449</v>
      </c>
      <c r="F2003" s="3">
        <v>0.99657200000000001</v>
      </c>
      <c r="G2003" s="2">
        <v>0.18754000000000001</v>
      </c>
      <c r="H2003">
        <v>4</v>
      </c>
      <c r="I2003">
        <v>9</v>
      </c>
      <c r="K2003" s="8">
        <f t="shared" si="217"/>
        <v>-0.30464615384698845</v>
      </c>
      <c r="L2003" s="8">
        <f t="shared" si="218"/>
        <v>-2.3434319526691418E-2</v>
      </c>
      <c r="M2003" s="8">
        <f t="shared" si="219"/>
        <v>-1.0622562307689805</v>
      </c>
      <c r="N2003" s="8">
        <f t="shared" si="220"/>
        <v>-8.1712017751460031E-2</v>
      </c>
      <c r="O2003" s="8"/>
      <c r="P2003" t="s">
        <v>2289</v>
      </c>
      <c r="Q2003">
        <v>36</v>
      </c>
      <c r="R2003" s="8">
        <v>2.8345199999999999</v>
      </c>
      <c r="S2003">
        <v>21</v>
      </c>
      <c r="T2003" s="8">
        <f t="shared" si="221"/>
        <v>0.58333333333333337</v>
      </c>
      <c r="U2003" s="8">
        <v>2.8519999999999999</v>
      </c>
      <c r="V2003">
        <v>11</v>
      </c>
      <c r="W2003" s="8">
        <f t="shared" si="222"/>
        <v>0.30555555555555558</v>
      </c>
      <c r="X2003" s="8">
        <v>2.7965800000000001</v>
      </c>
      <c r="Y2003">
        <v>4</v>
      </c>
      <c r="Z2003" s="8">
        <f t="shared" si="223"/>
        <v>0.1111111111111111</v>
      </c>
      <c r="AA2003" s="8">
        <v>2.8470900000000001</v>
      </c>
    </row>
    <row r="2004" spans="2:27" ht="15" customHeight="1" x14ac:dyDescent="0.25">
      <c r="B2004" s="1" t="s">
        <v>381</v>
      </c>
      <c r="C2004" s="8">
        <v>-12083.165999999999</v>
      </c>
      <c r="D2004" s="2">
        <v>-12084.919824000001</v>
      </c>
      <c r="F2004" s="3">
        <v>0.99326700000000001</v>
      </c>
      <c r="G2004" s="2">
        <v>0.16786999999999999</v>
      </c>
      <c r="H2004">
        <v>4</v>
      </c>
      <c r="I2004">
        <v>9</v>
      </c>
      <c r="K2004" s="8">
        <f t="shared" si="217"/>
        <v>-0.57934615384692734</v>
      </c>
      <c r="L2004" s="8">
        <f t="shared" si="218"/>
        <v>-4.4565088757455948E-2</v>
      </c>
      <c r="M2004" s="8">
        <f t="shared" si="219"/>
        <v>-0.75663123076992633</v>
      </c>
      <c r="N2004" s="8">
        <f t="shared" si="220"/>
        <v>-5.8202402366917413E-2</v>
      </c>
      <c r="O2004" s="8"/>
      <c r="P2004" t="s">
        <v>2290</v>
      </c>
      <c r="Q2004">
        <v>36</v>
      </c>
      <c r="R2004" s="8">
        <v>2.8405</v>
      </c>
      <c r="S2004">
        <v>19</v>
      </c>
      <c r="T2004" s="8">
        <f t="shared" si="221"/>
        <v>0.52777777777777779</v>
      </c>
      <c r="U2004" s="8">
        <v>2.8642099999999999</v>
      </c>
      <c r="V2004">
        <v>15</v>
      </c>
      <c r="W2004" s="8">
        <f t="shared" si="222"/>
        <v>0.41666666666666669</v>
      </c>
      <c r="X2004" s="8">
        <v>2.7906599999999999</v>
      </c>
      <c r="Y2004">
        <v>2</v>
      </c>
      <c r="Z2004" s="8">
        <f t="shared" si="223"/>
        <v>5.5555555555555552E-2</v>
      </c>
      <c r="AA2004" s="8">
        <v>2.9891299999999998</v>
      </c>
    </row>
    <row r="2005" spans="2:27" ht="15" customHeight="1" x14ac:dyDescent="0.25">
      <c r="B2005" s="1" t="s">
        <v>383</v>
      </c>
      <c r="C2005" s="8">
        <v>-12083.1428</v>
      </c>
      <c r="D2005" s="2">
        <v>-12085.327846</v>
      </c>
      <c r="F2005" s="3">
        <v>0.99875199999999997</v>
      </c>
      <c r="G2005" s="2">
        <v>0.21027999999999999</v>
      </c>
      <c r="H2005">
        <v>4</v>
      </c>
      <c r="I2005">
        <v>9</v>
      </c>
      <c r="K2005" s="8">
        <f t="shared" si="217"/>
        <v>-0.55614615384729404</v>
      </c>
      <c r="L2005" s="8">
        <f t="shared" si="218"/>
        <v>-4.278047337286877E-2</v>
      </c>
      <c r="M2005" s="8">
        <f t="shared" si="219"/>
        <v>-1.1646532307695452</v>
      </c>
      <c r="N2005" s="8">
        <f t="shared" si="220"/>
        <v>-8.9588710059195789E-2</v>
      </c>
      <c r="O2005" s="8"/>
      <c r="P2005" t="s">
        <v>2291</v>
      </c>
      <c r="Q2005">
        <v>36</v>
      </c>
      <c r="R2005" s="8">
        <v>2.8309500000000001</v>
      </c>
      <c r="S2005">
        <v>19</v>
      </c>
      <c r="T2005" s="8">
        <f t="shared" si="221"/>
        <v>0.52777777777777779</v>
      </c>
      <c r="U2005" s="8">
        <v>2.83717</v>
      </c>
      <c r="V2005">
        <v>13</v>
      </c>
      <c r="W2005" s="8">
        <f t="shared" si="222"/>
        <v>0.3611111111111111</v>
      </c>
      <c r="X2005" s="8">
        <v>2.8231199999999999</v>
      </c>
      <c r="Y2005">
        <v>4</v>
      </c>
      <c r="Z2005" s="8">
        <f t="shared" si="223"/>
        <v>0.1111111111111111</v>
      </c>
      <c r="AA2005" s="8">
        <v>2.8268800000000001</v>
      </c>
    </row>
    <row r="2006" spans="2:27" ht="15" customHeight="1" x14ac:dyDescent="0.25">
      <c r="B2006" s="1" t="s">
        <v>385</v>
      </c>
      <c r="C2006" s="8">
        <v>-12083.4265</v>
      </c>
      <c r="D2006" s="2">
        <v>-12085.521167000001</v>
      </c>
      <c r="F2006" s="3">
        <v>0.99524100000000004</v>
      </c>
      <c r="G2006" s="2">
        <v>0.18279999999999899</v>
      </c>
      <c r="H2006">
        <v>4</v>
      </c>
      <c r="I2006">
        <v>9</v>
      </c>
      <c r="K2006" s="8">
        <f t="shared" si="217"/>
        <v>-0.83984615384724748</v>
      </c>
      <c r="L2006" s="8">
        <f t="shared" si="218"/>
        <v>-6.4603550295942114E-2</v>
      </c>
      <c r="M2006" s="8">
        <f t="shared" si="219"/>
        <v>-1.3579742307701963</v>
      </c>
      <c r="N2006" s="8">
        <f t="shared" si="220"/>
        <v>-0.10445955621309203</v>
      </c>
      <c r="O2006" s="8"/>
      <c r="P2006" t="s">
        <v>2292</v>
      </c>
      <c r="Q2006">
        <v>36</v>
      </c>
      <c r="R2006" s="8">
        <v>2.8307199999999999</v>
      </c>
      <c r="S2006">
        <v>17</v>
      </c>
      <c r="T2006" s="8">
        <f t="shared" si="221"/>
        <v>0.47222222222222221</v>
      </c>
      <c r="U2006" s="8">
        <v>2.8425799999999999</v>
      </c>
      <c r="V2006">
        <v>17</v>
      </c>
      <c r="W2006" s="8">
        <f t="shared" si="222"/>
        <v>0.47222222222222221</v>
      </c>
      <c r="X2006" s="8">
        <v>2.8210799999999998</v>
      </c>
      <c r="Y2006">
        <v>2</v>
      </c>
      <c r="Z2006" s="8">
        <f t="shared" si="223"/>
        <v>5.5555555555555552E-2</v>
      </c>
      <c r="AA2006" s="8">
        <v>2.8118699999999999</v>
      </c>
    </row>
    <row r="2007" spans="2:27" ht="15" customHeight="1" x14ac:dyDescent="0.25">
      <c r="B2007" s="1" t="s">
        <v>387</v>
      </c>
      <c r="C2007" s="8">
        <v>-12083.059800000001</v>
      </c>
      <c r="D2007" s="2">
        <v>-12084.923650000001</v>
      </c>
      <c r="F2007" s="3">
        <v>0.99203799999999998</v>
      </c>
      <c r="G2007" s="2">
        <v>0.16521999999999901</v>
      </c>
      <c r="H2007">
        <v>4</v>
      </c>
      <c r="I2007">
        <v>9</v>
      </c>
      <c r="K2007" s="8">
        <f t="shared" si="217"/>
        <v>-0.47314615384857461</v>
      </c>
      <c r="L2007" s="8">
        <f t="shared" si="218"/>
        <v>-3.639585798835189E-2</v>
      </c>
      <c r="M2007" s="8">
        <f t="shared" si="219"/>
        <v>-0.76045723077004368</v>
      </c>
      <c r="N2007" s="8">
        <f t="shared" si="220"/>
        <v>-5.8496710059234132E-2</v>
      </c>
      <c r="O2007" s="8"/>
      <c r="P2007" t="s">
        <v>2293</v>
      </c>
      <c r="Q2007">
        <v>36</v>
      </c>
      <c r="R2007" s="8">
        <v>2.8288600000000002</v>
      </c>
      <c r="S2007">
        <v>20</v>
      </c>
      <c r="T2007" s="8">
        <f t="shared" si="221"/>
        <v>0.55555555555555558</v>
      </c>
      <c r="U2007" s="8">
        <v>2.8419500000000002</v>
      </c>
      <c r="V2007">
        <v>13</v>
      </c>
      <c r="W2007" s="8">
        <f t="shared" si="222"/>
        <v>0.3611111111111111</v>
      </c>
      <c r="X2007" s="8">
        <v>2.8106599999999999</v>
      </c>
      <c r="Y2007">
        <v>3</v>
      </c>
      <c r="Z2007" s="8">
        <f t="shared" si="223"/>
        <v>8.3333333333333329E-2</v>
      </c>
      <c r="AA2007" s="8">
        <v>2.8204600000000002</v>
      </c>
    </row>
    <row r="2008" spans="2:27" ht="15" customHeight="1" x14ac:dyDescent="0.25">
      <c r="B2008" s="1" t="s">
        <v>389</v>
      </c>
      <c r="C2008" s="8">
        <v>-12083.2016</v>
      </c>
      <c r="D2008" s="2">
        <v>-12085.215512999999</v>
      </c>
      <c r="F2008" s="3">
        <v>0.99553899999999995</v>
      </c>
      <c r="G2008" s="2">
        <v>0.18462000000000001</v>
      </c>
      <c r="H2008">
        <v>4</v>
      </c>
      <c r="I2008">
        <v>9</v>
      </c>
      <c r="K2008" s="8">
        <f t="shared" si="217"/>
        <v>-0.61494615384799545</v>
      </c>
      <c r="L2008" s="8">
        <f t="shared" si="218"/>
        <v>-4.7303550295999648E-2</v>
      </c>
      <c r="M2008" s="8">
        <f t="shared" si="219"/>
        <v>-1.0523202307686006</v>
      </c>
      <c r="N2008" s="8">
        <f t="shared" si="220"/>
        <v>-8.0947710059123129E-2</v>
      </c>
      <c r="O2008" s="8"/>
      <c r="P2008" t="s">
        <v>2294</v>
      </c>
      <c r="Q2008">
        <v>36</v>
      </c>
      <c r="R2008" s="8">
        <v>2.83378</v>
      </c>
      <c r="S2008">
        <v>18</v>
      </c>
      <c r="T2008" s="8">
        <f t="shared" si="221"/>
        <v>0.5</v>
      </c>
      <c r="U2008" s="8">
        <v>2.8365499999999999</v>
      </c>
      <c r="V2008">
        <v>15</v>
      </c>
      <c r="W2008" s="8">
        <f t="shared" si="222"/>
        <v>0.41666666666666669</v>
      </c>
      <c r="X2008" s="8">
        <v>2.8252799999999998</v>
      </c>
      <c r="Y2008">
        <v>3</v>
      </c>
      <c r="Z2008" s="8">
        <f t="shared" si="223"/>
        <v>8.3333333333333329E-2</v>
      </c>
      <c r="AA2008" s="8">
        <v>2.8596599999999999</v>
      </c>
    </row>
    <row r="2009" spans="2:27" ht="15" customHeight="1" x14ac:dyDescent="0.25">
      <c r="B2009" s="1" t="s">
        <v>391</v>
      </c>
      <c r="C2009" s="8">
        <v>-12083.279399999999</v>
      </c>
      <c r="D2009" s="2">
        <v>-12085.248783999999</v>
      </c>
      <c r="F2009" s="3">
        <v>0.99406799999999995</v>
      </c>
      <c r="G2009" s="2">
        <v>0.17604</v>
      </c>
      <c r="H2009">
        <v>4</v>
      </c>
      <c r="I2009">
        <v>9</v>
      </c>
      <c r="K2009" s="8">
        <f t="shared" si="217"/>
        <v>-0.69274615384711069</v>
      </c>
      <c r="L2009" s="8">
        <f t="shared" si="218"/>
        <v>-5.3288165680546978E-2</v>
      </c>
      <c r="M2009" s="8">
        <f t="shared" si="219"/>
        <v>-1.0855912307688413</v>
      </c>
      <c r="N2009" s="8">
        <f t="shared" si="220"/>
        <v>-8.3507017751449336E-2</v>
      </c>
      <c r="O2009" s="8"/>
      <c r="P2009" t="s">
        <v>2295</v>
      </c>
      <c r="Q2009">
        <v>35</v>
      </c>
      <c r="R2009" s="8">
        <v>2.8284400000000001</v>
      </c>
      <c r="S2009">
        <v>17</v>
      </c>
      <c r="T2009" s="8">
        <f t="shared" si="221"/>
        <v>0.48571428571428571</v>
      </c>
      <c r="U2009" s="8">
        <v>2.8559299999999999</v>
      </c>
      <c r="V2009">
        <v>16</v>
      </c>
      <c r="W2009" s="8">
        <f t="shared" si="222"/>
        <v>0.45714285714285713</v>
      </c>
      <c r="X2009" s="8">
        <v>2.8036599999999998</v>
      </c>
      <c r="Y2009">
        <v>2</v>
      </c>
      <c r="Z2009" s="8">
        <f t="shared" si="223"/>
        <v>5.7142857142857141E-2</v>
      </c>
      <c r="AA2009" s="8">
        <v>2.79305</v>
      </c>
    </row>
    <row r="2010" spans="2:27" ht="15" customHeight="1" x14ac:dyDescent="0.25">
      <c r="B2010" s="1" t="s">
        <v>393</v>
      </c>
      <c r="C2010" s="8">
        <v>-12083.3734</v>
      </c>
      <c r="D2010" s="2">
        <v>-12085.427428999999</v>
      </c>
      <c r="F2010" s="3">
        <v>0.99209800000000004</v>
      </c>
      <c r="G2010" s="2">
        <v>0.16632</v>
      </c>
      <c r="H2010">
        <v>4</v>
      </c>
      <c r="I2010">
        <v>9</v>
      </c>
      <c r="K2010" s="8">
        <f t="shared" si="217"/>
        <v>-0.78674615384807112</v>
      </c>
      <c r="L2010" s="8">
        <f t="shared" si="218"/>
        <v>-6.0518934911390085E-2</v>
      </c>
      <c r="M2010" s="8">
        <f t="shared" si="219"/>
        <v>-1.2642362307688018</v>
      </c>
      <c r="N2010" s="8">
        <f t="shared" si="220"/>
        <v>-9.7248940828369365E-2</v>
      </c>
      <c r="O2010" s="8"/>
      <c r="P2010" t="s">
        <v>2296</v>
      </c>
      <c r="Q2010">
        <v>35</v>
      </c>
      <c r="R2010" s="8">
        <v>2.8267099999999998</v>
      </c>
      <c r="S2010">
        <v>16</v>
      </c>
      <c r="T2010" s="8">
        <f t="shared" si="221"/>
        <v>0.45714285714285713</v>
      </c>
      <c r="U2010" s="8">
        <v>2.85371</v>
      </c>
      <c r="V2010">
        <v>18</v>
      </c>
      <c r="W2010" s="8">
        <f t="shared" si="222"/>
        <v>0.51428571428571423</v>
      </c>
      <c r="X2010" s="8">
        <v>2.80389</v>
      </c>
      <c r="Y2010">
        <v>1</v>
      </c>
      <c r="Z2010" s="8">
        <f t="shared" si="223"/>
        <v>2.8571428571428571E-2</v>
      </c>
      <c r="AA2010" s="8">
        <v>2.8054700000000001</v>
      </c>
    </row>
    <row r="2011" spans="2:27" ht="15" customHeight="1" x14ac:dyDescent="0.25">
      <c r="B2011" s="1" t="s">
        <v>395</v>
      </c>
      <c r="C2011" s="8">
        <v>-12083.3115</v>
      </c>
      <c r="D2011" s="2">
        <v>-12085.440355000001</v>
      </c>
      <c r="F2011" s="3">
        <v>0.99365199999999998</v>
      </c>
      <c r="G2011" s="2">
        <v>0.17244000000000001</v>
      </c>
      <c r="H2011">
        <v>4</v>
      </c>
      <c r="I2011">
        <v>9</v>
      </c>
      <c r="K2011" s="8">
        <f t="shared" si="217"/>
        <v>-0.72484615384746576</v>
      </c>
      <c r="L2011" s="8">
        <f t="shared" si="218"/>
        <v>-5.5757396449805055E-2</v>
      </c>
      <c r="M2011" s="8">
        <f t="shared" si="219"/>
        <v>-1.2771622307700454</v>
      </c>
      <c r="N2011" s="8">
        <f t="shared" si="220"/>
        <v>-9.8243248520772722E-2</v>
      </c>
      <c r="O2011" s="8"/>
      <c r="P2011" t="s">
        <v>2297</v>
      </c>
      <c r="Q2011">
        <v>36</v>
      </c>
      <c r="R2011" s="8">
        <v>2.8295499999999998</v>
      </c>
      <c r="S2011">
        <v>17</v>
      </c>
      <c r="T2011" s="8">
        <f t="shared" si="221"/>
        <v>0.47222222222222221</v>
      </c>
      <c r="U2011" s="8">
        <v>2.8385899999999999</v>
      </c>
      <c r="V2011">
        <v>17</v>
      </c>
      <c r="W2011" s="8">
        <f t="shared" si="222"/>
        <v>0.47222222222222221</v>
      </c>
      <c r="X2011" s="8">
        <v>2.81948</v>
      </c>
      <c r="Y2011">
        <v>2</v>
      </c>
      <c r="Z2011" s="8">
        <f t="shared" si="223"/>
        <v>5.5555555555555552E-2</v>
      </c>
      <c r="AA2011" s="8">
        <v>2.83833</v>
      </c>
    </row>
    <row r="2012" spans="2:27" ht="15" customHeight="1" x14ac:dyDescent="0.25">
      <c r="B2012" s="1" t="s">
        <v>397</v>
      </c>
      <c r="C2012" s="8">
        <v>-12083.090399999999</v>
      </c>
      <c r="D2012" s="2">
        <v>-12084.994414999999</v>
      </c>
      <c r="F2012" s="3">
        <v>0.99517</v>
      </c>
      <c r="G2012" s="2">
        <v>0.178809999999999</v>
      </c>
      <c r="H2012">
        <v>4</v>
      </c>
      <c r="I2012">
        <v>9</v>
      </c>
      <c r="K2012" s="8">
        <f t="shared" si="217"/>
        <v>-0.5037461538468051</v>
      </c>
      <c r="L2012" s="8">
        <f t="shared" si="218"/>
        <v>-3.8749704142061928E-2</v>
      </c>
      <c r="M2012" s="8">
        <f t="shared" si="219"/>
        <v>-0.83122223076861701</v>
      </c>
      <c r="N2012" s="8">
        <f t="shared" si="220"/>
        <v>-6.3940171597585929E-2</v>
      </c>
      <c r="O2012" s="8"/>
      <c r="P2012" t="s">
        <v>2298</v>
      </c>
      <c r="Q2012">
        <v>35</v>
      </c>
      <c r="R2012" s="8">
        <v>2.8230300000000002</v>
      </c>
      <c r="S2012">
        <v>18</v>
      </c>
      <c r="T2012" s="8">
        <f t="shared" si="221"/>
        <v>0.51428571428571423</v>
      </c>
      <c r="U2012" s="8">
        <v>2.8337599999999998</v>
      </c>
      <c r="V2012">
        <v>15</v>
      </c>
      <c r="W2012" s="8">
        <f t="shared" si="222"/>
        <v>0.42857142857142855</v>
      </c>
      <c r="X2012" s="8">
        <v>2.8173900000000001</v>
      </c>
      <c r="Y2012">
        <v>2</v>
      </c>
      <c r="Z2012" s="8">
        <f t="shared" si="223"/>
        <v>5.7142857142857141E-2</v>
      </c>
      <c r="AA2012" s="8">
        <v>2.7686999999999999</v>
      </c>
    </row>
    <row r="2013" spans="2:27" ht="15" customHeight="1" x14ac:dyDescent="0.25">
      <c r="B2013" s="1" t="s">
        <v>399</v>
      </c>
      <c r="C2013" s="8">
        <v>-12083.0771</v>
      </c>
      <c r="D2013" s="2">
        <v>-12084.806369</v>
      </c>
      <c r="F2013" s="3">
        <v>0.99155499999999996</v>
      </c>
      <c r="G2013" s="2">
        <v>0.16761999999999899</v>
      </c>
      <c r="H2013">
        <v>4</v>
      </c>
      <c r="I2013">
        <v>9</v>
      </c>
      <c r="K2013" s="8">
        <f t="shared" si="217"/>
        <v>-0.49044615384809731</v>
      </c>
      <c r="L2013" s="8">
        <f t="shared" si="218"/>
        <v>-3.7726627219084409E-2</v>
      </c>
      <c r="M2013" s="8">
        <f t="shared" si="219"/>
        <v>-0.64317623076931341</v>
      </c>
      <c r="N2013" s="8">
        <f t="shared" si="220"/>
        <v>-4.947509467456257E-2</v>
      </c>
      <c r="O2013" s="8"/>
      <c r="P2013" t="s">
        <v>2299</v>
      </c>
      <c r="Q2013">
        <v>36</v>
      </c>
      <c r="R2013" s="8">
        <v>2.8329200000000001</v>
      </c>
      <c r="S2013">
        <v>19</v>
      </c>
      <c r="T2013" s="8">
        <f t="shared" si="221"/>
        <v>0.52777777777777779</v>
      </c>
      <c r="U2013" s="8">
        <v>2.8554300000000001</v>
      </c>
      <c r="V2013">
        <v>15</v>
      </c>
      <c r="W2013" s="8">
        <f t="shared" si="222"/>
        <v>0.41666666666666669</v>
      </c>
      <c r="X2013" s="8">
        <v>2.8007399999999998</v>
      </c>
      <c r="Y2013">
        <v>2</v>
      </c>
      <c r="Z2013" s="8">
        <f t="shared" si="223"/>
        <v>5.5555555555555552E-2</v>
      </c>
      <c r="AA2013" s="8">
        <v>2.86049</v>
      </c>
    </row>
    <row r="2014" spans="2:27" ht="15" customHeight="1" x14ac:dyDescent="0.25">
      <c r="B2014" s="1" t="s">
        <v>401</v>
      </c>
      <c r="C2014" s="8">
        <v>-12083.180700000001</v>
      </c>
      <c r="D2014" s="2">
        <v>-12085.175053000001</v>
      </c>
      <c r="F2014" s="3">
        <v>0.99504899999999996</v>
      </c>
      <c r="G2014" s="2">
        <v>0.17715</v>
      </c>
      <c r="H2014">
        <v>4</v>
      </c>
      <c r="I2014">
        <v>9</v>
      </c>
      <c r="K2014" s="8">
        <f t="shared" si="217"/>
        <v>-0.59404615384846693</v>
      </c>
      <c r="L2014" s="8">
        <f t="shared" si="218"/>
        <v>-4.5695857988343608E-2</v>
      </c>
      <c r="M2014" s="8">
        <f t="shared" si="219"/>
        <v>-1.0118602307702531</v>
      </c>
      <c r="N2014" s="8">
        <f t="shared" si="220"/>
        <v>-7.7835402366942544E-2</v>
      </c>
      <c r="O2014" s="8"/>
      <c r="P2014" t="s">
        <v>2300</v>
      </c>
      <c r="Q2014">
        <v>36</v>
      </c>
      <c r="R2014" s="8">
        <v>2.8321800000000001</v>
      </c>
      <c r="S2014">
        <v>19</v>
      </c>
      <c r="T2014" s="8">
        <f t="shared" si="221"/>
        <v>0.52777777777777779</v>
      </c>
      <c r="U2014" s="8">
        <v>2.8345799999999999</v>
      </c>
      <c r="V2014">
        <v>12</v>
      </c>
      <c r="W2014" s="8">
        <f t="shared" si="222"/>
        <v>0.33333333333333331</v>
      </c>
      <c r="X2014" s="8">
        <v>2.8277800000000002</v>
      </c>
      <c r="Y2014">
        <v>5</v>
      </c>
      <c r="Z2014" s="8">
        <f t="shared" si="223"/>
        <v>0.1388888888888889</v>
      </c>
      <c r="AA2014" s="8">
        <v>2.83365</v>
      </c>
    </row>
    <row r="2015" spans="2:27" ht="15" customHeight="1" x14ac:dyDescent="0.25">
      <c r="B2015" s="1" t="s">
        <v>403</v>
      </c>
      <c r="C2015" s="8">
        <v>-12083.2672</v>
      </c>
      <c r="D2015" s="2">
        <v>-12085.030527000001</v>
      </c>
      <c r="F2015" s="3">
        <v>0.99367399999999995</v>
      </c>
      <c r="G2015" s="2">
        <v>0.17666999999999999</v>
      </c>
      <c r="H2015">
        <v>4</v>
      </c>
      <c r="I2015">
        <v>9</v>
      </c>
      <c r="K2015" s="8">
        <f t="shared" si="217"/>
        <v>-0.6805461538478994</v>
      </c>
      <c r="L2015" s="8">
        <f t="shared" si="218"/>
        <v>-5.2349704142146111E-2</v>
      </c>
      <c r="M2015" s="8">
        <f t="shared" si="219"/>
        <v>-0.86733423077021143</v>
      </c>
      <c r="N2015" s="8">
        <f t="shared" si="220"/>
        <v>-6.6718017751554726E-2</v>
      </c>
      <c r="O2015" s="8"/>
      <c r="P2015" t="s">
        <v>2301</v>
      </c>
      <c r="Q2015">
        <v>36</v>
      </c>
      <c r="R2015" s="8">
        <v>2.8289399999999998</v>
      </c>
      <c r="S2015">
        <v>18</v>
      </c>
      <c r="T2015" s="8">
        <f t="shared" si="221"/>
        <v>0.5</v>
      </c>
      <c r="U2015" s="8">
        <v>2.8358699999999999</v>
      </c>
      <c r="V2015">
        <v>14</v>
      </c>
      <c r="W2015" s="8">
        <f t="shared" si="222"/>
        <v>0.3888888888888889</v>
      </c>
      <c r="X2015" s="8">
        <v>2.8135500000000002</v>
      </c>
      <c r="Y2015">
        <v>4</v>
      </c>
      <c r="Z2015" s="8">
        <f t="shared" si="223"/>
        <v>0.1111111111111111</v>
      </c>
      <c r="AA2015" s="8">
        <v>2.8516900000000001</v>
      </c>
    </row>
    <row r="2016" spans="2:27" ht="15" customHeight="1" x14ac:dyDescent="0.25">
      <c r="B2016" s="1" t="s">
        <v>405</v>
      </c>
      <c r="C2016" s="8">
        <v>-12083.3449</v>
      </c>
      <c r="D2016" s="2">
        <v>-12085.373093</v>
      </c>
      <c r="F2016" s="3">
        <v>0.99433800000000006</v>
      </c>
      <c r="G2016" s="2">
        <v>0.17252000000000001</v>
      </c>
      <c r="H2016">
        <v>4</v>
      </c>
      <c r="I2016">
        <v>9</v>
      </c>
      <c r="K2016" s="8">
        <f t="shared" si="217"/>
        <v>-0.75824615384772187</v>
      </c>
      <c r="L2016" s="8">
        <f t="shared" si="218"/>
        <v>-5.832662721905553E-2</v>
      </c>
      <c r="M2016" s="8">
        <f t="shared" si="219"/>
        <v>-1.2099002307695628</v>
      </c>
      <c r="N2016" s="8">
        <f t="shared" si="220"/>
        <v>-9.3069248520735601E-2</v>
      </c>
      <c r="O2016" s="8"/>
      <c r="P2016" t="s">
        <v>2302</v>
      </c>
      <c r="Q2016">
        <v>35</v>
      </c>
      <c r="R2016" s="8">
        <v>2.82789</v>
      </c>
      <c r="S2016">
        <v>18</v>
      </c>
      <c r="T2016" s="8">
        <f t="shared" si="221"/>
        <v>0.51428571428571423</v>
      </c>
      <c r="U2016" s="8">
        <v>2.8444199999999999</v>
      </c>
      <c r="V2016">
        <v>14</v>
      </c>
      <c r="W2016" s="8">
        <f t="shared" si="222"/>
        <v>0.4</v>
      </c>
      <c r="X2016" s="8">
        <v>2.8010199999999998</v>
      </c>
      <c r="Y2016">
        <v>3</v>
      </c>
      <c r="Z2016" s="8">
        <f t="shared" si="223"/>
        <v>8.5714285714285715E-2</v>
      </c>
      <c r="AA2016" s="8">
        <v>2.8541300000000001</v>
      </c>
    </row>
    <row r="2017" spans="2:27" ht="15" customHeight="1" x14ac:dyDescent="0.25">
      <c r="B2017" s="1" t="s">
        <v>407</v>
      </c>
      <c r="C2017" s="8">
        <v>-12082.9467</v>
      </c>
      <c r="D2017" s="2">
        <v>-12084.759690999999</v>
      </c>
      <c r="F2017" s="3">
        <v>0.99397400000000002</v>
      </c>
      <c r="G2017" s="2">
        <v>0.171819999999999</v>
      </c>
      <c r="H2017">
        <v>4</v>
      </c>
      <c r="I2017">
        <v>9</v>
      </c>
      <c r="K2017" s="8">
        <f t="shared" si="217"/>
        <v>-0.36004615384808858</v>
      </c>
      <c r="L2017" s="8">
        <f t="shared" si="218"/>
        <v>-2.7695857988314507E-2</v>
      </c>
      <c r="M2017" s="8">
        <f t="shared" si="219"/>
        <v>-0.59649823076870234</v>
      </c>
      <c r="N2017" s="8">
        <f t="shared" si="220"/>
        <v>-4.5884479289900179E-2</v>
      </c>
      <c r="O2017" s="8"/>
      <c r="P2017" t="s">
        <v>2303</v>
      </c>
      <c r="Q2017">
        <v>35</v>
      </c>
      <c r="R2017" s="8">
        <v>2.8284699999999998</v>
      </c>
      <c r="S2017">
        <v>19</v>
      </c>
      <c r="T2017" s="8">
        <f t="shared" si="221"/>
        <v>0.54285714285714282</v>
      </c>
      <c r="U2017" s="8">
        <v>2.8312499999999998</v>
      </c>
      <c r="V2017">
        <v>11</v>
      </c>
      <c r="W2017" s="8">
        <f t="shared" si="222"/>
        <v>0.31428571428571428</v>
      </c>
      <c r="X2017" s="8">
        <v>2.7957900000000002</v>
      </c>
      <c r="Y2017">
        <v>5</v>
      </c>
      <c r="Z2017" s="8">
        <f t="shared" si="223"/>
        <v>0.14285714285714285</v>
      </c>
      <c r="AA2017" s="8">
        <v>2.8897900000000001</v>
      </c>
    </row>
    <row r="2018" spans="2:27" ht="15" customHeight="1" x14ac:dyDescent="0.25">
      <c r="B2018" s="1" t="s">
        <v>409</v>
      </c>
      <c r="C2018" s="8">
        <v>-12083.1747</v>
      </c>
      <c r="D2018" s="2">
        <v>-12084.900557999999</v>
      </c>
      <c r="F2018" s="3">
        <v>0.99514100000000005</v>
      </c>
      <c r="G2018" s="2">
        <v>0.17610999999999999</v>
      </c>
      <c r="H2018">
        <v>4</v>
      </c>
      <c r="I2018">
        <v>9</v>
      </c>
      <c r="K2018" s="8">
        <f t="shared" si="217"/>
        <v>-0.58804615384724457</v>
      </c>
      <c r="L2018" s="8">
        <f t="shared" si="218"/>
        <v>-4.5234319526711121E-2</v>
      </c>
      <c r="M2018" s="8">
        <f t="shared" si="219"/>
        <v>-0.73736523076877347</v>
      </c>
      <c r="N2018" s="8">
        <f t="shared" si="220"/>
        <v>-5.672040236682873E-2</v>
      </c>
      <c r="O2018" s="8"/>
      <c r="P2018" t="s">
        <v>2304</v>
      </c>
      <c r="Q2018">
        <v>36</v>
      </c>
      <c r="R2018" s="8">
        <v>2.8335900000000001</v>
      </c>
      <c r="S2018">
        <v>19</v>
      </c>
      <c r="T2018" s="8">
        <f t="shared" si="221"/>
        <v>0.52777777777777779</v>
      </c>
      <c r="U2018" s="8">
        <v>2.8569900000000001</v>
      </c>
      <c r="V2018">
        <v>14</v>
      </c>
      <c r="W2018" s="8">
        <f t="shared" si="222"/>
        <v>0.3888888888888889</v>
      </c>
      <c r="X2018" s="8">
        <v>2.79786</v>
      </c>
      <c r="Y2018">
        <v>3</v>
      </c>
      <c r="Z2018" s="8">
        <f t="shared" si="223"/>
        <v>8.3333333333333329E-2</v>
      </c>
      <c r="AA2018" s="8">
        <v>2.8521700000000001</v>
      </c>
    </row>
    <row r="2019" spans="2:27" ht="15" customHeight="1" x14ac:dyDescent="0.25">
      <c r="B2019" s="1" t="s">
        <v>411</v>
      </c>
      <c r="C2019" s="8">
        <v>-12083.394399999999</v>
      </c>
      <c r="D2019" s="2">
        <v>-12085.268012</v>
      </c>
      <c r="F2019" s="3">
        <v>0.992703</v>
      </c>
      <c r="G2019" s="2">
        <v>0.16428999999999899</v>
      </c>
      <c r="H2019">
        <v>4</v>
      </c>
      <c r="I2019">
        <v>9</v>
      </c>
      <c r="K2019" s="8">
        <f t="shared" si="217"/>
        <v>-0.80774615384689241</v>
      </c>
      <c r="L2019" s="8">
        <f t="shared" si="218"/>
        <v>-6.213431952668403E-2</v>
      </c>
      <c r="M2019" s="8">
        <f t="shared" si="219"/>
        <v>-1.1048192307698628</v>
      </c>
      <c r="N2019" s="8">
        <f t="shared" si="220"/>
        <v>-8.4986094674604828E-2</v>
      </c>
      <c r="O2019" s="8"/>
      <c r="P2019" t="s">
        <v>2305</v>
      </c>
      <c r="Q2019">
        <v>34</v>
      </c>
      <c r="R2019" s="8">
        <v>2.8210299999999999</v>
      </c>
      <c r="S2019">
        <v>17</v>
      </c>
      <c r="T2019" s="8">
        <f t="shared" si="221"/>
        <v>0.5</v>
      </c>
      <c r="U2019" s="8">
        <v>2.8573400000000002</v>
      </c>
      <c r="V2019">
        <v>15</v>
      </c>
      <c r="W2019" s="8">
        <f t="shared" si="222"/>
        <v>0.44117647058823528</v>
      </c>
      <c r="X2019" s="8">
        <v>2.78199</v>
      </c>
      <c r="Y2019">
        <v>2</v>
      </c>
      <c r="Z2019" s="8">
        <f t="shared" si="223"/>
        <v>5.8823529411764705E-2</v>
      </c>
      <c r="AA2019" s="8">
        <v>2.8052600000000001</v>
      </c>
    </row>
    <row r="2020" spans="2:27" ht="15" customHeight="1" x14ac:dyDescent="0.25">
      <c r="B2020" s="1" t="s">
        <v>413</v>
      </c>
      <c r="C2020" s="8">
        <v>-12083.424199999999</v>
      </c>
      <c r="D2020" s="2">
        <v>-12085.411867000001</v>
      </c>
      <c r="F2020" s="3">
        <v>0.99426199999999998</v>
      </c>
      <c r="G2020" s="2">
        <v>0.17288999999999899</v>
      </c>
      <c r="H2020">
        <v>4</v>
      </c>
      <c r="I2020">
        <v>9</v>
      </c>
      <c r="K2020" s="8">
        <f t="shared" si="217"/>
        <v>-0.8375461538471427</v>
      </c>
      <c r="L2020" s="8">
        <f t="shared" si="218"/>
        <v>-6.4426627219010976E-2</v>
      </c>
      <c r="M2020" s="8">
        <f t="shared" si="219"/>
        <v>-1.2486742307701206</v>
      </c>
      <c r="N2020" s="8">
        <f t="shared" si="220"/>
        <v>-9.60518639053939E-2</v>
      </c>
      <c r="O2020" s="8"/>
      <c r="P2020" t="s">
        <v>2306</v>
      </c>
      <c r="Q2020">
        <v>36</v>
      </c>
      <c r="R2020" s="8">
        <v>2.83324</v>
      </c>
      <c r="S2020">
        <v>17</v>
      </c>
      <c r="T2020" s="8">
        <f t="shared" si="221"/>
        <v>0.47222222222222221</v>
      </c>
      <c r="U2020" s="8">
        <v>2.8401200000000002</v>
      </c>
      <c r="V2020">
        <v>16</v>
      </c>
      <c r="W2020" s="8">
        <f t="shared" si="222"/>
        <v>0.44444444444444442</v>
      </c>
      <c r="X2020" s="8">
        <v>2.8299099999999999</v>
      </c>
      <c r="Y2020">
        <v>3</v>
      </c>
      <c r="Z2020" s="8">
        <f t="shared" si="223"/>
        <v>8.3333333333333329E-2</v>
      </c>
      <c r="AA2020" s="8">
        <v>2.8120699999999998</v>
      </c>
    </row>
    <row r="2021" spans="2:27" ht="15" customHeight="1" x14ac:dyDescent="0.25">
      <c r="B2021" s="1" t="s">
        <v>415</v>
      </c>
      <c r="C2021" s="8">
        <v>-12083.150100000001</v>
      </c>
      <c r="D2021" s="2">
        <v>-12084.920544000001</v>
      </c>
      <c r="F2021" s="3">
        <v>0.99268699999999999</v>
      </c>
      <c r="G2021" s="2">
        <v>0.16778000000000001</v>
      </c>
      <c r="H2021">
        <v>4</v>
      </c>
      <c r="I2021">
        <v>9</v>
      </c>
      <c r="K2021" s="8">
        <f t="shared" si="217"/>
        <v>-0.56344615384841745</v>
      </c>
      <c r="L2021" s="8">
        <f t="shared" si="218"/>
        <v>-4.3342011834493648E-2</v>
      </c>
      <c r="M2021" s="8">
        <f t="shared" si="219"/>
        <v>-0.7573512307699275</v>
      </c>
      <c r="N2021" s="8">
        <f t="shared" si="220"/>
        <v>-5.8257786982302114E-2</v>
      </c>
      <c r="O2021" s="8"/>
      <c r="P2021" t="s">
        <v>2307</v>
      </c>
      <c r="Q2021">
        <v>36</v>
      </c>
      <c r="R2021" s="8">
        <v>2.8359100000000002</v>
      </c>
      <c r="S2021">
        <v>19</v>
      </c>
      <c r="T2021" s="8">
        <f t="shared" si="221"/>
        <v>0.52777777777777779</v>
      </c>
      <c r="U2021" s="8">
        <v>2.8642599999999998</v>
      </c>
      <c r="V2021">
        <v>14</v>
      </c>
      <c r="W2021" s="8">
        <f t="shared" si="222"/>
        <v>0.3888888888888889</v>
      </c>
      <c r="X2021" s="8">
        <v>2.7944900000000001</v>
      </c>
      <c r="Y2021">
        <v>3</v>
      </c>
      <c r="Z2021" s="8">
        <f t="shared" si="223"/>
        <v>8.3333333333333329E-2</v>
      </c>
      <c r="AA2021" s="8">
        <v>2.8496600000000001</v>
      </c>
    </row>
    <row r="2022" spans="2:27" ht="15" customHeight="1" x14ac:dyDescent="0.25">
      <c r="B2022" s="1" t="s">
        <v>417</v>
      </c>
      <c r="C2022" s="8">
        <v>-12083.2003</v>
      </c>
      <c r="D2022" s="2">
        <v>-12085.131636</v>
      </c>
      <c r="F2022" s="3">
        <v>0.989699</v>
      </c>
      <c r="G2022" s="2">
        <v>0.15978000000000001</v>
      </c>
      <c r="H2022">
        <v>4</v>
      </c>
      <c r="I2022">
        <v>9</v>
      </c>
      <c r="K2022" s="8">
        <f t="shared" si="217"/>
        <v>-0.6136461538480944</v>
      </c>
      <c r="L2022" s="8">
        <f t="shared" si="218"/>
        <v>-4.7203550296007264E-2</v>
      </c>
      <c r="M2022" s="8">
        <f t="shared" si="219"/>
        <v>-0.96844323076948058</v>
      </c>
      <c r="N2022" s="8">
        <f t="shared" si="220"/>
        <v>-7.449563313611389E-2</v>
      </c>
      <c r="O2022" s="8"/>
      <c r="P2022" t="s">
        <v>2308</v>
      </c>
      <c r="Q2022">
        <v>35</v>
      </c>
      <c r="R2022" s="8">
        <v>2.8237399999999999</v>
      </c>
      <c r="S2022">
        <v>17</v>
      </c>
      <c r="T2022" s="8">
        <f t="shared" si="221"/>
        <v>0.48571428571428571</v>
      </c>
      <c r="U2022" s="8">
        <v>2.8311099999999998</v>
      </c>
      <c r="V2022">
        <v>15</v>
      </c>
      <c r="W2022" s="8">
        <f t="shared" si="222"/>
        <v>0.42857142857142855</v>
      </c>
      <c r="X2022" s="8">
        <v>2.8157000000000001</v>
      </c>
      <c r="Y2022">
        <v>3</v>
      </c>
      <c r="Z2022" s="8">
        <f t="shared" si="223"/>
        <v>8.5714285714285715E-2</v>
      </c>
      <c r="AA2022" s="8">
        <v>2.8220999999999998</v>
      </c>
    </row>
    <row r="2023" spans="2:27" ht="15" customHeight="1" x14ac:dyDescent="0.25">
      <c r="B2023" s="1" t="s">
        <v>419</v>
      </c>
      <c r="C2023" s="8">
        <v>-12083.590700000001</v>
      </c>
      <c r="D2023" s="2">
        <v>-12085.345778000001</v>
      </c>
      <c r="F2023" s="3">
        <v>0.99298600000000004</v>
      </c>
      <c r="G2023" s="2">
        <v>0.16879</v>
      </c>
      <c r="H2023">
        <v>4</v>
      </c>
      <c r="I2023">
        <v>9</v>
      </c>
      <c r="K2023" s="8">
        <f t="shared" si="217"/>
        <v>-1.0040461538483214</v>
      </c>
      <c r="L2023" s="8">
        <f t="shared" si="218"/>
        <v>-7.7234319526793951E-2</v>
      </c>
      <c r="M2023" s="8">
        <f t="shared" si="219"/>
        <v>-1.1825852307702007</v>
      </c>
      <c r="N2023" s="8">
        <f t="shared" si="220"/>
        <v>-9.0968094674630823E-2</v>
      </c>
      <c r="O2023" s="8"/>
      <c r="P2023" t="s">
        <v>2309</v>
      </c>
      <c r="Q2023">
        <v>36</v>
      </c>
      <c r="R2023" s="8">
        <v>2.8335300000000001</v>
      </c>
      <c r="S2023">
        <v>16</v>
      </c>
      <c r="T2023" s="8">
        <f t="shared" si="221"/>
        <v>0.44444444444444442</v>
      </c>
      <c r="U2023" s="8">
        <v>2.8478300000000001</v>
      </c>
      <c r="V2023">
        <v>18</v>
      </c>
      <c r="W2023" s="8">
        <f t="shared" si="222"/>
        <v>0.5</v>
      </c>
      <c r="X2023" s="8">
        <v>2.82464</v>
      </c>
      <c r="Y2023">
        <v>2</v>
      </c>
      <c r="Z2023" s="8">
        <f t="shared" si="223"/>
        <v>5.5555555555555552E-2</v>
      </c>
      <c r="AA2023" s="8">
        <v>2.79914</v>
      </c>
    </row>
    <row r="2024" spans="2:27" ht="15" customHeight="1" x14ac:dyDescent="0.25">
      <c r="B2024" s="1" t="s">
        <v>421</v>
      </c>
      <c r="C2024" s="8">
        <v>-12083.169099999999</v>
      </c>
      <c r="D2024" s="2">
        <v>-12084.972164999999</v>
      </c>
      <c r="F2024" s="3">
        <v>0.99278699999999998</v>
      </c>
      <c r="G2024" s="2">
        <v>0.17211000000000001</v>
      </c>
      <c r="H2024">
        <v>4</v>
      </c>
      <c r="I2024">
        <v>9</v>
      </c>
      <c r="K2024" s="8">
        <f t="shared" si="217"/>
        <v>-0.58244615384683129</v>
      </c>
      <c r="L2024" s="8">
        <f t="shared" si="218"/>
        <v>-4.48035502959101E-2</v>
      </c>
      <c r="M2024" s="8">
        <f t="shared" si="219"/>
        <v>-0.80897223076863156</v>
      </c>
      <c r="N2024" s="8">
        <f t="shared" si="220"/>
        <v>-6.2228633136048581E-2</v>
      </c>
      <c r="O2024" s="8"/>
      <c r="P2024" t="s">
        <v>2310</v>
      </c>
      <c r="Q2024">
        <v>34</v>
      </c>
      <c r="R2024" s="8">
        <v>2.81447</v>
      </c>
      <c r="S2024">
        <v>17</v>
      </c>
      <c r="T2024" s="8">
        <f t="shared" si="221"/>
        <v>0.5</v>
      </c>
      <c r="U2024" s="8">
        <v>2.8229600000000001</v>
      </c>
      <c r="V2024">
        <v>14</v>
      </c>
      <c r="W2024" s="8">
        <f t="shared" si="222"/>
        <v>0.41176470588235292</v>
      </c>
      <c r="X2024" s="8">
        <v>2.7958699999999999</v>
      </c>
      <c r="Y2024">
        <v>3</v>
      </c>
      <c r="Z2024" s="8">
        <f t="shared" si="223"/>
        <v>8.8235294117647065E-2</v>
      </c>
      <c r="AA2024" s="8">
        <v>2.8531300000000002</v>
      </c>
    </row>
    <row r="2025" spans="2:27" ht="15" customHeight="1" x14ac:dyDescent="0.25">
      <c r="B2025" s="1" t="s">
        <v>423</v>
      </c>
      <c r="C2025" s="8">
        <v>-12083.408600000001</v>
      </c>
      <c r="D2025" s="2">
        <v>-12085.256534</v>
      </c>
      <c r="F2025" s="3">
        <v>0.99292499999999995</v>
      </c>
      <c r="G2025" s="2">
        <v>0.168709999999999</v>
      </c>
      <c r="H2025">
        <v>4</v>
      </c>
      <c r="I2025">
        <v>9</v>
      </c>
      <c r="K2025" s="8">
        <f t="shared" si="217"/>
        <v>-0.82194615384833014</v>
      </c>
      <c r="L2025" s="8">
        <f t="shared" si="218"/>
        <v>-6.3226627219102313E-2</v>
      </c>
      <c r="M2025" s="8">
        <f t="shared" si="219"/>
        <v>-1.0933412307695107</v>
      </c>
      <c r="N2025" s="8">
        <f t="shared" si="220"/>
        <v>-8.4103171597654666E-2</v>
      </c>
      <c r="O2025" s="8"/>
      <c r="P2025" t="s">
        <v>2311</v>
      </c>
      <c r="Q2025">
        <v>36</v>
      </c>
      <c r="R2025" s="8">
        <v>2.8336100000000002</v>
      </c>
      <c r="S2025">
        <v>17</v>
      </c>
      <c r="T2025" s="8">
        <f t="shared" si="221"/>
        <v>0.47222222222222221</v>
      </c>
      <c r="U2025" s="8">
        <v>2.8681899999999998</v>
      </c>
      <c r="V2025">
        <v>18</v>
      </c>
      <c r="W2025" s="8">
        <f t="shared" si="222"/>
        <v>0.5</v>
      </c>
      <c r="X2025" s="8">
        <v>2.8007499999999999</v>
      </c>
      <c r="Y2025">
        <v>1</v>
      </c>
      <c r="Z2025" s="8">
        <f t="shared" si="223"/>
        <v>2.7777777777777776E-2</v>
      </c>
      <c r="AA2025" s="8">
        <v>2.8373400000000002</v>
      </c>
    </row>
    <row r="2026" spans="2:27" ht="15" customHeight="1" x14ac:dyDescent="0.25">
      <c r="B2026" s="1" t="s">
        <v>425</v>
      </c>
      <c r="C2026" s="8">
        <v>-12083.3457</v>
      </c>
      <c r="D2026" s="2">
        <v>-12085.157454</v>
      </c>
      <c r="F2026" s="3">
        <v>0.99350799999999995</v>
      </c>
      <c r="G2026" s="2">
        <v>0.16930999999999899</v>
      </c>
      <c r="H2026">
        <v>4</v>
      </c>
      <c r="I2026">
        <v>9</v>
      </c>
      <c r="K2026" s="8">
        <f t="shared" si="217"/>
        <v>-0.75904615384752105</v>
      </c>
      <c r="L2026" s="8">
        <f t="shared" si="218"/>
        <v>-5.8388165680578544E-2</v>
      </c>
      <c r="M2026" s="8">
        <f t="shared" si="219"/>
        <v>-0.99426123076955264</v>
      </c>
      <c r="N2026" s="8">
        <f t="shared" si="220"/>
        <v>-7.6481633136119428E-2</v>
      </c>
      <c r="O2026" s="8"/>
      <c r="P2026" t="s">
        <v>2312</v>
      </c>
      <c r="Q2026">
        <v>36</v>
      </c>
      <c r="R2026" s="8">
        <v>2.8393299999999999</v>
      </c>
      <c r="S2026">
        <v>18</v>
      </c>
      <c r="T2026" s="8">
        <f t="shared" si="221"/>
        <v>0.5</v>
      </c>
      <c r="U2026" s="8">
        <v>2.8688500000000001</v>
      </c>
      <c r="V2026">
        <v>16</v>
      </c>
      <c r="W2026" s="8">
        <f t="shared" si="222"/>
        <v>0.44444444444444442</v>
      </c>
      <c r="X2026" s="8">
        <v>2.7999499999999999</v>
      </c>
      <c r="Y2026">
        <v>2</v>
      </c>
      <c r="Z2026" s="8">
        <f t="shared" si="223"/>
        <v>5.5555555555555552E-2</v>
      </c>
      <c r="AA2026" s="8">
        <v>2.8885999999999998</v>
      </c>
    </row>
    <row r="2027" spans="2:27" ht="15" customHeight="1" x14ac:dyDescent="0.25">
      <c r="B2027" s="1" t="s">
        <v>427</v>
      </c>
      <c r="C2027" s="8">
        <v>-12083.3709</v>
      </c>
      <c r="D2027" s="2">
        <v>-12085.140586</v>
      </c>
      <c r="F2027" s="3">
        <v>0.99327600000000005</v>
      </c>
      <c r="G2027" s="2">
        <v>0.17563999999999999</v>
      </c>
      <c r="H2027">
        <v>4</v>
      </c>
      <c r="I2027">
        <v>9</v>
      </c>
      <c r="K2027" s="8">
        <f t="shared" si="217"/>
        <v>-0.7842461538475618</v>
      </c>
      <c r="L2027" s="8">
        <f t="shared" si="218"/>
        <v>-6.0326627219043215E-2</v>
      </c>
      <c r="M2027" s="8">
        <f t="shared" si="219"/>
        <v>-0.97739323076893925</v>
      </c>
      <c r="N2027" s="8">
        <f t="shared" si="220"/>
        <v>-7.5184094674533783E-2</v>
      </c>
      <c r="O2027" s="8"/>
      <c r="P2027" t="s">
        <v>2313</v>
      </c>
      <c r="Q2027">
        <v>36</v>
      </c>
      <c r="R2027" s="8">
        <v>2.8313799999999998</v>
      </c>
      <c r="S2027">
        <v>18</v>
      </c>
      <c r="T2027" s="8">
        <f t="shared" si="221"/>
        <v>0.5</v>
      </c>
      <c r="U2027" s="8">
        <v>2.8477800000000002</v>
      </c>
      <c r="V2027">
        <v>16</v>
      </c>
      <c r="W2027" s="8">
        <f t="shared" si="222"/>
        <v>0.44444444444444442</v>
      </c>
      <c r="X2027" s="8">
        <v>2.8171900000000001</v>
      </c>
      <c r="Y2027">
        <v>2</v>
      </c>
      <c r="Z2027" s="8">
        <f t="shared" si="223"/>
        <v>5.5555555555555552E-2</v>
      </c>
      <c r="AA2027" s="8">
        <v>2.7972899999999998</v>
      </c>
    </row>
    <row r="2028" spans="2:27" ht="15" customHeight="1" x14ac:dyDescent="0.25">
      <c r="B2028" s="1" t="s">
        <v>429</v>
      </c>
      <c r="C2028" s="8">
        <v>-12083.0674</v>
      </c>
      <c r="D2028" s="2">
        <v>-12084.831190000001</v>
      </c>
      <c r="F2028" s="3">
        <v>0.99538000000000004</v>
      </c>
      <c r="G2028" s="2">
        <v>0.18129000000000001</v>
      </c>
      <c r="H2028">
        <v>4</v>
      </c>
      <c r="I2028">
        <v>9</v>
      </c>
      <c r="K2028" s="8">
        <f t="shared" si="217"/>
        <v>-0.48074615384757635</v>
      </c>
      <c r="L2028" s="8">
        <f t="shared" si="218"/>
        <v>-3.6980473372890489E-2</v>
      </c>
      <c r="M2028" s="8">
        <f t="shared" si="219"/>
        <v>-0.66799723077019735</v>
      </c>
      <c r="N2028" s="8">
        <f t="shared" si="220"/>
        <v>-5.138440236693826E-2</v>
      </c>
      <c r="O2028" s="8"/>
      <c r="P2028" t="s">
        <v>2314</v>
      </c>
      <c r="Q2028">
        <v>36</v>
      </c>
      <c r="R2028" s="8">
        <v>2.8370600000000001</v>
      </c>
      <c r="S2028">
        <v>20</v>
      </c>
      <c r="T2028" s="8">
        <f t="shared" si="221"/>
        <v>0.55555555555555558</v>
      </c>
      <c r="U2028" s="8">
        <v>2.8642400000000001</v>
      </c>
      <c r="V2028">
        <v>14</v>
      </c>
      <c r="W2028" s="8">
        <f t="shared" si="222"/>
        <v>0.3888888888888889</v>
      </c>
      <c r="X2028" s="8">
        <v>2.7812299999999999</v>
      </c>
      <c r="Y2028">
        <v>2</v>
      </c>
      <c r="Z2028" s="8">
        <f t="shared" si="223"/>
        <v>5.5555555555555552E-2</v>
      </c>
      <c r="AA2028" s="8">
        <v>2.9560599999999999</v>
      </c>
    </row>
    <row r="2029" spans="2:27" ht="15" customHeight="1" x14ac:dyDescent="0.25">
      <c r="B2029" s="1" t="s">
        <v>431</v>
      </c>
      <c r="C2029" s="8">
        <v>-12083.5087</v>
      </c>
      <c r="D2029" s="2">
        <v>-12085.319777000001</v>
      </c>
      <c r="F2029" s="3">
        <v>0.99714599999999998</v>
      </c>
      <c r="G2029" s="2">
        <v>0.19516</v>
      </c>
      <c r="H2029">
        <v>4</v>
      </c>
      <c r="I2029">
        <v>9</v>
      </c>
      <c r="K2029" s="8">
        <f t="shared" si="217"/>
        <v>-0.92204615384798672</v>
      </c>
      <c r="L2029" s="8">
        <f t="shared" si="218"/>
        <v>-7.0926627219075902E-2</v>
      </c>
      <c r="M2029" s="8">
        <f t="shared" si="219"/>
        <v>-1.1565842307700223</v>
      </c>
      <c r="N2029" s="8">
        <f t="shared" si="220"/>
        <v>-8.8968017751540174E-2</v>
      </c>
      <c r="O2029" s="8"/>
      <c r="P2029" t="s">
        <v>2315</v>
      </c>
      <c r="Q2029">
        <v>36</v>
      </c>
      <c r="R2029" s="8">
        <v>2.8328199999999999</v>
      </c>
      <c r="S2029">
        <v>16</v>
      </c>
      <c r="T2029" s="8">
        <f t="shared" si="221"/>
        <v>0.44444444444444442</v>
      </c>
      <c r="U2029" s="8">
        <v>2.8433299999999999</v>
      </c>
      <c r="V2029">
        <v>19</v>
      </c>
      <c r="W2029" s="8">
        <f t="shared" si="222"/>
        <v>0.52777777777777779</v>
      </c>
      <c r="X2029" s="8">
        <v>2.82335</v>
      </c>
      <c r="Y2029">
        <v>1</v>
      </c>
      <c r="Z2029" s="8">
        <f t="shared" si="223"/>
        <v>2.7777777777777776E-2</v>
      </c>
      <c r="AA2029" s="8">
        <v>2.8446899999999999</v>
      </c>
    </row>
    <row r="2030" spans="2:27" ht="15" customHeight="1" x14ac:dyDescent="0.25">
      <c r="B2030" s="1" t="s">
        <v>433</v>
      </c>
      <c r="C2030" s="8">
        <v>-12083.4328</v>
      </c>
      <c r="D2030" s="2">
        <v>-12085.478697</v>
      </c>
      <c r="F2030" s="3">
        <v>0.99679399999999996</v>
      </c>
      <c r="G2030" s="2">
        <v>0.19066999999999901</v>
      </c>
      <c r="H2030">
        <v>4</v>
      </c>
      <c r="I2030">
        <v>9</v>
      </c>
      <c r="K2030" s="8">
        <f t="shared" si="217"/>
        <v>-0.84614615384816716</v>
      </c>
      <c r="L2030" s="8">
        <f t="shared" si="218"/>
        <v>-6.5088165680628238E-2</v>
      </c>
      <c r="M2030" s="8">
        <f t="shared" si="219"/>
        <v>-1.315504230769875</v>
      </c>
      <c r="N2030" s="8">
        <f t="shared" si="220"/>
        <v>-0.10119263313614422</v>
      </c>
      <c r="O2030" s="8"/>
      <c r="P2030" t="s">
        <v>2316</v>
      </c>
      <c r="Q2030">
        <v>36</v>
      </c>
      <c r="R2030" s="8">
        <v>2.8298399999999999</v>
      </c>
      <c r="S2030">
        <v>16</v>
      </c>
      <c r="T2030" s="8">
        <f t="shared" si="221"/>
        <v>0.44444444444444442</v>
      </c>
      <c r="U2030" s="8">
        <v>2.8439999999999999</v>
      </c>
      <c r="V2030">
        <v>19</v>
      </c>
      <c r="W2030" s="8">
        <f t="shared" si="222"/>
        <v>0.52777777777777779</v>
      </c>
      <c r="X2030" s="8">
        <v>2.81664</v>
      </c>
      <c r="Y2030">
        <v>1</v>
      </c>
      <c r="Z2030" s="8">
        <f t="shared" si="223"/>
        <v>2.7777777777777776E-2</v>
      </c>
      <c r="AA2030" s="8">
        <v>2.8542000000000001</v>
      </c>
    </row>
    <row r="2031" spans="2:27" ht="15" customHeight="1" x14ac:dyDescent="0.25">
      <c r="B2031" s="1" t="s">
        <v>435</v>
      </c>
      <c r="C2031" s="8">
        <v>-12083.2382</v>
      </c>
      <c r="D2031" s="2">
        <v>-12085.009378000001</v>
      </c>
      <c r="F2031" s="3">
        <v>0.99546900000000005</v>
      </c>
      <c r="G2031" s="2">
        <v>0.17984999999999901</v>
      </c>
      <c r="H2031">
        <v>4</v>
      </c>
      <c r="I2031">
        <v>9</v>
      </c>
      <c r="K2031" s="8">
        <f t="shared" si="217"/>
        <v>-0.65154615384744829</v>
      </c>
      <c r="L2031" s="8">
        <f t="shared" si="218"/>
        <v>-5.0118934911342179E-2</v>
      </c>
      <c r="M2031" s="8">
        <f t="shared" si="219"/>
        <v>-0.84618523077006103</v>
      </c>
      <c r="N2031" s="8">
        <f t="shared" si="220"/>
        <v>-6.5091171597697006E-2</v>
      </c>
      <c r="O2031" s="8"/>
      <c r="P2031" t="s">
        <v>2317</v>
      </c>
      <c r="Q2031">
        <v>35</v>
      </c>
      <c r="R2031" s="8">
        <v>2.8264399999999998</v>
      </c>
      <c r="S2031">
        <v>17</v>
      </c>
      <c r="T2031" s="8">
        <f t="shared" si="221"/>
        <v>0.48571428571428571</v>
      </c>
      <c r="U2031" s="8">
        <v>2.84368</v>
      </c>
      <c r="V2031">
        <v>17</v>
      </c>
      <c r="W2031" s="8">
        <f t="shared" si="222"/>
        <v>0.48571428571428571</v>
      </c>
      <c r="X2031" s="8">
        <v>2.7909700000000002</v>
      </c>
      <c r="Y2031">
        <v>1</v>
      </c>
      <c r="Z2031" s="8">
        <f t="shared" si="223"/>
        <v>2.8571428571428571E-2</v>
      </c>
      <c r="AA2031" s="8">
        <v>3.1365400000000001</v>
      </c>
    </row>
    <row r="2032" spans="2:27" ht="15" customHeight="1" x14ac:dyDescent="0.25">
      <c r="B2032" s="1" t="s">
        <v>437</v>
      </c>
      <c r="C2032" s="8">
        <v>-12083.4835</v>
      </c>
      <c r="D2032" s="2">
        <v>-12085.061728000001</v>
      </c>
      <c r="F2032" s="3">
        <v>0.99555000000000005</v>
      </c>
      <c r="G2032" s="2">
        <v>0.18740000000000001</v>
      </c>
      <c r="H2032">
        <v>4</v>
      </c>
      <c r="I2032">
        <v>9</v>
      </c>
      <c r="K2032" s="8">
        <f t="shared" si="217"/>
        <v>-0.89684615384794597</v>
      </c>
      <c r="L2032" s="8">
        <f t="shared" si="218"/>
        <v>-6.8988165680611224E-2</v>
      </c>
      <c r="M2032" s="8">
        <f t="shared" si="219"/>
        <v>-0.89853523076999409</v>
      </c>
      <c r="N2032" s="8">
        <f t="shared" si="220"/>
        <v>-6.9118094674614924E-2</v>
      </c>
      <c r="O2032" s="8"/>
      <c r="P2032" t="s">
        <v>2318</v>
      </c>
      <c r="Q2032">
        <v>36</v>
      </c>
      <c r="R2032" s="8">
        <v>2.8321499999999999</v>
      </c>
      <c r="S2032">
        <v>17</v>
      </c>
      <c r="T2032" s="8">
        <f t="shared" si="221"/>
        <v>0.47222222222222221</v>
      </c>
      <c r="U2032" s="8">
        <v>2.83196</v>
      </c>
      <c r="V2032">
        <v>16</v>
      </c>
      <c r="W2032" s="8">
        <f t="shared" si="222"/>
        <v>0.44444444444444442</v>
      </c>
      <c r="X2032" s="8">
        <v>2.8307600000000002</v>
      </c>
      <c r="Y2032">
        <v>3</v>
      </c>
      <c r="Z2032" s="8">
        <f t="shared" si="223"/>
        <v>8.3333333333333329E-2</v>
      </c>
      <c r="AA2032" s="8">
        <v>2.8406500000000001</v>
      </c>
    </row>
    <row r="2033" spans="2:27" ht="15" customHeight="1" x14ac:dyDescent="0.25">
      <c r="B2033" s="1" t="s">
        <v>439</v>
      </c>
      <c r="C2033" s="8">
        <v>-12083.3752</v>
      </c>
      <c r="D2033" s="2">
        <v>-12085.122764</v>
      </c>
      <c r="F2033" s="3">
        <v>0.99638700000000002</v>
      </c>
      <c r="G2033" s="2">
        <v>0.18947</v>
      </c>
      <c r="H2033">
        <v>4</v>
      </c>
      <c r="I2033">
        <v>9</v>
      </c>
      <c r="K2033" s="8">
        <f t="shared" si="217"/>
        <v>-0.78854615384807403</v>
      </c>
      <c r="L2033" s="8">
        <f t="shared" si="218"/>
        <v>-6.0657396449851846E-2</v>
      </c>
      <c r="M2033" s="8">
        <f t="shared" si="219"/>
        <v>-0.95957123076914286</v>
      </c>
      <c r="N2033" s="8">
        <f t="shared" si="220"/>
        <v>-7.3813171597626376E-2</v>
      </c>
      <c r="O2033" s="8"/>
      <c r="P2033" t="s">
        <v>2319</v>
      </c>
      <c r="Q2033">
        <v>36</v>
      </c>
      <c r="R2033" s="8">
        <v>2.8311799999999998</v>
      </c>
      <c r="S2033">
        <v>17</v>
      </c>
      <c r="T2033" s="8">
        <f t="shared" si="221"/>
        <v>0.47222222222222221</v>
      </c>
      <c r="U2033" s="8">
        <v>2.8351199999999999</v>
      </c>
      <c r="V2033">
        <v>16</v>
      </c>
      <c r="W2033" s="8">
        <f t="shared" si="222"/>
        <v>0.44444444444444442</v>
      </c>
      <c r="X2033" s="8">
        <v>2.8277999999999999</v>
      </c>
      <c r="Y2033">
        <v>3</v>
      </c>
      <c r="Z2033" s="8">
        <f t="shared" si="223"/>
        <v>8.3333333333333329E-2</v>
      </c>
      <c r="AA2033" s="8">
        <v>2.8269199999999999</v>
      </c>
    </row>
    <row r="2034" spans="2:27" ht="15" customHeight="1" x14ac:dyDescent="0.25">
      <c r="B2034" s="1" t="s">
        <v>441</v>
      </c>
      <c r="C2034" s="8">
        <v>-12083.4871</v>
      </c>
      <c r="D2034" s="2">
        <v>-12085.673364</v>
      </c>
      <c r="F2034" s="3">
        <v>0.99504300000000001</v>
      </c>
      <c r="G2034" s="2">
        <v>0.17410999999999899</v>
      </c>
      <c r="H2034">
        <v>4</v>
      </c>
      <c r="I2034">
        <v>9</v>
      </c>
      <c r="K2034" s="8">
        <f t="shared" si="217"/>
        <v>-0.90044615384795179</v>
      </c>
      <c r="L2034" s="8">
        <f t="shared" si="218"/>
        <v>-6.926508875753476E-2</v>
      </c>
      <c r="M2034" s="8">
        <f t="shared" si="219"/>
        <v>-1.5101712307696289</v>
      </c>
      <c r="N2034" s="8">
        <f t="shared" si="220"/>
        <v>-0.11616701775150992</v>
      </c>
      <c r="O2034" s="8"/>
      <c r="P2034" t="s">
        <v>2320</v>
      </c>
      <c r="Q2034">
        <v>35</v>
      </c>
      <c r="R2034" s="8">
        <v>2.82789</v>
      </c>
      <c r="S2034">
        <v>16</v>
      </c>
      <c r="T2034" s="8">
        <f t="shared" si="221"/>
        <v>0.45714285714285713</v>
      </c>
      <c r="U2034" s="8">
        <v>2.8755199999999999</v>
      </c>
      <c r="V2034">
        <v>18</v>
      </c>
      <c r="W2034" s="8">
        <f t="shared" si="222"/>
        <v>0.51428571428571423</v>
      </c>
      <c r="X2034" s="8">
        <v>2.78416</v>
      </c>
      <c r="Y2034">
        <v>1</v>
      </c>
      <c r="Z2034" s="8">
        <f t="shared" si="223"/>
        <v>2.8571428571428571E-2</v>
      </c>
      <c r="AA2034" s="8">
        <v>2.85283</v>
      </c>
    </row>
    <row r="2035" spans="2:27" ht="15" customHeight="1" x14ac:dyDescent="0.25">
      <c r="B2035" s="1" t="s">
        <v>443</v>
      </c>
      <c r="C2035" s="8">
        <v>-12083.168299999999</v>
      </c>
      <c r="D2035" s="2">
        <v>-12084.968541</v>
      </c>
      <c r="F2035" s="3">
        <v>0.99448199999999998</v>
      </c>
      <c r="G2035" s="2">
        <v>0.17859999999999901</v>
      </c>
      <c r="H2035">
        <v>4</v>
      </c>
      <c r="I2035">
        <v>9</v>
      </c>
      <c r="K2035" s="8">
        <f t="shared" si="217"/>
        <v>-0.58164615384703211</v>
      </c>
      <c r="L2035" s="8">
        <f t="shared" si="218"/>
        <v>-4.4742011834387085E-2</v>
      </c>
      <c r="M2035" s="8">
        <f t="shared" si="219"/>
        <v>-0.80534823076959583</v>
      </c>
      <c r="N2035" s="8">
        <f t="shared" si="220"/>
        <v>-6.1949863905353522E-2</v>
      </c>
      <c r="O2035" s="8"/>
      <c r="P2035" t="s">
        <v>2321</v>
      </c>
      <c r="Q2035">
        <v>35</v>
      </c>
      <c r="R2035" s="8">
        <v>2.8261599999999998</v>
      </c>
      <c r="S2035">
        <v>17</v>
      </c>
      <c r="T2035" s="8">
        <f t="shared" si="221"/>
        <v>0.48571428571428571</v>
      </c>
      <c r="U2035" s="8">
        <v>2.8229000000000002</v>
      </c>
      <c r="V2035">
        <v>15</v>
      </c>
      <c r="W2035" s="8">
        <f t="shared" si="222"/>
        <v>0.42857142857142855</v>
      </c>
      <c r="X2035" s="8">
        <v>2.8163499999999999</v>
      </c>
      <c r="Y2035">
        <v>3</v>
      </c>
      <c r="Z2035" s="8">
        <f t="shared" si="223"/>
        <v>8.5714285714285715E-2</v>
      </c>
      <c r="AA2035" s="8">
        <v>2.8936799999999998</v>
      </c>
    </row>
    <row r="2036" spans="2:27" ht="15" customHeight="1" x14ac:dyDescent="0.25">
      <c r="B2036" s="1" t="s">
        <v>445</v>
      </c>
      <c r="C2036" s="8">
        <v>-12083.386399999999</v>
      </c>
      <c r="D2036" s="2">
        <v>-12085.193593</v>
      </c>
      <c r="F2036" s="3">
        <v>0.99697899999999995</v>
      </c>
      <c r="G2036" s="2">
        <v>0.19059999999999999</v>
      </c>
      <c r="H2036">
        <v>4</v>
      </c>
      <c r="I2036">
        <v>9</v>
      </c>
      <c r="K2036" s="8">
        <f t="shared" si="217"/>
        <v>-0.79974615384708159</v>
      </c>
      <c r="L2036" s="8">
        <f t="shared" si="218"/>
        <v>-6.1518934911313966E-2</v>
      </c>
      <c r="M2036" s="8">
        <f t="shared" si="219"/>
        <v>-1.0304002307693736</v>
      </c>
      <c r="N2036" s="8">
        <f t="shared" si="220"/>
        <v>-7.9261556213028744E-2</v>
      </c>
      <c r="O2036" s="8"/>
      <c r="P2036" t="s">
        <v>2322</v>
      </c>
      <c r="Q2036">
        <v>36</v>
      </c>
      <c r="R2036" s="8">
        <v>2.83426</v>
      </c>
      <c r="S2036">
        <v>17</v>
      </c>
      <c r="T2036" s="8">
        <f t="shared" si="221"/>
        <v>0.47222222222222221</v>
      </c>
      <c r="U2036" s="8">
        <v>2.85988</v>
      </c>
      <c r="V2036">
        <v>18</v>
      </c>
      <c r="W2036" s="8">
        <f t="shared" si="222"/>
        <v>0.5</v>
      </c>
      <c r="X2036" s="8">
        <v>2.8088000000000002</v>
      </c>
      <c r="Y2036">
        <v>1</v>
      </c>
      <c r="Z2036" s="8">
        <f t="shared" si="223"/>
        <v>2.7777777777777776E-2</v>
      </c>
      <c r="AA2036" s="8">
        <v>2.85724</v>
      </c>
    </row>
    <row r="2037" spans="2:27" ht="15" customHeight="1" x14ac:dyDescent="0.25">
      <c r="B2037" s="1" t="s">
        <v>447</v>
      </c>
      <c r="C2037" s="8">
        <v>-12083.4511</v>
      </c>
      <c r="D2037" s="2">
        <v>-12085.341338</v>
      </c>
      <c r="F2037" s="3">
        <v>0.993224</v>
      </c>
      <c r="G2037" s="2">
        <v>0.17054</v>
      </c>
      <c r="H2037">
        <v>4</v>
      </c>
      <c r="I2037">
        <v>9</v>
      </c>
      <c r="K2037" s="8">
        <f t="shared" si="217"/>
        <v>-0.86444615384789358</v>
      </c>
      <c r="L2037" s="8">
        <f t="shared" si="218"/>
        <v>-6.6495857988299503E-2</v>
      </c>
      <c r="M2037" s="8">
        <f t="shared" si="219"/>
        <v>-1.1781452307695872</v>
      </c>
      <c r="N2037" s="8">
        <f t="shared" si="220"/>
        <v>-9.0626556213045176E-2</v>
      </c>
      <c r="O2037" s="8"/>
      <c r="P2037" t="s">
        <v>2323</v>
      </c>
      <c r="Q2037">
        <v>35</v>
      </c>
      <c r="R2037" s="8">
        <v>2.8234699999999999</v>
      </c>
      <c r="S2037">
        <v>17</v>
      </c>
      <c r="T2037" s="8">
        <f t="shared" si="221"/>
        <v>0.48571428571428571</v>
      </c>
      <c r="U2037" s="8">
        <v>2.8475199999999998</v>
      </c>
      <c r="V2037">
        <v>16</v>
      </c>
      <c r="W2037" s="8">
        <f t="shared" si="222"/>
        <v>0.45714285714285713</v>
      </c>
      <c r="X2037" s="8">
        <v>2.7892399999999999</v>
      </c>
      <c r="Y2037">
        <v>2</v>
      </c>
      <c r="Z2037" s="8">
        <f t="shared" si="223"/>
        <v>5.7142857142857141E-2</v>
      </c>
      <c r="AA2037" s="8">
        <v>2.8928099999999999</v>
      </c>
    </row>
    <row r="2038" spans="2:27" ht="15" customHeight="1" x14ac:dyDescent="0.25">
      <c r="B2038" s="1" t="s">
        <v>449</v>
      </c>
      <c r="C2038" s="8">
        <v>-12083.5195</v>
      </c>
      <c r="D2038" s="2">
        <v>-12085.464089999999</v>
      </c>
      <c r="F2038" s="3">
        <v>0.98939200000000005</v>
      </c>
      <c r="G2038" s="2">
        <v>0.15626999999999999</v>
      </c>
      <c r="H2038">
        <v>4</v>
      </c>
      <c r="I2038">
        <v>9</v>
      </c>
      <c r="K2038" s="8">
        <f t="shared" si="217"/>
        <v>-0.93284615384800418</v>
      </c>
      <c r="L2038" s="8">
        <f t="shared" si="218"/>
        <v>-7.1757396449846481E-2</v>
      </c>
      <c r="M2038" s="8">
        <f t="shared" si="219"/>
        <v>-1.3008972307688964</v>
      </c>
      <c r="N2038" s="8">
        <f t="shared" si="220"/>
        <v>-0.10006901775145358</v>
      </c>
      <c r="O2038" s="8"/>
      <c r="P2038" t="s">
        <v>2324</v>
      </c>
      <c r="Q2038">
        <v>35</v>
      </c>
      <c r="R2038" s="8">
        <v>2.823</v>
      </c>
      <c r="S2038">
        <v>16</v>
      </c>
      <c r="T2038" s="8">
        <f t="shared" si="221"/>
        <v>0.45714285714285713</v>
      </c>
      <c r="U2038" s="8">
        <v>2.84077</v>
      </c>
      <c r="V2038">
        <v>17</v>
      </c>
      <c r="W2038" s="8">
        <f t="shared" si="222"/>
        <v>0.48571428571428571</v>
      </c>
      <c r="X2038" s="8">
        <v>2.8034400000000002</v>
      </c>
      <c r="Y2038">
        <v>2</v>
      </c>
      <c r="Z2038" s="8">
        <f t="shared" si="223"/>
        <v>5.7142857142857141E-2</v>
      </c>
      <c r="AA2038" s="8">
        <v>2.84701</v>
      </c>
    </row>
    <row r="2039" spans="2:27" ht="15" customHeight="1" x14ac:dyDescent="0.25">
      <c r="B2039" s="1" t="s">
        <v>451</v>
      </c>
      <c r="C2039" s="8">
        <v>-12083.3205</v>
      </c>
      <c r="D2039" s="2">
        <v>-12085.054239999999</v>
      </c>
      <c r="F2039" s="3">
        <v>0.996116</v>
      </c>
      <c r="G2039" s="2">
        <v>0.187889999999999</v>
      </c>
      <c r="H2039">
        <v>4</v>
      </c>
      <c r="I2039">
        <v>9</v>
      </c>
      <c r="K2039" s="8">
        <f t="shared" si="217"/>
        <v>-0.73384615384748031</v>
      </c>
      <c r="L2039" s="8">
        <f t="shared" si="218"/>
        <v>-5.6449704142113873E-2</v>
      </c>
      <c r="M2039" s="8">
        <f t="shared" si="219"/>
        <v>-0.89104723076889059</v>
      </c>
      <c r="N2039" s="8">
        <f t="shared" si="220"/>
        <v>-6.8542094674530041E-2</v>
      </c>
      <c r="O2039" s="8"/>
      <c r="P2039" t="s">
        <v>2325</v>
      </c>
      <c r="Q2039">
        <v>36</v>
      </c>
      <c r="R2039" s="8">
        <v>2.83325</v>
      </c>
      <c r="S2039">
        <v>18</v>
      </c>
      <c r="T2039" s="8">
        <f t="shared" si="221"/>
        <v>0.5</v>
      </c>
      <c r="U2039" s="8">
        <v>2.8455699999999999</v>
      </c>
      <c r="V2039">
        <v>16</v>
      </c>
      <c r="W2039" s="8">
        <f t="shared" si="222"/>
        <v>0.44444444444444442</v>
      </c>
      <c r="X2039" s="8">
        <v>2.8010899999999999</v>
      </c>
      <c r="Y2039">
        <v>2</v>
      </c>
      <c r="Z2039" s="8">
        <f t="shared" si="223"/>
        <v>5.5555555555555552E-2</v>
      </c>
      <c r="AA2039" s="8">
        <v>2.97967</v>
      </c>
    </row>
    <row r="2040" spans="2:27" ht="15" customHeight="1" x14ac:dyDescent="0.25">
      <c r="B2040" s="1" t="s">
        <v>453</v>
      </c>
      <c r="C2040" s="8">
        <v>-12083.3868</v>
      </c>
      <c r="D2040" s="2">
        <v>-12085.138752000001</v>
      </c>
      <c r="F2040" s="3">
        <v>0.99450000000000005</v>
      </c>
      <c r="G2040" s="2">
        <v>0.183809999999999</v>
      </c>
      <c r="H2040">
        <v>4</v>
      </c>
      <c r="I2040">
        <v>9</v>
      </c>
      <c r="K2040" s="8">
        <f t="shared" si="217"/>
        <v>-0.80014615384789067</v>
      </c>
      <c r="L2040" s="8">
        <f t="shared" si="218"/>
        <v>-6.1549704142145438E-2</v>
      </c>
      <c r="M2040" s="8">
        <f t="shared" si="219"/>
        <v>-0.97555923077015905</v>
      </c>
      <c r="N2040" s="8">
        <f t="shared" si="220"/>
        <v>-7.50430177515507E-2</v>
      </c>
      <c r="O2040" s="8"/>
      <c r="P2040" t="s">
        <v>2326</v>
      </c>
      <c r="Q2040">
        <v>36</v>
      </c>
      <c r="R2040" s="8">
        <v>2.8336199999999998</v>
      </c>
      <c r="S2040">
        <v>18</v>
      </c>
      <c r="T2040" s="8">
        <f t="shared" si="221"/>
        <v>0.5</v>
      </c>
      <c r="U2040" s="8">
        <v>2.8490799999999998</v>
      </c>
      <c r="V2040">
        <v>16</v>
      </c>
      <c r="W2040" s="8">
        <f t="shared" si="222"/>
        <v>0.44444444444444442</v>
      </c>
      <c r="X2040" s="8">
        <v>2.81508</v>
      </c>
      <c r="Y2040">
        <v>2</v>
      </c>
      <c r="Z2040" s="8">
        <f t="shared" si="223"/>
        <v>5.5555555555555552E-2</v>
      </c>
      <c r="AA2040" s="8">
        <v>2.8428200000000001</v>
      </c>
    </row>
    <row r="2041" spans="2:27" ht="15" customHeight="1" x14ac:dyDescent="0.25">
      <c r="B2041" s="1" t="s">
        <v>455</v>
      </c>
      <c r="C2041" s="8">
        <v>-12083.4792</v>
      </c>
      <c r="D2041" s="2">
        <v>-12085.255585000001</v>
      </c>
      <c r="F2041" s="3">
        <v>0.99449600000000005</v>
      </c>
      <c r="G2041" s="2">
        <v>0.175869999999999</v>
      </c>
      <c r="H2041">
        <v>4</v>
      </c>
      <c r="I2041">
        <v>9</v>
      </c>
      <c r="K2041" s="8">
        <f t="shared" si="217"/>
        <v>-0.89254615384743374</v>
      </c>
      <c r="L2041" s="8">
        <f t="shared" si="218"/>
        <v>-6.8657396449802593E-2</v>
      </c>
      <c r="M2041" s="8">
        <f t="shared" si="219"/>
        <v>-1.0923922307702014</v>
      </c>
      <c r="N2041" s="8">
        <f t="shared" si="220"/>
        <v>-8.4030171597707801E-2</v>
      </c>
      <c r="O2041" s="8"/>
      <c r="P2041" t="s">
        <v>2327</v>
      </c>
      <c r="Q2041">
        <v>36</v>
      </c>
      <c r="R2041" s="8">
        <v>2.8322500000000002</v>
      </c>
      <c r="S2041">
        <v>16</v>
      </c>
      <c r="T2041" s="8">
        <f t="shared" si="221"/>
        <v>0.44444444444444442</v>
      </c>
      <c r="U2041" s="8">
        <v>2.84639</v>
      </c>
      <c r="V2041">
        <v>18</v>
      </c>
      <c r="W2041" s="8">
        <f t="shared" si="222"/>
        <v>0.5</v>
      </c>
      <c r="X2041" s="8">
        <v>2.8229199999999999</v>
      </c>
      <c r="Y2041">
        <v>2</v>
      </c>
      <c r="Z2041" s="8">
        <f t="shared" si="223"/>
        <v>5.5555555555555552E-2</v>
      </c>
      <c r="AA2041" s="8">
        <v>2.8031899999999998</v>
      </c>
    </row>
    <row r="2042" spans="2:27" ht="15" customHeight="1" x14ac:dyDescent="0.25">
      <c r="B2042" s="1" t="s">
        <v>457</v>
      </c>
      <c r="C2042" s="8">
        <v>-12083.1201</v>
      </c>
      <c r="D2042" s="2">
        <v>-12084.859872000001</v>
      </c>
      <c r="F2042" s="3">
        <v>0.99581200000000003</v>
      </c>
      <c r="G2042" s="2">
        <v>0.18498999999999999</v>
      </c>
      <c r="H2042">
        <v>4</v>
      </c>
      <c r="I2042">
        <v>9</v>
      </c>
      <c r="K2042" s="8">
        <f t="shared" si="217"/>
        <v>-0.53344615384776262</v>
      </c>
      <c r="L2042" s="8">
        <f t="shared" si="218"/>
        <v>-4.1034319526750969E-2</v>
      </c>
      <c r="M2042" s="8">
        <f t="shared" si="219"/>
        <v>-0.69667923077031446</v>
      </c>
      <c r="N2042" s="8">
        <f t="shared" si="220"/>
        <v>-5.3590710059254962E-2</v>
      </c>
      <c r="O2042" s="8"/>
      <c r="P2042" t="s">
        <v>2328</v>
      </c>
      <c r="Q2042">
        <v>35</v>
      </c>
      <c r="R2042" s="8">
        <v>2.82308</v>
      </c>
      <c r="S2042">
        <v>18</v>
      </c>
      <c r="T2042" s="8">
        <f t="shared" si="221"/>
        <v>0.51428571428571423</v>
      </c>
      <c r="U2042" s="8">
        <v>2.8320799999999999</v>
      </c>
      <c r="V2042">
        <v>14</v>
      </c>
      <c r="W2042" s="8">
        <f t="shared" si="222"/>
        <v>0.4</v>
      </c>
      <c r="X2042" s="8">
        <v>2.8031199999999998</v>
      </c>
      <c r="Y2042">
        <v>3</v>
      </c>
      <c r="Z2042" s="8">
        <f t="shared" si="223"/>
        <v>8.5714285714285715E-2</v>
      </c>
      <c r="AA2042" s="8">
        <v>2.8621599999999998</v>
      </c>
    </row>
    <row r="2043" spans="2:27" ht="15" customHeight="1" x14ac:dyDescent="0.25">
      <c r="B2043" s="1" t="s">
        <v>459</v>
      </c>
      <c r="C2043" s="8">
        <v>-12083.4005</v>
      </c>
      <c r="D2043" s="2">
        <v>-12085.144079</v>
      </c>
      <c r="F2043" s="3">
        <v>0.993344</v>
      </c>
      <c r="G2043" s="2">
        <v>0.17252999999999899</v>
      </c>
      <c r="H2043">
        <v>4</v>
      </c>
      <c r="I2043">
        <v>9</v>
      </c>
      <c r="K2043" s="8">
        <f t="shared" si="217"/>
        <v>-0.81384615384740755</v>
      </c>
      <c r="L2043" s="8">
        <f t="shared" si="218"/>
        <v>-6.2603550295954422E-2</v>
      </c>
      <c r="M2043" s="8">
        <f t="shared" si="219"/>
        <v>-0.98088623076910153</v>
      </c>
      <c r="N2043" s="8">
        <f t="shared" si="220"/>
        <v>-7.5452786982238576E-2</v>
      </c>
      <c r="O2043" s="8"/>
      <c r="P2043" t="s">
        <v>2329</v>
      </c>
      <c r="Q2043">
        <v>36</v>
      </c>
      <c r="R2043" s="8">
        <v>2.8351199999999999</v>
      </c>
      <c r="S2043">
        <v>17</v>
      </c>
      <c r="T2043" s="8">
        <f t="shared" si="221"/>
        <v>0.47222222222222221</v>
      </c>
      <c r="U2043" s="8">
        <v>2.8699499999999998</v>
      </c>
      <c r="V2043">
        <v>18</v>
      </c>
      <c r="W2043" s="8">
        <f t="shared" si="222"/>
        <v>0.5</v>
      </c>
      <c r="X2043" s="8">
        <v>2.80172</v>
      </c>
      <c r="Y2043">
        <v>1</v>
      </c>
      <c r="Z2043" s="8">
        <f t="shared" si="223"/>
        <v>2.7777777777777776E-2</v>
      </c>
      <c r="AA2043" s="8">
        <v>2.84443</v>
      </c>
    </row>
    <row r="2044" spans="2:27" ht="15" customHeight="1" x14ac:dyDescent="0.25">
      <c r="B2044" s="1" t="s">
        <v>461</v>
      </c>
      <c r="C2044" s="8">
        <v>-12083.349399999999</v>
      </c>
      <c r="D2044" s="2">
        <v>-12085.120752000001</v>
      </c>
      <c r="F2044" s="3">
        <v>0.99419800000000003</v>
      </c>
      <c r="G2044" s="2">
        <v>0.173319999999999</v>
      </c>
      <c r="H2044">
        <v>4</v>
      </c>
      <c r="I2044">
        <v>9</v>
      </c>
      <c r="K2044" s="8">
        <f t="shared" si="217"/>
        <v>-0.76274615384681965</v>
      </c>
      <c r="L2044" s="8">
        <f t="shared" si="218"/>
        <v>-5.867278106513997E-2</v>
      </c>
      <c r="M2044" s="8">
        <f t="shared" si="219"/>
        <v>-0.95755923077012994</v>
      </c>
      <c r="N2044" s="8">
        <f t="shared" si="220"/>
        <v>-7.3658402366933079E-2</v>
      </c>
      <c r="O2044" s="8"/>
      <c r="P2044" t="s">
        <v>2330</v>
      </c>
      <c r="Q2044">
        <v>33</v>
      </c>
      <c r="R2044" s="8">
        <v>2.80619</v>
      </c>
      <c r="S2044">
        <v>14</v>
      </c>
      <c r="T2044" s="8">
        <f t="shared" si="221"/>
        <v>0.42424242424242425</v>
      </c>
      <c r="U2044" s="8">
        <v>2.8069199999999999</v>
      </c>
      <c r="V2044">
        <v>19</v>
      </c>
      <c r="W2044" s="8">
        <f t="shared" si="222"/>
        <v>0.5757575757575758</v>
      </c>
      <c r="X2044" s="8">
        <v>2.80565</v>
      </c>
      <c r="Y2044">
        <v>0</v>
      </c>
      <c r="Z2044" s="8">
        <f t="shared" si="223"/>
        <v>0</v>
      </c>
      <c r="AA2044" s="8">
        <v>0</v>
      </c>
    </row>
    <row r="2045" spans="2:27" ht="15" customHeight="1" x14ac:dyDescent="0.25">
      <c r="B2045" s="1" t="s">
        <v>463</v>
      </c>
      <c r="C2045" s="8">
        <v>-12083.3753</v>
      </c>
      <c r="D2045" s="2">
        <v>-12085.147315</v>
      </c>
      <c r="F2045" s="3">
        <v>0.99490999999999996</v>
      </c>
      <c r="G2045" s="2">
        <v>0.178779999999999</v>
      </c>
      <c r="H2045">
        <v>4</v>
      </c>
      <c r="I2045">
        <v>9</v>
      </c>
      <c r="K2045" s="8">
        <f t="shared" si="217"/>
        <v>-0.7886461538473668</v>
      </c>
      <c r="L2045" s="8">
        <f t="shared" si="218"/>
        <v>-6.0665088757489757E-2</v>
      </c>
      <c r="M2045" s="8">
        <f t="shared" si="219"/>
        <v>-0.98412223076957162</v>
      </c>
      <c r="N2045" s="8">
        <f t="shared" si="220"/>
        <v>-7.5701710059197819E-2</v>
      </c>
      <c r="O2045" s="8"/>
      <c r="P2045" t="s">
        <v>2331</v>
      </c>
      <c r="Q2045">
        <v>36</v>
      </c>
      <c r="R2045" s="8">
        <v>2.8342800000000001</v>
      </c>
      <c r="S2045">
        <v>17</v>
      </c>
      <c r="T2045" s="8">
        <f t="shared" si="221"/>
        <v>0.47222222222222221</v>
      </c>
      <c r="U2045" s="8">
        <v>2.8672200000000001</v>
      </c>
      <c r="V2045">
        <v>18</v>
      </c>
      <c r="W2045" s="8">
        <f t="shared" si="222"/>
        <v>0.5</v>
      </c>
      <c r="X2045" s="8">
        <v>2.8076400000000001</v>
      </c>
      <c r="Y2045">
        <v>1</v>
      </c>
      <c r="Z2045" s="8">
        <f t="shared" si="223"/>
        <v>2.7777777777777776E-2</v>
      </c>
      <c r="AA2045" s="8">
        <v>2.75386</v>
      </c>
    </row>
    <row r="2046" spans="2:27" ht="15" customHeight="1" x14ac:dyDescent="0.25">
      <c r="B2046" s="1" t="s">
        <v>465</v>
      </c>
      <c r="C2046" s="8">
        <v>-12083.1571</v>
      </c>
      <c r="D2046" s="2">
        <v>-12084.868806</v>
      </c>
      <c r="F2046" s="3">
        <v>0.99640700000000004</v>
      </c>
      <c r="G2046" s="2">
        <v>0.188909999999999</v>
      </c>
      <c r="H2046">
        <v>4</v>
      </c>
      <c r="I2046">
        <v>9</v>
      </c>
      <c r="K2046" s="8">
        <f t="shared" si="217"/>
        <v>-0.57044615384802455</v>
      </c>
      <c r="L2046" s="8">
        <f t="shared" si="218"/>
        <v>-4.3880473372924965E-2</v>
      </c>
      <c r="M2046" s="8">
        <f t="shared" si="219"/>
        <v>-0.70561323076981353</v>
      </c>
      <c r="N2046" s="8">
        <f t="shared" si="220"/>
        <v>-5.4277940828447196E-2</v>
      </c>
      <c r="O2046" s="8"/>
      <c r="P2046" t="s">
        <v>2332</v>
      </c>
      <c r="Q2046">
        <v>36</v>
      </c>
      <c r="R2046" s="8">
        <v>2.8366699999999998</v>
      </c>
      <c r="S2046">
        <v>19</v>
      </c>
      <c r="T2046" s="8">
        <f t="shared" si="221"/>
        <v>0.52777777777777779</v>
      </c>
      <c r="U2046" s="8">
        <v>2.8624900000000002</v>
      </c>
      <c r="V2046">
        <v>16</v>
      </c>
      <c r="W2046" s="8">
        <f t="shared" si="222"/>
        <v>0.44444444444444442</v>
      </c>
      <c r="X2046" s="8">
        <v>2.7861799999999999</v>
      </c>
      <c r="Y2046">
        <v>1</v>
      </c>
      <c r="Z2046" s="8">
        <f t="shared" si="223"/>
        <v>2.7777777777777776E-2</v>
      </c>
      <c r="AA2046" s="8">
        <v>3.1537199999999999</v>
      </c>
    </row>
    <row r="2047" spans="2:27" ht="15" customHeight="1" x14ac:dyDescent="0.25">
      <c r="B2047" s="1" t="s">
        <v>467</v>
      </c>
      <c r="C2047" s="8">
        <v>-12083.4102</v>
      </c>
      <c r="D2047" s="2">
        <v>-12085.033384</v>
      </c>
      <c r="F2047" s="3">
        <v>0.995946</v>
      </c>
      <c r="G2047" s="2">
        <v>0.18970999999999999</v>
      </c>
      <c r="H2047">
        <v>4</v>
      </c>
      <c r="I2047">
        <v>9</v>
      </c>
      <c r="K2047" s="8">
        <f t="shared" si="217"/>
        <v>-0.82354615384792851</v>
      </c>
      <c r="L2047" s="8">
        <f t="shared" si="218"/>
        <v>-6.3349704142148341E-2</v>
      </c>
      <c r="M2047" s="8">
        <f t="shared" si="219"/>
        <v>-0.87019123076970573</v>
      </c>
      <c r="N2047" s="8">
        <f t="shared" si="220"/>
        <v>-6.6937786982285058E-2</v>
      </c>
      <c r="O2047" s="8"/>
      <c r="P2047" t="s">
        <v>2333</v>
      </c>
      <c r="Q2047">
        <v>35</v>
      </c>
      <c r="R2047" s="8">
        <v>2.8265500000000001</v>
      </c>
      <c r="S2047">
        <v>17</v>
      </c>
      <c r="T2047" s="8">
        <f t="shared" si="221"/>
        <v>0.48571428571428571</v>
      </c>
      <c r="U2047" s="8">
        <v>2.8376899999999998</v>
      </c>
      <c r="V2047">
        <v>14</v>
      </c>
      <c r="W2047" s="8">
        <f t="shared" si="222"/>
        <v>0.4</v>
      </c>
      <c r="X2047" s="8">
        <v>2.80857</v>
      </c>
      <c r="Y2047">
        <v>4</v>
      </c>
      <c r="Z2047" s="8">
        <f t="shared" si="223"/>
        <v>0.11428571428571428</v>
      </c>
      <c r="AA2047" s="8">
        <v>2.8421799999999999</v>
      </c>
    </row>
    <row r="2048" spans="2:27" ht="15" customHeight="1" x14ac:dyDescent="0.25">
      <c r="B2048" s="1" t="s">
        <v>469</v>
      </c>
      <c r="C2048" s="8">
        <v>-12083.293299999999</v>
      </c>
      <c r="D2048" s="2">
        <v>-12085.022765</v>
      </c>
      <c r="F2048" s="3">
        <v>0.99529500000000004</v>
      </c>
      <c r="G2048" s="2">
        <v>0.182589999999999</v>
      </c>
      <c r="H2048">
        <v>4</v>
      </c>
      <c r="I2048">
        <v>9</v>
      </c>
      <c r="K2048" s="8">
        <f t="shared" si="217"/>
        <v>-0.70664615384703211</v>
      </c>
      <c r="L2048" s="8">
        <f t="shared" si="218"/>
        <v>-5.4357396449771701E-2</v>
      </c>
      <c r="M2048" s="8">
        <f t="shared" si="219"/>
        <v>-0.8595722307691176</v>
      </c>
      <c r="N2048" s="8">
        <f t="shared" si="220"/>
        <v>-6.6120940828393662E-2</v>
      </c>
      <c r="O2048" s="8"/>
      <c r="P2048" t="s">
        <v>2334</v>
      </c>
      <c r="Q2048">
        <v>35</v>
      </c>
      <c r="R2048" s="8">
        <v>2.8227099999999998</v>
      </c>
      <c r="S2048">
        <v>18</v>
      </c>
      <c r="T2048" s="8">
        <f t="shared" si="221"/>
        <v>0.51428571428571423</v>
      </c>
      <c r="U2048" s="8">
        <v>2.8235299999999999</v>
      </c>
      <c r="V2048">
        <v>13</v>
      </c>
      <c r="W2048" s="8">
        <f t="shared" si="222"/>
        <v>0.37142857142857144</v>
      </c>
      <c r="X2048" s="8">
        <v>2.8191199999999998</v>
      </c>
      <c r="Y2048">
        <v>4</v>
      </c>
      <c r="Z2048" s="8">
        <f t="shared" si="223"/>
        <v>0.11428571428571428</v>
      </c>
      <c r="AA2048" s="8">
        <v>2.8306900000000002</v>
      </c>
    </row>
    <row r="2049" spans="2:27" ht="15" customHeight="1" x14ac:dyDescent="0.25">
      <c r="B2049" s="1" t="s">
        <v>471</v>
      </c>
      <c r="C2049" s="8">
        <v>-12083.5105</v>
      </c>
      <c r="D2049" s="2">
        <v>-12085.239551999999</v>
      </c>
      <c r="F2049" s="3">
        <v>0.99682599999999999</v>
      </c>
      <c r="G2049" s="2">
        <v>0.19994000000000001</v>
      </c>
      <c r="H2049">
        <v>4</v>
      </c>
      <c r="I2049">
        <v>9</v>
      </c>
      <c r="K2049" s="8">
        <f t="shared" si="217"/>
        <v>-0.92384615384798963</v>
      </c>
      <c r="L2049" s="8">
        <f t="shared" si="218"/>
        <v>-7.106508875753767E-2</v>
      </c>
      <c r="M2049" s="8">
        <f t="shared" si="219"/>
        <v>-1.076359230768503</v>
      </c>
      <c r="N2049" s="8">
        <f t="shared" si="220"/>
        <v>-8.2796863905269469E-2</v>
      </c>
      <c r="O2049" s="8"/>
      <c r="P2049" t="s">
        <v>2335</v>
      </c>
      <c r="Q2049">
        <v>35</v>
      </c>
      <c r="R2049" s="8">
        <v>2.8235399999999999</v>
      </c>
      <c r="S2049">
        <v>16</v>
      </c>
      <c r="T2049" s="8">
        <f t="shared" si="221"/>
        <v>0.45714285714285713</v>
      </c>
      <c r="U2049" s="8">
        <v>2.8195899999999998</v>
      </c>
      <c r="V2049">
        <v>16</v>
      </c>
      <c r="W2049" s="8">
        <f t="shared" si="222"/>
        <v>0.45714285714285713</v>
      </c>
      <c r="X2049" s="8">
        <v>2.82667</v>
      </c>
      <c r="Y2049">
        <v>3</v>
      </c>
      <c r="Z2049" s="8">
        <f t="shared" si="223"/>
        <v>8.5714285714285715E-2</v>
      </c>
      <c r="AA2049" s="8">
        <v>2.82789</v>
      </c>
    </row>
    <row r="2050" spans="2:27" ht="15" customHeight="1" x14ac:dyDescent="0.25">
      <c r="B2050" s="1" t="s">
        <v>473</v>
      </c>
      <c r="C2050" s="8">
        <v>-12083.228953</v>
      </c>
      <c r="D2050" s="2">
        <v>-12085.554642999999</v>
      </c>
      <c r="F2050" s="3">
        <v>0.99666699999999997</v>
      </c>
      <c r="G2050" s="2">
        <v>0.191829999999999</v>
      </c>
      <c r="H2050">
        <v>4</v>
      </c>
      <c r="I2050">
        <v>9</v>
      </c>
      <c r="K2050" s="8">
        <f t="shared" si="217"/>
        <v>-0.64229915384748892</v>
      </c>
      <c r="L2050" s="8">
        <f t="shared" si="218"/>
        <v>-4.940762721903761E-2</v>
      </c>
      <c r="M2050" s="8">
        <f t="shared" si="219"/>
        <v>-1.3914502307688963</v>
      </c>
      <c r="N2050" s="8">
        <f t="shared" si="220"/>
        <v>-0.10703463313606895</v>
      </c>
      <c r="O2050" s="8"/>
      <c r="P2050" t="s">
        <v>2336</v>
      </c>
      <c r="Q2050">
        <v>35</v>
      </c>
      <c r="R2050" s="8">
        <v>2.8305099999999999</v>
      </c>
      <c r="S2050">
        <v>19</v>
      </c>
      <c r="T2050" s="8">
        <f t="shared" si="221"/>
        <v>0.54285714285714282</v>
      </c>
      <c r="U2050" s="8">
        <v>2.8493900000000001</v>
      </c>
      <c r="V2050">
        <v>13</v>
      </c>
      <c r="W2050" s="8">
        <f t="shared" si="222"/>
        <v>0.37142857142857144</v>
      </c>
      <c r="X2050" s="8">
        <v>2.8035800000000002</v>
      </c>
      <c r="Y2050">
        <v>3</v>
      </c>
      <c r="Z2050" s="8">
        <f t="shared" si="223"/>
        <v>8.5714285714285715E-2</v>
      </c>
      <c r="AA2050" s="8">
        <v>2.8276500000000002</v>
      </c>
    </row>
    <row r="2051" spans="2:27" ht="15" customHeight="1" x14ac:dyDescent="0.25">
      <c r="B2051" s="1" t="s">
        <v>475</v>
      </c>
      <c r="C2051" s="8">
        <v>-12083.435600000001</v>
      </c>
      <c r="D2051" s="2">
        <v>-12085.126976</v>
      </c>
      <c r="F2051" s="3">
        <v>0.99535300000000004</v>
      </c>
      <c r="G2051" s="2">
        <v>0.18185999999999899</v>
      </c>
      <c r="H2051">
        <v>4</v>
      </c>
      <c r="I2051">
        <v>9</v>
      </c>
      <c r="K2051" s="8">
        <f t="shared" ref="K2051:K2114" si="224">IF(ISNUMBER(C2051),C2051-(($C$3-$C$2236)/($H$3-$H$2236)*H2051+$C$2236),"")</f>
        <v>-0.8489461538483738</v>
      </c>
      <c r="L2051" s="8">
        <f t="shared" ref="L2051:L2114" si="225">IF(ISNUMBER(C2051),K2051/(H2051+I2051),"")</f>
        <v>-6.5303550296028759E-2</v>
      </c>
      <c r="M2051" s="8">
        <f t="shared" ref="M2051:M2114" si="226">IF(ISNUMBER(D2051),D2051-(($D$3-$D$2236)/($H$3-$H$2236)*H2051+$D$2236),"")</f>
        <v>-0.96378323076896777</v>
      </c>
      <c r="N2051" s="8">
        <f t="shared" ref="N2051:N2114" si="227">IF(ISNUMBER(D2051),M2051/(H2051+I2051),"")</f>
        <v>-7.4137171597612905E-2</v>
      </c>
      <c r="O2051" s="8"/>
      <c r="P2051" t="s">
        <v>2337</v>
      </c>
      <c r="Q2051">
        <v>35</v>
      </c>
      <c r="R2051" s="8">
        <v>2.8309000000000002</v>
      </c>
      <c r="S2051">
        <v>17</v>
      </c>
      <c r="T2051" s="8">
        <f t="shared" ref="T2051:T2114" si="228">IF(ISNUMBER(S2051),S2051/(Q2051),"")</f>
        <v>0.48571428571428571</v>
      </c>
      <c r="U2051" s="8">
        <v>2.8524099999999999</v>
      </c>
      <c r="V2051">
        <v>17</v>
      </c>
      <c r="W2051" s="8">
        <f t="shared" ref="W2051:W2114" si="229">IF(ISNUMBER(V2051),V2051/($Q2051),"")</f>
        <v>0.48571428571428571</v>
      </c>
      <c r="X2051" s="8">
        <v>2.80918</v>
      </c>
      <c r="Y2051">
        <v>1</v>
      </c>
      <c r="Z2051" s="8">
        <f t="shared" ref="Z2051:Z2114" si="230">IF(ISNUMBER(Y2051),Y2051/($Q2051),"")</f>
        <v>2.8571428571428571E-2</v>
      </c>
      <c r="AA2051" s="8">
        <v>2.8345500000000001</v>
      </c>
    </row>
    <row r="2052" spans="2:27" ht="15" customHeight="1" x14ac:dyDescent="0.25">
      <c r="B2052" s="1" t="s">
        <v>477</v>
      </c>
      <c r="C2052" s="8">
        <v>-12083.394399999999</v>
      </c>
      <c r="D2052" s="2">
        <v>-12085.701598</v>
      </c>
      <c r="F2052" s="3">
        <v>0.99510799999999999</v>
      </c>
      <c r="G2052" s="2">
        <v>0.18028</v>
      </c>
      <c r="H2052">
        <v>4</v>
      </c>
      <c r="I2052">
        <v>9</v>
      </c>
      <c r="K2052" s="8">
        <f t="shared" si="224"/>
        <v>-0.80774615384689241</v>
      </c>
      <c r="L2052" s="8">
        <f t="shared" si="225"/>
        <v>-6.213431952668403E-2</v>
      </c>
      <c r="M2052" s="8">
        <f t="shared" si="226"/>
        <v>-1.5384052307690581</v>
      </c>
      <c r="N2052" s="8">
        <f t="shared" si="227"/>
        <v>-0.11833886390531216</v>
      </c>
      <c r="O2052" s="8"/>
      <c r="P2052" t="s">
        <v>2338</v>
      </c>
      <c r="Q2052">
        <v>35</v>
      </c>
      <c r="R2052" s="8">
        <v>2.8299099999999999</v>
      </c>
      <c r="S2052">
        <v>18</v>
      </c>
      <c r="T2052" s="8">
        <f t="shared" si="228"/>
        <v>0.51428571428571423</v>
      </c>
      <c r="U2052" s="8">
        <v>2.8759999999999999</v>
      </c>
      <c r="V2052">
        <v>15</v>
      </c>
      <c r="W2052" s="8">
        <f t="shared" si="229"/>
        <v>0.42857142857142855</v>
      </c>
      <c r="X2052" s="8">
        <v>2.7783899999999999</v>
      </c>
      <c r="Y2052">
        <v>2</v>
      </c>
      <c r="Z2052" s="8">
        <f t="shared" si="230"/>
        <v>5.7142857142857141E-2</v>
      </c>
      <c r="AA2052" s="8">
        <v>2.8014700000000001</v>
      </c>
    </row>
    <row r="2053" spans="2:27" ht="15" customHeight="1" x14ac:dyDescent="0.25">
      <c r="B2053" s="1" t="s">
        <v>479</v>
      </c>
      <c r="C2053" s="8">
        <v>-12083.3683</v>
      </c>
      <c r="D2053" s="2">
        <v>-12085.084124000001</v>
      </c>
      <c r="F2053" s="3">
        <v>0.99636599999999997</v>
      </c>
      <c r="G2053" s="2">
        <v>0.18930999999999901</v>
      </c>
      <c r="H2053">
        <v>4</v>
      </c>
      <c r="I2053">
        <v>9</v>
      </c>
      <c r="K2053" s="8">
        <f t="shared" si="224"/>
        <v>-0.78164615384775971</v>
      </c>
      <c r="L2053" s="8">
        <f t="shared" si="225"/>
        <v>-6.012662721905844E-2</v>
      </c>
      <c r="M2053" s="8">
        <f t="shared" si="226"/>
        <v>-0.92093123077029304</v>
      </c>
      <c r="N2053" s="8">
        <f t="shared" si="227"/>
        <v>-7.0840863905407156E-2</v>
      </c>
      <c r="O2053" s="8"/>
      <c r="P2053" t="s">
        <v>2339</v>
      </c>
      <c r="Q2053">
        <v>36</v>
      </c>
      <c r="R2053" s="8">
        <v>2.8346800000000001</v>
      </c>
      <c r="S2053">
        <v>17</v>
      </c>
      <c r="T2053" s="8">
        <f t="shared" si="228"/>
        <v>0.47222222222222221</v>
      </c>
      <c r="U2053" s="8">
        <v>2.8658299999999999</v>
      </c>
      <c r="V2053">
        <v>17</v>
      </c>
      <c r="W2053" s="8">
        <f t="shared" si="229"/>
        <v>0.47222222222222221</v>
      </c>
      <c r="X2053" s="8">
        <v>2.80674</v>
      </c>
      <c r="Y2053">
        <v>2</v>
      </c>
      <c r="Z2053" s="8">
        <f t="shared" si="230"/>
        <v>5.5555555555555552E-2</v>
      </c>
      <c r="AA2053" s="8">
        <v>2.80748</v>
      </c>
    </row>
    <row r="2054" spans="2:27" ht="15" customHeight="1" x14ac:dyDescent="0.25">
      <c r="B2054" s="1" t="s">
        <v>481</v>
      </c>
      <c r="C2054" s="8">
        <v>-12083.2292</v>
      </c>
      <c r="D2054" s="2">
        <v>-12085.002485999999</v>
      </c>
      <c r="F2054" s="3">
        <v>0.99723300000000004</v>
      </c>
      <c r="G2054" s="2">
        <v>0.19591</v>
      </c>
      <c r="H2054">
        <v>4</v>
      </c>
      <c r="I2054">
        <v>9</v>
      </c>
      <c r="K2054" s="8">
        <f t="shared" si="224"/>
        <v>-0.64254615384743374</v>
      </c>
      <c r="L2054" s="8">
        <f t="shared" si="225"/>
        <v>-4.9426627219033362E-2</v>
      </c>
      <c r="M2054" s="8">
        <f t="shared" si="226"/>
        <v>-0.83929323076881701</v>
      </c>
      <c r="N2054" s="8">
        <f t="shared" si="227"/>
        <v>-6.4561017751447458E-2</v>
      </c>
      <c r="O2054" s="8"/>
      <c r="P2054" t="s">
        <v>2340</v>
      </c>
      <c r="Q2054">
        <v>35</v>
      </c>
      <c r="R2054" s="8">
        <v>2.8276400000000002</v>
      </c>
      <c r="S2054">
        <v>17</v>
      </c>
      <c r="T2054" s="8">
        <f t="shared" si="228"/>
        <v>0.48571428571428571</v>
      </c>
      <c r="U2054" s="8">
        <v>2.8264399999999998</v>
      </c>
      <c r="V2054">
        <v>16</v>
      </c>
      <c r="W2054" s="8">
        <f t="shared" si="229"/>
        <v>0.45714285714285713</v>
      </c>
      <c r="X2054" s="8">
        <v>2.8297099999999999</v>
      </c>
      <c r="Y2054">
        <v>2</v>
      </c>
      <c r="Z2054" s="8">
        <f t="shared" si="230"/>
        <v>5.7142857142857141E-2</v>
      </c>
      <c r="AA2054" s="8">
        <v>2.8212999999999999</v>
      </c>
    </row>
    <row r="2055" spans="2:27" ht="15" customHeight="1" x14ac:dyDescent="0.25">
      <c r="B2055" s="1" t="s">
        <v>483</v>
      </c>
      <c r="C2055" s="8">
        <v>-12083.489100000001</v>
      </c>
      <c r="D2055" s="2">
        <v>-12085.200397000001</v>
      </c>
      <c r="F2055" s="3">
        <v>0.995452</v>
      </c>
      <c r="G2055" s="2">
        <v>0.18126999999999999</v>
      </c>
      <c r="H2055">
        <v>4</v>
      </c>
      <c r="I2055">
        <v>9</v>
      </c>
      <c r="K2055" s="8">
        <f t="shared" si="224"/>
        <v>-0.90244615384835924</v>
      </c>
      <c r="L2055" s="8">
        <f t="shared" si="225"/>
        <v>-6.9418934911412253E-2</v>
      </c>
      <c r="M2055" s="8">
        <f t="shared" si="226"/>
        <v>-1.0372042307699303</v>
      </c>
      <c r="N2055" s="8">
        <f t="shared" si="227"/>
        <v>-7.9784940828456177E-2</v>
      </c>
      <c r="O2055" s="8"/>
      <c r="P2055" t="s">
        <v>2341</v>
      </c>
      <c r="Q2055">
        <v>36</v>
      </c>
      <c r="R2055" s="8">
        <v>2.8358699999999999</v>
      </c>
      <c r="S2055">
        <v>17</v>
      </c>
      <c r="T2055" s="8">
        <f t="shared" si="228"/>
        <v>0.47222222222222221</v>
      </c>
      <c r="U2055" s="8">
        <v>2.8567499999999999</v>
      </c>
      <c r="V2055">
        <v>17</v>
      </c>
      <c r="W2055" s="8">
        <f t="shared" si="229"/>
        <v>0.47222222222222221</v>
      </c>
      <c r="X2055" s="8">
        <v>2.8253300000000001</v>
      </c>
      <c r="Y2055">
        <v>2</v>
      </c>
      <c r="Z2055" s="8">
        <f t="shared" si="230"/>
        <v>5.5555555555555552E-2</v>
      </c>
      <c r="AA2055" s="8">
        <v>2.7480000000000002</v>
      </c>
    </row>
    <row r="2056" spans="2:27" ht="15" customHeight="1" x14ac:dyDescent="0.25">
      <c r="B2056" s="1" t="s">
        <v>485</v>
      </c>
      <c r="C2056" s="8">
        <v>-12083.326499999999</v>
      </c>
      <c r="D2056" s="2">
        <v>-12085.102046</v>
      </c>
      <c r="F2056" s="3">
        <v>0.99570499999999995</v>
      </c>
      <c r="G2056" s="2">
        <v>0.18934000000000001</v>
      </c>
      <c r="H2056">
        <v>4</v>
      </c>
      <c r="I2056">
        <v>9</v>
      </c>
      <c r="K2056" s="8">
        <f t="shared" si="224"/>
        <v>-0.73984615384688368</v>
      </c>
      <c r="L2056" s="8">
        <f t="shared" si="225"/>
        <v>-5.6911242603606436E-2</v>
      </c>
      <c r="M2056" s="8">
        <f t="shared" si="226"/>
        <v>-0.93885323076938221</v>
      </c>
      <c r="N2056" s="8">
        <f t="shared" si="227"/>
        <v>-7.2219479289952482E-2</v>
      </c>
      <c r="O2056" s="8"/>
      <c r="P2056" t="s">
        <v>2342</v>
      </c>
      <c r="Q2056">
        <v>34</v>
      </c>
      <c r="R2056" s="8">
        <v>2.8170600000000001</v>
      </c>
      <c r="S2056">
        <v>16</v>
      </c>
      <c r="T2056" s="8">
        <f t="shared" si="228"/>
        <v>0.47058823529411764</v>
      </c>
      <c r="U2056" s="8">
        <v>2.8310300000000002</v>
      </c>
      <c r="V2056">
        <v>17</v>
      </c>
      <c r="W2056" s="8">
        <f t="shared" si="229"/>
        <v>0.5</v>
      </c>
      <c r="X2056" s="8">
        <v>2.8073999999999999</v>
      </c>
      <c r="Y2056">
        <v>1</v>
      </c>
      <c r="Z2056" s="8">
        <f t="shared" si="230"/>
        <v>2.9411764705882353E-2</v>
      </c>
      <c r="AA2056" s="8">
        <v>2.7576900000000002</v>
      </c>
    </row>
    <row r="2057" spans="2:27" ht="15" customHeight="1" x14ac:dyDescent="0.25">
      <c r="B2057" s="1" t="s">
        <v>487</v>
      </c>
      <c r="C2057" s="8">
        <v>-12082.945100000001</v>
      </c>
      <c r="D2057" s="2">
        <v>-12084.446325999999</v>
      </c>
      <c r="F2057" s="3">
        <v>0.99565099999999995</v>
      </c>
      <c r="G2057" s="2">
        <v>0.112759999999999</v>
      </c>
      <c r="H2057">
        <v>4</v>
      </c>
      <c r="I2057">
        <v>9</v>
      </c>
      <c r="K2057" s="8">
        <f t="shared" si="224"/>
        <v>-0.35844615384849021</v>
      </c>
      <c r="L2057" s="8">
        <f t="shared" si="225"/>
        <v>-2.7572781065268479E-2</v>
      </c>
      <c r="M2057" s="8">
        <f t="shared" si="226"/>
        <v>-0.28313323076872621</v>
      </c>
      <c r="N2057" s="8">
        <f t="shared" si="227"/>
        <v>-2.1779479289902016E-2</v>
      </c>
      <c r="O2057" s="8"/>
      <c r="P2057" t="s">
        <v>2343</v>
      </c>
      <c r="Q2057">
        <v>36</v>
      </c>
      <c r="R2057" s="8">
        <v>2.8278799999999999</v>
      </c>
      <c r="S2057">
        <v>18</v>
      </c>
      <c r="T2057" s="8">
        <f t="shared" si="228"/>
        <v>0.5</v>
      </c>
      <c r="U2057" s="8">
        <v>2.8527</v>
      </c>
      <c r="V2057">
        <v>16</v>
      </c>
      <c r="W2057" s="8">
        <f t="shared" si="229"/>
        <v>0.44444444444444442</v>
      </c>
      <c r="X2057" s="8">
        <v>2.7882799999999999</v>
      </c>
      <c r="Y2057">
        <v>2</v>
      </c>
      <c r="Z2057" s="8">
        <f t="shared" si="230"/>
        <v>5.5555555555555552E-2</v>
      </c>
      <c r="AA2057" s="8">
        <v>2.9212500000000001</v>
      </c>
    </row>
    <row r="2058" spans="2:27" ht="15" customHeight="1" x14ac:dyDescent="0.25">
      <c r="B2058" s="1" t="s">
        <v>489</v>
      </c>
      <c r="C2058" s="8">
        <v>-12083.1052</v>
      </c>
      <c r="D2058" s="2">
        <v>-12085.224477</v>
      </c>
      <c r="F2058" s="3">
        <v>0.99624999999999997</v>
      </c>
      <c r="G2058" s="2">
        <v>0.18937000000000001</v>
      </c>
      <c r="H2058">
        <v>4</v>
      </c>
      <c r="I2058">
        <v>9</v>
      </c>
      <c r="K2058" s="8">
        <f t="shared" si="224"/>
        <v>-0.51854615384763747</v>
      </c>
      <c r="L2058" s="8">
        <f t="shared" si="225"/>
        <v>-3.9888165680587499E-2</v>
      </c>
      <c r="M2058" s="8">
        <f t="shared" si="226"/>
        <v>-1.0612842307691608</v>
      </c>
      <c r="N2058" s="8">
        <f t="shared" si="227"/>
        <v>-8.1637248520704669E-2</v>
      </c>
      <c r="O2058" s="8"/>
      <c r="P2058" t="s">
        <v>2344</v>
      </c>
      <c r="Q2058">
        <v>36</v>
      </c>
      <c r="R2058" s="8">
        <v>2.8326600000000002</v>
      </c>
      <c r="S2058">
        <v>17</v>
      </c>
      <c r="T2058" s="8">
        <f t="shared" si="228"/>
        <v>0.47222222222222221</v>
      </c>
      <c r="U2058" s="8">
        <v>2.85507</v>
      </c>
      <c r="V2058">
        <v>17</v>
      </c>
      <c r="W2058" s="8">
        <f t="shared" si="229"/>
        <v>0.47222222222222221</v>
      </c>
      <c r="X2058" s="8">
        <v>2.8065199999999999</v>
      </c>
      <c r="Y2058">
        <v>2</v>
      </c>
      <c r="Z2058" s="8">
        <f t="shared" si="230"/>
        <v>5.5555555555555552E-2</v>
      </c>
      <c r="AA2058" s="8">
        <v>2.8644799999999999</v>
      </c>
    </row>
    <row r="2059" spans="2:27" ht="15" customHeight="1" x14ac:dyDescent="0.25">
      <c r="B2059" s="8" t="s">
        <v>491</v>
      </c>
      <c r="C2059" s="8">
        <v>-12083.218000000001</v>
      </c>
      <c r="D2059" s="2">
        <v>-12085.373293000001</v>
      </c>
      <c r="F2059" s="3">
        <v>0.99892400000000003</v>
      </c>
      <c r="G2059" s="2">
        <v>0.22272999999999901</v>
      </c>
      <c r="H2059">
        <v>4</v>
      </c>
      <c r="I2059">
        <v>9</v>
      </c>
      <c r="K2059" s="8">
        <f t="shared" si="224"/>
        <v>-0.63134615384842618</v>
      </c>
      <c r="L2059" s="8">
        <f t="shared" si="225"/>
        <v>-4.8565088757571248E-2</v>
      </c>
      <c r="M2059" s="8">
        <f t="shared" si="226"/>
        <v>-1.2101002307699673</v>
      </c>
      <c r="N2059" s="8">
        <f t="shared" si="227"/>
        <v>-9.3084633136151326E-2</v>
      </c>
      <c r="O2059" s="8"/>
      <c r="P2059" t="s">
        <v>2345</v>
      </c>
      <c r="Q2059">
        <v>36</v>
      </c>
      <c r="R2059" s="8">
        <v>2.8311700000000002</v>
      </c>
      <c r="S2059">
        <v>17</v>
      </c>
      <c r="T2059" s="8">
        <f t="shared" si="228"/>
        <v>0.47222222222222221</v>
      </c>
      <c r="U2059" s="8">
        <v>2.84382</v>
      </c>
      <c r="V2059">
        <v>17</v>
      </c>
      <c r="W2059" s="8">
        <f t="shared" si="229"/>
        <v>0.47222222222222221</v>
      </c>
      <c r="X2059" s="8">
        <v>2.8079399999999999</v>
      </c>
      <c r="Y2059">
        <v>2</v>
      </c>
      <c r="Z2059" s="8">
        <f t="shared" si="230"/>
        <v>5.5555555555555552E-2</v>
      </c>
      <c r="AA2059" s="8">
        <v>2.9211399999999998</v>
      </c>
    </row>
    <row r="2060" spans="2:27" ht="15" customHeight="1" x14ac:dyDescent="0.25">
      <c r="B2060" s="8" t="s">
        <v>493</v>
      </c>
      <c r="C2060" s="8">
        <v>-12083.2508</v>
      </c>
      <c r="D2060" s="2">
        <v>-12085.374776000001</v>
      </c>
      <c r="F2060" s="3">
        <v>0.99700299999999997</v>
      </c>
      <c r="G2060" s="2">
        <v>0.19006000000000001</v>
      </c>
      <c r="H2060">
        <v>4</v>
      </c>
      <c r="I2060">
        <v>9</v>
      </c>
      <c r="K2060" s="8">
        <f t="shared" si="224"/>
        <v>-0.66414615384746867</v>
      </c>
      <c r="L2060" s="8">
        <f t="shared" si="225"/>
        <v>-5.1088165680574511E-2</v>
      </c>
      <c r="M2060" s="8">
        <f t="shared" si="226"/>
        <v>-1.2115832307699748</v>
      </c>
      <c r="N2060" s="8">
        <f t="shared" si="227"/>
        <v>-9.3198710059228834E-2</v>
      </c>
      <c r="O2060" s="8"/>
      <c r="P2060" t="s">
        <v>2346</v>
      </c>
      <c r="Q2060">
        <v>36</v>
      </c>
      <c r="R2060" s="8">
        <v>2.8329800000000001</v>
      </c>
      <c r="S2060">
        <v>17</v>
      </c>
      <c r="T2060" s="8">
        <f t="shared" si="228"/>
        <v>0.47222222222222221</v>
      </c>
      <c r="U2060" s="8">
        <v>2.8468800000000001</v>
      </c>
      <c r="V2060">
        <v>17</v>
      </c>
      <c r="W2060" s="8">
        <f t="shared" si="229"/>
        <v>0.47222222222222221</v>
      </c>
      <c r="X2060" s="8">
        <v>2.8117899999999998</v>
      </c>
      <c r="Y2060">
        <v>2</v>
      </c>
      <c r="Z2060" s="8">
        <f t="shared" si="230"/>
        <v>5.5555555555555552E-2</v>
      </c>
      <c r="AA2060" s="8">
        <v>2.8950300000000002</v>
      </c>
    </row>
    <row r="2061" spans="2:27" ht="15" customHeight="1" x14ac:dyDescent="0.25">
      <c r="B2061" s="8" t="s">
        <v>495</v>
      </c>
      <c r="C2061" s="8">
        <v>-12083.358700000001</v>
      </c>
      <c r="D2061" s="2">
        <v>-12085.628613999999</v>
      </c>
      <c r="F2061" s="3">
        <v>0.995452</v>
      </c>
      <c r="G2061" s="2">
        <v>0.17829999999999899</v>
      </c>
      <c r="H2061">
        <v>4</v>
      </c>
      <c r="I2061">
        <v>9</v>
      </c>
      <c r="K2061" s="8">
        <f t="shared" si="224"/>
        <v>-0.77204615384835051</v>
      </c>
      <c r="L2061" s="8">
        <f t="shared" si="225"/>
        <v>-5.9388165680642348E-2</v>
      </c>
      <c r="M2061" s="8">
        <f t="shared" si="226"/>
        <v>-1.4654212307686976</v>
      </c>
      <c r="N2061" s="8">
        <f t="shared" si="227"/>
        <v>-0.11272471005913058</v>
      </c>
      <c r="O2061" s="8"/>
      <c r="P2061" t="s">
        <v>2347</v>
      </c>
      <c r="Q2061">
        <v>36</v>
      </c>
      <c r="R2061" s="8">
        <v>2.8337500000000002</v>
      </c>
      <c r="S2061">
        <v>16</v>
      </c>
      <c r="T2061" s="8">
        <f t="shared" si="228"/>
        <v>0.44444444444444442</v>
      </c>
      <c r="U2061" s="8">
        <v>2.8643100000000001</v>
      </c>
      <c r="V2061">
        <v>19</v>
      </c>
      <c r="W2061" s="8">
        <f t="shared" si="229"/>
        <v>0.52777777777777779</v>
      </c>
      <c r="X2061" s="8">
        <v>2.8026900000000001</v>
      </c>
      <c r="Y2061">
        <v>1</v>
      </c>
      <c r="Z2061" s="8">
        <f t="shared" si="230"/>
        <v>2.7777777777777776E-2</v>
      </c>
      <c r="AA2061" s="8">
        <v>2.93506</v>
      </c>
    </row>
    <row r="2062" spans="2:27" ht="15" customHeight="1" x14ac:dyDescent="0.25">
      <c r="B2062" s="1" t="s">
        <v>497</v>
      </c>
      <c r="C2062" s="8">
        <v>-12082.916999999999</v>
      </c>
      <c r="D2062" s="2">
        <v>-12084.996265</v>
      </c>
      <c r="F2062" s="3">
        <v>0.99853800000000004</v>
      </c>
      <c r="G2062" s="2">
        <v>0.22231999999999899</v>
      </c>
      <c r="H2062">
        <v>4</v>
      </c>
      <c r="I2062">
        <v>9</v>
      </c>
      <c r="K2062" s="8">
        <f t="shared" si="224"/>
        <v>-0.33034615384713106</v>
      </c>
      <c r="L2062" s="8">
        <f t="shared" si="225"/>
        <v>-2.5411242603625466E-2</v>
      </c>
      <c r="M2062" s="8">
        <f t="shared" si="226"/>
        <v>-0.8330722307691758</v>
      </c>
      <c r="N2062" s="8">
        <f t="shared" si="227"/>
        <v>-6.40824792899366E-2</v>
      </c>
      <c r="O2062" s="8"/>
      <c r="P2062" t="s">
        <v>2348</v>
      </c>
      <c r="Q2062">
        <v>36</v>
      </c>
      <c r="R2062" s="8">
        <v>2.83012</v>
      </c>
      <c r="S2062">
        <v>20</v>
      </c>
      <c r="T2062" s="8">
        <f t="shared" si="228"/>
        <v>0.55555555555555558</v>
      </c>
      <c r="U2062" s="8">
        <v>2.8461400000000001</v>
      </c>
      <c r="V2062">
        <v>13</v>
      </c>
      <c r="W2062" s="8">
        <f t="shared" si="229"/>
        <v>0.3611111111111111</v>
      </c>
      <c r="X2062" s="8">
        <v>2.7959499999999999</v>
      </c>
      <c r="Y2062">
        <v>3</v>
      </c>
      <c r="Z2062" s="8">
        <f t="shared" si="230"/>
        <v>8.3333333333333329E-2</v>
      </c>
      <c r="AA2062" s="8">
        <v>2.8714499999999998</v>
      </c>
    </row>
    <row r="2063" spans="2:27" ht="15" customHeight="1" x14ac:dyDescent="0.25">
      <c r="B2063" s="1" t="s">
        <v>499</v>
      </c>
      <c r="C2063" s="8">
        <v>-12083.0391</v>
      </c>
      <c r="D2063" s="2">
        <v>-12084.805205000001</v>
      </c>
      <c r="F2063" s="3">
        <v>0.99570199999999998</v>
      </c>
      <c r="G2063" s="2">
        <v>0.184029999999999</v>
      </c>
      <c r="H2063">
        <v>4</v>
      </c>
      <c r="I2063">
        <v>9</v>
      </c>
      <c r="K2063" s="8">
        <f t="shared" si="224"/>
        <v>-0.45244615384763165</v>
      </c>
      <c r="L2063" s="8">
        <f t="shared" si="225"/>
        <v>-3.4803550295971666E-2</v>
      </c>
      <c r="M2063" s="8">
        <f t="shared" si="226"/>
        <v>-0.64201223076997849</v>
      </c>
      <c r="N2063" s="8">
        <f t="shared" si="227"/>
        <v>-4.938555621307527E-2</v>
      </c>
      <c r="O2063" s="8"/>
      <c r="P2063" t="s">
        <v>2349</v>
      </c>
      <c r="Q2063">
        <v>36</v>
      </c>
      <c r="R2063" s="8">
        <v>2.8323399999999999</v>
      </c>
      <c r="S2063">
        <v>19</v>
      </c>
      <c r="T2063" s="8">
        <f t="shared" si="228"/>
        <v>0.52777777777777779</v>
      </c>
      <c r="U2063" s="8">
        <v>2.8514900000000001</v>
      </c>
      <c r="V2063">
        <v>15</v>
      </c>
      <c r="W2063" s="8">
        <f t="shared" si="229"/>
        <v>0.41666666666666669</v>
      </c>
      <c r="X2063" s="8">
        <v>2.7898900000000002</v>
      </c>
      <c r="Y2063">
        <v>2</v>
      </c>
      <c r="Z2063" s="8">
        <f t="shared" si="230"/>
        <v>5.5555555555555552E-2</v>
      </c>
      <c r="AA2063" s="8">
        <v>2.9688400000000001</v>
      </c>
    </row>
    <row r="2064" spans="2:27" ht="15" customHeight="1" x14ac:dyDescent="0.25">
      <c r="B2064" s="1" t="s">
        <v>501</v>
      </c>
      <c r="C2064" s="8">
        <v>-12083.3377</v>
      </c>
      <c r="D2064" s="2">
        <v>-12085.356196000001</v>
      </c>
      <c r="F2064" s="3">
        <v>0.99136100000000005</v>
      </c>
      <c r="G2064" s="2">
        <v>0.16366</v>
      </c>
      <c r="H2064">
        <v>4</v>
      </c>
      <c r="I2064">
        <v>9</v>
      </c>
      <c r="K2064" s="8">
        <f t="shared" si="224"/>
        <v>-0.75104615384771023</v>
      </c>
      <c r="L2064" s="8">
        <f t="shared" si="225"/>
        <v>-5.777278106520848E-2</v>
      </c>
      <c r="M2064" s="8">
        <f t="shared" si="226"/>
        <v>-1.1930032307700458</v>
      </c>
      <c r="N2064" s="8">
        <f t="shared" si="227"/>
        <v>-9.1769479290003522E-2</v>
      </c>
      <c r="O2064" s="8"/>
      <c r="P2064" t="s">
        <v>2350</v>
      </c>
      <c r="Q2064">
        <v>35</v>
      </c>
      <c r="R2064" s="8">
        <v>2.8275800000000002</v>
      </c>
      <c r="S2064">
        <v>19</v>
      </c>
      <c r="T2064" s="8">
        <f t="shared" si="228"/>
        <v>0.54285714285714282</v>
      </c>
      <c r="U2064" s="8">
        <v>2.8407300000000002</v>
      </c>
      <c r="V2064">
        <v>13</v>
      </c>
      <c r="W2064" s="8">
        <f t="shared" si="229"/>
        <v>0.37142857142857144</v>
      </c>
      <c r="X2064" s="8">
        <v>2.8088799999999998</v>
      </c>
      <c r="Y2064">
        <v>3</v>
      </c>
      <c r="Z2064" s="8">
        <f t="shared" si="230"/>
        <v>8.5714285714285715E-2</v>
      </c>
      <c r="AA2064" s="8">
        <v>2.8253499999999998</v>
      </c>
    </row>
    <row r="2065" spans="2:27" ht="15" customHeight="1" x14ac:dyDescent="0.25">
      <c r="B2065" s="1" t="s">
        <v>503</v>
      </c>
      <c r="C2065" s="8">
        <v>-12083.098599999999</v>
      </c>
      <c r="D2065" s="2">
        <v>-12085.062962</v>
      </c>
      <c r="F2065" s="3">
        <v>0.99453999999999998</v>
      </c>
      <c r="G2065" s="2">
        <v>0.177009999999999</v>
      </c>
      <c r="H2065">
        <v>4</v>
      </c>
      <c r="I2065">
        <v>9</v>
      </c>
      <c r="K2065" s="8">
        <f t="shared" si="224"/>
        <v>-0.51194615384702047</v>
      </c>
      <c r="L2065" s="8">
        <f t="shared" si="225"/>
        <v>-3.9380473372847731E-2</v>
      </c>
      <c r="M2065" s="8">
        <f t="shared" si="226"/>
        <v>-0.89976923076937965</v>
      </c>
      <c r="N2065" s="8">
        <f t="shared" si="227"/>
        <v>-6.9213017751490746E-2</v>
      </c>
      <c r="O2065" s="8"/>
      <c r="P2065" t="s">
        <v>2351</v>
      </c>
      <c r="Q2065">
        <v>36</v>
      </c>
      <c r="R2065" s="8">
        <v>2.8338999999999999</v>
      </c>
      <c r="S2065">
        <v>18</v>
      </c>
      <c r="T2065" s="8">
        <f t="shared" si="228"/>
        <v>0.5</v>
      </c>
      <c r="U2065" s="8">
        <v>2.84</v>
      </c>
      <c r="V2065">
        <v>14</v>
      </c>
      <c r="W2065" s="8">
        <f t="shared" si="229"/>
        <v>0.3888888888888889</v>
      </c>
      <c r="X2065" s="8">
        <v>2.8285800000000001</v>
      </c>
      <c r="Y2065">
        <v>4</v>
      </c>
      <c r="Z2065" s="8">
        <f t="shared" si="230"/>
        <v>0.1111111111111111</v>
      </c>
      <c r="AA2065" s="8">
        <v>2.8250999999999999</v>
      </c>
    </row>
    <row r="2066" spans="2:27" ht="15" customHeight="1" x14ac:dyDescent="0.25">
      <c r="B2066" s="1" t="s">
        <v>505</v>
      </c>
      <c r="C2066" s="8">
        <v>-12083.2716</v>
      </c>
      <c r="D2066" s="2">
        <v>-12085.539231000001</v>
      </c>
      <c r="F2066" s="3">
        <v>-0.99836499999999995</v>
      </c>
      <c r="G2066" s="2">
        <v>0.21357999999999899</v>
      </c>
      <c r="H2066">
        <v>4</v>
      </c>
      <c r="I2066">
        <v>9</v>
      </c>
      <c r="K2066" s="8">
        <f t="shared" si="224"/>
        <v>-0.68494615384770441</v>
      </c>
      <c r="L2066" s="8">
        <f t="shared" si="225"/>
        <v>-5.2688165680592647E-2</v>
      </c>
      <c r="M2066" s="8">
        <f t="shared" si="226"/>
        <v>-1.3760382307700638</v>
      </c>
      <c r="N2066" s="8">
        <f t="shared" si="227"/>
        <v>-0.10584909467462029</v>
      </c>
      <c r="O2066" s="8"/>
      <c r="P2066" t="s">
        <v>2352</v>
      </c>
      <c r="Q2066">
        <v>36</v>
      </c>
      <c r="R2066" s="8">
        <v>2.8368899999999999</v>
      </c>
      <c r="S2066">
        <v>16</v>
      </c>
      <c r="T2066" s="8">
        <f t="shared" si="228"/>
        <v>0.44444444444444442</v>
      </c>
      <c r="U2066" s="8">
        <v>2.84585</v>
      </c>
      <c r="V2066">
        <v>18</v>
      </c>
      <c r="W2066" s="8">
        <f t="shared" si="229"/>
        <v>0.5</v>
      </c>
      <c r="X2066" s="8">
        <v>2.82029</v>
      </c>
      <c r="Y2066">
        <v>2</v>
      </c>
      <c r="Z2066" s="8">
        <f t="shared" si="230"/>
        <v>5.5555555555555552E-2</v>
      </c>
      <c r="AA2066" s="8">
        <v>2.9146100000000001</v>
      </c>
    </row>
    <row r="2067" spans="2:27" ht="15" customHeight="1" x14ac:dyDescent="0.25">
      <c r="B2067" s="1" t="s">
        <v>507</v>
      </c>
      <c r="C2067" s="8">
        <v>-12082.842199999999</v>
      </c>
      <c r="D2067" s="2">
        <v>-12084.795502999999</v>
      </c>
      <c r="F2067" s="3">
        <v>0.99339299999999997</v>
      </c>
      <c r="G2067" s="2">
        <v>0.16841</v>
      </c>
      <c r="H2067">
        <v>4</v>
      </c>
      <c r="I2067">
        <v>9</v>
      </c>
      <c r="K2067" s="8">
        <f t="shared" si="224"/>
        <v>-0.25554615384680801</v>
      </c>
      <c r="L2067" s="8">
        <f t="shared" si="225"/>
        <v>-1.9657396449754463E-2</v>
      </c>
      <c r="M2067" s="8">
        <f t="shared" si="226"/>
        <v>-0.63231023076878046</v>
      </c>
      <c r="N2067" s="8">
        <f t="shared" si="227"/>
        <v>-4.8639248520675422E-2</v>
      </c>
      <c r="O2067" s="8"/>
      <c r="P2067" t="s">
        <v>2353</v>
      </c>
      <c r="Q2067">
        <v>35</v>
      </c>
      <c r="R2067" s="8">
        <v>2.82267</v>
      </c>
      <c r="S2067">
        <v>19</v>
      </c>
      <c r="T2067" s="8">
        <f t="shared" si="228"/>
        <v>0.54285714285714282</v>
      </c>
      <c r="U2067" s="8">
        <v>2.8158599999999998</v>
      </c>
      <c r="V2067">
        <v>11</v>
      </c>
      <c r="W2067" s="8">
        <f t="shared" si="229"/>
        <v>0.31428571428571428</v>
      </c>
      <c r="X2067" s="8">
        <v>2.8172199999999998</v>
      </c>
      <c r="Y2067">
        <v>5</v>
      </c>
      <c r="Z2067" s="8">
        <f t="shared" si="230"/>
        <v>0.14285714285714285</v>
      </c>
      <c r="AA2067" s="8">
        <v>2.8605299999999998</v>
      </c>
    </row>
    <row r="2068" spans="2:27" ht="15" customHeight="1" x14ac:dyDescent="0.25">
      <c r="B2068" s="1" t="s">
        <v>509</v>
      </c>
      <c r="C2068" s="8">
        <v>-12083.226000000001</v>
      </c>
      <c r="D2068" s="2">
        <v>-12085.039581000001</v>
      </c>
      <c r="F2068" s="3">
        <v>0.989788</v>
      </c>
      <c r="G2068" s="2">
        <v>0.15889</v>
      </c>
      <c r="H2068">
        <v>4</v>
      </c>
      <c r="I2068">
        <v>9</v>
      </c>
      <c r="K2068" s="8">
        <f t="shared" si="224"/>
        <v>-0.63934615384823701</v>
      </c>
      <c r="L2068" s="8">
        <f t="shared" si="225"/>
        <v>-4.9180473372941305E-2</v>
      </c>
      <c r="M2068" s="8">
        <f t="shared" si="226"/>
        <v>-0.87638823077031702</v>
      </c>
      <c r="N2068" s="8">
        <f t="shared" si="227"/>
        <v>-6.7414479290024393E-2</v>
      </c>
      <c r="O2068" s="8"/>
      <c r="P2068" t="s">
        <v>2354</v>
      </c>
      <c r="Q2068">
        <v>36</v>
      </c>
      <c r="R2068" s="8">
        <v>2.8369399999999998</v>
      </c>
      <c r="S2068">
        <v>18</v>
      </c>
      <c r="T2068" s="8">
        <f t="shared" si="228"/>
        <v>0.5</v>
      </c>
      <c r="U2068" s="8">
        <v>2.86009</v>
      </c>
      <c r="V2068">
        <v>16</v>
      </c>
      <c r="W2068" s="8">
        <f t="shared" si="229"/>
        <v>0.44444444444444442</v>
      </c>
      <c r="X2068" s="8">
        <v>2.7952300000000001</v>
      </c>
      <c r="Y2068">
        <v>2</v>
      </c>
      <c r="Z2068" s="8">
        <f t="shared" si="230"/>
        <v>5.5555555555555552E-2</v>
      </c>
      <c r="AA2068" s="8">
        <v>2.9623400000000002</v>
      </c>
    </row>
    <row r="2069" spans="2:27" ht="15" customHeight="1" x14ac:dyDescent="0.25">
      <c r="B2069" s="1" t="s">
        <v>511</v>
      </c>
      <c r="C2069" s="8">
        <v>-12083.441914999999</v>
      </c>
      <c r="D2069" s="2">
        <v>-12084.916918000001</v>
      </c>
      <c r="F2069" s="3">
        <v>0.99684399999999995</v>
      </c>
      <c r="G2069" s="2">
        <v>0.19225</v>
      </c>
      <c r="H2069">
        <v>4</v>
      </c>
      <c r="I2069">
        <v>9</v>
      </c>
      <c r="K2069" s="8">
        <f t="shared" si="224"/>
        <v>-0.85526115384709556</v>
      </c>
      <c r="L2069" s="8">
        <f t="shared" si="225"/>
        <v>-6.5789319526699655E-2</v>
      </c>
      <c r="M2069" s="8">
        <f t="shared" si="226"/>
        <v>-0.75372523077021469</v>
      </c>
      <c r="N2069" s="8">
        <f t="shared" si="227"/>
        <v>-5.7978863905401128E-2</v>
      </c>
      <c r="O2069" s="8"/>
      <c r="P2069" t="s">
        <v>2355</v>
      </c>
      <c r="Q2069">
        <v>36</v>
      </c>
      <c r="R2069" s="8">
        <v>2.8367599999999999</v>
      </c>
      <c r="S2069">
        <v>16</v>
      </c>
      <c r="T2069" s="8">
        <f t="shared" si="228"/>
        <v>0.44444444444444442</v>
      </c>
      <c r="U2069" s="8">
        <v>2.85744</v>
      </c>
      <c r="V2069">
        <v>18</v>
      </c>
      <c r="W2069" s="8">
        <f t="shared" si="229"/>
        <v>0.5</v>
      </c>
      <c r="X2069" s="8">
        <v>2.8107099999999998</v>
      </c>
      <c r="Y2069">
        <v>2</v>
      </c>
      <c r="Z2069" s="8">
        <f t="shared" si="230"/>
        <v>5.5555555555555552E-2</v>
      </c>
      <c r="AA2069" s="8">
        <v>2.9058700000000002</v>
      </c>
    </row>
    <row r="2070" spans="2:27" ht="15" customHeight="1" x14ac:dyDescent="0.25">
      <c r="B2070" s="1" t="s">
        <v>513</v>
      </c>
      <c r="C2070" s="8">
        <v>-12083.126200000001</v>
      </c>
      <c r="D2070" s="2">
        <v>-12085.077396999999</v>
      </c>
      <c r="F2070" s="3">
        <v>0.996502</v>
      </c>
      <c r="G2070" s="2">
        <v>0.18664</v>
      </c>
      <c r="H2070">
        <v>4</v>
      </c>
      <c r="I2070">
        <v>9</v>
      </c>
      <c r="K2070" s="8">
        <f t="shared" si="224"/>
        <v>-0.53954615384827775</v>
      </c>
      <c r="L2070" s="8">
        <f t="shared" si="225"/>
        <v>-4.1503550296021367E-2</v>
      </c>
      <c r="M2070" s="8">
        <f t="shared" si="226"/>
        <v>-0.91420423076851876</v>
      </c>
      <c r="N2070" s="8">
        <f t="shared" si="227"/>
        <v>-7.0323402366809132E-2</v>
      </c>
      <c r="O2070" s="8"/>
      <c r="P2070" t="s">
        <v>2356</v>
      </c>
      <c r="Q2070">
        <v>36</v>
      </c>
      <c r="R2070" s="8">
        <v>2.8342999999999998</v>
      </c>
      <c r="S2070">
        <v>19</v>
      </c>
      <c r="T2070" s="8">
        <f t="shared" si="228"/>
        <v>0.52777777777777779</v>
      </c>
      <c r="U2070" s="8">
        <v>2.8526699999999998</v>
      </c>
      <c r="V2070">
        <v>14</v>
      </c>
      <c r="W2070" s="8">
        <f t="shared" si="229"/>
        <v>0.3888888888888889</v>
      </c>
      <c r="X2070" s="8">
        <v>2.7998699999999999</v>
      </c>
      <c r="Y2070">
        <v>3</v>
      </c>
      <c r="Z2070" s="8">
        <f t="shared" si="230"/>
        <v>8.3333333333333329E-2</v>
      </c>
      <c r="AA2070" s="8">
        <v>2.8785799999999999</v>
      </c>
    </row>
    <row r="2071" spans="2:27" ht="15" customHeight="1" x14ac:dyDescent="0.25">
      <c r="B2071" s="1" t="s">
        <v>515</v>
      </c>
      <c r="C2071" s="8">
        <v>-12083.291300000001</v>
      </c>
      <c r="D2071" s="2">
        <v>-12085.046487</v>
      </c>
      <c r="F2071" s="3">
        <v>0.99286300000000005</v>
      </c>
      <c r="G2071" s="2">
        <v>0.17197000000000001</v>
      </c>
      <c r="H2071">
        <v>4</v>
      </c>
      <c r="I2071">
        <v>9</v>
      </c>
      <c r="K2071" s="8">
        <f t="shared" si="224"/>
        <v>-0.70464615384844365</v>
      </c>
      <c r="L2071" s="8">
        <f t="shared" si="225"/>
        <v>-5.4203550296034124E-2</v>
      </c>
      <c r="M2071" s="8">
        <f t="shared" si="226"/>
        <v>-0.88329423076902458</v>
      </c>
      <c r="N2071" s="8">
        <f t="shared" si="227"/>
        <v>-6.7945710059155742E-2</v>
      </c>
      <c r="O2071" s="8"/>
      <c r="P2071" t="s">
        <v>2357</v>
      </c>
      <c r="Q2071">
        <v>36</v>
      </c>
      <c r="R2071" s="8">
        <v>2.8348599999999999</v>
      </c>
      <c r="S2071">
        <v>18</v>
      </c>
      <c r="T2071" s="8">
        <f t="shared" si="228"/>
        <v>0.5</v>
      </c>
      <c r="U2071" s="8">
        <v>2.8494199999999998</v>
      </c>
      <c r="V2071">
        <v>16</v>
      </c>
      <c r="W2071" s="8">
        <f t="shared" si="229"/>
        <v>0.44444444444444442</v>
      </c>
      <c r="X2071" s="8">
        <v>2.8060100000000001</v>
      </c>
      <c r="Y2071">
        <v>2</v>
      </c>
      <c r="Z2071" s="8">
        <f t="shared" si="230"/>
        <v>5.5555555555555552E-2</v>
      </c>
      <c r="AA2071" s="8">
        <v>2.9345699999999999</v>
      </c>
    </row>
    <row r="2072" spans="2:27" ht="15" customHeight="1" x14ac:dyDescent="0.25">
      <c r="B2072" s="1" t="s">
        <v>517</v>
      </c>
      <c r="C2072" s="8">
        <v>-12082.9337</v>
      </c>
      <c r="D2072" s="2">
        <v>-12084.499775</v>
      </c>
      <c r="F2072" s="3">
        <v>0.99340600000000001</v>
      </c>
      <c r="G2072" s="2">
        <v>0.16653999999999899</v>
      </c>
      <c r="H2072">
        <v>4</v>
      </c>
      <c r="I2072">
        <v>9</v>
      </c>
      <c r="K2072" s="8">
        <f t="shared" si="224"/>
        <v>-0.34704615384725912</v>
      </c>
      <c r="L2072" s="8">
        <f t="shared" si="225"/>
        <v>-2.66958579882507E-2</v>
      </c>
      <c r="M2072" s="8">
        <f t="shared" si="226"/>
        <v>-0.33658223076963623</v>
      </c>
      <c r="N2072" s="8">
        <f t="shared" si="227"/>
        <v>-2.5890940828433556E-2</v>
      </c>
      <c r="O2072" s="8"/>
      <c r="P2072" t="s">
        <v>2358</v>
      </c>
      <c r="Q2072">
        <v>36</v>
      </c>
      <c r="R2072" s="8">
        <v>2.8317700000000001</v>
      </c>
      <c r="S2072">
        <v>21</v>
      </c>
      <c r="T2072" s="8">
        <f t="shared" si="228"/>
        <v>0.58333333333333337</v>
      </c>
      <c r="U2072" s="8">
        <v>2.8492899999999999</v>
      </c>
      <c r="V2072">
        <v>12</v>
      </c>
      <c r="W2072" s="8">
        <f t="shared" si="229"/>
        <v>0.33333333333333331</v>
      </c>
      <c r="X2072" s="8">
        <v>2.7845200000000001</v>
      </c>
      <c r="Y2072">
        <v>3</v>
      </c>
      <c r="Z2072" s="8">
        <f t="shared" si="230"/>
        <v>8.3333333333333329E-2</v>
      </c>
      <c r="AA2072" s="8">
        <v>2.8980999999999999</v>
      </c>
    </row>
    <row r="2073" spans="2:27" ht="15" customHeight="1" x14ac:dyDescent="0.25">
      <c r="B2073" s="1" t="s">
        <v>519</v>
      </c>
      <c r="C2073" s="8">
        <v>-12083.2791</v>
      </c>
      <c r="D2073" s="2">
        <v>-12084.851344000001</v>
      </c>
      <c r="F2073" s="3">
        <v>0.99501499999999998</v>
      </c>
      <c r="G2073" s="2">
        <v>0.18461999999999901</v>
      </c>
      <c r="H2073">
        <v>4</v>
      </c>
      <c r="I2073">
        <v>9</v>
      </c>
      <c r="K2073" s="8">
        <f t="shared" si="224"/>
        <v>-0.69244615384741337</v>
      </c>
      <c r="L2073" s="8">
        <f t="shared" si="225"/>
        <v>-5.3265088757493334E-2</v>
      </c>
      <c r="M2073" s="8">
        <f t="shared" si="226"/>
        <v>-0.68815123077001772</v>
      </c>
      <c r="N2073" s="8">
        <f t="shared" si="227"/>
        <v>-5.2934710059232129E-2</v>
      </c>
      <c r="O2073" s="8"/>
      <c r="P2073" t="s">
        <v>2359</v>
      </c>
      <c r="Q2073">
        <v>36</v>
      </c>
      <c r="R2073" s="8">
        <v>2.8287300000000002</v>
      </c>
      <c r="S2073">
        <v>17</v>
      </c>
      <c r="T2073" s="8">
        <f t="shared" si="228"/>
        <v>0.47222222222222221</v>
      </c>
      <c r="U2073" s="8">
        <v>2.8270900000000001</v>
      </c>
      <c r="V2073">
        <v>16</v>
      </c>
      <c r="W2073" s="8">
        <f t="shared" si="229"/>
        <v>0.44444444444444442</v>
      </c>
      <c r="X2073" s="8">
        <v>2.8372999999999999</v>
      </c>
      <c r="Y2073">
        <v>3</v>
      </c>
      <c r="Z2073" s="8">
        <f t="shared" si="230"/>
        <v>8.3333333333333329E-2</v>
      </c>
      <c r="AA2073" s="8">
        <v>2.79236</v>
      </c>
    </row>
    <row r="2074" spans="2:27" ht="15" customHeight="1" x14ac:dyDescent="0.25">
      <c r="B2074" s="1" t="s">
        <v>521</v>
      </c>
      <c r="C2074" s="8">
        <v>-12083.433800000001</v>
      </c>
      <c r="D2074" s="2">
        <v>-12085.530580000001</v>
      </c>
      <c r="F2074" s="3">
        <v>0.99707199999999996</v>
      </c>
      <c r="G2074" s="2">
        <v>0.199879999999999</v>
      </c>
      <c r="H2074">
        <v>4</v>
      </c>
      <c r="I2074">
        <v>9</v>
      </c>
      <c r="K2074" s="8">
        <f t="shared" si="224"/>
        <v>-0.84714615384837089</v>
      </c>
      <c r="L2074" s="8">
        <f t="shared" si="225"/>
        <v>-6.5165088757566991E-2</v>
      </c>
      <c r="M2074" s="8">
        <f t="shared" si="226"/>
        <v>-1.3673872307699639</v>
      </c>
      <c r="N2074" s="8">
        <f t="shared" si="227"/>
        <v>-0.10518363313615108</v>
      </c>
      <c r="O2074" s="8"/>
      <c r="P2074" t="s">
        <v>2360</v>
      </c>
      <c r="Q2074">
        <v>36</v>
      </c>
      <c r="R2074" s="8">
        <v>2.8331200000000001</v>
      </c>
      <c r="S2074">
        <v>16</v>
      </c>
      <c r="T2074" s="8">
        <f t="shared" si="228"/>
        <v>0.44444444444444442</v>
      </c>
      <c r="U2074" s="8">
        <v>2.8384800000000001</v>
      </c>
      <c r="V2074">
        <v>18</v>
      </c>
      <c r="W2074" s="8">
        <f t="shared" si="229"/>
        <v>0.5</v>
      </c>
      <c r="X2074" s="8">
        <v>2.83134</v>
      </c>
      <c r="Y2074">
        <v>2</v>
      </c>
      <c r="Z2074" s="8">
        <f t="shared" si="230"/>
        <v>5.5555555555555552E-2</v>
      </c>
      <c r="AA2074" s="8">
        <v>2.8063500000000001</v>
      </c>
    </row>
    <row r="2075" spans="2:27" ht="15" customHeight="1" x14ac:dyDescent="0.25">
      <c r="B2075" s="1" t="s">
        <v>523</v>
      </c>
      <c r="C2075" s="8">
        <v>-12083.4512</v>
      </c>
      <c r="D2075" s="2">
        <v>-12085.495516999999</v>
      </c>
      <c r="F2075" s="3">
        <v>0.99637100000000001</v>
      </c>
      <c r="G2075" s="2">
        <v>0.1918</v>
      </c>
      <c r="H2075">
        <v>4</v>
      </c>
      <c r="I2075">
        <v>9</v>
      </c>
      <c r="K2075" s="8">
        <f t="shared" si="224"/>
        <v>-0.86454615384718636</v>
      </c>
      <c r="L2075" s="8">
        <f t="shared" si="225"/>
        <v>-6.6503550295937408E-2</v>
      </c>
      <c r="M2075" s="8">
        <f t="shared" si="226"/>
        <v>-1.3323242307687906</v>
      </c>
      <c r="N2075" s="8">
        <f t="shared" si="227"/>
        <v>-0.10248647928990696</v>
      </c>
      <c r="O2075" s="8"/>
      <c r="P2075" t="s">
        <v>2361</v>
      </c>
      <c r="Q2075">
        <v>35</v>
      </c>
      <c r="R2075" s="8">
        <v>2.8238799999999999</v>
      </c>
      <c r="S2075">
        <v>16</v>
      </c>
      <c r="T2075" s="8">
        <f t="shared" si="228"/>
        <v>0.45714285714285713</v>
      </c>
      <c r="U2075" s="8">
        <v>2.8541699999999999</v>
      </c>
      <c r="V2075">
        <v>18</v>
      </c>
      <c r="W2075" s="8">
        <f t="shared" si="229"/>
        <v>0.51428571428571423</v>
      </c>
      <c r="X2075" s="8">
        <v>2.7926299999999999</v>
      </c>
      <c r="Y2075">
        <v>1</v>
      </c>
      <c r="Z2075" s="8">
        <f t="shared" si="230"/>
        <v>2.8571428571428571E-2</v>
      </c>
      <c r="AA2075" s="8">
        <v>2.9018600000000001</v>
      </c>
    </row>
    <row r="2076" spans="2:27" ht="15" customHeight="1" x14ac:dyDescent="0.25">
      <c r="B2076" s="1" t="s">
        <v>525</v>
      </c>
      <c r="C2076" s="8">
        <v>-12083.0828</v>
      </c>
      <c r="D2076" s="2">
        <v>-12084.881821999999</v>
      </c>
      <c r="F2076" s="3">
        <v>0.99367300000000003</v>
      </c>
      <c r="G2076" s="2">
        <v>0.17408999999999999</v>
      </c>
      <c r="H2076">
        <v>4</v>
      </c>
      <c r="I2076">
        <v>9</v>
      </c>
      <c r="K2076" s="8">
        <f t="shared" si="224"/>
        <v>-0.49614615384780336</v>
      </c>
      <c r="L2076" s="8">
        <f t="shared" si="225"/>
        <v>-3.8165088757523336E-2</v>
      </c>
      <c r="M2076" s="8">
        <f t="shared" si="226"/>
        <v>-0.7186292307687836</v>
      </c>
      <c r="N2076" s="8">
        <f t="shared" si="227"/>
        <v>-5.5279171597598736E-2</v>
      </c>
      <c r="O2076" s="8"/>
      <c r="P2076" t="s">
        <v>2362</v>
      </c>
      <c r="Q2076">
        <v>36</v>
      </c>
      <c r="R2076" s="8">
        <v>2.8353000000000002</v>
      </c>
      <c r="S2076">
        <v>19</v>
      </c>
      <c r="T2076" s="8">
        <f t="shared" si="228"/>
        <v>0.52777777777777779</v>
      </c>
      <c r="U2076" s="8">
        <v>2.8498999999999999</v>
      </c>
      <c r="V2076">
        <v>14</v>
      </c>
      <c r="W2076" s="8">
        <f t="shared" si="229"/>
        <v>0.3888888888888889</v>
      </c>
      <c r="X2076" s="8">
        <v>2.8129599999999999</v>
      </c>
      <c r="Y2076">
        <v>3</v>
      </c>
      <c r="Z2076" s="8">
        <f t="shared" si="230"/>
        <v>8.3333333333333329E-2</v>
      </c>
      <c r="AA2076" s="8">
        <v>2.8471600000000001</v>
      </c>
    </row>
    <row r="2077" spans="2:27" ht="15" customHeight="1" x14ac:dyDescent="0.25">
      <c r="B2077" s="1" t="s">
        <v>527</v>
      </c>
      <c r="C2077" s="8">
        <v>-12083.2084</v>
      </c>
      <c r="D2077" s="2">
        <v>-12085.007781</v>
      </c>
      <c r="F2077" s="3">
        <v>0.98958100000000004</v>
      </c>
      <c r="G2077" s="2">
        <v>0.158749999999999</v>
      </c>
      <c r="H2077">
        <v>4</v>
      </c>
      <c r="I2077">
        <v>9</v>
      </c>
      <c r="K2077" s="8">
        <f t="shared" si="224"/>
        <v>-0.621746153847198</v>
      </c>
      <c r="L2077" s="8">
        <f t="shared" si="225"/>
        <v>-4.7826627219015233E-2</v>
      </c>
      <c r="M2077" s="8">
        <f t="shared" si="226"/>
        <v>-0.84458823076965928</v>
      </c>
      <c r="N2077" s="8">
        <f t="shared" si="227"/>
        <v>-6.4968325443819946E-2</v>
      </c>
      <c r="O2077" s="8"/>
      <c r="P2077" t="s">
        <v>2363</v>
      </c>
      <c r="Q2077">
        <v>35</v>
      </c>
      <c r="R2077" s="8">
        <v>2.8271799999999998</v>
      </c>
      <c r="S2077">
        <v>16</v>
      </c>
      <c r="T2077" s="8">
        <f t="shared" si="228"/>
        <v>0.45714285714285713</v>
      </c>
      <c r="U2077" s="8">
        <v>2.8251900000000001</v>
      </c>
      <c r="V2077">
        <v>17</v>
      </c>
      <c r="W2077" s="8">
        <f t="shared" si="229"/>
        <v>0.48571428571428571</v>
      </c>
      <c r="X2077" s="8">
        <v>2.8113000000000001</v>
      </c>
      <c r="Y2077">
        <v>2</v>
      </c>
      <c r="Z2077" s="8">
        <f t="shared" si="230"/>
        <v>5.7142857142857141E-2</v>
      </c>
      <c r="AA2077" s="8">
        <v>2.9781399999999998</v>
      </c>
    </row>
    <row r="2078" spans="2:27" ht="15" customHeight="1" x14ac:dyDescent="0.25">
      <c r="B2078" s="1" t="s">
        <v>529</v>
      </c>
      <c r="C2078" s="8">
        <v>-12083.613600000001</v>
      </c>
      <c r="D2078" s="2">
        <v>-12085.108547</v>
      </c>
      <c r="F2078" s="3">
        <v>0.997749</v>
      </c>
      <c r="G2078" s="2">
        <v>0.12417</v>
      </c>
      <c r="H2078">
        <v>4</v>
      </c>
      <c r="I2078">
        <v>9</v>
      </c>
      <c r="K2078" s="8">
        <f t="shared" si="224"/>
        <v>-1.0269461538482574</v>
      </c>
      <c r="L2078" s="8">
        <f t="shared" si="225"/>
        <v>-7.8995857988327492E-2</v>
      </c>
      <c r="M2078" s="8">
        <f t="shared" si="226"/>
        <v>-0.94535423076922598</v>
      </c>
      <c r="N2078" s="8">
        <f t="shared" si="227"/>
        <v>-7.2719556213017386E-2</v>
      </c>
      <c r="O2078" s="8"/>
      <c r="P2078" t="s">
        <v>2364</v>
      </c>
      <c r="Q2078">
        <v>36</v>
      </c>
      <c r="R2078" s="8">
        <v>2.8328899999999999</v>
      </c>
      <c r="S2078">
        <v>15</v>
      </c>
      <c r="T2078" s="8">
        <f t="shared" si="228"/>
        <v>0.41666666666666669</v>
      </c>
      <c r="U2078" s="8">
        <v>2.8520799999999999</v>
      </c>
      <c r="V2078">
        <v>20</v>
      </c>
      <c r="W2078" s="8">
        <f t="shared" si="229"/>
        <v>0.55555555555555558</v>
      </c>
      <c r="X2078" s="8">
        <v>2.82239</v>
      </c>
      <c r="Y2078">
        <v>1</v>
      </c>
      <c r="Z2078" s="8">
        <f t="shared" si="230"/>
        <v>2.7777777777777776E-2</v>
      </c>
      <c r="AA2078" s="8">
        <v>2.75508</v>
      </c>
    </row>
    <row r="2079" spans="2:27" ht="15" customHeight="1" x14ac:dyDescent="0.25">
      <c r="B2079" s="1" t="s">
        <v>531</v>
      </c>
      <c r="C2079" s="8">
        <v>-12083.294099999999</v>
      </c>
      <c r="D2079" s="2">
        <v>-12085.089809999999</v>
      </c>
      <c r="F2079" s="3">
        <v>0.99556500000000003</v>
      </c>
      <c r="G2079" s="2">
        <v>0.18840000000000001</v>
      </c>
      <c r="H2079">
        <v>4</v>
      </c>
      <c r="I2079">
        <v>9</v>
      </c>
      <c r="K2079" s="8">
        <f t="shared" si="224"/>
        <v>-0.70744615384683129</v>
      </c>
      <c r="L2079" s="8">
        <f t="shared" si="225"/>
        <v>-5.4418934911294715E-2</v>
      </c>
      <c r="M2079" s="8">
        <f t="shared" si="226"/>
        <v>-0.92661723076889757</v>
      </c>
      <c r="N2079" s="8">
        <f t="shared" si="227"/>
        <v>-7.1278248520684429E-2</v>
      </c>
      <c r="O2079" s="8"/>
      <c r="P2079" t="s">
        <v>2365</v>
      </c>
      <c r="Q2079">
        <v>35</v>
      </c>
      <c r="R2079" s="8">
        <v>2.8216100000000002</v>
      </c>
      <c r="S2079">
        <v>16</v>
      </c>
      <c r="T2079" s="8">
        <f t="shared" si="228"/>
        <v>0.45714285714285713</v>
      </c>
      <c r="U2079" s="8">
        <v>2.8216000000000001</v>
      </c>
      <c r="V2079">
        <v>17</v>
      </c>
      <c r="W2079" s="8">
        <f t="shared" si="229"/>
        <v>0.48571428571428571</v>
      </c>
      <c r="X2079" s="8">
        <v>2.81535</v>
      </c>
      <c r="Y2079">
        <v>2</v>
      </c>
      <c r="Z2079" s="8">
        <f t="shared" si="230"/>
        <v>5.7142857142857141E-2</v>
      </c>
      <c r="AA2079" s="8">
        <v>2.8748800000000001</v>
      </c>
    </row>
    <row r="2080" spans="2:27" ht="15" customHeight="1" x14ac:dyDescent="0.25">
      <c r="B2080" s="1" t="s">
        <v>533</v>
      </c>
      <c r="C2080" s="8">
        <v>-12083.3894</v>
      </c>
      <c r="D2080" s="2">
        <v>-12085.200203</v>
      </c>
      <c r="F2080" s="3">
        <v>0.99550000000000005</v>
      </c>
      <c r="G2080" s="2">
        <v>0.18589</v>
      </c>
      <c r="H2080">
        <v>4</v>
      </c>
      <c r="I2080">
        <v>9</v>
      </c>
      <c r="K2080" s="8">
        <f t="shared" si="224"/>
        <v>-0.80274615384769277</v>
      </c>
      <c r="L2080" s="8">
        <f t="shared" si="225"/>
        <v>-6.1749704142130213E-2</v>
      </c>
      <c r="M2080" s="8">
        <f t="shared" si="226"/>
        <v>-1.037010230769738</v>
      </c>
      <c r="N2080" s="8">
        <f t="shared" si="227"/>
        <v>-7.9770017751518305E-2</v>
      </c>
      <c r="O2080" s="8"/>
      <c r="P2080" t="s">
        <v>2366</v>
      </c>
      <c r="Q2080">
        <v>36</v>
      </c>
      <c r="R2080" s="8">
        <v>2.8338999999999999</v>
      </c>
      <c r="S2080">
        <v>17</v>
      </c>
      <c r="T2080" s="8">
        <f t="shared" si="228"/>
        <v>0.47222222222222221</v>
      </c>
      <c r="U2080" s="8">
        <v>2.86293</v>
      </c>
      <c r="V2080">
        <v>18</v>
      </c>
      <c r="W2080" s="8">
        <f t="shared" si="229"/>
        <v>0.5</v>
      </c>
      <c r="X2080" s="8">
        <v>2.8010999999999999</v>
      </c>
      <c r="Y2080">
        <v>1</v>
      </c>
      <c r="Z2080" s="8">
        <f t="shared" si="230"/>
        <v>2.7777777777777776E-2</v>
      </c>
      <c r="AA2080" s="8">
        <v>2.93072</v>
      </c>
    </row>
    <row r="2081" spans="2:27" ht="15" customHeight="1" x14ac:dyDescent="0.25">
      <c r="B2081" s="1" t="s">
        <v>535</v>
      </c>
      <c r="C2081" s="8">
        <v>-12083.0519</v>
      </c>
      <c r="D2081" s="2">
        <v>-12084.650401000001</v>
      </c>
      <c r="F2081" s="3">
        <v>0.99071299999999995</v>
      </c>
      <c r="G2081" s="2">
        <v>0.162219999999999</v>
      </c>
      <c r="H2081">
        <v>4</v>
      </c>
      <c r="I2081">
        <v>9</v>
      </c>
      <c r="K2081" s="8">
        <f t="shared" si="224"/>
        <v>-0.46524615384805657</v>
      </c>
      <c r="L2081" s="8">
        <f t="shared" si="225"/>
        <v>-3.5788165680619738E-2</v>
      </c>
      <c r="M2081" s="8">
        <f t="shared" si="226"/>
        <v>-0.48720823077019304</v>
      </c>
      <c r="N2081" s="8">
        <f t="shared" si="227"/>
        <v>-3.7477556213091776E-2</v>
      </c>
      <c r="O2081" s="8"/>
      <c r="P2081" t="s">
        <v>2367</v>
      </c>
      <c r="Q2081">
        <v>36</v>
      </c>
      <c r="R2081" s="8">
        <v>2.8313899999999999</v>
      </c>
      <c r="S2081">
        <v>20</v>
      </c>
      <c r="T2081" s="8">
        <f t="shared" si="228"/>
        <v>0.55555555555555558</v>
      </c>
      <c r="U2081" s="8">
        <v>2.8497499999999998</v>
      </c>
      <c r="V2081">
        <v>14</v>
      </c>
      <c r="W2081" s="8">
        <f t="shared" si="229"/>
        <v>0.3888888888888889</v>
      </c>
      <c r="X2081" s="8">
        <v>2.7813099999999999</v>
      </c>
      <c r="Y2081">
        <v>2</v>
      </c>
      <c r="Z2081" s="8">
        <f t="shared" si="230"/>
        <v>5.5555555555555552E-2</v>
      </c>
      <c r="AA2081" s="8">
        <v>2.99831</v>
      </c>
    </row>
    <row r="2082" spans="2:27" ht="15" customHeight="1" x14ac:dyDescent="0.25">
      <c r="B2082" s="1" t="s">
        <v>537</v>
      </c>
      <c r="C2082" s="8">
        <v>-12083.4177</v>
      </c>
      <c r="D2082" s="2">
        <v>-12085.405398999999</v>
      </c>
      <c r="F2082" s="3">
        <v>0.99585699999999999</v>
      </c>
      <c r="G2082" s="2">
        <v>0.19283999999999901</v>
      </c>
      <c r="H2082">
        <v>4</v>
      </c>
      <c r="I2082">
        <v>9</v>
      </c>
      <c r="K2082" s="8">
        <f t="shared" si="224"/>
        <v>-0.83104615384763747</v>
      </c>
      <c r="L2082" s="8">
        <f t="shared" si="225"/>
        <v>-6.3926627219049043E-2</v>
      </c>
      <c r="M2082" s="8">
        <f t="shared" si="226"/>
        <v>-1.2422062307687156</v>
      </c>
      <c r="N2082" s="8">
        <f t="shared" si="227"/>
        <v>-9.5554325443747354E-2</v>
      </c>
      <c r="O2082" s="8"/>
      <c r="P2082" t="s">
        <v>2368</v>
      </c>
      <c r="Q2082">
        <v>35</v>
      </c>
      <c r="R2082" s="8">
        <v>2.8218200000000002</v>
      </c>
      <c r="S2082">
        <v>16</v>
      </c>
      <c r="T2082" s="8">
        <f t="shared" si="228"/>
        <v>0.45714285714285713</v>
      </c>
      <c r="U2082" s="8">
        <v>2.8329599999999999</v>
      </c>
      <c r="V2082">
        <v>17</v>
      </c>
      <c r="W2082" s="8">
        <f t="shared" si="229"/>
        <v>0.48571428571428571</v>
      </c>
      <c r="X2082" s="8">
        <v>2.8116300000000001</v>
      </c>
      <c r="Y2082">
        <v>2</v>
      </c>
      <c r="Z2082" s="8">
        <f t="shared" si="230"/>
        <v>5.7142857142857141E-2</v>
      </c>
      <c r="AA2082" s="8">
        <v>2.8192499999999998</v>
      </c>
    </row>
    <row r="2083" spans="2:27" ht="15" customHeight="1" x14ac:dyDescent="0.25">
      <c r="B2083" s="1" t="s">
        <v>539</v>
      </c>
      <c r="C2083" s="8">
        <v>-12083.3462</v>
      </c>
      <c r="D2083" s="2">
        <v>-12085.351584</v>
      </c>
      <c r="F2083" s="3">
        <v>0.99221000000000004</v>
      </c>
      <c r="G2083" s="2">
        <v>0.16669999999999999</v>
      </c>
      <c r="H2083">
        <v>4</v>
      </c>
      <c r="I2083">
        <v>9</v>
      </c>
      <c r="K2083" s="8">
        <f t="shared" si="224"/>
        <v>-0.75954615384762292</v>
      </c>
      <c r="L2083" s="8">
        <f t="shared" si="225"/>
        <v>-5.8426627219047914E-2</v>
      </c>
      <c r="M2083" s="8">
        <f t="shared" si="226"/>
        <v>-1.1883912307694118</v>
      </c>
      <c r="N2083" s="8">
        <f t="shared" si="227"/>
        <v>-9.1414710059185528E-2</v>
      </c>
      <c r="O2083" s="8"/>
      <c r="P2083" t="s">
        <v>2369</v>
      </c>
      <c r="Q2083">
        <v>35</v>
      </c>
      <c r="R2083" s="8">
        <v>2.8230499999999998</v>
      </c>
      <c r="S2083">
        <v>16</v>
      </c>
      <c r="T2083" s="8">
        <f t="shared" si="228"/>
        <v>0.45714285714285713</v>
      </c>
      <c r="U2083" s="8">
        <v>2.8410799999999998</v>
      </c>
      <c r="V2083">
        <v>17</v>
      </c>
      <c r="W2083" s="8">
        <f t="shared" si="229"/>
        <v>0.48571428571428571</v>
      </c>
      <c r="X2083" s="8">
        <v>2.80504</v>
      </c>
      <c r="Y2083">
        <v>2</v>
      </c>
      <c r="Z2083" s="8">
        <f t="shared" si="230"/>
        <v>5.7142857142857141E-2</v>
      </c>
      <c r="AA2083" s="8">
        <v>2.83195</v>
      </c>
    </row>
    <row r="2084" spans="2:27" ht="15" customHeight="1" x14ac:dyDescent="0.25">
      <c r="B2084" s="1" t="s">
        <v>541</v>
      </c>
      <c r="C2084" s="8">
        <v>-12083.301600000001</v>
      </c>
      <c r="D2084" s="2">
        <v>-12085.401999</v>
      </c>
      <c r="F2084" s="3">
        <v>0.99695100000000003</v>
      </c>
      <c r="G2084" s="2">
        <v>0.19116</v>
      </c>
      <c r="H2084">
        <v>4</v>
      </c>
      <c r="I2084">
        <v>9</v>
      </c>
      <c r="K2084" s="8">
        <f t="shared" si="224"/>
        <v>-0.71494615384835924</v>
      </c>
      <c r="L2084" s="8">
        <f t="shared" si="225"/>
        <v>-5.4995857988335325E-2</v>
      </c>
      <c r="M2084" s="8">
        <f t="shared" si="226"/>
        <v>-1.2388062307691143</v>
      </c>
      <c r="N2084" s="8">
        <f t="shared" si="227"/>
        <v>-9.5292786982239558E-2</v>
      </c>
      <c r="O2084" s="8"/>
      <c r="P2084" t="s">
        <v>2370</v>
      </c>
      <c r="Q2084">
        <v>36</v>
      </c>
      <c r="R2084" s="8">
        <v>2.8285800000000001</v>
      </c>
      <c r="S2084">
        <v>16</v>
      </c>
      <c r="T2084" s="8">
        <f t="shared" si="228"/>
        <v>0.44444444444444442</v>
      </c>
      <c r="U2084" s="8">
        <v>2.8242500000000001</v>
      </c>
      <c r="V2084">
        <v>18</v>
      </c>
      <c r="W2084" s="8">
        <f t="shared" si="229"/>
        <v>0.5</v>
      </c>
      <c r="X2084" s="8">
        <v>2.8346900000000002</v>
      </c>
      <c r="Y2084">
        <v>2</v>
      </c>
      <c r="Z2084" s="8">
        <f t="shared" si="230"/>
        <v>5.5555555555555552E-2</v>
      </c>
      <c r="AA2084" s="8">
        <v>2.8082099999999999</v>
      </c>
    </row>
    <row r="2085" spans="2:27" ht="15" customHeight="1" x14ac:dyDescent="0.25">
      <c r="B2085" s="1" t="s">
        <v>543</v>
      </c>
      <c r="C2085" s="8">
        <v>-12083.113600000001</v>
      </c>
      <c r="D2085" s="2">
        <v>-12085.121977999999</v>
      </c>
      <c r="F2085" s="3">
        <v>0.99410299999999996</v>
      </c>
      <c r="G2085" s="2">
        <v>0.17474999999999999</v>
      </c>
      <c r="H2085">
        <v>4</v>
      </c>
      <c r="I2085">
        <v>9</v>
      </c>
      <c r="K2085" s="8">
        <f t="shared" si="224"/>
        <v>-0.52694615384825738</v>
      </c>
      <c r="L2085" s="8">
        <f t="shared" si="225"/>
        <v>-4.0534319526789028E-2</v>
      </c>
      <c r="M2085" s="8">
        <f t="shared" si="226"/>
        <v>-0.95878523076862621</v>
      </c>
      <c r="N2085" s="8">
        <f t="shared" si="227"/>
        <v>-7.3752710059125093E-2</v>
      </c>
      <c r="O2085" s="8"/>
      <c r="P2085" t="s">
        <v>2371</v>
      </c>
      <c r="Q2085">
        <v>36</v>
      </c>
      <c r="R2085" s="8">
        <v>2.8311899999999999</v>
      </c>
      <c r="S2085">
        <v>19</v>
      </c>
      <c r="T2085" s="8">
        <f t="shared" si="228"/>
        <v>0.52777777777777779</v>
      </c>
      <c r="U2085" s="8">
        <v>2.8370199999999999</v>
      </c>
      <c r="V2085">
        <v>14</v>
      </c>
      <c r="W2085" s="8">
        <f t="shared" si="229"/>
        <v>0.3888888888888889</v>
      </c>
      <c r="X2085" s="8">
        <v>2.8256399999999999</v>
      </c>
      <c r="Y2085">
        <v>3</v>
      </c>
      <c r="Z2085" s="8">
        <f t="shared" si="230"/>
        <v>8.3333333333333329E-2</v>
      </c>
      <c r="AA2085" s="8">
        <v>2.8202500000000001</v>
      </c>
    </row>
    <row r="2086" spans="2:27" ht="15" customHeight="1" x14ac:dyDescent="0.25">
      <c r="B2086" s="1" t="s">
        <v>545</v>
      </c>
      <c r="C2086" s="8">
        <v>-12083.2212</v>
      </c>
      <c r="D2086" s="2">
        <v>-12084.989071</v>
      </c>
      <c r="F2086" s="3">
        <v>0.99351400000000001</v>
      </c>
      <c r="G2086" s="2">
        <v>0.169519999999999</v>
      </c>
      <c r="H2086">
        <v>4</v>
      </c>
      <c r="I2086">
        <v>9</v>
      </c>
      <c r="K2086" s="8">
        <f t="shared" si="224"/>
        <v>-0.63454615384762292</v>
      </c>
      <c r="L2086" s="8">
        <f t="shared" si="225"/>
        <v>-4.8811242603663305E-2</v>
      </c>
      <c r="M2086" s="8">
        <f t="shared" si="226"/>
        <v>-0.82587823076937639</v>
      </c>
      <c r="N2086" s="8">
        <f t="shared" si="227"/>
        <v>-6.352909467456741E-2</v>
      </c>
      <c r="O2086" s="8"/>
      <c r="P2086" t="s">
        <v>2372</v>
      </c>
      <c r="Q2086">
        <v>36</v>
      </c>
      <c r="R2086" s="8">
        <v>2.8336800000000002</v>
      </c>
      <c r="S2086">
        <v>18</v>
      </c>
      <c r="T2086" s="8">
        <f t="shared" si="228"/>
        <v>0.5</v>
      </c>
      <c r="U2086" s="8">
        <v>2.8473899999999999</v>
      </c>
      <c r="V2086">
        <v>16</v>
      </c>
      <c r="W2086" s="8">
        <f t="shared" si="229"/>
        <v>0.44444444444444442</v>
      </c>
      <c r="X2086" s="8">
        <v>2.8076300000000001</v>
      </c>
      <c r="Y2086">
        <v>2</v>
      </c>
      <c r="Z2086" s="8">
        <f t="shared" si="230"/>
        <v>5.5555555555555552E-2</v>
      </c>
      <c r="AA2086" s="8">
        <v>2.91858</v>
      </c>
    </row>
    <row r="2087" spans="2:27" ht="15" customHeight="1" x14ac:dyDescent="0.25">
      <c r="B2087" s="1" t="s">
        <v>547</v>
      </c>
      <c r="C2087" s="8">
        <v>-12083.330599999999</v>
      </c>
      <c r="D2087" s="2">
        <v>-12085.078772000001</v>
      </c>
      <c r="F2087" s="3">
        <v>0.98524299999999998</v>
      </c>
      <c r="G2087" s="2">
        <v>0.14713999999999899</v>
      </c>
      <c r="H2087">
        <v>4</v>
      </c>
      <c r="I2087">
        <v>9</v>
      </c>
      <c r="K2087" s="8">
        <f t="shared" si="224"/>
        <v>-0.74394615384699136</v>
      </c>
      <c r="L2087" s="8">
        <f t="shared" si="225"/>
        <v>-5.7226627218999335E-2</v>
      </c>
      <c r="M2087" s="8">
        <f t="shared" si="226"/>
        <v>-0.91557923077016312</v>
      </c>
      <c r="N2087" s="8">
        <f t="shared" si="227"/>
        <v>-7.0429171597704857E-2</v>
      </c>
      <c r="O2087" s="8"/>
      <c r="P2087" t="s">
        <v>2373</v>
      </c>
      <c r="Q2087">
        <v>36</v>
      </c>
      <c r="R2087" s="8">
        <v>2.8326799999999999</v>
      </c>
      <c r="S2087">
        <v>14</v>
      </c>
      <c r="T2087" s="8">
        <f t="shared" si="228"/>
        <v>0.3888888888888889</v>
      </c>
      <c r="U2087" s="8">
        <v>2.8717800000000002</v>
      </c>
      <c r="V2087">
        <v>22</v>
      </c>
      <c r="W2087" s="8">
        <f t="shared" si="229"/>
        <v>0.61111111111111116</v>
      </c>
      <c r="X2087" s="8">
        <v>2.8077899999999998</v>
      </c>
      <c r="Y2087">
        <v>0</v>
      </c>
      <c r="Z2087" s="8">
        <f t="shared" si="230"/>
        <v>0</v>
      </c>
      <c r="AA2087" s="8">
        <v>0</v>
      </c>
    </row>
    <row r="2088" spans="2:27" ht="15" customHeight="1" x14ac:dyDescent="0.25">
      <c r="B2088" s="1" t="s">
        <v>549</v>
      </c>
      <c r="C2088" s="8">
        <v>-12083.2636</v>
      </c>
      <c r="D2088" s="2">
        <v>-12085.116994</v>
      </c>
      <c r="F2088" s="3">
        <v>0.99351</v>
      </c>
      <c r="G2088" s="2">
        <v>0.16977999999999899</v>
      </c>
      <c r="H2088">
        <v>4</v>
      </c>
      <c r="I2088">
        <v>9</v>
      </c>
      <c r="K2088" s="8">
        <f t="shared" si="224"/>
        <v>-0.67694615384789358</v>
      </c>
      <c r="L2088" s="8">
        <f t="shared" si="225"/>
        <v>-5.2072781065222583E-2</v>
      </c>
      <c r="M2088" s="8">
        <f t="shared" si="226"/>
        <v>-0.95380123076938617</v>
      </c>
      <c r="N2088" s="8">
        <f t="shared" si="227"/>
        <v>-7.3369325443798941E-2</v>
      </c>
      <c r="O2088" s="8"/>
      <c r="P2088" t="s">
        <v>2374</v>
      </c>
      <c r="Q2088">
        <v>36</v>
      </c>
      <c r="R2088" s="8">
        <v>2.8346300000000002</v>
      </c>
      <c r="S2088">
        <v>17</v>
      </c>
      <c r="T2088" s="8">
        <f t="shared" si="228"/>
        <v>0.47222222222222221</v>
      </c>
      <c r="U2088" s="8">
        <v>2.86856</v>
      </c>
      <c r="V2088">
        <v>18</v>
      </c>
      <c r="W2088" s="8">
        <f t="shared" si="229"/>
        <v>0.5</v>
      </c>
      <c r="X2088" s="8">
        <v>2.8028400000000002</v>
      </c>
      <c r="Y2088">
        <v>1</v>
      </c>
      <c r="Z2088" s="8">
        <f t="shared" si="230"/>
        <v>2.7777777777777776E-2</v>
      </c>
      <c r="AA2088" s="8">
        <v>2.8299500000000002</v>
      </c>
    </row>
    <row r="2089" spans="2:27" ht="15" customHeight="1" x14ac:dyDescent="0.25">
      <c r="B2089" s="1" t="s">
        <v>551</v>
      </c>
      <c r="C2089" s="8">
        <v>-12083.1425</v>
      </c>
      <c r="D2089" s="2">
        <v>-12084.919083999999</v>
      </c>
      <c r="F2089" s="3">
        <v>0.99393299999999996</v>
      </c>
      <c r="G2089" s="2">
        <v>0.17535999999999999</v>
      </c>
      <c r="H2089">
        <v>4</v>
      </c>
      <c r="I2089">
        <v>9</v>
      </c>
      <c r="K2089" s="8">
        <f t="shared" si="224"/>
        <v>-0.55584615384759672</v>
      </c>
      <c r="L2089" s="8">
        <f t="shared" si="225"/>
        <v>-4.2757396449815133E-2</v>
      </c>
      <c r="M2089" s="8">
        <f t="shared" si="226"/>
        <v>-0.75589123076861142</v>
      </c>
      <c r="N2089" s="8">
        <f t="shared" si="227"/>
        <v>-5.8145479289893186E-2</v>
      </c>
      <c r="O2089" s="8"/>
      <c r="P2089" t="s">
        <v>2375</v>
      </c>
      <c r="Q2089">
        <v>35</v>
      </c>
      <c r="R2089" s="8">
        <v>2.8237999999999999</v>
      </c>
      <c r="S2089">
        <v>17</v>
      </c>
      <c r="T2089" s="8">
        <f t="shared" si="228"/>
        <v>0.48571428571428571</v>
      </c>
      <c r="U2089" s="8">
        <v>2.8389899999999999</v>
      </c>
      <c r="V2089">
        <v>16</v>
      </c>
      <c r="W2089" s="8">
        <f t="shared" si="229"/>
        <v>0.45714285714285713</v>
      </c>
      <c r="X2089" s="8">
        <v>2.8067099999999998</v>
      </c>
      <c r="Y2089">
        <v>2</v>
      </c>
      <c r="Z2089" s="8">
        <f t="shared" si="230"/>
        <v>5.7142857142857141E-2</v>
      </c>
      <c r="AA2089" s="8">
        <v>2.8315000000000001</v>
      </c>
    </row>
    <row r="2090" spans="2:27" ht="15" customHeight="1" x14ac:dyDescent="0.25">
      <c r="B2090" s="1" t="s">
        <v>553</v>
      </c>
      <c r="C2090" s="8">
        <v>-12082.985699999999</v>
      </c>
      <c r="D2090" s="2">
        <v>-12084.694299999999</v>
      </c>
      <c r="F2090" s="3">
        <v>0.99266399999999999</v>
      </c>
      <c r="G2090" s="2">
        <v>0.16836999999999899</v>
      </c>
      <c r="H2090">
        <v>4</v>
      </c>
      <c r="I2090">
        <v>9</v>
      </c>
      <c r="K2090" s="8">
        <f t="shared" si="224"/>
        <v>-0.39904615384693898</v>
      </c>
      <c r="L2090" s="8">
        <f t="shared" si="225"/>
        <v>-3.0695857988226074E-2</v>
      </c>
      <c r="M2090" s="8">
        <f t="shared" si="226"/>
        <v>-0.53110723076861177</v>
      </c>
      <c r="N2090" s="8">
        <f t="shared" si="227"/>
        <v>-4.0854402366816291E-2</v>
      </c>
      <c r="O2090" s="8"/>
      <c r="P2090" t="s">
        <v>2376</v>
      </c>
      <c r="Q2090">
        <v>34</v>
      </c>
      <c r="R2090" s="8">
        <v>2.8195600000000001</v>
      </c>
      <c r="S2090">
        <v>20</v>
      </c>
      <c r="T2090" s="8">
        <f t="shared" si="228"/>
        <v>0.58823529411764708</v>
      </c>
      <c r="U2090" s="8">
        <v>2.8502000000000001</v>
      </c>
      <c r="V2090">
        <v>14</v>
      </c>
      <c r="W2090" s="8">
        <f t="shared" si="229"/>
        <v>0.41176470588235292</v>
      </c>
      <c r="X2090" s="8">
        <v>2.7757800000000001</v>
      </c>
      <c r="Y2090">
        <v>0</v>
      </c>
      <c r="Z2090" s="8">
        <f t="shared" si="230"/>
        <v>0</v>
      </c>
      <c r="AA2090" s="8">
        <v>0</v>
      </c>
    </row>
    <row r="2091" spans="2:27" ht="15" customHeight="1" x14ac:dyDescent="0.25">
      <c r="B2091" s="1" t="s">
        <v>555</v>
      </c>
      <c r="C2091" s="8">
        <v>-12083.373</v>
      </c>
      <c r="D2091" s="2">
        <v>-12085.104799999999</v>
      </c>
      <c r="F2091" s="3">
        <v>0.994865</v>
      </c>
      <c r="G2091" s="2">
        <v>0.18756999999999999</v>
      </c>
      <c r="H2091">
        <v>4</v>
      </c>
      <c r="I2091">
        <v>9</v>
      </c>
      <c r="K2091" s="8">
        <f t="shared" si="224"/>
        <v>-0.78634615384726203</v>
      </c>
      <c r="L2091" s="8">
        <f t="shared" si="225"/>
        <v>-6.048816568055862E-2</v>
      </c>
      <c r="M2091" s="8">
        <f t="shared" si="226"/>
        <v>-0.94160723076856812</v>
      </c>
      <c r="N2091" s="8">
        <f t="shared" si="227"/>
        <v>-7.2431325443736011E-2</v>
      </c>
      <c r="O2091" s="8"/>
      <c r="P2091" t="s">
        <v>2377</v>
      </c>
      <c r="Q2091">
        <v>36</v>
      </c>
      <c r="R2091" s="8">
        <v>2.8336000000000001</v>
      </c>
      <c r="S2091">
        <v>16</v>
      </c>
      <c r="T2091" s="8">
        <f t="shared" si="228"/>
        <v>0.44444444444444442</v>
      </c>
      <c r="U2091" s="8">
        <v>2.84124</v>
      </c>
      <c r="V2091">
        <v>17</v>
      </c>
      <c r="W2091" s="8">
        <f t="shared" si="229"/>
        <v>0.47222222222222221</v>
      </c>
      <c r="X2091" s="8">
        <v>2.8332000000000002</v>
      </c>
      <c r="Y2091">
        <v>3</v>
      </c>
      <c r="Z2091" s="8">
        <f t="shared" si="230"/>
        <v>8.3333333333333329E-2</v>
      </c>
      <c r="AA2091" s="8">
        <v>2.79515</v>
      </c>
    </row>
    <row r="2092" spans="2:27" ht="15" customHeight="1" x14ac:dyDescent="0.25">
      <c r="B2092" s="1" t="s">
        <v>557</v>
      </c>
      <c r="C2092" s="8">
        <v>-12083.424800000001</v>
      </c>
      <c r="D2092" s="2">
        <v>-12085.190804</v>
      </c>
      <c r="F2092" s="3">
        <v>0.99565599999999999</v>
      </c>
      <c r="G2092" s="2">
        <v>0.19300999999999899</v>
      </c>
      <c r="H2092">
        <v>4</v>
      </c>
      <c r="I2092">
        <v>9</v>
      </c>
      <c r="K2092" s="8">
        <f t="shared" si="224"/>
        <v>-0.83814615384835633</v>
      </c>
      <c r="L2092" s="8">
        <f t="shared" si="225"/>
        <v>-6.4472781065258181E-2</v>
      </c>
      <c r="M2092" s="8">
        <f t="shared" si="226"/>
        <v>-1.0276112307692529</v>
      </c>
      <c r="N2092" s="8">
        <f t="shared" si="227"/>
        <v>-7.9047017751480986E-2</v>
      </c>
      <c r="O2092" s="8"/>
      <c r="P2092" t="s">
        <v>2378</v>
      </c>
      <c r="Q2092">
        <v>35</v>
      </c>
      <c r="R2092" s="8">
        <v>2.82491</v>
      </c>
      <c r="S2092">
        <v>16</v>
      </c>
      <c r="T2092" s="8">
        <f t="shared" si="228"/>
        <v>0.45714285714285713</v>
      </c>
      <c r="U2092" s="8">
        <v>2.8273199999999998</v>
      </c>
      <c r="V2092">
        <v>16</v>
      </c>
      <c r="W2092" s="8">
        <f t="shared" si="229"/>
        <v>0.45714285714285713</v>
      </c>
      <c r="X2092" s="8">
        <v>2.82497</v>
      </c>
      <c r="Y2092">
        <v>3</v>
      </c>
      <c r="Z2092" s="8">
        <f t="shared" si="230"/>
        <v>8.5714285714285715E-2</v>
      </c>
      <c r="AA2092" s="8">
        <v>2.81176</v>
      </c>
    </row>
    <row r="2093" spans="2:27" ht="15" customHeight="1" x14ac:dyDescent="0.25">
      <c r="B2093" s="1" t="s">
        <v>559</v>
      </c>
      <c r="C2093" s="8">
        <v>-12083.1638</v>
      </c>
      <c r="D2093" s="2">
        <v>-12085.085971</v>
      </c>
      <c r="F2093" s="3">
        <v>0.99493200000000004</v>
      </c>
      <c r="G2093" s="2">
        <v>0.17924000000000001</v>
      </c>
      <c r="H2093">
        <v>4</v>
      </c>
      <c r="I2093">
        <v>9</v>
      </c>
      <c r="K2093" s="8">
        <f t="shared" si="224"/>
        <v>-0.57714615384793433</v>
      </c>
      <c r="L2093" s="8">
        <f t="shared" si="225"/>
        <v>-4.4395857988302638E-2</v>
      </c>
      <c r="M2093" s="8">
        <f t="shared" si="226"/>
        <v>-0.92277823076983623</v>
      </c>
      <c r="N2093" s="8">
        <f t="shared" si="227"/>
        <v>-7.0982940828448943E-2</v>
      </c>
      <c r="O2093" s="8"/>
      <c r="P2093" t="s">
        <v>2379</v>
      </c>
      <c r="Q2093">
        <v>36</v>
      </c>
      <c r="R2093" s="8">
        <v>2.8325900000000002</v>
      </c>
      <c r="S2093">
        <v>19</v>
      </c>
      <c r="T2093" s="8">
        <f t="shared" si="228"/>
        <v>0.52777777777777779</v>
      </c>
      <c r="U2093" s="8">
        <v>2.8361800000000001</v>
      </c>
      <c r="V2093">
        <v>13</v>
      </c>
      <c r="W2093" s="8">
        <f t="shared" si="229"/>
        <v>0.3611111111111111</v>
      </c>
      <c r="X2093" s="8">
        <v>2.83975</v>
      </c>
      <c r="Y2093">
        <v>4</v>
      </c>
      <c r="Z2093" s="8">
        <f t="shared" si="230"/>
        <v>0.1111111111111111</v>
      </c>
      <c r="AA2093" s="8">
        <v>2.7923100000000001</v>
      </c>
    </row>
    <row r="2094" spans="2:27" ht="15" customHeight="1" x14ac:dyDescent="0.25">
      <c r="B2094" s="1" t="s">
        <v>561</v>
      </c>
      <c r="C2094" s="8">
        <v>-12083.312</v>
      </c>
      <c r="D2094" s="2">
        <v>-12085.021074</v>
      </c>
      <c r="F2094" s="3">
        <v>0.99325200000000002</v>
      </c>
      <c r="G2094" s="2">
        <v>0.16972000000000001</v>
      </c>
      <c r="H2094">
        <v>4</v>
      </c>
      <c r="I2094">
        <v>9</v>
      </c>
      <c r="K2094" s="8">
        <f t="shared" si="224"/>
        <v>-0.72534615384756762</v>
      </c>
      <c r="L2094" s="8">
        <f t="shared" si="225"/>
        <v>-5.5795857988274432E-2</v>
      </c>
      <c r="M2094" s="8">
        <f t="shared" si="226"/>
        <v>-0.85788123076963529</v>
      </c>
      <c r="N2094" s="8">
        <f t="shared" si="227"/>
        <v>-6.5990863905356564E-2</v>
      </c>
      <c r="O2094" s="8"/>
      <c r="P2094" t="s">
        <v>2380</v>
      </c>
      <c r="Q2094">
        <v>36</v>
      </c>
      <c r="R2094" s="8">
        <v>2.831</v>
      </c>
      <c r="S2094">
        <v>18</v>
      </c>
      <c r="T2094" s="8">
        <f t="shared" si="228"/>
        <v>0.5</v>
      </c>
      <c r="U2094" s="8">
        <v>2.8359000000000001</v>
      </c>
      <c r="V2094">
        <v>15</v>
      </c>
      <c r="W2094" s="8">
        <f t="shared" si="229"/>
        <v>0.41666666666666669</v>
      </c>
      <c r="X2094" s="8">
        <v>2.8341500000000002</v>
      </c>
      <c r="Y2094">
        <v>3</v>
      </c>
      <c r="Z2094" s="8">
        <f t="shared" si="230"/>
        <v>8.3333333333333329E-2</v>
      </c>
      <c r="AA2094" s="8">
        <v>2.7857699999999999</v>
      </c>
    </row>
    <row r="2095" spans="2:27" ht="15" customHeight="1" x14ac:dyDescent="0.25">
      <c r="B2095" s="1" t="s">
        <v>563</v>
      </c>
      <c r="C2095" s="8">
        <v>-12083.468000000001</v>
      </c>
      <c r="D2095" s="2">
        <v>-12085.227886999999</v>
      </c>
      <c r="F2095" s="3">
        <v>0.99751500000000004</v>
      </c>
      <c r="G2095" s="2">
        <v>0.19420999999999999</v>
      </c>
      <c r="H2095">
        <v>4</v>
      </c>
      <c r="I2095">
        <v>9</v>
      </c>
      <c r="K2095" s="8">
        <f t="shared" si="224"/>
        <v>-0.88134615384842618</v>
      </c>
      <c r="L2095" s="8">
        <f t="shared" si="225"/>
        <v>-6.779585798834048E-2</v>
      </c>
      <c r="M2095" s="8">
        <f t="shared" si="226"/>
        <v>-1.0646942307685094</v>
      </c>
      <c r="N2095" s="8">
        <f t="shared" si="227"/>
        <v>-8.1899556212962271E-2</v>
      </c>
      <c r="O2095" s="8"/>
      <c r="P2095" t="s">
        <v>2381</v>
      </c>
      <c r="Q2095">
        <v>35</v>
      </c>
      <c r="R2095" s="8">
        <v>2.8206600000000002</v>
      </c>
      <c r="S2095">
        <v>16</v>
      </c>
      <c r="T2095" s="8">
        <f t="shared" si="228"/>
        <v>0.45714285714285713</v>
      </c>
      <c r="U2095" s="8">
        <v>2.8167900000000001</v>
      </c>
      <c r="V2095">
        <v>16</v>
      </c>
      <c r="W2095" s="8">
        <f t="shared" si="229"/>
        <v>0.45714285714285713</v>
      </c>
      <c r="X2095" s="8">
        <v>2.81962</v>
      </c>
      <c r="Y2095">
        <v>3</v>
      </c>
      <c r="Z2095" s="8">
        <f t="shared" si="230"/>
        <v>8.5714285714285715E-2</v>
      </c>
      <c r="AA2095" s="8">
        <v>2.8468300000000002</v>
      </c>
    </row>
    <row r="2096" spans="2:27" ht="15" customHeight="1" x14ac:dyDescent="0.25">
      <c r="B2096" s="1" t="s">
        <v>565</v>
      </c>
      <c r="C2096" s="8">
        <v>-12083.0221</v>
      </c>
      <c r="D2096" s="2">
        <v>-12084.749390000001</v>
      </c>
      <c r="F2096" s="3">
        <v>0.99806499999999998</v>
      </c>
      <c r="G2096" s="2">
        <v>0.19287000000000001</v>
      </c>
      <c r="H2096">
        <v>4</v>
      </c>
      <c r="I2096">
        <v>9</v>
      </c>
      <c r="K2096" s="8">
        <f t="shared" si="224"/>
        <v>-0.43544615384780627</v>
      </c>
      <c r="L2096" s="8">
        <f t="shared" si="225"/>
        <v>-3.3495857988292792E-2</v>
      </c>
      <c r="M2096" s="8">
        <f t="shared" si="226"/>
        <v>-0.5861972307702672</v>
      </c>
      <c r="N2096" s="8">
        <f t="shared" si="227"/>
        <v>-4.5092094674635937E-2</v>
      </c>
      <c r="O2096" s="8"/>
      <c r="P2096" t="s">
        <v>2382</v>
      </c>
      <c r="Q2096">
        <v>36</v>
      </c>
      <c r="R2096" s="8">
        <v>2.8348300000000002</v>
      </c>
      <c r="S2096">
        <v>20</v>
      </c>
      <c r="T2096" s="8">
        <f t="shared" si="228"/>
        <v>0.55555555555555558</v>
      </c>
      <c r="U2096" s="8">
        <v>2.83683</v>
      </c>
      <c r="V2096">
        <v>11</v>
      </c>
      <c r="W2096" s="8">
        <f t="shared" si="229"/>
        <v>0.30555555555555558</v>
      </c>
      <c r="X2096" s="8">
        <v>2.8383699999999998</v>
      </c>
      <c r="Y2096">
        <v>5</v>
      </c>
      <c r="Z2096" s="8">
        <f t="shared" si="230"/>
        <v>0.1388888888888889</v>
      </c>
      <c r="AA2096" s="8">
        <v>2.8190400000000002</v>
      </c>
    </row>
    <row r="2097" spans="2:27" ht="15" customHeight="1" x14ac:dyDescent="0.25">
      <c r="B2097" s="1" t="s">
        <v>567</v>
      </c>
      <c r="C2097" s="8">
        <v>-12083.3904</v>
      </c>
      <c r="D2097" s="2">
        <v>-12085.086455000001</v>
      </c>
      <c r="F2097" s="3">
        <v>0.99123099999999997</v>
      </c>
      <c r="G2097" s="2">
        <v>0.16214000000000001</v>
      </c>
      <c r="H2097">
        <v>4</v>
      </c>
      <c r="I2097">
        <v>9</v>
      </c>
      <c r="K2097" s="8">
        <f t="shared" si="224"/>
        <v>-0.80374615384789649</v>
      </c>
      <c r="L2097" s="8">
        <f t="shared" si="225"/>
        <v>-6.1826627219068959E-2</v>
      </c>
      <c r="M2097" s="8">
        <f t="shared" si="226"/>
        <v>-0.92326223076997849</v>
      </c>
      <c r="N2097" s="8">
        <f t="shared" si="227"/>
        <v>-7.1020171597690654E-2</v>
      </c>
      <c r="O2097" s="8"/>
      <c r="P2097" t="s">
        <v>2383</v>
      </c>
      <c r="Q2097">
        <v>36</v>
      </c>
      <c r="R2097" s="8">
        <v>2.83399</v>
      </c>
      <c r="S2097">
        <v>17</v>
      </c>
      <c r="T2097" s="8">
        <f t="shared" si="228"/>
        <v>0.47222222222222221</v>
      </c>
      <c r="U2097" s="8">
        <v>2.8507799999999999</v>
      </c>
      <c r="V2097">
        <v>17</v>
      </c>
      <c r="W2097" s="8">
        <f t="shared" si="229"/>
        <v>0.47222222222222221</v>
      </c>
      <c r="X2097" s="8">
        <v>2.81867</v>
      </c>
      <c r="Y2097">
        <v>2</v>
      </c>
      <c r="Z2097" s="8">
        <f t="shared" si="230"/>
        <v>5.5555555555555552E-2</v>
      </c>
      <c r="AA2097" s="8">
        <v>2.82152</v>
      </c>
    </row>
    <row r="2098" spans="2:27" ht="15" customHeight="1" x14ac:dyDescent="0.25">
      <c r="B2098" s="1" t="s">
        <v>569</v>
      </c>
      <c r="C2098" s="8">
        <v>-12083.2328</v>
      </c>
      <c r="D2098" s="2">
        <v>-12084.973975999999</v>
      </c>
      <c r="F2098" s="3">
        <v>0.994398</v>
      </c>
      <c r="G2098" s="2">
        <v>0.17781</v>
      </c>
      <c r="H2098">
        <v>4</v>
      </c>
      <c r="I2098">
        <v>9</v>
      </c>
      <c r="K2098" s="8">
        <f t="shared" si="224"/>
        <v>-0.64614615384743956</v>
      </c>
      <c r="L2098" s="8">
        <f t="shared" si="225"/>
        <v>-4.970355029595689E-2</v>
      </c>
      <c r="M2098" s="8">
        <f t="shared" si="226"/>
        <v>-0.81078323076872039</v>
      </c>
      <c r="N2098" s="8">
        <f t="shared" si="227"/>
        <v>-6.2367940828363104E-2</v>
      </c>
      <c r="O2098" s="8"/>
      <c r="P2098" t="s">
        <v>2384</v>
      </c>
      <c r="Q2098">
        <v>36</v>
      </c>
      <c r="R2098" s="8">
        <v>2.8369800000000001</v>
      </c>
      <c r="S2098">
        <v>18</v>
      </c>
      <c r="T2098" s="8">
        <f t="shared" si="228"/>
        <v>0.5</v>
      </c>
      <c r="U2098" s="8">
        <v>2.8402699999999999</v>
      </c>
      <c r="V2098">
        <v>15</v>
      </c>
      <c r="W2098" s="8">
        <f t="shared" si="229"/>
        <v>0.41666666666666669</v>
      </c>
      <c r="X2098" s="8">
        <v>2.8267099999999998</v>
      </c>
      <c r="Y2098">
        <v>3</v>
      </c>
      <c r="Z2098" s="8">
        <f t="shared" si="230"/>
        <v>8.3333333333333329E-2</v>
      </c>
      <c r="AA2098" s="8">
        <v>2.86856</v>
      </c>
    </row>
    <row r="2099" spans="2:27" ht="15" customHeight="1" x14ac:dyDescent="0.25">
      <c r="B2099" s="1" t="s">
        <v>571</v>
      </c>
      <c r="C2099" s="8">
        <v>-12083.393899999999</v>
      </c>
      <c r="D2099" s="2">
        <v>-12085.101322</v>
      </c>
      <c r="F2099" s="3">
        <v>0.99482400000000004</v>
      </c>
      <c r="G2099" s="2">
        <v>0.17587</v>
      </c>
      <c r="H2099">
        <v>4</v>
      </c>
      <c r="I2099">
        <v>9</v>
      </c>
      <c r="K2099" s="8">
        <f t="shared" si="224"/>
        <v>-0.80724615384679055</v>
      </c>
      <c r="L2099" s="8">
        <f t="shared" si="225"/>
        <v>-6.209585798821466E-2</v>
      </c>
      <c r="M2099" s="8">
        <f t="shared" si="226"/>
        <v>-0.93812923076984589</v>
      </c>
      <c r="N2099" s="8">
        <f t="shared" si="227"/>
        <v>-7.2163786982295836E-2</v>
      </c>
      <c r="O2099" s="8"/>
      <c r="P2099" t="s">
        <v>2385</v>
      </c>
      <c r="Q2099">
        <v>35</v>
      </c>
      <c r="R2099" s="8">
        <v>2.82639</v>
      </c>
      <c r="S2099">
        <v>18</v>
      </c>
      <c r="T2099" s="8">
        <f t="shared" si="228"/>
        <v>0.51428571428571423</v>
      </c>
      <c r="U2099" s="8">
        <v>2.8513899999999999</v>
      </c>
      <c r="V2099">
        <v>15</v>
      </c>
      <c r="W2099" s="8">
        <f t="shared" si="229"/>
        <v>0.42857142857142855</v>
      </c>
      <c r="X2099" s="8">
        <v>2.7871600000000001</v>
      </c>
      <c r="Y2099">
        <v>2</v>
      </c>
      <c r="Z2099" s="8">
        <f t="shared" si="230"/>
        <v>5.7142857142857141E-2</v>
      </c>
      <c r="AA2099" s="8">
        <v>2.8955700000000002</v>
      </c>
    </row>
    <row r="2100" spans="2:27" ht="15" customHeight="1" x14ac:dyDescent="0.25">
      <c r="B2100" s="1" t="s">
        <v>573</v>
      </c>
      <c r="C2100" s="8">
        <v>-12083.092199999999</v>
      </c>
      <c r="D2100" s="2">
        <v>-12084.831951</v>
      </c>
      <c r="F2100" s="3">
        <v>0.99496200000000001</v>
      </c>
      <c r="G2100" s="2">
        <v>0.181729999999999</v>
      </c>
      <c r="H2100">
        <v>4</v>
      </c>
      <c r="I2100">
        <v>9</v>
      </c>
      <c r="K2100" s="8">
        <f t="shared" si="224"/>
        <v>-0.50554615384680801</v>
      </c>
      <c r="L2100" s="8">
        <f t="shared" si="225"/>
        <v>-3.8888165680523695E-2</v>
      </c>
      <c r="M2100" s="8">
        <f t="shared" si="226"/>
        <v>-0.66875823076952656</v>
      </c>
      <c r="N2100" s="8">
        <f t="shared" si="227"/>
        <v>-5.144294082842512E-2</v>
      </c>
      <c r="O2100" s="8"/>
      <c r="P2100" t="s">
        <v>2386</v>
      </c>
      <c r="Q2100">
        <v>36</v>
      </c>
      <c r="R2100" s="8">
        <v>2.8404600000000002</v>
      </c>
      <c r="S2100">
        <v>20</v>
      </c>
      <c r="T2100" s="8">
        <f t="shared" si="228"/>
        <v>0.55555555555555558</v>
      </c>
      <c r="U2100" s="8">
        <v>2.8582800000000002</v>
      </c>
      <c r="V2100">
        <v>13</v>
      </c>
      <c r="W2100" s="8">
        <f t="shared" si="229"/>
        <v>0.3611111111111111</v>
      </c>
      <c r="X2100" s="8">
        <v>2.7986200000000001</v>
      </c>
      <c r="Y2100">
        <v>3</v>
      </c>
      <c r="Z2100" s="8">
        <f t="shared" si="230"/>
        <v>8.3333333333333329E-2</v>
      </c>
      <c r="AA2100" s="8">
        <v>2.9030200000000002</v>
      </c>
    </row>
    <row r="2101" spans="2:27" ht="15" customHeight="1" x14ac:dyDescent="0.25">
      <c r="B2101" s="1" t="s">
        <v>575</v>
      </c>
      <c r="C2101" s="8">
        <v>-12083.547399999999</v>
      </c>
      <c r="D2101" s="2">
        <v>-12085.242726</v>
      </c>
      <c r="F2101" s="3">
        <v>0.994753</v>
      </c>
      <c r="G2101" s="2">
        <v>0.18337999999999999</v>
      </c>
      <c r="H2101">
        <v>4</v>
      </c>
      <c r="I2101">
        <v>9</v>
      </c>
      <c r="K2101" s="8">
        <f t="shared" si="224"/>
        <v>-0.96074615384713979</v>
      </c>
      <c r="L2101" s="8">
        <f t="shared" si="225"/>
        <v>-7.3903550295933831E-2</v>
      </c>
      <c r="M2101" s="8">
        <f t="shared" si="226"/>
        <v>-1.0795332307698118</v>
      </c>
      <c r="N2101" s="8">
        <f t="shared" si="227"/>
        <v>-8.3041017751523977E-2</v>
      </c>
      <c r="O2101" s="8"/>
      <c r="P2101" t="s">
        <v>2387</v>
      </c>
      <c r="Q2101">
        <v>35</v>
      </c>
      <c r="R2101" s="8">
        <v>2.8262299999999998</v>
      </c>
      <c r="S2101">
        <v>15</v>
      </c>
      <c r="T2101" s="8">
        <f t="shared" si="228"/>
        <v>0.42857142857142855</v>
      </c>
      <c r="U2101" s="8">
        <v>2.84328</v>
      </c>
      <c r="V2101">
        <v>18</v>
      </c>
      <c r="W2101" s="8">
        <f t="shared" si="229"/>
        <v>0.51428571428571423</v>
      </c>
      <c r="X2101" s="8">
        <v>2.8109799999999998</v>
      </c>
      <c r="Y2101">
        <v>2</v>
      </c>
      <c r="Z2101" s="8">
        <f t="shared" si="230"/>
        <v>5.7142857142857141E-2</v>
      </c>
      <c r="AA2101" s="8">
        <v>2.83562</v>
      </c>
    </row>
    <row r="2102" spans="2:27" ht="15" customHeight="1" x14ac:dyDescent="0.25">
      <c r="B2102" s="1" t="s">
        <v>577</v>
      </c>
      <c r="C2102" s="8">
        <v>-12083.275600000001</v>
      </c>
      <c r="D2102" s="2">
        <v>-12085.010718</v>
      </c>
      <c r="F2102" s="3">
        <v>0.99429299999999998</v>
      </c>
      <c r="G2102" s="2">
        <v>0.17458000000000001</v>
      </c>
      <c r="H2102">
        <v>4</v>
      </c>
      <c r="I2102">
        <v>9</v>
      </c>
      <c r="K2102" s="8">
        <f t="shared" si="224"/>
        <v>-0.68894615384851932</v>
      </c>
      <c r="L2102" s="8">
        <f t="shared" si="225"/>
        <v>-5.299585798834764E-2</v>
      </c>
      <c r="M2102" s="8">
        <f t="shared" si="226"/>
        <v>-0.84752523076895159</v>
      </c>
      <c r="N2102" s="8">
        <f t="shared" si="227"/>
        <v>-6.5194248520688586E-2</v>
      </c>
      <c r="O2102" s="8"/>
      <c r="P2102" t="s">
        <v>2388</v>
      </c>
      <c r="Q2102">
        <v>36</v>
      </c>
      <c r="R2102" s="8">
        <v>2.8365300000000002</v>
      </c>
      <c r="S2102">
        <v>17</v>
      </c>
      <c r="T2102" s="8">
        <f t="shared" si="228"/>
        <v>0.47222222222222221</v>
      </c>
      <c r="U2102" s="8">
        <v>2.8591199999999999</v>
      </c>
      <c r="V2102">
        <v>17</v>
      </c>
      <c r="W2102" s="8">
        <f t="shared" si="229"/>
        <v>0.47222222222222221</v>
      </c>
      <c r="X2102" s="8">
        <v>2.8175500000000002</v>
      </c>
      <c r="Y2102">
        <v>2</v>
      </c>
      <c r="Z2102" s="8">
        <f t="shared" si="230"/>
        <v>5.5555555555555552E-2</v>
      </c>
      <c r="AA2102" s="8">
        <v>2.8057799999999999</v>
      </c>
    </row>
    <row r="2103" spans="2:27" ht="15" customHeight="1" x14ac:dyDescent="0.25">
      <c r="B2103" s="1" t="s">
        <v>579</v>
      </c>
      <c r="C2103" s="8">
        <v>-12083.4084</v>
      </c>
      <c r="D2103" s="2">
        <v>-12085.167904</v>
      </c>
      <c r="F2103" s="3">
        <v>0.99151</v>
      </c>
      <c r="G2103" s="2">
        <v>0.16427</v>
      </c>
      <c r="H2103">
        <v>4</v>
      </c>
      <c r="I2103">
        <v>9</v>
      </c>
      <c r="K2103" s="8">
        <f t="shared" si="224"/>
        <v>-0.8217461538479256</v>
      </c>
      <c r="L2103" s="8">
        <f t="shared" si="225"/>
        <v>-6.3211242603686588E-2</v>
      </c>
      <c r="M2103" s="8">
        <f t="shared" si="226"/>
        <v>-1.0047112307693169</v>
      </c>
      <c r="N2103" s="8">
        <f t="shared" si="227"/>
        <v>-7.7285479289947459E-2</v>
      </c>
      <c r="O2103" s="8"/>
      <c r="P2103" t="s">
        <v>2389</v>
      </c>
      <c r="Q2103">
        <v>36</v>
      </c>
      <c r="R2103" s="8">
        <v>2.835</v>
      </c>
      <c r="S2103">
        <v>16</v>
      </c>
      <c r="T2103" s="8">
        <f t="shared" si="228"/>
        <v>0.44444444444444442</v>
      </c>
      <c r="U2103" s="8">
        <v>2.8639000000000001</v>
      </c>
      <c r="V2103">
        <v>19</v>
      </c>
      <c r="W2103" s="8">
        <f t="shared" si="229"/>
        <v>0.52777777777777779</v>
      </c>
      <c r="X2103" s="8">
        <v>2.8156300000000001</v>
      </c>
      <c r="Y2103">
        <v>1</v>
      </c>
      <c r="Z2103" s="8">
        <f t="shared" si="230"/>
        <v>2.7777777777777776E-2</v>
      </c>
      <c r="AA2103" s="8">
        <v>2.7403300000000002</v>
      </c>
    </row>
    <row r="2104" spans="2:27" ht="15" customHeight="1" x14ac:dyDescent="0.25">
      <c r="B2104" s="1" t="s">
        <v>581</v>
      </c>
      <c r="C2104" s="8">
        <v>-12083.399100000001</v>
      </c>
      <c r="D2104" s="2">
        <v>-12085.128959</v>
      </c>
      <c r="F2104" s="3">
        <v>0.99622900000000003</v>
      </c>
      <c r="G2104" s="2">
        <v>0.18453999999999901</v>
      </c>
      <c r="H2104">
        <v>4</v>
      </c>
      <c r="I2104">
        <v>9</v>
      </c>
      <c r="K2104" s="8">
        <f t="shared" si="224"/>
        <v>-0.81244615384821373</v>
      </c>
      <c r="L2104" s="8">
        <f t="shared" si="225"/>
        <v>-6.2495857988324133E-2</v>
      </c>
      <c r="M2104" s="8">
        <f t="shared" si="226"/>
        <v>-0.96576623076907708</v>
      </c>
      <c r="N2104" s="8">
        <f t="shared" si="227"/>
        <v>-7.4289710059159769E-2</v>
      </c>
      <c r="O2104" s="8"/>
      <c r="P2104" t="s">
        <v>2390</v>
      </c>
      <c r="Q2104">
        <v>35</v>
      </c>
      <c r="R2104" s="8">
        <v>2.8253599999999999</v>
      </c>
      <c r="S2104">
        <v>16</v>
      </c>
      <c r="T2104" s="8">
        <f t="shared" si="228"/>
        <v>0.45714285714285713</v>
      </c>
      <c r="U2104" s="8">
        <v>2.8282600000000002</v>
      </c>
      <c r="V2104">
        <v>17</v>
      </c>
      <c r="W2104" s="8">
        <f t="shared" si="229"/>
        <v>0.48571428571428571</v>
      </c>
      <c r="X2104" s="8">
        <v>2.8062200000000002</v>
      </c>
      <c r="Y2104">
        <v>2</v>
      </c>
      <c r="Z2104" s="8">
        <f t="shared" si="230"/>
        <v>5.7142857142857141E-2</v>
      </c>
      <c r="AA2104" s="8">
        <v>2.9648400000000001</v>
      </c>
    </row>
    <row r="2105" spans="2:27" ht="15" customHeight="1" x14ac:dyDescent="0.25">
      <c r="B2105" s="1" t="s">
        <v>583</v>
      </c>
      <c r="C2105" s="8">
        <v>-12083.3161</v>
      </c>
      <c r="D2105" s="2">
        <v>-12085.038193</v>
      </c>
      <c r="F2105" s="3">
        <v>0.99609000000000003</v>
      </c>
      <c r="G2105" s="2">
        <v>0.18751999999999899</v>
      </c>
      <c r="H2105">
        <v>4</v>
      </c>
      <c r="I2105">
        <v>9</v>
      </c>
      <c r="K2105" s="8">
        <f t="shared" si="224"/>
        <v>-0.7294461538476753</v>
      </c>
      <c r="L2105" s="8">
        <f t="shared" si="225"/>
        <v>-5.611124260366733E-2</v>
      </c>
      <c r="M2105" s="8">
        <f t="shared" si="226"/>
        <v>-0.87500023076972866</v>
      </c>
      <c r="N2105" s="8">
        <f t="shared" si="227"/>
        <v>-6.7307710059209894E-2</v>
      </c>
      <c r="O2105" s="8"/>
      <c r="P2105" t="s">
        <v>2391</v>
      </c>
      <c r="Q2105">
        <v>35</v>
      </c>
      <c r="R2105" s="8">
        <v>2.8234499999999998</v>
      </c>
      <c r="S2105">
        <v>17</v>
      </c>
      <c r="T2105" s="8">
        <f t="shared" si="228"/>
        <v>0.48571428571428571</v>
      </c>
      <c r="U2105" s="8">
        <v>2.8211599999999999</v>
      </c>
      <c r="V2105">
        <v>15</v>
      </c>
      <c r="W2105" s="8">
        <f t="shared" si="229"/>
        <v>0.42857142857142855</v>
      </c>
      <c r="X2105" s="8">
        <v>2.8280400000000001</v>
      </c>
      <c r="Y2105">
        <v>3</v>
      </c>
      <c r="Z2105" s="8">
        <f t="shared" si="230"/>
        <v>8.5714285714285715E-2</v>
      </c>
      <c r="AA2105" s="8">
        <v>2.8135599999999998</v>
      </c>
    </row>
    <row r="2106" spans="2:27" ht="15" customHeight="1" x14ac:dyDescent="0.25">
      <c r="B2106" s="1" t="s">
        <v>585</v>
      </c>
      <c r="C2106" s="8">
        <v>-12083.1903</v>
      </c>
      <c r="D2106" s="2">
        <v>-12084.994199999999</v>
      </c>
      <c r="F2106" s="3">
        <v>0.99300900000000003</v>
      </c>
      <c r="G2106" s="2">
        <v>0.16983999999999999</v>
      </c>
      <c r="H2106">
        <v>4</v>
      </c>
      <c r="I2106">
        <v>9</v>
      </c>
      <c r="K2106" s="8">
        <f t="shared" si="224"/>
        <v>-0.60364615384787612</v>
      </c>
      <c r="L2106" s="8">
        <f t="shared" si="225"/>
        <v>-4.64343195267597E-2</v>
      </c>
      <c r="M2106" s="8">
        <f t="shared" si="226"/>
        <v>-0.8310072307685914</v>
      </c>
      <c r="N2106" s="8">
        <f t="shared" si="227"/>
        <v>-6.3923633136045488E-2</v>
      </c>
      <c r="O2106" s="8"/>
      <c r="P2106" t="s">
        <v>2392</v>
      </c>
      <c r="Q2106">
        <v>34</v>
      </c>
      <c r="R2106" s="8">
        <v>2.8132600000000001</v>
      </c>
      <c r="S2106">
        <v>17</v>
      </c>
      <c r="T2106" s="8">
        <f t="shared" si="228"/>
        <v>0.5</v>
      </c>
      <c r="U2106" s="8">
        <v>2.82334</v>
      </c>
      <c r="V2106">
        <v>16</v>
      </c>
      <c r="W2106" s="8">
        <f t="shared" si="229"/>
        <v>0.47058823529411764</v>
      </c>
      <c r="X2106" s="8">
        <v>2.8033899999999998</v>
      </c>
      <c r="Y2106">
        <v>1</v>
      </c>
      <c r="Z2106" s="8">
        <f t="shared" si="230"/>
        <v>2.9411764705882353E-2</v>
      </c>
      <c r="AA2106" s="8">
        <v>2.7998099999999999</v>
      </c>
    </row>
    <row r="2107" spans="2:27" ht="15" customHeight="1" x14ac:dyDescent="0.25">
      <c r="B2107" s="1" t="s">
        <v>587</v>
      </c>
      <c r="C2107" s="8">
        <v>-12083.357900000001</v>
      </c>
      <c r="D2107" s="2">
        <v>-12085.0849</v>
      </c>
      <c r="F2107" s="3">
        <v>0.99510100000000001</v>
      </c>
      <c r="G2107" s="2">
        <v>0.185719999999999</v>
      </c>
      <c r="H2107">
        <v>4</v>
      </c>
      <c r="I2107">
        <v>9</v>
      </c>
      <c r="K2107" s="8">
        <f t="shared" si="224"/>
        <v>-0.77124615384855133</v>
      </c>
      <c r="L2107" s="8">
        <f t="shared" si="225"/>
        <v>-5.9326627219119334E-2</v>
      </c>
      <c r="M2107" s="8">
        <f t="shared" si="226"/>
        <v>-0.92170723076924332</v>
      </c>
      <c r="N2107" s="8">
        <f t="shared" si="227"/>
        <v>-7.0900556213018717E-2</v>
      </c>
      <c r="O2107" s="8"/>
      <c r="P2107" t="s">
        <v>2393</v>
      </c>
      <c r="Q2107">
        <v>35</v>
      </c>
      <c r="R2107" s="8">
        <v>2.8231899999999999</v>
      </c>
      <c r="S2107">
        <v>17</v>
      </c>
      <c r="T2107" s="8">
        <f t="shared" si="228"/>
        <v>0.48571428571428571</v>
      </c>
      <c r="U2107" s="8">
        <v>2.8185600000000002</v>
      </c>
      <c r="V2107">
        <v>15</v>
      </c>
      <c r="W2107" s="8">
        <f t="shared" si="229"/>
        <v>0.42857142857142855</v>
      </c>
      <c r="X2107" s="8">
        <v>2.82213</v>
      </c>
      <c r="Y2107">
        <v>3</v>
      </c>
      <c r="Z2107" s="8">
        <f t="shared" si="230"/>
        <v>8.5714285714285715E-2</v>
      </c>
      <c r="AA2107" s="8">
        <v>2.8547699999999998</v>
      </c>
    </row>
    <row r="2108" spans="2:27" ht="15" customHeight="1" x14ac:dyDescent="0.25">
      <c r="B2108" s="1" t="s">
        <v>589</v>
      </c>
      <c r="C2108" s="8">
        <v>-12083.488300000001</v>
      </c>
      <c r="D2108" s="2">
        <v>-12085.180533000001</v>
      </c>
      <c r="F2108" s="3">
        <v>0.99298900000000001</v>
      </c>
      <c r="G2108" s="2">
        <v>0.16949999999999901</v>
      </c>
      <c r="H2108">
        <v>4</v>
      </c>
      <c r="I2108">
        <v>9</v>
      </c>
      <c r="K2108" s="8">
        <f t="shared" si="224"/>
        <v>-0.90164615384856006</v>
      </c>
      <c r="L2108" s="8">
        <f t="shared" si="225"/>
        <v>-6.9357396449889239E-2</v>
      </c>
      <c r="M2108" s="8">
        <f t="shared" si="226"/>
        <v>-1.0173402307700599</v>
      </c>
      <c r="N2108" s="8">
        <f t="shared" si="227"/>
        <v>-7.825694082846614E-2</v>
      </c>
      <c r="O2108" s="8"/>
      <c r="P2108" t="s">
        <v>2394</v>
      </c>
      <c r="Q2108">
        <v>36</v>
      </c>
      <c r="R2108" s="8">
        <v>2.83283</v>
      </c>
      <c r="S2108">
        <v>17</v>
      </c>
      <c r="T2108" s="8">
        <f t="shared" si="228"/>
        <v>0.47222222222222221</v>
      </c>
      <c r="U2108" s="8">
        <v>2.8375400000000002</v>
      </c>
      <c r="V2108">
        <v>17</v>
      </c>
      <c r="W2108" s="8">
        <f t="shared" si="229"/>
        <v>0.47222222222222221</v>
      </c>
      <c r="X2108" s="8">
        <v>2.8372099999999998</v>
      </c>
      <c r="Y2108">
        <v>2</v>
      </c>
      <c r="Z2108" s="8">
        <f t="shared" si="230"/>
        <v>5.5555555555555552E-2</v>
      </c>
      <c r="AA2108" s="8">
        <v>2.75556</v>
      </c>
    </row>
    <row r="2109" spans="2:27" ht="15" customHeight="1" x14ac:dyDescent="0.25">
      <c r="B2109" s="1" t="s">
        <v>591</v>
      </c>
      <c r="C2109" s="8">
        <v>-12083.214900000001</v>
      </c>
      <c r="D2109" s="2">
        <v>-12085.045410999999</v>
      </c>
      <c r="F2109" s="3">
        <v>0.99296499999999999</v>
      </c>
      <c r="G2109" s="2">
        <v>0.17204</v>
      </c>
      <c r="H2109">
        <v>4</v>
      </c>
      <c r="I2109">
        <v>9</v>
      </c>
      <c r="K2109" s="8">
        <f t="shared" si="224"/>
        <v>-0.62824615384852223</v>
      </c>
      <c r="L2109" s="8">
        <f t="shared" si="225"/>
        <v>-4.8326627219117096E-2</v>
      </c>
      <c r="M2109" s="8">
        <f t="shared" si="226"/>
        <v>-0.88221823076855799</v>
      </c>
      <c r="N2109" s="8">
        <f t="shared" si="227"/>
        <v>-6.7862940828350621E-2</v>
      </c>
      <c r="O2109" s="8"/>
      <c r="P2109" t="s">
        <v>2395</v>
      </c>
      <c r="Q2109">
        <v>35</v>
      </c>
      <c r="R2109" s="8">
        <v>2.82437</v>
      </c>
      <c r="S2109">
        <v>17</v>
      </c>
      <c r="T2109" s="8">
        <f t="shared" si="228"/>
        <v>0.48571428571428571</v>
      </c>
      <c r="U2109" s="8">
        <v>2.8182299999999998</v>
      </c>
      <c r="V2109">
        <v>16</v>
      </c>
      <c r="W2109" s="8">
        <f t="shared" si="229"/>
        <v>0.45714285714285713</v>
      </c>
      <c r="X2109" s="8">
        <v>2.8158300000000001</v>
      </c>
      <c r="Y2109">
        <v>2</v>
      </c>
      <c r="Z2109" s="8">
        <f t="shared" si="230"/>
        <v>5.7142857142857141E-2</v>
      </c>
      <c r="AA2109" s="8">
        <v>2.94503</v>
      </c>
    </row>
    <row r="2110" spans="2:27" ht="15" customHeight="1" x14ac:dyDescent="0.25">
      <c r="B2110" s="1" t="s">
        <v>593</v>
      </c>
      <c r="C2110" s="8">
        <v>-12083.286099999999</v>
      </c>
      <c r="D2110" s="2">
        <v>-12085.033009999999</v>
      </c>
      <c r="F2110" s="3">
        <v>0.99568400000000001</v>
      </c>
      <c r="G2110" s="2">
        <v>0.182589999999999</v>
      </c>
      <c r="H2110">
        <v>4</v>
      </c>
      <c r="I2110">
        <v>9</v>
      </c>
      <c r="K2110" s="8">
        <f t="shared" si="224"/>
        <v>-0.69944615384702047</v>
      </c>
      <c r="L2110" s="8">
        <f t="shared" si="225"/>
        <v>-5.3803550295924651E-2</v>
      </c>
      <c r="M2110" s="8">
        <f t="shared" si="226"/>
        <v>-0.86981723076860362</v>
      </c>
      <c r="N2110" s="8">
        <f t="shared" si="227"/>
        <v>-6.6909017751431044E-2</v>
      </c>
      <c r="O2110" s="8"/>
      <c r="P2110" t="s">
        <v>2396</v>
      </c>
      <c r="Q2110">
        <v>36</v>
      </c>
      <c r="R2110" s="8">
        <v>2.8372000000000002</v>
      </c>
      <c r="S2110">
        <v>19</v>
      </c>
      <c r="T2110" s="8">
        <f t="shared" si="228"/>
        <v>0.52777777777777779</v>
      </c>
      <c r="U2110" s="8">
        <v>2.8491300000000002</v>
      </c>
      <c r="V2110">
        <v>15</v>
      </c>
      <c r="W2110" s="8">
        <f t="shared" si="229"/>
        <v>0.41666666666666669</v>
      </c>
      <c r="X2110" s="8">
        <v>2.8102999999999998</v>
      </c>
      <c r="Y2110">
        <v>2</v>
      </c>
      <c r="Z2110" s="8">
        <f t="shared" si="230"/>
        <v>5.5555555555555552E-2</v>
      </c>
      <c r="AA2110" s="8">
        <v>2.92564</v>
      </c>
    </row>
    <row r="2111" spans="2:27" ht="15" customHeight="1" x14ac:dyDescent="0.25">
      <c r="B2111" s="1" t="s">
        <v>595</v>
      </c>
      <c r="C2111" s="8">
        <v>-12083.4607</v>
      </c>
      <c r="D2111" s="2">
        <v>-12084.887339999999</v>
      </c>
      <c r="F2111" s="3">
        <v>0.99793500000000002</v>
      </c>
      <c r="G2111" s="2">
        <v>0.199319999999999</v>
      </c>
      <c r="H2111">
        <v>4</v>
      </c>
      <c r="I2111">
        <v>9</v>
      </c>
      <c r="K2111" s="8">
        <f t="shared" si="224"/>
        <v>-0.87404615384730278</v>
      </c>
      <c r="L2111" s="8">
        <f t="shared" si="225"/>
        <v>-6.7234319526715602E-2</v>
      </c>
      <c r="M2111" s="8">
        <f t="shared" si="226"/>
        <v>-0.72414723076872178</v>
      </c>
      <c r="N2111" s="8">
        <f t="shared" si="227"/>
        <v>-5.5703633136055523E-2</v>
      </c>
      <c r="O2111" s="8"/>
      <c r="P2111" t="s">
        <v>2397</v>
      </c>
      <c r="Q2111">
        <v>36</v>
      </c>
      <c r="R2111" s="8">
        <v>2.8364600000000002</v>
      </c>
      <c r="S2111">
        <v>16</v>
      </c>
      <c r="T2111" s="8">
        <f t="shared" si="228"/>
        <v>0.44444444444444442</v>
      </c>
      <c r="U2111" s="8">
        <v>2.85033</v>
      </c>
      <c r="V2111">
        <v>16</v>
      </c>
      <c r="W2111" s="8">
        <f t="shared" si="229"/>
        <v>0.44444444444444442</v>
      </c>
      <c r="X2111" s="8">
        <v>2.8275600000000001</v>
      </c>
      <c r="Y2111">
        <v>4</v>
      </c>
      <c r="Z2111" s="8">
        <f t="shared" si="230"/>
        <v>0.1111111111111111</v>
      </c>
      <c r="AA2111" s="8">
        <v>2.8165800000000001</v>
      </c>
    </row>
    <row r="2112" spans="2:27" ht="15" customHeight="1" x14ac:dyDescent="0.25">
      <c r="B2112" s="1" t="s">
        <v>597</v>
      </c>
      <c r="C2112" s="8">
        <v>-12083.3233</v>
      </c>
      <c r="D2112" s="2">
        <v>-12084.992828</v>
      </c>
      <c r="F2112" s="3">
        <v>0.996699</v>
      </c>
      <c r="G2112" s="2">
        <v>0.18990000000000001</v>
      </c>
      <c r="H2112">
        <v>4</v>
      </c>
      <c r="I2112">
        <v>9</v>
      </c>
      <c r="K2112" s="8">
        <f t="shared" si="224"/>
        <v>-0.73664615384768695</v>
      </c>
      <c r="L2112" s="8">
        <f t="shared" si="225"/>
        <v>-5.666508875751438E-2</v>
      </c>
      <c r="M2112" s="8">
        <f t="shared" si="226"/>
        <v>-0.82963523076978163</v>
      </c>
      <c r="N2112" s="8">
        <f t="shared" si="227"/>
        <v>-6.3818094674598591E-2</v>
      </c>
      <c r="O2112" s="8"/>
      <c r="P2112" t="s">
        <v>2398</v>
      </c>
      <c r="Q2112">
        <v>36</v>
      </c>
      <c r="R2112" s="8">
        <v>2.8339799999999999</v>
      </c>
      <c r="S2112">
        <v>18</v>
      </c>
      <c r="T2112" s="8">
        <f t="shared" si="228"/>
        <v>0.5</v>
      </c>
      <c r="U2112" s="8">
        <v>2.8359700000000001</v>
      </c>
      <c r="V2112">
        <v>14</v>
      </c>
      <c r="W2112" s="8">
        <f t="shared" si="229"/>
        <v>0.3888888888888889</v>
      </c>
      <c r="X2112" s="8">
        <v>2.8448600000000002</v>
      </c>
      <c r="Y2112">
        <v>4</v>
      </c>
      <c r="Z2112" s="8">
        <f t="shared" si="230"/>
        <v>0.1111111111111111</v>
      </c>
      <c r="AA2112" s="8">
        <v>2.78695</v>
      </c>
    </row>
    <row r="2113" spans="1:27" ht="15" customHeight="1" x14ac:dyDescent="0.25">
      <c r="B2113" s="1" t="s">
        <v>599</v>
      </c>
      <c r="C2113" s="8">
        <v>-12083.4413</v>
      </c>
      <c r="D2113" s="2">
        <v>-12085.059678</v>
      </c>
      <c r="F2113" s="3">
        <v>0.99596499999999999</v>
      </c>
      <c r="G2113" s="2">
        <v>0.18436999999999901</v>
      </c>
      <c r="H2113">
        <v>4</v>
      </c>
      <c r="I2113">
        <v>9</v>
      </c>
      <c r="K2113" s="8">
        <f t="shared" si="224"/>
        <v>-0.85464615384807985</v>
      </c>
      <c r="L2113" s="8">
        <f t="shared" si="225"/>
        <v>-6.5742011834467678E-2</v>
      </c>
      <c r="M2113" s="8">
        <f t="shared" si="226"/>
        <v>-0.89648523076903075</v>
      </c>
      <c r="N2113" s="8">
        <f t="shared" si="227"/>
        <v>-6.8960402366848514E-2</v>
      </c>
      <c r="O2113" s="8"/>
      <c r="P2113" t="s">
        <v>2399</v>
      </c>
      <c r="Q2113">
        <v>34</v>
      </c>
      <c r="R2113" s="8">
        <v>2.81338</v>
      </c>
      <c r="S2113">
        <v>17</v>
      </c>
      <c r="T2113" s="8">
        <f t="shared" si="228"/>
        <v>0.5</v>
      </c>
      <c r="U2113" s="8">
        <v>2.8284899999999999</v>
      </c>
      <c r="V2113">
        <v>14</v>
      </c>
      <c r="W2113" s="8">
        <f t="shared" si="229"/>
        <v>0.41176470588235292</v>
      </c>
      <c r="X2113" s="8">
        <v>2.7927200000000001</v>
      </c>
      <c r="Y2113">
        <v>3</v>
      </c>
      <c r="Z2113" s="8">
        <f t="shared" si="230"/>
        <v>8.8235294117647065E-2</v>
      </c>
      <c r="AA2113" s="8">
        <v>2.8241299999999998</v>
      </c>
    </row>
    <row r="2114" spans="1:27" ht="15" customHeight="1" x14ac:dyDescent="0.25">
      <c r="B2114" s="1" t="s">
        <v>601</v>
      </c>
      <c r="C2114" s="8">
        <v>-12083.336600000001</v>
      </c>
      <c r="D2114" s="2">
        <v>-12084.841736</v>
      </c>
      <c r="F2114" s="3">
        <v>0.99507400000000001</v>
      </c>
      <c r="G2114" s="2">
        <v>0.18164999999999901</v>
      </c>
      <c r="H2114">
        <v>4</v>
      </c>
      <c r="I2114">
        <v>9</v>
      </c>
      <c r="K2114" s="8">
        <f t="shared" si="224"/>
        <v>-0.74994615384821373</v>
      </c>
      <c r="L2114" s="8">
        <f t="shared" si="225"/>
        <v>-5.7688165680631828E-2</v>
      </c>
      <c r="M2114" s="8">
        <f t="shared" si="226"/>
        <v>-0.67854323076971923</v>
      </c>
      <c r="N2114" s="8">
        <f t="shared" si="227"/>
        <v>-5.219563313613225E-2</v>
      </c>
      <c r="O2114" s="8"/>
      <c r="P2114" t="s">
        <v>2400</v>
      </c>
      <c r="Q2114">
        <v>36</v>
      </c>
      <c r="R2114" s="8">
        <v>2.84084</v>
      </c>
      <c r="S2114">
        <v>19</v>
      </c>
      <c r="T2114" s="8">
        <f t="shared" si="228"/>
        <v>0.52777777777777779</v>
      </c>
      <c r="U2114" s="8">
        <v>2.8385099999999999</v>
      </c>
      <c r="V2114">
        <v>14</v>
      </c>
      <c r="W2114" s="8">
        <f t="shared" si="229"/>
        <v>0.3888888888888889</v>
      </c>
      <c r="X2114" s="8">
        <v>2.8709699999999998</v>
      </c>
      <c r="Y2114">
        <v>3</v>
      </c>
      <c r="Z2114" s="8">
        <f t="shared" si="230"/>
        <v>8.3333333333333329E-2</v>
      </c>
      <c r="AA2114" s="8">
        <v>2.7149700000000001</v>
      </c>
    </row>
    <row r="2115" spans="1:27" ht="15" customHeight="1" x14ac:dyDescent="0.25">
      <c r="B2115" s="1" t="s">
        <v>603</v>
      </c>
      <c r="C2115" s="8">
        <v>-12083.2685</v>
      </c>
      <c r="D2115" s="2">
        <v>-12084.742904000001</v>
      </c>
      <c r="F2115" s="3">
        <v>0.99694700000000003</v>
      </c>
      <c r="G2115" s="2">
        <v>0.18775999999999901</v>
      </c>
      <c r="H2115">
        <v>4</v>
      </c>
      <c r="I2115">
        <v>9</v>
      </c>
      <c r="K2115" s="8">
        <f t="shared" ref="K2115:K2178" si="231">IF(ISNUMBER(C2115),C2115-(($C$3-$C$2236)/($H$3-$H$2236)*H2115+$C$2236),"")</f>
        <v>-0.68184615384780045</v>
      </c>
      <c r="L2115" s="8">
        <f t="shared" ref="L2115:L2178" si="232">IF(ISNUMBER(C2115),K2115/(H2115+I2115),"")</f>
        <v>-5.2449704142138495E-2</v>
      </c>
      <c r="M2115" s="8">
        <f t="shared" ref="M2115:M2178" si="233">IF(ISNUMBER(D2115),D2115-(($D$3-$D$2236)/($H$3-$H$2236)*H2115+$D$2236),"")</f>
        <v>-0.57971123077004449</v>
      </c>
      <c r="N2115" s="8">
        <f t="shared" ref="N2115:N2178" si="234">IF(ISNUMBER(D2115),M2115/(H2115+I2115),"")</f>
        <v>-4.4593171597695727E-2</v>
      </c>
      <c r="O2115" s="8"/>
      <c r="P2115" t="s">
        <v>2401</v>
      </c>
      <c r="Q2115">
        <v>36</v>
      </c>
      <c r="R2115" s="8">
        <v>2.8324799999999999</v>
      </c>
      <c r="S2115">
        <v>19</v>
      </c>
      <c r="T2115" s="8">
        <f t="shared" ref="T2115:T2178" si="235">IF(ISNUMBER(S2115),S2115/(Q2115),"")</f>
        <v>0.52777777777777779</v>
      </c>
      <c r="U2115" s="8">
        <v>2.8487200000000001</v>
      </c>
      <c r="V2115">
        <v>14</v>
      </c>
      <c r="W2115" s="8">
        <f t="shared" ref="W2115:W2178" si="236">IF(ISNUMBER(V2115),V2115/($Q2115),"")</f>
        <v>0.3888888888888889</v>
      </c>
      <c r="X2115" s="8">
        <v>2.81488</v>
      </c>
      <c r="Y2115">
        <v>3</v>
      </c>
      <c r="Z2115" s="8">
        <f t="shared" ref="Z2115:Z2178" si="237">IF(ISNUMBER(Y2115),Y2115/($Q2115),"")</f>
        <v>8.3333333333333329E-2</v>
      </c>
      <c r="AA2115" s="8">
        <v>2.8116599999999998</v>
      </c>
    </row>
    <row r="2116" spans="1:27" ht="15" customHeight="1" x14ac:dyDescent="0.25">
      <c r="B2116" s="1" t="s">
        <v>605</v>
      </c>
      <c r="C2116" s="8">
        <v>-12083.3454</v>
      </c>
      <c r="D2116" s="2">
        <v>-12085.034739000001</v>
      </c>
      <c r="F2116" s="3">
        <v>0.99790900000000005</v>
      </c>
      <c r="G2116" s="2">
        <v>0.20746000000000001</v>
      </c>
      <c r="H2116">
        <v>4</v>
      </c>
      <c r="I2116">
        <v>9</v>
      </c>
      <c r="K2116" s="8">
        <f t="shared" si="231"/>
        <v>-0.75874615384782373</v>
      </c>
      <c r="L2116" s="8">
        <f t="shared" si="232"/>
        <v>-5.8365088757524899E-2</v>
      </c>
      <c r="M2116" s="8">
        <f t="shared" si="233"/>
        <v>-0.87154623077003635</v>
      </c>
      <c r="N2116" s="8">
        <f t="shared" si="234"/>
        <v>-6.7042017751541255E-2</v>
      </c>
      <c r="O2116" s="8"/>
      <c r="P2116" t="s">
        <v>2402</v>
      </c>
      <c r="Q2116">
        <v>36</v>
      </c>
      <c r="R2116" s="8">
        <v>2.8426300000000002</v>
      </c>
      <c r="S2116">
        <v>18</v>
      </c>
      <c r="T2116" s="8">
        <f t="shared" si="235"/>
        <v>0.5</v>
      </c>
      <c r="U2116" s="8">
        <v>2.85921</v>
      </c>
      <c r="V2116">
        <v>16</v>
      </c>
      <c r="W2116" s="8">
        <f t="shared" si="236"/>
        <v>0.44444444444444442</v>
      </c>
      <c r="X2116" s="8">
        <v>2.83819</v>
      </c>
      <c r="Y2116">
        <v>2</v>
      </c>
      <c r="Z2116" s="8">
        <f t="shared" si="237"/>
        <v>5.5555555555555552E-2</v>
      </c>
      <c r="AA2116" s="8">
        <v>2.7288399999999999</v>
      </c>
    </row>
    <row r="2117" spans="1:27" ht="15" customHeight="1" x14ac:dyDescent="0.25">
      <c r="K2117" s="8" t="str">
        <f t="shared" si="231"/>
        <v/>
      </c>
      <c r="L2117" s="8" t="str">
        <f t="shared" si="232"/>
        <v/>
      </c>
      <c r="M2117" s="8" t="str">
        <f t="shared" si="233"/>
        <v/>
      </c>
      <c r="N2117" s="8" t="str">
        <f t="shared" si="234"/>
        <v/>
      </c>
      <c r="O2117" s="8"/>
      <c r="T2117" s="8" t="str">
        <f t="shared" si="235"/>
        <v/>
      </c>
      <c r="W2117" s="8" t="str">
        <f t="shared" si="236"/>
        <v/>
      </c>
      <c r="Z2117" s="8" t="str">
        <f t="shared" si="237"/>
        <v/>
      </c>
    </row>
    <row r="2118" spans="1:27" ht="15" customHeight="1" x14ac:dyDescent="0.25">
      <c r="B2118" s="35" t="s">
        <v>1407</v>
      </c>
      <c r="C2118" s="52" t="s">
        <v>0</v>
      </c>
      <c r="D2118" s="53" t="s">
        <v>1</v>
      </c>
      <c r="E2118" s="7"/>
      <c r="F2118" s="54" t="s">
        <v>2</v>
      </c>
      <c r="G2118" s="54" t="s">
        <v>3</v>
      </c>
      <c r="H2118" s="7" t="s">
        <v>4</v>
      </c>
      <c r="I2118" s="7" t="s">
        <v>5</v>
      </c>
      <c r="K2118" s="8" t="str">
        <f t="shared" si="231"/>
        <v/>
      </c>
      <c r="L2118" s="8" t="str">
        <f t="shared" si="232"/>
        <v/>
      </c>
      <c r="M2118" s="8" t="str">
        <f t="shared" si="233"/>
        <v/>
      </c>
      <c r="N2118" s="8" t="str">
        <f t="shared" si="234"/>
        <v/>
      </c>
      <c r="O2118" s="8"/>
      <c r="T2118" s="8" t="str">
        <f t="shared" si="235"/>
        <v/>
      </c>
      <c r="W2118" s="8" t="str">
        <f t="shared" si="236"/>
        <v/>
      </c>
      <c r="Z2118" s="8" t="str">
        <f t="shared" si="237"/>
        <v/>
      </c>
    </row>
    <row r="2119" spans="1:27" ht="15" customHeight="1" x14ac:dyDescent="0.25">
      <c r="A2119" s="7" t="s">
        <v>2403</v>
      </c>
      <c r="B2119" t="s">
        <v>20</v>
      </c>
      <c r="C2119" s="8">
        <v>-11990.155199999999</v>
      </c>
      <c r="D2119" s="2">
        <v>-11991.712796</v>
      </c>
      <c r="F2119" s="3">
        <v>0.99566299999999996</v>
      </c>
      <c r="G2119" s="2">
        <v>0.18392</v>
      </c>
      <c r="H2119">
        <v>3</v>
      </c>
      <c r="I2119">
        <v>10</v>
      </c>
      <c r="K2119" s="8">
        <f t="shared" si="231"/>
        <v>-0.85388461538423144</v>
      </c>
      <c r="L2119" s="8">
        <f t="shared" si="232"/>
        <v>-6.5683431952633181E-2</v>
      </c>
      <c r="M2119" s="8">
        <f t="shared" si="233"/>
        <v>-0.78480292307540367</v>
      </c>
      <c r="N2119" s="8">
        <f t="shared" si="234"/>
        <v>-6.0369455621184898E-2</v>
      </c>
      <c r="O2119" s="8"/>
      <c r="P2119" t="s">
        <v>2404</v>
      </c>
      <c r="Q2119">
        <v>36</v>
      </c>
      <c r="R2119" s="8">
        <v>2.82633</v>
      </c>
      <c r="S2119">
        <v>18</v>
      </c>
      <c r="T2119" s="8">
        <f t="shared" si="235"/>
        <v>0.5</v>
      </c>
      <c r="U2119" s="8">
        <v>2.8165200000000001</v>
      </c>
      <c r="V2119">
        <v>16</v>
      </c>
      <c r="W2119" s="8">
        <f t="shared" si="236"/>
        <v>0.44444444444444442</v>
      </c>
      <c r="X2119" s="8">
        <v>2.8309000000000002</v>
      </c>
      <c r="Y2119">
        <v>2</v>
      </c>
      <c r="Z2119" s="8">
        <f t="shared" si="237"/>
        <v>5.5555555555555552E-2</v>
      </c>
      <c r="AA2119" s="8">
        <v>2.8780399999999999</v>
      </c>
    </row>
    <row r="2120" spans="1:27" ht="15" customHeight="1" x14ac:dyDescent="0.25">
      <c r="B2120" t="s">
        <v>24</v>
      </c>
      <c r="C2120" s="8">
        <v>-11989.1572</v>
      </c>
      <c r="D2120" s="2">
        <v>-11991.65595</v>
      </c>
      <c r="F2120" s="3">
        <v>0.99492800000000003</v>
      </c>
      <c r="G2120" s="2">
        <v>0.179259999999999</v>
      </c>
      <c r="H2120">
        <v>3</v>
      </c>
      <c r="I2120">
        <v>10</v>
      </c>
      <c r="K2120" s="8">
        <f t="shared" si="231"/>
        <v>0.14411538461536111</v>
      </c>
      <c r="L2120" s="8">
        <f t="shared" si="232"/>
        <v>1.1085798816566239E-2</v>
      </c>
      <c r="M2120" s="8">
        <f t="shared" si="233"/>
        <v>-0.72795692307590798</v>
      </c>
      <c r="N2120" s="8">
        <f t="shared" si="234"/>
        <v>-5.5996686390454457E-2</v>
      </c>
      <c r="O2120" s="8"/>
      <c r="P2120" t="s">
        <v>2405</v>
      </c>
      <c r="Q2120">
        <v>35</v>
      </c>
      <c r="R2120" s="8">
        <v>2.82653</v>
      </c>
      <c r="S2120">
        <v>19</v>
      </c>
      <c r="T2120" s="8">
        <f t="shared" si="235"/>
        <v>0.54285714285714282</v>
      </c>
      <c r="U2120" s="8">
        <v>2.79088</v>
      </c>
      <c r="V2120">
        <v>13</v>
      </c>
      <c r="W2120" s="8">
        <f t="shared" si="236"/>
        <v>0.37142857142857144</v>
      </c>
      <c r="X2120" s="8">
        <v>2.88191</v>
      </c>
      <c r="Y2120">
        <v>3</v>
      </c>
      <c r="Z2120" s="8">
        <f t="shared" si="237"/>
        <v>8.5714285714285715E-2</v>
      </c>
      <c r="AA2120" s="8">
        <v>2.8123900000000002</v>
      </c>
    </row>
    <row r="2121" spans="1:27" ht="15" customHeight="1" x14ac:dyDescent="0.25">
      <c r="B2121" t="s">
        <v>26</v>
      </c>
      <c r="C2121" s="8">
        <v>-11990.1484</v>
      </c>
      <c r="D2121" s="2">
        <v>-11991.781434</v>
      </c>
      <c r="F2121" s="3">
        <v>0.99535399999999996</v>
      </c>
      <c r="G2121" s="2">
        <v>0.18187</v>
      </c>
      <c r="H2121">
        <v>3</v>
      </c>
      <c r="I2121">
        <v>10</v>
      </c>
      <c r="K2121" s="8">
        <f t="shared" si="231"/>
        <v>-0.84708461538502888</v>
      </c>
      <c r="L2121" s="8">
        <f t="shared" si="232"/>
        <v>-6.5160355029617603E-2</v>
      </c>
      <c r="M2121" s="8">
        <f t="shared" si="233"/>
        <v>-0.85344092307605024</v>
      </c>
      <c r="N2121" s="8">
        <f t="shared" si="234"/>
        <v>-6.5649301775080784E-2</v>
      </c>
      <c r="O2121" s="8"/>
      <c r="P2121" t="s">
        <v>2406</v>
      </c>
      <c r="Q2121">
        <v>36</v>
      </c>
      <c r="R2121" s="8">
        <v>2.8364099999999999</v>
      </c>
      <c r="S2121">
        <v>18</v>
      </c>
      <c r="T2121" s="8">
        <f t="shared" si="235"/>
        <v>0.5</v>
      </c>
      <c r="U2121" s="8">
        <v>2.8000600000000002</v>
      </c>
      <c r="V2121">
        <v>16</v>
      </c>
      <c r="W2121" s="8">
        <f t="shared" si="236"/>
        <v>0.44444444444444442</v>
      </c>
      <c r="X2121" s="8">
        <v>2.8782700000000001</v>
      </c>
      <c r="Y2121">
        <v>2</v>
      </c>
      <c r="Z2121" s="8">
        <f t="shared" si="237"/>
        <v>5.5555555555555552E-2</v>
      </c>
      <c r="AA2121" s="8">
        <v>2.8287200000000001</v>
      </c>
    </row>
    <row r="2122" spans="1:27" ht="15" customHeight="1" x14ac:dyDescent="0.25">
      <c r="B2122" t="s">
        <v>28</v>
      </c>
      <c r="C2122" s="8">
        <v>-11990.222</v>
      </c>
      <c r="D2122" s="2">
        <v>-11991.891425</v>
      </c>
      <c r="F2122" s="3">
        <v>0.99773000000000001</v>
      </c>
      <c r="G2122" s="2">
        <v>0.20338999999999899</v>
      </c>
      <c r="H2122">
        <v>3</v>
      </c>
      <c r="I2122">
        <v>10</v>
      </c>
      <c r="K2122" s="8">
        <f t="shared" si="231"/>
        <v>-0.92068461538474367</v>
      </c>
      <c r="L2122" s="8">
        <f t="shared" si="232"/>
        <v>-7.082189349113413E-2</v>
      </c>
      <c r="M2122" s="8">
        <f t="shared" si="233"/>
        <v>-0.96343192307540448</v>
      </c>
      <c r="N2122" s="8">
        <f t="shared" si="234"/>
        <v>-7.4110147928877268E-2</v>
      </c>
      <c r="O2122" s="8"/>
      <c r="P2122" t="s">
        <v>2407</v>
      </c>
      <c r="Q2122">
        <v>34</v>
      </c>
      <c r="R2122" s="8">
        <v>2.8154400000000002</v>
      </c>
      <c r="S2122">
        <v>19</v>
      </c>
      <c r="T2122" s="8">
        <f t="shared" si="235"/>
        <v>0.55882352941176472</v>
      </c>
      <c r="U2122" s="8">
        <v>2.8132899999999998</v>
      </c>
      <c r="V2122">
        <v>13</v>
      </c>
      <c r="W2122" s="8">
        <f t="shared" si="236"/>
        <v>0.38235294117647056</v>
      </c>
      <c r="X2122" s="8">
        <v>2.81236</v>
      </c>
      <c r="Y2122">
        <v>2</v>
      </c>
      <c r="Z2122" s="8">
        <f t="shared" si="237"/>
        <v>5.8823529411764705E-2</v>
      </c>
      <c r="AA2122" s="8">
        <v>2.8559100000000002</v>
      </c>
    </row>
    <row r="2123" spans="1:27" ht="15" customHeight="1" x14ac:dyDescent="0.25">
      <c r="B2123" t="s">
        <v>30</v>
      </c>
      <c r="C2123" s="8">
        <v>-11990.317800000001</v>
      </c>
      <c r="D2123" s="2">
        <v>-11991.860307999999</v>
      </c>
      <c r="F2123" s="3">
        <v>0.996444</v>
      </c>
      <c r="G2123" s="2">
        <v>0.18989999999999899</v>
      </c>
      <c r="H2123">
        <v>3</v>
      </c>
      <c r="I2123">
        <v>10</v>
      </c>
      <c r="K2123" s="8">
        <f t="shared" si="231"/>
        <v>-1.016484615385707</v>
      </c>
      <c r="L2123" s="8">
        <f t="shared" si="232"/>
        <v>-7.8191124260439004E-2</v>
      </c>
      <c r="M2123" s="8">
        <f t="shared" si="233"/>
        <v>-0.932314923074955</v>
      </c>
      <c r="N2123" s="8">
        <f t="shared" si="234"/>
        <v>-7.1716532544227302E-2</v>
      </c>
      <c r="O2123" s="8"/>
      <c r="P2123" t="s">
        <v>2408</v>
      </c>
      <c r="Q2123">
        <v>35</v>
      </c>
      <c r="R2123" s="8">
        <v>2.8315999999999999</v>
      </c>
      <c r="S2123">
        <v>18</v>
      </c>
      <c r="T2123" s="8">
        <f t="shared" si="235"/>
        <v>0.51428571428571423</v>
      </c>
      <c r="U2123" s="8">
        <v>2.80402</v>
      </c>
      <c r="V2123">
        <v>16</v>
      </c>
      <c r="W2123" s="8">
        <f t="shared" si="236"/>
        <v>0.45714285714285713</v>
      </c>
      <c r="X2123" s="8">
        <v>2.8692199999999999</v>
      </c>
      <c r="Y2123">
        <v>1</v>
      </c>
      <c r="Z2123" s="8">
        <f t="shared" si="237"/>
        <v>2.8571428571428571E-2</v>
      </c>
      <c r="AA2123" s="8">
        <v>2.72614</v>
      </c>
    </row>
    <row r="2124" spans="1:27" ht="15" customHeight="1" x14ac:dyDescent="0.25">
      <c r="B2124" t="s">
        <v>38</v>
      </c>
      <c r="C2124" s="8">
        <v>-11990.1327</v>
      </c>
      <c r="D2124" s="2">
        <v>-11991.819066</v>
      </c>
      <c r="F2124" s="3">
        <v>0.997479</v>
      </c>
      <c r="G2124" s="2">
        <v>0.20021999999999901</v>
      </c>
      <c r="H2124">
        <v>3</v>
      </c>
      <c r="I2124">
        <v>10</v>
      </c>
      <c r="K2124" s="8">
        <f t="shared" si="231"/>
        <v>-0.83138461538510455</v>
      </c>
      <c r="L2124" s="8">
        <f t="shared" si="232"/>
        <v>-6.3952662721931119E-2</v>
      </c>
      <c r="M2124" s="8">
        <f t="shared" si="233"/>
        <v>-0.89107292307562602</v>
      </c>
      <c r="N2124" s="8">
        <f t="shared" si="234"/>
        <v>-6.8544071005817386E-2</v>
      </c>
      <c r="O2124" s="8"/>
      <c r="P2124" t="s">
        <v>2409</v>
      </c>
      <c r="Q2124">
        <v>34</v>
      </c>
      <c r="R2124" s="8">
        <v>2.8210000000000002</v>
      </c>
      <c r="S2124">
        <v>19</v>
      </c>
      <c r="T2124" s="8">
        <f t="shared" si="235"/>
        <v>0.55882352941176472</v>
      </c>
      <c r="U2124" s="8">
        <v>2.8312599999999999</v>
      </c>
      <c r="V2124">
        <v>14</v>
      </c>
      <c r="W2124" s="8">
        <f t="shared" si="236"/>
        <v>0.41176470588235292</v>
      </c>
      <c r="X2124" s="8">
        <v>2.8079399999999999</v>
      </c>
      <c r="Y2124">
        <v>1</v>
      </c>
      <c r="Z2124" s="8">
        <f t="shared" si="237"/>
        <v>2.9411764705882353E-2</v>
      </c>
      <c r="AA2124" s="8">
        <v>2.8087900000000001</v>
      </c>
    </row>
    <row r="2125" spans="1:27" ht="15" customHeight="1" x14ac:dyDescent="0.25">
      <c r="B2125" t="s">
        <v>40</v>
      </c>
      <c r="C2125" s="8">
        <v>-11989.9604</v>
      </c>
      <c r="D2125" s="2">
        <v>-11991.538312999999</v>
      </c>
      <c r="F2125" s="3">
        <v>0.994564</v>
      </c>
      <c r="G2125" s="2">
        <v>0.17713000000000001</v>
      </c>
      <c r="H2125">
        <v>3</v>
      </c>
      <c r="I2125">
        <v>10</v>
      </c>
      <c r="K2125" s="8">
        <f t="shared" si="231"/>
        <v>-0.65908461538492702</v>
      </c>
      <c r="L2125" s="8">
        <f t="shared" si="232"/>
        <v>-5.0698816568071306E-2</v>
      </c>
      <c r="M2125" s="8">
        <f t="shared" si="233"/>
        <v>-0.61031992307471228</v>
      </c>
      <c r="N2125" s="8">
        <f t="shared" si="234"/>
        <v>-4.6947686390362481E-2</v>
      </c>
      <c r="O2125" s="8"/>
      <c r="P2125" t="s">
        <v>2410</v>
      </c>
      <c r="Q2125">
        <v>36</v>
      </c>
      <c r="R2125" s="8">
        <v>2.8358099999999999</v>
      </c>
      <c r="S2125">
        <v>19</v>
      </c>
      <c r="T2125" s="8">
        <f t="shared" si="235"/>
        <v>0.52777777777777779</v>
      </c>
      <c r="U2125" s="8">
        <v>2.8088000000000002</v>
      </c>
      <c r="V2125">
        <v>14</v>
      </c>
      <c r="W2125" s="8">
        <f t="shared" si="236"/>
        <v>0.3888888888888889</v>
      </c>
      <c r="X2125" s="8">
        <v>2.8525999999999998</v>
      </c>
      <c r="Y2125">
        <v>3</v>
      </c>
      <c r="Z2125" s="8">
        <f t="shared" si="237"/>
        <v>8.3333333333333329E-2</v>
      </c>
      <c r="AA2125" s="8">
        <v>2.9285299999999999</v>
      </c>
    </row>
    <row r="2126" spans="1:27" ht="15" customHeight="1" x14ac:dyDescent="0.25">
      <c r="B2126" t="s">
        <v>42</v>
      </c>
      <c r="C2126" s="8">
        <v>-11990.1122</v>
      </c>
      <c r="D2126" s="2">
        <v>-11991.700069</v>
      </c>
      <c r="F2126" s="3">
        <v>0.99487400000000004</v>
      </c>
      <c r="G2126" s="2">
        <v>0.17002</v>
      </c>
      <c r="H2126">
        <v>3</v>
      </c>
      <c r="I2126">
        <v>10</v>
      </c>
      <c r="K2126" s="8">
        <f t="shared" si="231"/>
        <v>-0.81088461538456613</v>
      </c>
      <c r="L2126" s="8">
        <f t="shared" si="232"/>
        <v>-6.2375739644966628E-2</v>
      </c>
      <c r="M2126" s="8">
        <f t="shared" si="233"/>
        <v>-0.772075923076045</v>
      </c>
      <c r="N2126" s="8">
        <f t="shared" si="234"/>
        <v>-5.9390455621234232E-2</v>
      </c>
      <c r="O2126" s="8"/>
      <c r="P2126" t="s">
        <v>2411</v>
      </c>
      <c r="Q2126">
        <v>36</v>
      </c>
      <c r="R2126" s="8">
        <v>2.8324099999999999</v>
      </c>
      <c r="S2126">
        <v>18</v>
      </c>
      <c r="T2126" s="8">
        <f t="shared" si="235"/>
        <v>0.5</v>
      </c>
      <c r="U2126" s="8">
        <v>2.8054000000000001</v>
      </c>
      <c r="V2126">
        <v>16</v>
      </c>
      <c r="W2126" s="8">
        <f t="shared" si="236"/>
        <v>0.44444444444444442</v>
      </c>
      <c r="X2126" s="8">
        <v>2.8577400000000002</v>
      </c>
      <c r="Y2126">
        <v>2</v>
      </c>
      <c r="Z2126" s="8">
        <f t="shared" si="237"/>
        <v>5.5555555555555552E-2</v>
      </c>
      <c r="AA2126" s="8">
        <v>2.8727999999999998</v>
      </c>
    </row>
    <row r="2127" spans="1:27" ht="15" customHeight="1" x14ac:dyDescent="0.25">
      <c r="B2127" t="s">
        <v>44</v>
      </c>
      <c r="C2127" s="8">
        <v>-11990.0296</v>
      </c>
      <c r="D2127" s="2">
        <v>-11991.744793</v>
      </c>
      <c r="F2127" s="3">
        <v>0.99519800000000003</v>
      </c>
      <c r="G2127" s="2">
        <v>0.18087</v>
      </c>
      <c r="H2127">
        <v>3</v>
      </c>
      <c r="I2127">
        <v>10</v>
      </c>
      <c r="K2127" s="8">
        <f t="shared" si="231"/>
        <v>-0.7282846153848368</v>
      </c>
      <c r="L2127" s="8">
        <f t="shared" si="232"/>
        <v>-5.6021893491141291E-2</v>
      </c>
      <c r="M2127" s="8">
        <f t="shared" si="233"/>
        <v>-0.81679992307545035</v>
      </c>
      <c r="N2127" s="8">
        <f t="shared" si="234"/>
        <v>-6.2830763313496185E-2</v>
      </c>
      <c r="O2127" s="8"/>
      <c r="P2127" t="s">
        <v>2412</v>
      </c>
      <c r="Q2127">
        <v>34</v>
      </c>
      <c r="R2127" s="8">
        <v>2.8124400000000001</v>
      </c>
      <c r="S2127">
        <v>18</v>
      </c>
      <c r="T2127" s="8">
        <f t="shared" si="235"/>
        <v>0.52941176470588236</v>
      </c>
      <c r="U2127" s="8">
        <v>2.7985199999999999</v>
      </c>
      <c r="V2127">
        <v>14</v>
      </c>
      <c r="W2127" s="8">
        <f t="shared" si="236"/>
        <v>0.41176470588235292</v>
      </c>
      <c r="X2127" s="8">
        <v>2.8187199999999999</v>
      </c>
      <c r="Y2127">
        <v>2</v>
      </c>
      <c r="Z2127" s="8">
        <f t="shared" si="237"/>
        <v>5.8823529411764705E-2</v>
      </c>
      <c r="AA2127" s="8">
        <v>2.8938000000000001</v>
      </c>
    </row>
    <row r="2128" spans="1:27" ht="15" customHeight="1" x14ac:dyDescent="0.25">
      <c r="B2128" s="40" t="s">
        <v>46</v>
      </c>
      <c r="C2128" s="55">
        <v>-11990.157998000001</v>
      </c>
      <c r="D2128" s="41">
        <v>-11991.835843000001</v>
      </c>
      <c r="E2128" s="40"/>
      <c r="F2128" s="42">
        <v>0.99532100000000001</v>
      </c>
      <c r="G2128" s="41">
        <v>0.18164999999999901</v>
      </c>
      <c r="H2128" s="40">
        <v>3</v>
      </c>
      <c r="I2128" s="40">
        <v>10</v>
      </c>
      <c r="K2128" s="8">
        <f t="shared" si="231"/>
        <v>-0.85668261538557999</v>
      </c>
      <c r="L2128" s="8">
        <f t="shared" si="232"/>
        <v>-6.5898662721967691E-2</v>
      </c>
      <c r="M2128" s="8">
        <f t="shared" si="233"/>
        <v>-0.90784992307635548</v>
      </c>
      <c r="N2128" s="8">
        <f t="shared" si="234"/>
        <v>-6.9834609467411962E-2</v>
      </c>
      <c r="O2128" s="8"/>
      <c r="P2128" t="s">
        <v>2413</v>
      </c>
      <c r="Q2128">
        <v>35</v>
      </c>
      <c r="R2128" s="8">
        <v>2.82775</v>
      </c>
      <c r="S2128">
        <v>19</v>
      </c>
      <c r="T2128" s="8">
        <f t="shared" si="235"/>
        <v>0.54285714285714282</v>
      </c>
      <c r="U2128" s="8">
        <v>2.8092800000000002</v>
      </c>
      <c r="V2128">
        <v>14</v>
      </c>
      <c r="W2128" s="8">
        <f t="shared" si="236"/>
        <v>0.4</v>
      </c>
      <c r="X2128" s="8">
        <v>2.8420000000000001</v>
      </c>
      <c r="Y2128">
        <v>2</v>
      </c>
      <c r="Z2128" s="8">
        <f t="shared" si="237"/>
        <v>5.7142857142857141E-2</v>
      </c>
      <c r="AA2128" s="8">
        <v>2.9035700000000002</v>
      </c>
    </row>
    <row r="2129" spans="2:27" ht="15" customHeight="1" x14ac:dyDescent="0.25">
      <c r="B2129" t="s">
        <v>48</v>
      </c>
      <c r="C2129" s="8">
        <v>-11990.2582</v>
      </c>
      <c r="D2129" s="2">
        <v>-11992.079793999999</v>
      </c>
      <c r="F2129" s="3">
        <v>0.99490299999999998</v>
      </c>
      <c r="G2129" s="2">
        <v>0.17909</v>
      </c>
      <c r="H2129">
        <v>3</v>
      </c>
      <c r="I2129">
        <v>10</v>
      </c>
      <c r="K2129" s="8">
        <f t="shared" si="231"/>
        <v>-0.95688461538520642</v>
      </c>
      <c r="L2129" s="8">
        <f t="shared" si="232"/>
        <v>-7.3606508875785112E-2</v>
      </c>
      <c r="M2129" s="8">
        <f t="shared" si="233"/>
        <v>-1.1518009230749158</v>
      </c>
      <c r="N2129" s="8">
        <f t="shared" si="234"/>
        <v>-8.8600071005762754E-2</v>
      </c>
      <c r="O2129" s="8"/>
      <c r="P2129" t="s">
        <v>2414</v>
      </c>
      <c r="Q2129">
        <v>36</v>
      </c>
      <c r="R2129" s="8">
        <v>2.8397000000000001</v>
      </c>
      <c r="S2129">
        <v>17</v>
      </c>
      <c r="T2129" s="8">
        <f t="shared" si="235"/>
        <v>0.47222222222222221</v>
      </c>
      <c r="U2129" s="8">
        <v>2.8069999999999999</v>
      </c>
      <c r="V2129">
        <v>17</v>
      </c>
      <c r="W2129" s="8">
        <f t="shared" si="236"/>
        <v>0.47222222222222221</v>
      </c>
      <c r="X2129" s="8">
        <v>2.85053</v>
      </c>
      <c r="Y2129">
        <v>2</v>
      </c>
      <c r="Z2129" s="8">
        <f t="shared" si="237"/>
        <v>5.5555555555555552E-2</v>
      </c>
      <c r="AA2129" s="8">
        <v>3.0255100000000001</v>
      </c>
    </row>
    <row r="2130" spans="2:27" ht="15" customHeight="1" x14ac:dyDescent="0.25">
      <c r="B2130" t="s">
        <v>50</v>
      </c>
      <c r="C2130" s="8">
        <v>-11990.280699999999</v>
      </c>
      <c r="D2130" s="2">
        <v>-11991.963947</v>
      </c>
      <c r="F2130" s="3">
        <v>0.99535200000000001</v>
      </c>
      <c r="G2130" s="2">
        <v>0.18182999999999999</v>
      </c>
      <c r="H2130">
        <v>3</v>
      </c>
      <c r="I2130">
        <v>10</v>
      </c>
      <c r="K2130" s="8">
        <f t="shared" si="231"/>
        <v>-0.9793846153843333</v>
      </c>
      <c r="L2130" s="8">
        <f t="shared" si="232"/>
        <v>-7.5337278106487174E-2</v>
      </c>
      <c r="M2130" s="8">
        <f t="shared" si="233"/>
        <v>-1.0359539230757946</v>
      </c>
      <c r="N2130" s="8">
        <f t="shared" si="234"/>
        <v>-7.9688763313522662E-2</v>
      </c>
      <c r="O2130" s="8"/>
      <c r="P2130" t="s">
        <v>2415</v>
      </c>
      <c r="Q2130">
        <v>34</v>
      </c>
      <c r="R2130" s="8">
        <v>2.8174899999999998</v>
      </c>
      <c r="S2130">
        <v>17</v>
      </c>
      <c r="T2130" s="8">
        <f t="shared" si="235"/>
        <v>0.5</v>
      </c>
      <c r="U2130" s="8">
        <v>2.8038400000000001</v>
      </c>
      <c r="V2130">
        <v>16</v>
      </c>
      <c r="W2130" s="8">
        <f t="shared" si="236"/>
        <v>0.47058823529411764</v>
      </c>
      <c r="X2130" s="8">
        <v>2.8241499999999999</v>
      </c>
      <c r="Y2130">
        <v>1</v>
      </c>
      <c r="Z2130" s="8">
        <f t="shared" si="237"/>
        <v>2.9411764705882353E-2</v>
      </c>
      <c r="AA2130" s="8">
        <v>2.94278</v>
      </c>
    </row>
    <row r="2131" spans="2:27" ht="15" customHeight="1" x14ac:dyDescent="0.25">
      <c r="B2131" t="s">
        <v>52</v>
      </c>
      <c r="C2131" s="8">
        <v>-11990.3405</v>
      </c>
      <c r="D2131" s="2">
        <v>-11992.02471</v>
      </c>
      <c r="F2131" s="3">
        <v>0.99595100000000003</v>
      </c>
      <c r="G2131" s="2">
        <v>0.185919999999999</v>
      </c>
      <c r="H2131">
        <v>3</v>
      </c>
      <c r="I2131">
        <v>10</v>
      </c>
      <c r="K2131" s="8">
        <f t="shared" si="231"/>
        <v>-1.0391846153852384</v>
      </c>
      <c r="L2131" s="8">
        <f t="shared" si="232"/>
        <v>-7.9937278106556806E-2</v>
      </c>
      <c r="M2131" s="8">
        <f t="shared" si="233"/>
        <v>-1.0967169230752916</v>
      </c>
      <c r="N2131" s="8">
        <f t="shared" si="234"/>
        <v>-8.436284023656089E-2</v>
      </c>
      <c r="O2131" s="8"/>
      <c r="P2131" t="s">
        <v>2416</v>
      </c>
      <c r="Q2131">
        <v>34</v>
      </c>
      <c r="R2131" s="8">
        <v>2.8126500000000001</v>
      </c>
      <c r="S2131">
        <v>18</v>
      </c>
      <c r="T2131" s="8">
        <f t="shared" si="235"/>
        <v>0.52941176470588236</v>
      </c>
      <c r="U2131" s="8">
        <v>2.79956</v>
      </c>
      <c r="V2131">
        <v>15</v>
      </c>
      <c r="W2131" s="8">
        <f t="shared" si="236"/>
        <v>0.44117647058823528</v>
      </c>
      <c r="X2131" s="8">
        <v>2.8269799999999998</v>
      </c>
      <c r="Y2131">
        <v>1</v>
      </c>
      <c r="Z2131" s="8">
        <f t="shared" si="237"/>
        <v>2.9411764705882353E-2</v>
      </c>
      <c r="AA2131" s="8">
        <v>2.8333599999999999</v>
      </c>
    </row>
    <row r="2132" spans="2:27" ht="15" customHeight="1" x14ac:dyDescent="0.25">
      <c r="B2132" t="s">
        <v>54</v>
      </c>
      <c r="C2132" s="8">
        <v>-11990.020500000001</v>
      </c>
      <c r="D2132" s="2">
        <v>-11991.611448</v>
      </c>
      <c r="F2132" s="3">
        <v>0.99493500000000001</v>
      </c>
      <c r="G2132" s="2">
        <v>0.179279999999999</v>
      </c>
      <c r="H2132">
        <v>3</v>
      </c>
      <c r="I2132">
        <v>10</v>
      </c>
      <c r="K2132" s="8">
        <f t="shared" si="231"/>
        <v>-0.71918461538552947</v>
      </c>
      <c r="L2132" s="8">
        <f t="shared" si="232"/>
        <v>-5.5321893491194575E-2</v>
      </c>
      <c r="M2132" s="8">
        <f t="shared" si="233"/>
        <v>-0.68345492307526001</v>
      </c>
      <c r="N2132" s="8">
        <f t="shared" si="234"/>
        <v>-5.2573455621173847E-2</v>
      </c>
      <c r="O2132" s="8"/>
      <c r="P2132" t="s">
        <v>2417</v>
      </c>
      <c r="Q2132">
        <v>34</v>
      </c>
      <c r="R2132" s="8">
        <v>2.8130099999999998</v>
      </c>
      <c r="S2132">
        <v>21</v>
      </c>
      <c r="T2132" s="8">
        <f t="shared" si="235"/>
        <v>0.61764705882352944</v>
      </c>
      <c r="U2132" s="8">
        <v>2.8212100000000002</v>
      </c>
      <c r="V2132">
        <v>12</v>
      </c>
      <c r="W2132" s="8">
        <f t="shared" si="236"/>
        <v>0.35294117647058826</v>
      </c>
      <c r="X2132" s="8">
        <v>2.7944900000000001</v>
      </c>
      <c r="Y2132">
        <v>1</v>
      </c>
      <c r="Z2132" s="8">
        <f t="shared" si="237"/>
        <v>2.9411764705882353E-2</v>
      </c>
      <c r="AA2132" s="8">
        <v>2.8632300000000002</v>
      </c>
    </row>
    <row r="2133" spans="2:27" ht="15" customHeight="1" x14ac:dyDescent="0.25">
      <c r="B2133" t="s">
        <v>56</v>
      </c>
      <c r="C2133" s="8">
        <v>-11990.1531</v>
      </c>
      <c r="D2133" s="2">
        <v>-11991.849012999999</v>
      </c>
      <c r="F2133" s="3">
        <v>0.99344500000000002</v>
      </c>
      <c r="G2133" s="2">
        <v>0.17151</v>
      </c>
      <c r="H2133">
        <v>3</v>
      </c>
      <c r="I2133">
        <v>10</v>
      </c>
      <c r="K2133" s="8">
        <f t="shared" si="231"/>
        <v>-0.85178461538453121</v>
      </c>
      <c r="L2133" s="8">
        <f t="shared" si="232"/>
        <v>-6.5521893491117783E-2</v>
      </c>
      <c r="M2133" s="8">
        <f t="shared" si="233"/>
        <v>-0.92101992307470937</v>
      </c>
      <c r="N2133" s="8">
        <f t="shared" si="234"/>
        <v>-7.0847686390362263E-2</v>
      </c>
      <c r="O2133" s="8"/>
      <c r="P2133" t="s">
        <v>2418</v>
      </c>
      <c r="Q2133">
        <v>34</v>
      </c>
      <c r="R2133" s="8">
        <v>2.8127599999999999</v>
      </c>
      <c r="S2133">
        <v>19</v>
      </c>
      <c r="T2133" s="8">
        <f t="shared" si="235"/>
        <v>0.55882352941176472</v>
      </c>
      <c r="U2133" s="8">
        <v>2.8063799999999999</v>
      </c>
      <c r="V2133">
        <v>14</v>
      </c>
      <c r="W2133" s="8">
        <f t="shared" si="236"/>
        <v>0.41176470588235292</v>
      </c>
      <c r="X2133" s="8">
        <v>2.8178800000000002</v>
      </c>
      <c r="Y2133">
        <v>1</v>
      </c>
      <c r="Z2133" s="8">
        <f t="shared" si="237"/>
        <v>2.9411764705882353E-2</v>
      </c>
      <c r="AA2133" s="8">
        <v>2.8622800000000002</v>
      </c>
    </row>
    <row r="2134" spans="2:27" ht="15" customHeight="1" x14ac:dyDescent="0.25">
      <c r="B2134" s="7" t="s">
        <v>58</v>
      </c>
      <c r="C2134" s="5">
        <v>-11990.430700000001</v>
      </c>
      <c r="D2134" s="23">
        <v>-11991.939754000001</v>
      </c>
      <c r="E2134" s="7"/>
      <c r="F2134" s="34">
        <v>0.997664</v>
      </c>
      <c r="G2134" s="23">
        <v>0.20238999999999999</v>
      </c>
      <c r="H2134" s="7">
        <v>3</v>
      </c>
      <c r="I2134" s="7">
        <v>10</v>
      </c>
      <c r="K2134" s="8">
        <f t="shared" si="231"/>
        <v>-1.1293846153857885</v>
      </c>
      <c r="L2134" s="8">
        <f t="shared" si="232"/>
        <v>-8.6875739645060651E-2</v>
      </c>
      <c r="M2134" s="8">
        <f t="shared" si="233"/>
        <v>-1.0117609230765083</v>
      </c>
      <c r="N2134" s="8">
        <f t="shared" si="234"/>
        <v>-7.7827763313577561E-2</v>
      </c>
      <c r="O2134" s="8"/>
      <c r="P2134" t="s">
        <v>2419</v>
      </c>
      <c r="Q2134">
        <v>34</v>
      </c>
      <c r="R2134" s="8">
        <v>2.8199000000000001</v>
      </c>
      <c r="S2134">
        <v>17</v>
      </c>
      <c r="T2134" s="8">
        <f t="shared" si="235"/>
        <v>0.5</v>
      </c>
      <c r="U2134" s="8">
        <v>2.7934700000000001</v>
      </c>
      <c r="V2134">
        <v>16</v>
      </c>
      <c r="W2134" s="8">
        <f t="shared" si="236"/>
        <v>0.47058823529411764</v>
      </c>
      <c r="X2134" s="8">
        <v>2.84999</v>
      </c>
      <c r="Y2134">
        <v>1</v>
      </c>
      <c r="Z2134" s="8">
        <f t="shared" si="237"/>
        <v>2.9411764705882353E-2</v>
      </c>
      <c r="AA2134" s="8">
        <v>2.7877299999999998</v>
      </c>
    </row>
    <row r="2135" spans="2:27" ht="15" customHeight="1" x14ac:dyDescent="0.25">
      <c r="B2135" t="s">
        <v>60</v>
      </c>
      <c r="C2135" s="8">
        <v>-11990.370800000001</v>
      </c>
      <c r="D2135" s="2">
        <v>-11991.874005</v>
      </c>
      <c r="F2135" s="3">
        <v>0.99630200000000002</v>
      </c>
      <c r="G2135" s="2">
        <v>0.18879000000000001</v>
      </c>
      <c r="H2135">
        <v>3</v>
      </c>
      <c r="I2135">
        <v>10</v>
      </c>
      <c r="K2135" s="8">
        <f t="shared" si="231"/>
        <v>-1.0694846153855906</v>
      </c>
      <c r="L2135" s="8">
        <f t="shared" si="232"/>
        <v>-8.2268047337353128E-2</v>
      </c>
      <c r="M2135" s="8">
        <f t="shared" si="233"/>
        <v>-0.94601192307527526</v>
      </c>
      <c r="N2135" s="8">
        <f t="shared" si="234"/>
        <v>-7.2770147928867324E-2</v>
      </c>
      <c r="O2135" s="8"/>
      <c r="P2135" t="s">
        <v>2420</v>
      </c>
      <c r="Q2135">
        <v>34</v>
      </c>
      <c r="R2135" s="8">
        <v>2.8207</v>
      </c>
      <c r="S2135">
        <v>17</v>
      </c>
      <c r="T2135" s="8">
        <f t="shared" si="235"/>
        <v>0.5</v>
      </c>
      <c r="U2135" s="8">
        <v>2.8072499999999998</v>
      </c>
      <c r="V2135">
        <v>16</v>
      </c>
      <c r="W2135" s="8">
        <f t="shared" si="236"/>
        <v>0.47058823529411764</v>
      </c>
      <c r="X2135" s="8">
        <v>2.8301699999999999</v>
      </c>
      <c r="Y2135">
        <v>1</v>
      </c>
      <c r="Z2135" s="8">
        <f t="shared" si="237"/>
        <v>2.9411764705882353E-2</v>
      </c>
      <c r="AA2135" s="8">
        <v>2.89785</v>
      </c>
    </row>
    <row r="2136" spans="2:27" ht="15" customHeight="1" x14ac:dyDescent="0.25">
      <c r="B2136" t="s">
        <v>62</v>
      </c>
      <c r="C2136" s="8">
        <v>-11990.3958</v>
      </c>
      <c r="D2136" s="2">
        <v>-11992.069019</v>
      </c>
      <c r="F2136" s="3">
        <v>0.99652300000000005</v>
      </c>
      <c r="G2136" s="2">
        <v>0.190609999999999</v>
      </c>
      <c r="H2136">
        <v>3</v>
      </c>
      <c r="I2136">
        <v>10</v>
      </c>
      <c r="K2136" s="8">
        <f t="shared" si="231"/>
        <v>-1.0944846153852268</v>
      </c>
      <c r="L2136" s="8">
        <f t="shared" si="232"/>
        <v>-8.4191124260402067E-2</v>
      </c>
      <c r="M2136" s="8">
        <f t="shared" si="233"/>
        <v>-1.1410259230760857</v>
      </c>
      <c r="N2136" s="8">
        <f t="shared" si="234"/>
        <v>-8.7771224852006599E-2</v>
      </c>
      <c r="O2136" s="8"/>
      <c r="P2136" t="s">
        <v>2421</v>
      </c>
      <c r="Q2136">
        <v>34</v>
      </c>
      <c r="R2136" s="8">
        <v>2.8147099999999998</v>
      </c>
      <c r="S2136">
        <v>17</v>
      </c>
      <c r="T2136" s="8">
        <f t="shared" si="235"/>
        <v>0.5</v>
      </c>
      <c r="U2136" s="8">
        <v>2.80057</v>
      </c>
      <c r="V2136">
        <v>17</v>
      </c>
      <c r="W2136" s="8">
        <f t="shared" si="236"/>
        <v>0.5</v>
      </c>
      <c r="X2136" s="8">
        <v>2.82884</v>
      </c>
      <c r="Y2136">
        <v>0</v>
      </c>
      <c r="Z2136" s="8">
        <f t="shared" si="237"/>
        <v>0</v>
      </c>
      <c r="AA2136" s="8">
        <v>0</v>
      </c>
    </row>
    <row r="2137" spans="2:27" ht="15" customHeight="1" x14ac:dyDescent="0.25">
      <c r="B2137" t="s">
        <v>64</v>
      </c>
      <c r="C2137" s="8">
        <v>-11990.242099999999</v>
      </c>
      <c r="D2137" s="2">
        <v>-11991.928338</v>
      </c>
      <c r="F2137" s="3">
        <v>0.99656299999999998</v>
      </c>
      <c r="G2137" s="2">
        <v>0.19089999999999999</v>
      </c>
      <c r="H2137">
        <v>3</v>
      </c>
      <c r="I2137">
        <v>10</v>
      </c>
      <c r="K2137" s="8">
        <f t="shared" si="231"/>
        <v>-0.940784615384473</v>
      </c>
      <c r="L2137" s="8">
        <f t="shared" si="232"/>
        <v>-7.236804733726715E-2</v>
      </c>
      <c r="M2137" s="8">
        <f t="shared" si="233"/>
        <v>-1.0003449230753176</v>
      </c>
      <c r="N2137" s="8">
        <f t="shared" si="234"/>
        <v>-7.694960946733212E-2</v>
      </c>
      <c r="O2137" s="8"/>
      <c r="P2137" t="s">
        <v>2422</v>
      </c>
      <c r="Q2137">
        <v>34</v>
      </c>
      <c r="R2137" s="8">
        <v>2.8155199999999998</v>
      </c>
      <c r="S2137">
        <v>19</v>
      </c>
      <c r="T2137" s="8">
        <f t="shared" si="235"/>
        <v>0.55882352941176472</v>
      </c>
      <c r="U2137" s="8">
        <v>2.8105799999999999</v>
      </c>
      <c r="V2137">
        <v>14</v>
      </c>
      <c r="W2137" s="8">
        <f t="shared" si="236"/>
        <v>0.41176470588235292</v>
      </c>
      <c r="X2137" s="8">
        <v>2.8204899999999999</v>
      </c>
      <c r="Y2137">
        <v>1</v>
      </c>
      <c r="Z2137" s="8">
        <f t="shared" si="237"/>
        <v>2.9411764705882353E-2</v>
      </c>
      <c r="AA2137" s="8">
        <v>2.8400400000000001</v>
      </c>
    </row>
    <row r="2138" spans="2:27" ht="15" customHeight="1" x14ac:dyDescent="0.25">
      <c r="B2138" t="s">
        <v>66</v>
      </c>
      <c r="C2138" s="8">
        <v>-11990.3454</v>
      </c>
      <c r="D2138" s="2">
        <v>-11992.017846000001</v>
      </c>
      <c r="F2138" s="3">
        <v>0.99740499999999999</v>
      </c>
      <c r="G2138" s="2">
        <v>0.19938</v>
      </c>
      <c r="H2138">
        <v>3</v>
      </c>
      <c r="I2138">
        <v>10</v>
      </c>
      <c r="K2138" s="8">
        <f t="shared" si="231"/>
        <v>-1.0440846153851453</v>
      </c>
      <c r="L2138" s="8">
        <f t="shared" si="232"/>
        <v>-8.0314201183472711E-2</v>
      </c>
      <c r="M2138" s="8">
        <f t="shared" si="233"/>
        <v>-1.0898529230762506</v>
      </c>
      <c r="N2138" s="8">
        <f t="shared" si="234"/>
        <v>-8.3834840236634664E-2</v>
      </c>
      <c r="O2138" s="8"/>
      <c r="P2138" t="s">
        <v>2423</v>
      </c>
      <c r="Q2138">
        <v>33</v>
      </c>
      <c r="R2138" s="8">
        <v>2.8094100000000002</v>
      </c>
      <c r="S2138">
        <v>17</v>
      </c>
      <c r="T2138" s="8">
        <f t="shared" si="235"/>
        <v>0.51515151515151514</v>
      </c>
      <c r="U2138" s="8">
        <v>2.80158</v>
      </c>
      <c r="V2138">
        <v>16</v>
      </c>
      <c r="W2138" s="8">
        <f t="shared" si="236"/>
        <v>0.48484848484848486</v>
      </c>
      <c r="X2138" s="8">
        <v>2.8177300000000001</v>
      </c>
      <c r="Y2138">
        <v>0</v>
      </c>
      <c r="Z2138" s="8">
        <f t="shared" si="237"/>
        <v>0</v>
      </c>
      <c r="AA2138" s="8">
        <v>0</v>
      </c>
    </row>
    <row r="2139" spans="2:27" ht="15" customHeight="1" x14ac:dyDescent="0.25">
      <c r="B2139" t="s">
        <v>68</v>
      </c>
      <c r="C2139" s="8">
        <v>-11990.1767</v>
      </c>
      <c r="D2139" s="2">
        <v>-11991.722721</v>
      </c>
      <c r="F2139" s="3">
        <v>0.99307299999999998</v>
      </c>
      <c r="G2139" s="2">
        <v>0.16977</v>
      </c>
      <c r="H2139">
        <v>3</v>
      </c>
      <c r="I2139">
        <v>10</v>
      </c>
      <c r="K2139" s="8">
        <f t="shared" si="231"/>
        <v>-0.87538461538497359</v>
      </c>
      <c r="L2139" s="8">
        <f t="shared" si="232"/>
        <v>-6.7337278106536433E-2</v>
      </c>
      <c r="M2139" s="8">
        <f t="shared" si="233"/>
        <v>-0.79472792307569762</v>
      </c>
      <c r="N2139" s="8">
        <f t="shared" si="234"/>
        <v>-6.1132917159669051E-2</v>
      </c>
      <c r="O2139" s="8"/>
      <c r="P2139" t="s">
        <v>2424</v>
      </c>
      <c r="Q2139">
        <v>32</v>
      </c>
      <c r="R2139" s="8">
        <v>2.7971699999999999</v>
      </c>
      <c r="S2139">
        <v>18</v>
      </c>
      <c r="T2139" s="8">
        <f t="shared" si="235"/>
        <v>0.5625</v>
      </c>
      <c r="U2139" s="8">
        <v>2.7974199999999998</v>
      </c>
      <c r="V2139">
        <v>14</v>
      </c>
      <c r="W2139" s="8">
        <f t="shared" si="236"/>
        <v>0.4375</v>
      </c>
      <c r="X2139" s="8">
        <v>2.79684</v>
      </c>
      <c r="Y2139">
        <v>0</v>
      </c>
      <c r="Z2139" s="8">
        <f t="shared" si="237"/>
        <v>0</v>
      </c>
      <c r="AA2139" s="8">
        <v>0</v>
      </c>
    </row>
    <row r="2140" spans="2:27" ht="15" customHeight="1" x14ac:dyDescent="0.25">
      <c r="B2140" t="s">
        <v>70</v>
      </c>
      <c r="C2140" s="8">
        <v>-11989.923699999999</v>
      </c>
      <c r="D2140" s="2">
        <v>-11991.947989</v>
      </c>
      <c r="F2140" s="3">
        <v>0.99696700000000005</v>
      </c>
      <c r="G2140" s="2">
        <v>0.19470999999999899</v>
      </c>
      <c r="H2140">
        <v>3</v>
      </c>
      <c r="I2140">
        <v>10</v>
      </c>
      <c r="K2140" s="8">
        <f t="shared" si="231"/>
        <v>-0.62238461538436241</v>
      </c>
      <c r="L2140" s="8">
        <f t="shared" si="232"/>
        <v>-4.7875739644950954E-2</v>
      </c>
      <c r="M2140" s="8">
        <f t="shared" si="233"/>
        <v>-1.0199959230758395</v>
      </c>
      <c r="N2140" s="8">
        <f t="shared" si="234"/>
        <v>-7.8461224851987657E-2</v>
      </c>
      <c r="O2140" s="8"/>
      <c r="P2140" t="s">
        <v>2425</v>
      </c>
      <c r="Q2140">
        <v>36</v>
      </c>
      <c r="R2140" s="8">
        <v>2.8275299999999999</v>
      </c>
      <c r="S2140">
        <v>22</v>
      </c>
      <c r="T2140" s="8">
        <f t="shared" si="235"/>
        <v>0.61111111111111116</v>
      </c>
      <c r="U2140" s="8">
        <v>2.8393600000000001</v>
      </c>
      <c r="V2140">
        <v>13</v>
      </c>
      <c r="W2140" s="8">
        <f t="shared" si="236"/>
        <v>0.3611111111111111</v>
      </c>
      <c r="X2140" s="8">
        <v>2.80755</v>
      </c>
      <c r="Y2140">
        <v>1</v>
      </c>
      <c r="Z2140" s="8">
        <f t="shared" si="237"/>
        <v>2.7777777777777776E-2</v>
      </c>
      <c r="AA2140" s="8">
        <v>2.8271000000000002</v>
      </c>
    </row>
    <row r="2141" spans="2:27" ht="15" customHeight="1" x14ac:dyDescent="0.25">
      <c r="B2141" t="s">
        <v>72</v>
      </c>
      <c r="C2141" s="8">
        <v>-11990.028899999999</v>
      </c>
      <c r="D2141" s="2">
        <v>-11991.995874</v>
      </c>
      <c r="F2141" s="3">
        <v>0.99360800000000005</v>
      </c>
      <c r="G2141" s="2">
        <v>0.17230000000000001</v>
      </c>
      <c r="H2141">
        <v>3</v>
      </c>
      <c r="I2141">
        <v>10</v>
      </c>
      <c r="K2141" s="8">
        <f t="shared" si="231"/>
        <v>-0.72758461538433039</v>
      </c>
      <c r="L2141" s="8">
        <f t="shared" si="232"/>
        <v>-5.5968047337256181E-2</v>
      </c>
      <c r="M2141" s="8">
        <f t="shared" si="233"/>
        <v>-1.0678809230757906</v>
      </c>
      <c r="N2141" s="8">
        <f t="shared" si="234"/>
        <v>-8.2144686390445434E-2</v>
      </c>
      <c r="O2141" s="8"/>
      <c r="P2141" t="s">
        <v>2426</v>
      </c>
      <c r="Q2141">
        <v>36</v>
      </c>
      <c r="R2141" s="8">
        <v>2.8304999999999998</v>
      </c>
      <c r="S2141">
        <v>21</v>
      </c>
      <c r="T2141" s="8">
        <f t="shared" si="235"/>
        <v>0.58333333333333337</v>
      </c>
      <c r="U2141" s="8">
        <v>2.84504</v>
      </c>
      <c r="V2141">
        <v>14</v>
      </c>
      <c r="W2141" s="8">
        <f t="shared" si="236"/>
        <v>0.3888888888888889</v>
      </c>
      <c r="X2141" s="8">
        <v>2.8064100000000001</v>
      </c>
      <c r="Y2141">
        <v>1</v>
      </c>
      <c r="Z2141" s="8">
        <f t="shared" si="237"/>
        <v>2.7777777777777776E-2</v>
      </c>
      <c r="AA2141" s="8">
        <v>2.8620800000000002</v>
      </c>
    </row>
    <row r="2142" spans="2:27" ht="15" customHeight="1" x14ac:dyDescent="0.25">
      <c r="B2142" t="s">
        <v>74</v>
      </c>
      <c r="C2142" s="8">
        <v>-11989.8884</v>
      </c>
      <c r="D2142" s="2">
        <v>-11991.475308999999</v>
      </c>
      <c r="F2142" s="3">
        <v>0.99463599999999996</v>
      </c>
      <c r="G2142" s="2">
        <v>0.17752999999999999</v>
      </c>
      <c r="H2142">
        <v>3</v>
      </c>
      <c r="I2142">
        <v>10</v>
      </c>
      <c r="K2142" s="8">
        <f t="shared" si="231"/>
        <v>-0.5870846153848106</v>
      </c>
      <c r="L2142" s="8">
        <f t="shared" si="232"/>
        <v>-4.5160355029600814E-2</v>
      </c>
      <c r="M2142" s="8">
        <f t="shared" si="233"/>
        <v>-0.54731592307507526</v>
      </c>
      <c r="N2142" s="8">
        <f t="shared" si="234"/>
        <v>-4.2101224851928867E-2</v>
      </c>
      <c r="O2142" s="8"/>
      <c r="P2142" t="s">
        <v>2427</v>
      </c>
      <c r="Q2142">
        <v>36</v>
      </c>
      <c r="R2142" s="8">
        <v>2.8294899999999998</v>
      </c>
      <c r="S2142">
        <v>22</v>
      </c>
      <c r="T2142" s="8">
        <f t="shared" si="235"/>
        <v>0.61111111111111116</v>
      </c>
      <c r="U2142" s="8">
        <v>2.8617599999999999</v>
      </c>
      <c r="V2142">
        <v>14</v>
      </c>
      <c r="W2142" s="8">
        <f t="shared" si="236"/>
        <v>0.3888888888888889</v>
      </c>
      <c r="X2142" s="8">
        <v>2.7787799999999998</v>
      </c>
      <c r="Y2142">
        <v>0</v>
      </c>
      <c r="Z2142" s="8">
        <f t="shared" si="237"/>
        <v>0</v>
      </c>
      <c r="AA2142" s="8">
        <v>0</v>
      </c>
    </row>
    <row r="2143" spans="2:27" ht="15" customHeight="1" x14ac:dyDescent="0.25">
      <c r="B2143" t="s">
        <v>76</v>
      </c>
      <c r="C2143" s="8">
        <v>-11989.717500000001</v>
      </c>
      <c r="D2143" s="2">
        <v>-11992.024126</v>
      </c>
      <c r="F2143" s="3">
        <v>0.99648099999999995</v>
      </c>
      <c r="G2143" s="2">
        <v>0.19026000000000001</v>
      </c>
      <c r="H2143">
        <v>3</v>
      </c>
      <c r="I2143">
        <v>10</v>
      </c>
      <c r="K2143" s="8">
        <f t="shared" si="231"/>
        <v>-0.41618461538564588</v>
      </c>
      <c r="L2143" s="8">
        <f t="shared" si="232"/>
        <v>-3.2014201183511219E-2</v>
      </c>
      <c r="M2143" s="8">
        <f t="shared" si="233"/>
        <v>-1.0961329230758565</v>
      </c>
      <c r="N2143" s="8">
        <f t="shared" si="234"/>
        <v>-8.4317917159681274E-2</v>
      </c>
      <c r="O2143" s="8"/>
      <c r="P2143" t="s">
        <v>2428</v>
      </c>
      <c r="Q2143">
        <v>36</v>
      </c>
      <c r="R2143" s="8">
        <v>2.83283</v>
      </c>
      <c r="S2143">
        <v>23</v>
      </c>
      <c r="T2143" s="8">
        <f t="shared" si="235"/>
        <v>0.63888888888888884</v>
      </c>
      <c r="U2143" s="8">
        <v>2.8443000000000001</v>
      </c>
      <c r="V2143">
        <v>11</v>
      </c>
      <c r="W2143" s="8">
        <f t="shared" si="236"/>
        <v>0.30555555555555558</v>
      </c>
      <c r="X2143" s="8">
        <v>2.7963499999999999</v>
      </c>
      <c r="Y2143">
        <v>2</v>
      </c>
      <c r="Z2143" s="8">
        <f t="shared" si="237"/>
        <v>5.5555555555555552E-2</v>
      </c>
      <c r="AA2143" s="8">
        <v>2.9014600000000002</v>
      </c>
    </row>
    <row r="2144" spans="2:27" ht="15" customHeight="1" x14ac:dyDescent="0.25">
      <c r="B2144" t="s">
        <v>180</v>
      </c>
      <c r="C2144" s="8">
        <v>-11989.7749</v>
      </c>
      <c r="D2144" s="2">
        <v>-11991.905898999999</v>
      </c>
      <c r="F2144" s="3">
        <v>0.99654799999999999</v>
      </c>
      <c r="G2144" s="2">
        <v>0.19073000000000001</v>
      </c>
      <c r="H2144">
        <v>3</v>
      </c>
      <c r="I2144">
        <v>10</v>
      </c>
      <c r="K2144" s="8">
        <f t="shared" si="231"/>
        <v>-0.47358461538533447</v>
      </c>
      <c r="L2144" s="8">
        <f t="shared" si="232"/>
        <v>-3.6429585798871886E-2</v>
      </c>
      <c r="M2144" s="8">
        <f t="shared" si="233"/>
        <v>-0.97790592307501356</v>
      </c>
      <c r="N2144" s="8">
        <f t="shared" si="234"/>
        <v>-7.5223532544231808E-2</v>
      </c>
      <c r="O2144" s="8"/>
      <c r="P2144" t="s">
        <v>2429</v>
      </c>
      <c r="Q2144">
        <v>36</v>
      </c>
      <c r="R2144" s="8">
        <v>2.8267199999999999</v>
      </c>
      <c r="S2144">
        <v>23</v>
      </c>
      <c r="T2144" s="8">
        <f t="shared" si="235"/>
        <v>0.63888888888888884</v>
      </c>
      <c r="U2144" s="8">
        <v>2.8316599999999998</v>
      </c>
      <c r="V2144">
        <v>11</v>
      </c>
      <c r="W2144" s="8">
        <f t="shared" si="236"/>
        <v>0.30555555555555558</v>
      </c>
      <c r="X2144" s="8">
        <v>2.8229600000000001</v>
      </c>
      <c r="Y2144">
        <v>2</v>
      </c>
      <c r="Z2144" s="8">
        <f t="shared" si="237"/>
        <v>5.5555555555555552E-2</v>
      </c>
      <c r="AA2144" s="8">
        <v>2.7907199999999999</v>
      </c>
    </row>
    <row r="2145" spans="2:27" ht="15" customHeight="1" x14ac:dyDescent="0.25">
      <c r="B2145" t="s">
        <v>150</v>
      </c>
      <c r="C2145" s="8">
        <v>-11989.764800000001</v>
      </c>
      <c r="D2145" s="2">
        <v>-11991.774147</v>
      </c>
      <c r="F2145" s="3">
        <v>0.99551800000000001</v>
      </c>
      <c r="G2145" s="2">
        <v>0.18290999999999899</v>
      </c>
      <c r="H2145">
        <v>3</v>
      </c>
      <c r="I2145">
        <v>10</v>
      </c>
      <c r="K2145" s="8">
        <f t="shared" si="231"/>
        <v>-0.46348461538582342</v>
      </c>
      <c r="L2145" s="8">
        <f t="shared" si="232"/>
        <v>-3.5652662721986417E-2</v>
      </c>
      <c r="M2145" s="8">
        <f t="shared" si="233"/>
        <v>-0.84615392307568982</v>
      </c>
      <c r="N2145" s="8">
        <f t="shared" si="234"/>
        <v>-6.5088763313514597E-2</v>
      </c>
      <c r="O2145" s="8"/>
      <c r="P2145" t="s">
        <v>2430</v>
      </c>
      <c r="Q2145">
        <v>36</v>
      </c>
      <c r="R2145" s="8">
        <v>2.8321700000000001</v>
      </c>
      <c r="S2145">
        <v>22</v>
      </c>
      <c r="T2145" s="8">
        <f t="shared" si="235"/>
        <v>0.61111111111111116</v>
      </c>
      <c r="U2145" s="8">
        <v>2.8447399999999998</v>
      </c>
      <c r="V2145">
        <v>13</v>
      </c>
      <c r="W2145" s="8">
        <f t="shared" si="236"/>
        <v>0.3611111111111111</v>
      </c>
      <c r="X2145" s="8">
        <v>2.8130799999999998</v>
      </c>
      <c r="Y2145">
        <v>1</v>
      </c>
      <c r="Z2145" s="8">
        <f t="shared" si="237"/>
        <v>2.7777777777777776E-2</v>
      </c>
      <c r="AA2145" s="8">
        <v>2.8036699999999999</v>
      </c>
    </row>
    <row r="2146" spans="2:27" ht="15" customHeight="1" x14ac:dyDescent="0.25">
      <c r="B2146" t="s">
        <v>230</v>
      </c>
      <c r="C2146" s="8">
        <v>-11989.737300000001</v>
      </c>
      <c r="D2146" s="2">
        <v>-11991.848043</v>
      </c>
      <c r="F2146" s="3">
        <v>0.994367</v>
      </c>
      <c r="G2146" s="2">
        <v>0.17607999999999899</v>
      </c>
      <c r="H2146">
        <v>3</v>
      </c>
      <c r="I2146">
        <v>10</v>
      </c>
      <c r="K2146" s="8">
        <f t="shared" si="231"/>
        <v>-0.4359846153856779</v>
      </c>
      <c r="L2146" s="8">
        <f t="shared" si="232"/>
        <v>-3.3537278106590608E-2</v>
      </c>
      <c r="M2146" s="8">
        <f t="shared" si="233"/>
        <v>-0.92004992307556677</v>
      </c>
      <c r="N2146" s="8">
        <f t="shared" si="234"/>
        <v>-7.0773071005812829E-2</v>
      </c>
      <c r="O2146" s="8"/>
      <c r="P2146" t="s">
        <v>2431</v>
      </c>
      <c r="Q2146">
        <v>35</v>
      </c>
      <c r="R2146" s="8">
        <v>2.8211200000000001</v>
      </c>
      <c r="S2146">
        <v>21</v>
      </c>
      <c r="T2146" s="8">
        <f t="shared" si="235"/>
        <v>0.6</v>
      </c>
      <c r="U2146" s="8">
        <v>2.81589</v>
      </c>
      <c r="V2146">
        <v>11</v>
      </c>
      <c r="W2146" s="8">
        <f t="shared" si="236"/>
        <v>0.31428571428571428</v>
      </c>
      <c r="X2146" s="8">
        <v>2.8157100000000002</v>
      </c>
      <c r="Y2146">
        <v>3</v>
      </c>
      <c r="Z2146" s="8">
        <f t="shared" si="237"/>
        <v>8.5714285714285715E-2</v>
      </c>
      <c r="AA2146" s="8">
        <v>2.8776099999999998</v>
      </c>
    </row>
    <row r="2147" spans="2:27" ht="15" customHeight="1" x14ac:dyDescent="0.25">
      <c r="B2147" t="s">
        <v>197</v>
      </c>
      <c r="C2147" s="8">
        <v>-11989.8557</v>
      </c>
      <c r="D2147" s="2">
        <v>-11991.871236000001</v>
      </c>
      <c r="F2147" s="3">
        <v>0.99616400000000005</v>
      </c>
      <c r="G2147" s="2">
        <v>0.18762999999999999</v>
      </c>
      <c r="H2147">
        <v>3</v>
      </c>
      <c r="I2147">
        <v>10</v>
      </c>
      <c r="K2147" s="8">
        <f t="shared" si="231"/>
        <v>-0.5543846153850609</v>
      </c>
      <c r="L2147" s="8">
        <f t="shared" si="232"/>
        <v>-4.2644970414235456E-2</v>
      </c>
      <c r="M2147" s="8">
        <f t="shared" si="233"/>
        <v>-0.94324292307646829</v>
      </c>
      <c r="N2147" s="8">
        <f t="shared" si="234"/>
        <v>-7.2557147928959093E-2</v>
      </c>
      <c r="O2147" s="8"/>
      <c r="P2147" t="s">
        <v>2432</v>
      </c>
      <c r="Q2147">
        <v>35</v>
      </c>
      <c r="R2147" s="8">
        <v>2.8241999999999998</v>
      </c>
      <c r="S2147">
        <v>22</v>
      </c>
      <c r="T2147" s="8">
        <f t="shared" si="235"/>
        <v>0.62857142857142856</v>
      </c>
      <c r="U2147" s="8">
        <v>2.8371</v>
      </c>
      <c r="V2147">
        <v>11</v>
      </c>
      <c r="W2147" s="8">
        <f t="shared" si="236"/>
        <v>0.31428571428571428</v>
      </c>
      <c r="X2147" s="8">
        <v>2.8065000000000002</v>
      </c>
      <c r="Y2147">
        <v>2</v>
      </c>
      <c r="Z2147" s="8">
        <f t="shared" si="237"/>
        <v>5.7142857142857141E-2</v>
      </c>
      <c r="AA2147" s="8">
        <v>2.7795800000000002</v>
      </c>
    </row>
    <row r="2148" spans="2:27" ht="15" customHeight="1" x14ac:dyDescent="0.25">
      <c r="B2148" t="s">
        <v>194</v>
      </c>
      <c r="C2148" s="8">
        <v>-11989.9822</v>
      </c>
      <c r="D2148" s="2">
        <v>-11992.021103999999</v>
      </c>
      <c r="F2148" s="3">
        <v>0.99109000000000003</v>
      </c>
      <c r="G2148" s="2">
        <v>0.16220999999999999</v>
      </c>
      <c r="H2148">
        <v>3</v>
      </c>
      <c r="I2148">
        <v>10</v>
      </c>
      <c r="K2148" s="8">
        <f t="shared" si="231"/>
        <v>-0.68088461538536649</v>
      </c>
      <c r="L2148" s="8">
        <f t="shared" si="232"/>
        <v>-5.2375739645028188E-2</v>
      </c>
      <c r="M2148" s="8">
        <f t="shared" si="233"/>
        <v>-1.0931109230750735</v>
      </c>
      <c r="N2148" s="8">
        <f t="shared" si="234"/>
        <v>-8.4085455621159502E-2</v>
      </c>
      <c r="O2148" s="8"/>
      <c r="P2148" t="s">
        <v>2433</v>
      </c>
      <c r="Q2148">
        <v>36</v>
      </c>
      <c r="R2148" s="8">
        <v>2.83345</v>
      </c>
      <c r="S2148">
        <v>21</v>
      </c>
      <c r="T2148" s="8">
        <f t="shared" si="235"/>
        <v>0.58333333333333337</v>
      </c>
      <c r="U2148" s="8">
        <v>2.8493300000000001</v>
      </c>
      <c r="V2148">
        <v>14</v>
      </c>
      <c r="W2148" s="8">
        <f t="shared" si="236"/>
        <v>0.3888888888888889</v>
      </c>
      <c r="X2148" s="8">
        <v>2.8098999999999998</v>
      </c>
      <c r="Y2148">
        <v>1</v>
      </c>
      <c r="Z2148" s="8">
        <f t="shared" si="237"/>
        <v>2.7777777777777776E-2</v>
      </c>
      <c r="AA2148" s="8">
        <v>2.8298299999999998</v>
      </c>
    </row>
    <row r="2149" spans="2:27" ht="15" customHeight="1" x14ac:dyDescent="0.25">
      <c r="B2149" t="s">
        <v>153</v>
      </c>
      <c r="C2149" s="8">
        <v>-11990.0429</v>
      </c>
      <c r="D2149" s="2">
        <v>-11992.160502000001</v>
      </c>
      <c r="F2149" s="3">
        <v>0.99408700000000005</v>
      </c>
      <c r="G2149" s="2">
        <v>0.17460999999999899</v>
      </c>
      <c r="H2149">
        <v>3</v>
      </c>
      <c r="I2149">
        <v>10</v>
      </c>
      <c r="K2149" s="8">
        <f t="shared" si="231"/>
        <v>-0.74158461538536358</v>
      </c>
      <c r="L2149" s="8">
        <f t="shared" si="232"/>
        <v>-5.7044970414258739E-2</v>
      </c>
      <c r="M2149" s="8">
        <f t="shared" si="233"/>
        <v>-1.2325089230762387</v>
      </c>
      <c r="N2149" s="8">
        <f t="shared" si="234"/>
        <v>-9.4808378698172213E-2</v>
      </c>
      <c r="O2149" s="8"/>
      <c r="P2149" t="s">
        <v>2434</v>
      </c>
      <c r="Q2149">
        <v>36</v>
      </c>
      <c r="R2149" s="8">
        <v>2.8296299999999999</v>
      </c>
      <c r="S2149">
        <v>21</v>
      </c>
      <c r="T2149" s="8">
        <f t="shared" si="235"/>
        <v>0.58333333333333337</v>
      </c>
      <c r="U2149" s="8">
        <v>2.8343500000000001</v>
      </c>
      <c r="V2149">
        <v>14</v>
      </c>
      <c r="W2149" s="8">
        <f t="shared" si="236"/>
        <v>0.3888888888888889</v>
      </c>
      <c r="X2149" s="8">
        <v>2.8242099999999999</v>
      </c>
      <c r="Y2149">
        <v>1</v>
      </c>
      <c r="Z2149" s="8">
        <f t="shared" si="237"/>
        <v>2.7777777777777776E-2</v>
      </c>
      <c r="AA2149" s="8">
        <v>2.8061600000000002</v>
      </c>
    </row>
    <row r="2150" spans="2:27" ht="15" customHeight="1" x14ac:dyDescent="0.25">
      <c r="B2150" t="s">
        <v>215</v>
      </c>
      <c r="C2150" s="8">
        <v>-11989.659</v>
      </c>
      <c r="D2150" s="2">
        <v>-11991.762672000001</v>
      </c>
      <c r="F2150" s="3">
        <v>0.99561500000000003</v>
      </c>
      <c r="G2150" s="2">
        <v>0.18367</v>
      </c>
      <c r="H2150">
        <v>3</v>
      </c>
      <c r="I2150">
        <v>10</v>
      </c>
      <c r="K2150" s="8">
        <f t="shared" si="231"/>
        <v>-0.3576846153846418</v>
      </c>
      <c r="L2150" s="8">
        <f t="shared" si="232"/>
        <v>-2.7514201183433985E-2</v>
      </c>
      <c r="M2150" s="8">
        <f t="shared" si="233"/>
        <v>-0.83467892307635339</v>
      </c>
      <c r="N2150" s="8">
        <f t="shared" si="234"/>
        <v>-6.4206071005873333E-2</v>
      </c>
      <c r="O2150" s="8"/>
      <c r="P2150" t="s">
        <v>2435</v>
      </c>
      <c r="Q2150">
        <v>36</v>
      </c>
      <c r="R2150" s="8">
        <v>2.8338000000000001</v>
      </c>
      <c r="S2150">
        <v>24</v>
      </c>
      <c r="T2150" s="8">
        <f t="shared" si="235"/>
        <v>0.66666666666666663</v>
      </c>
      <c r="U2150" s="8">
        <v>2.8469899999999999</v>
      </c>
      <c r="V2150">
        <v>10</v>
      </c>
      <c r="W2150" s="8">
        <f t="shared" si="236"/>
        <v>0.27777777777777779</v>
      </c>
      <c r="X2150" s="8">
        <v>2.7888000000000002</v>
      </c>
      <c r="Y2150">
        <v>2</v>
      </c>
      <c r="Z2150" s="8">
        <f t="shared" si="237"/>
        <v>5.5555555555555552E-2</v>
      </c>
      <c r="AA2150" s="8">
        <v>2.9004699999999999</v>
      </c>
    </row>
    <row r="2151" spans="2:27" ht="15" customHeight="1" x14ac:dyDescent="0.25">
      <c r="B2151" t="s">
        <v>175</v>
      </c>
      <c r="C2151" s="8">
        <v>-11989.7909</v>
      </c>
      <c r="D2151" s="2">
        <v>-11991.631797</v>
      </c>
      <c r="F2151" s="3">
        <v>0.99240899999999999</v>
      </c>
      <c r="G2151" s="2">
        <v>0.1671</v>
      </c>
      <c r="H2151">
        <v>3</v>
      </c>
      <c r="I2151">
        <v>10</v>
      </c>
      <c r="K2151" s="8">
        <f t="shared" si="231"/>
        <v>-0.48958461538495612</v>
      </c>
      <c r="L2151" s="8">
        <f t="shared" si="232"/>
        <v>-3.7660355029612007E-2</v>
      </c>
      <c r="M2151" s="8">
        <f t="shared" si="233"/>
        <v>-0.70380392307561124</v>
      </c>
      <c r="N2151" s="8">
        <f t="shared" si="234"/>
        <v>-5.4138763313508559E-2</v>
      </c>
      <c r="O2151" s="8"/>
      <c r="P2151" t="s">
        <v>2436</v>
      </c>
      <c r="Q2151">
        <v>36</v>
      </c>
      <c r="R2151" s="8">
        <v>2.83202</v>
      </c>
      <c r="S2151">
        <v>23</v>
      </c>
      <c r="T2151" s="8">
        <f t="shared" si="235"/>
        <v>0.63888888888888884</v>
      </c>
      <c r="U2151" s="8">
        <v>2.8481999999999998</v>
      </c>
      <c r="V2151">
        <v>12</v>
      </c>
      <c r="W2151" s="8">
        <f t="shared" si="236"/>
        <v>0.33333333333333331</v>
      </c>
      <c r="X2151" s="8">
        <v>2.8039299999999998</v>
      </c>
      <c r="Y2151">
        <v>1</v>
      </c>
      <c r="Z2151" s="8">
        <f t="shared" si="237"/>
        <v>2.7777777777777776E-2</v>
      </c>
      <c r="AA2151" s="8">
        <v>2.7969200000000001</v>
      </c>
    </row>
    <row r="2152" spans="2:27" ht="15" customHeight="1" x14ac:dyDescent="0.25">
      <c r="B2152" t="s">
        <v>94</v>
      </c>
      <c r="C2152" s="8">
        <v>-11989.9601</v>
      </c>
      <c r="D2152" s="2">
        <v>-11992.076762000001</v>
      </c>
      <c r="F2152" s="3">
        <v>0.99672000000000005</v>
      </c>
      <c r="G2152" s="2">
        <v>0.192219999999999</v>
      </c>
      <c r="H2152">
        <v>3</v>
      </c>
      <c r="I2152">
        <v>10</v>
      </c>
      <c r="K2152" s="8">
        <f t="shared" si="231"/>
        <v>-0.6587846153852297</v>
      </c>
      <c r="L2152" s="8">
        <f t="shared" si="232"/>
        <v>-5.0675739645017669E-2</v>
      </c>
      <c r="M2152" s="8">
        <f t="shared" si="233"/>
        <v>-1.1487689230762044</v>
      </c>
      <c r="N2152" s="8">
        <f t="shared" si="234"/>
        <v>-8.8366840236631106E-2</v>
      </c>
      <c r="O2152" s="8"/>
      <c r="P2152" t="s">
        <v>2437</v>
      </c>
      <c r="Q2152">
        <v>36</v>
      </c>
      <c r="R2152" s="8">
        <v>2.8285499999999999</v>
      </c>
      <c r="S2152">
        <v>21</v>
      </c>
      <c r="T2152" s="8">
        <f t="shared" si="235"/>
        <v>0.58333333333333337</v>
      </c>
      <c r="U2152" s="8">
        <v>2.8382999999999998</v>
      </c>
      <c r="V2152">
        <v>15</v>
      </c>
      <c r="W2152" s="8">
        <f t="shared" si="236"/>
        <v>0.41666666666666669</v>
      </c>
      <c r="X2152" s="8">
        <v>2.8148900000000001</v>
      </c>
      <c r="Y2152">
        <v>0</v>
      </c>
      <c r="Z2152" s="8">
        <f t="shared" si="237"/>
        <v>0</v>
      </c>
      <c r="AA2152" s="8">
        <v>0</v>
      </c>
    </row>
    <row r="2153" spans="2:27" ht="15" customHeight="1" x14ac:dyDescent="0.25">
      <c r="B2153" s="7" t="s">
        <v>186</v>
      </c>
      <c r="C2153" s="19">
        <v>-11989.977800000001</v>
      </c>
      <c r="D2153" s="20">
        <v>-11992.242337</v>
      </c>
      <c r="E2153" s="7"/>
      <c r="F2153" s="34">
        <v>0.99731300000000001</v>
      </c>
      <c r="G2153" s="23">
        <v>0.19832</v>
      </c>
      <c r="H2153" s="7">
        <v>3</v>
      </c>
      <c r="I2153" s="7">
        <v>10</v>
      </c>
      <c r="K2153" s="8">
        <f t="shared" si="231"/>
        <v>-0.67648461538556148</v>
      </c>
      <c r="L2153" s="8">
        <f t="shared" si="232"/>
        <v>-5.2037278106581653E-2</v>
      </c>
      <c r="M2153" s="8">
        <f t="shared" si="233"/>
        <v>-1.3143439230752847</v>
      </c>
      <c r="N2153" s="8">
        <f t="shared" si="234"/>
        <v>-0.10110337869809882</v>
      </c>
      <c r="O2153" s="8"/>
      <c r="P2153" t="s">
        <v>2438</v>
      </c>
      <c r="Q2153">
        <v>36</v>
      </c>
      <c r="R2153" s="8">
        <v>2.83358</v>
      </c>
      <c r="S2153">
        <v>21</v>
      </c>
      <c r="T2153" s="8">
        <f t="shared" si="235"/>
        <v>0.58333333333333337</v>
      </c>
      <c r="U2153" s="8">
        <v>2.8407499999999999</v>
      </c>
      <c r="V2153">
        <v>14</v>
      </c>
      <c r="W2153" s="8">
        <f t="shared" si="236"/>
        <v>0.3888888888888889</v>
      </c>
      <c r="X2153" s="8">
        <v>2.8230400000000002</v>
      </c>
      <c r="Y2153">
        <v>1</v>
      </c>
      <c r="Z2153" s="8">
        <f t="shared" si="237"/>
        <v>2.7777777777777776E-2</v>
      </c>
      <c r="AA2153" s="8">
        <v>2.83074</v>
      </c>
    </row>
    <row r="2154" spans="2:27" ht="15" customHeight="1" x14ac:dyDescent="0.25">
      <c r="B2154" t="s">
        <v>135</v>
      </c>
      <c r="C2154" s="8">
        <v>-11990.0394</v>
      </c>
      <c r="D2154" s="2">
        <v>-11992.020694000001</v>
      </c>
      <c r="F2154" s="3">
        <v>0.99476500000000001</v>
      </c>
      <c r="G2154" s="2">
        <v>0.17838000000000001</v>
      </c>
      <c r="H2154">
        <v>3</v>
      </c>
      <c r="I2154">
        <v>10</v>
      </c>
      <c r="K2154" s="8">
        <f t="shared" si="231"/>
        <v>-0.73808461538465053</v>
      </c>
      <c r="L2154" s="8">
        <f t="shared" si="232"/>
        <v>-5.6775739644973115E-2</v>
      </c>
      <c r="M2154" s="8">
        <f t="shared" si="233"/>
        <v>-1.092700923076336</v>
      </c>
      <c r="N2154" s="8">
        <f t="shared" si="234"/>
        <v>-8.4053917159718161E-2</v>
      </c>
      <c r="O2154" s="8"/>
      <c r="P2154" t="s">
        <v>2439</v>
      </c>
      <c r="Q2154">
        <v>35</v>
      </c>
      <c r="R2154" s="8">
        <v>2.8215699999999999</v>
      </c>
      <c r="S2154">
        <v>21</v>
      </c>
      <c r="T2154" s="8">
        <f t="shared" si="235"/>
        <v>0.6</v>
      </c>
      <c r="U2154" s="8">
        <v>2.8309700000000002</v>
      </c>
      <c r="V2154">
        <v>13</v>
      </c>
      <c r="W2154" s="8">
        <f t="shared" si="236"/>
        <v>0.37142857142857144</v>
      </c>
      <c r="X2154" s="8">
        <v>2.8024900000000001</v>
      </c>
      <c r="Y2154">
        <v>1</v>
      </c>
      <c r="Z2154" s="8">
        <f t="shared" si="237"/>
        <v>2.8571428571428571E-2</v>
      </c>
      <c r="AA2154" s="8">
        <v>2.87222</v>
      </c>
    </row>
    <row r="2155" spans="2:27" ht="15" customHeight="1" x14ac:dyDescent="0.25">
      <c r="B2155" t="s">
        <v>200</v>
      </c>
      <c r="C2155" s="8">
        <v>-11989.945</v>
      </c>
      <c r="D2155" s="2">
        <v>-11991.908199</v>
      </c>
      <c r="F2155" s="3">
        <v>0.99444100000000002</v>
      </c>
      <c r="G2155" s="2">
        <v>0.17648999999999901</v>
      </c>
      <c r="H2155">
        <v>3</v>
      </c>
      <c r="I2155">
        <v>10</v>
      </c>
      <c r="K2155" s="8">
        <f t="shared" si="231"/>
        <v>-0.64368461538470001</v>
      </c>
      <c r="L2155" s="8">
        <f t="shared" si="232"/>
        <v>-4.951420118343846E-2</v>
      </c>
      <c r="M2155" s="8">
        <f t="shared" si="233"/>
        <v>-0.98020592307511833</v>
      </c>
      <c r="N2155" s="8">
        <f t="shared" si="234"/>
        <v>-7.5400455621162946E-2</v>
      </c>
      <c r="O2155" s="8"/>
      <c r="P2155" t="s">
        <v>2440</v>
      </c>
      <c r="Q2155">
        <v>36</v>
      </c>
      <c r="R2155" s="8">
        <v>2.8325300000000002</v>
      </c>
      <c r="S2155">
        <v>21</v>
      </c>
      <c r="T2155" s="8">
        <f t="shared" si="235"/>
        <v>0.58333333333333337</v>
      </c>
      <c r="U2155" s="8">
        <v>2.84415</v>
      </c>
      <c r="V2155">
        <v>14</v>
      </c>
      <c r="W2155" s="8">
        <f t="shared" si="236"/>
        <v>0.3888888888888889</v>
      </c>
      <c r="X2155" s="8">
        <v>2.8144900000000002</v>
      </c>
      <c r="Y2155">
        <v>1</v>
      </c>
      <c r="Z2155" s="8">
        <f t="shared" si="237"/>
        <v>2.7777777777777776E-2</v>
      </c>
      <c r="AA2155" s="8">
        <v>2.84097</v>
      </c>
    </row>
    <row r="2156" spans="2:27" ht="15" customHeight="1" x14ac:dyDescent="0.25">
      <c r="B2156" t="s">
        <v>163</v>
      </c>
      <c r="C2156" s="8">
        <v>-11990.047200000001</v>
      </c>
      <c r="D2156" s="2">
        <v>-11991.999179</v>
      </c>
      <c r="F2156" s="3">
        <v>0.99026599999999998</v>
      </c>
      <c r="G2156" s="2">
        <v>0.159609999999999</v>
      </c>
      <c r="H2156">
        <v>3</v>
      </c>
      <c r="I2156">
        <v>10</v>
      </c>
      <c r="K2156" s="8">
        <f t="shared" si="231"/>
        <v>-0.7458846153858758</v>
      </c>
      <c r="L2156" s="8">
        <f t="shared" si="232"/>
        <v>-5.737573964506737E-2</v>
      </c>
      <c r="M2156" s="8">
        <f t="shared" si="233"/>
        <v>-1.0711859230759728</v>
      </c>
      <c r="N2156" s="8">
        <f t="shared" si="234"/>
        <v>-8.2398917159690221E-2</v>
      </c>
      <c r="O2156" s="8"/>
      <c r="P2156" t="s">
        <v>2441</v>
      </c>
      <c r="Q2156">
        <v>36</v>
      </c>
      <c r="R2156" s="8">
        <v>2.83318</v>
      </c>
      <c r="S2156">
        <v>20</v>
      </c>
      <c r="T2156" s="8">
        <f t="shared" si="235"/>
        <v>0.55555555555555558</v>
      </c>
      <c r="U2156" s="8">
        <v>2.85521</v>
      </c>
      <c r="V2156">
        <v>16</v>
      </c>
      <c r="W2156" s="8">
        <f t="shared" si="236"/>
        <v>0.44444444444444442</v>
      </c>
      <c r="X2156" s="8">
        <v>2.8056399999999999</v>
      </c>
      <c r="Y2156">
        <v>0</v>
      </c>
      <c r="Z2156" s="8">
        <f t="shared" si="237"/>
        <v>0</v>
      </c>
      <c r="AA2156" s="8">
        <v>0</v>
      </c>
    </row>
    <row r="2157" spans="2:27" ht="15" customHeight="1" x14ac:dyDescent="0.25">
      <c r="B2157" t="s">
        <v>147</v>
      </c>
      <c r="C2157" s="8">
        <v>-11989.744500000001</v>
      </c>
      <c r="D2157" s="2">
        <v>-11991.537503</v>
      </c>
      <c r="F2157" s="3">
        <v>0.99266900000000002</v>
      </c>
      <c r="G2157" s="2">
        <v>0.16814000000000001</v>
      </c>
      <c r="H2157">
        <v>3</v>
      </c>
      <c r="I2157">
        <v>10</v>
      </c>
      <c r="K2157" s="8">
        <f t="shared" si="231"/>
        <v>-0.44318461538568954</v>
      </c>
      <c r="L2157" s="8">
        <f t="shared" si="232"/>
        <v>-3.4091124260437658E-2</v>
      </c>
      <c r="M2157" s="8">
        <f t="shared" si="233"/>
        <v>-0.60950992307516572</v>
      </c>
      <c r="N2157" s="8">
        <f t="shared" si="234"/>
        <v>-4.6885378698089668E-2</v>
      </c>
      <c r="O2157" s="8"/>
      <c r="P2157" t="s">
        <v>2442</v>
      </c>
      <c r="Q2157">
        <v>36</v>
      </c>
      <c r="R2157" s="8">
        <v>2.8341099999999999</v>
      </c>
      <c r="S2157">
        <v>23</v>
      </c>
      <c r="T2157" s="8">
        <f t="shared" si="235"/>
        <v>0.63888888888888884</v>
      </c>
      <c r="U2157" s="8">
        <v>2.8470599999999999</v>
      </c>
      <c r="V2157">
        <v>12</v>
      </c>
      <c r="W2157" s="8">
        <f t="shared" si="236"/>
        <v>0.33333333333333331</v>
      </c>
      <c r="X2157" s="8">
        <v>2.7891499999999998</v>
      </c>
      <c r="Y2157">
        <v>1</v>
      </c>
      <c r="Z2157" s="8">
        <f t="shared" si="237"/>
        <v>2.7777777777777776E-2</v>
      </c>
      <c r="AA2157" s="8">
        <v>3.0758700000000001</v>
      </c>
    </row>
    <row r="2158" spans="2:27" ht="15" customHeight="1" x14ac:dyDescent="0.25">
      <c r="B2158" t="s">
        <v>117</v>
      </c>
      <c r="C2158" s="8">
        <v>-11989.8922</v>
      </c>
      <c r="D2158" s="2">
        <v>-11991.667308</v>
      </c>
      <c r="F2158" s="3">
        <v>0.995062</v>
      </c>
      <c r="G2158" s="2">
        <v>0.180029999999999</v>
      </c>
      <c r="H2158">
        <v>3</v>
      </c>
      <c r="I2158">
        <v>10</v>
      </c>
      <c r="K2158" s="8">
        <f t="shared" si="231"/>
        <v>-0.59088461538522097</v>
      </c>
      <c r="L2158" s="8">
        <f t="shared" si="232"/>
        <v>-4.5452662721940075E-2</v>
      </c>
      <c r="M2158" s="8">
        <f t="shared" si="233"/>
        <v>-0.7393149230756535</v>
      </c>
      <c r="N2158" s="8">
        <f t="shared" si="234"/>
        <v>-5.6870378698127194E-2</v>
      </c>
      <c r="O2158" s="8"/>
      <c r="P2158" t="s">
        <v>2443</v>
      </c>
      <c r="Q2158">
        <v>36</v>
      </c>
      <c r="R2158" s="8">
        <v>2.8314599999999999</v>
      </c>
      <c r="S2158">
        <v>22</v>
      </c>
      <c r="T2158" s="8">
        <f t="shared" si="235"/>
        <v>0.61111111111111116</v>
      </c>
      <c r="U2158" s="8">
        <v>2.8490000000000002</v>
      </c>
      <c r="V2158">
        <v>14</v>
      </c>
      <c r="W2158" s="8">
        <f t="shared" si="236"/>
        <v>0.3888888888888889</v>
      </c>
      <c r="X2158" s="8">
        <v>2.80389</v>
      </c>
      <c r="Y2158">
        <v>0</v>
      </c>
      <c r="Z2158" s="8">
        <f t="shared" si="237"/>
        <v>0</v>
      </c>
      <c r="AA2158" s="8">
        <v>0</v>
      </c>
    </row>
    <row r="2159" spans="2:27" ht="15" customHeight="1" x14ac:dyDescent="0.25">
      <c r="B2159" t="s">
        <v>269</v>
      </c>
      <c r="C2159" s="8">
        <v>-11989.968199999999</v>
      </c>
      <c r="D2159" s="2">
        <v>-11991.615844</v>
      </c>
      <c r="F2159" s="3">
        <v>0.99712199999999995</v>
      </c>
      <c r="G2159" s="2">
        <v>0.19631000000000001</v>
      </c>
      <c r="H2159">
        <v>3</v>
      </c>
      <c r="I2159">
        <v>10</v>
      </c>
      <c r="K2159" s="8">
        <f t="shared" si="231"/>
        <v>-0.6668846153843333</v>
      </c>
      <c r="L2159" s="8">
        <f t="shared" si="232"/>
        <v>-5.1298816568025637E-2</v>
      </c>
      <c r="M2159" s="8">
        <f t="shared" si="233"/>
        <v>-0.68785092307552986</v>
      </c>
      <c r="N2159" s="8">
        <f t="shared" si="234"/>
        <v>-5.291160946734845E-2</v>
      </c>
      <c r="O2159" s="8"/>
      <c r="P2159" t="s">
        <v>2444</v>
      </c>
      <c r="Q2159">
        <v>36</v>
      </c>
      <c r="R2159" s="8">
        <v>2.8325</v>
      </c>
      <c r="S2159">
        <v>22</v>
      </c>
      <c r="T2159" s="8">
        <f t="shared" si="235"/>
        <v>0.61111111111111116</v>
      </c>
      <c r="U2159" s="8">
        <v>2.8294199999999998</v>
      </c>
      <c r="V2159">
        <v>11</v>
      </c>
      <c r="W2159" s="8">
        <f t="shared" si="236"/>
        <v>0.30555555555555558</v>
      </c>
      <c r="X2159" s="8">
        <v>2.83717</v>
      </c>
      <c r="Y2159">
        <v>3</v>
      </c>
      <c r="Z2159" s="8">
        <f t="shared" si="237"/>
        <v>8.3333333333333329E-2</v>
      </c>
      <c r="AA2159" s="8">
        <v>2.8379599999999998</v>
      </c>
    </row>
    <row r="2160" spans="2:27" ht="15" customHeight="1" x14ac:dyDescent="0.25">
      <c r="B2160" t="s">
        <v>189</v>
      </c>
      <c r="C2160" s="8">
        <v>-11990.004499999999</v>
      </c>
      <c r="D2160" s="2">
        <v>-11991.888392000001</v>
      </c>
      <c r="F2160" s="3">
        <v>0.99404300000000001</v>
      </c>
      <c r="G2160" s="2">
        <v>0.17432999999999901</v>
      </c>
      <c r="H2160">
        <v>3</v>
      </c>
      <c r="I2160">
        <v>10</v>
      </c>
      <c r="K2160" s="8">
        <f t="shared" si="231"/>
        <v>-0.70318461538408883</v>
      </c>
      <c r="L2160" s="8">
        <f t="shared" si="232"/>
        <v>-5.4091124260314524E-2</v>
      </c>
      <c r="M2160" s="8">
        <f t="shared" si="233"/>
        <v>-0.96039892307635455</v>
      </c>
      <c r="N2160" s="8">
        <f t="shared" si="234"/>
        <v>-7.3876840236642663E-2</v>
      </c>
      <c r="O2160" s="8"/>
      <c r="P2160" t="s">
        <v>2445</v>
      </c>
      <c r="Q2160">
        <v>34</v>
      </c>
      <c r="R2160" s="8">
        <v>2.8156099999999999</v>
      </c>
      <c r="S2160">
        <v>20</v>
      </c>
      <c r="T2160" s="8">
        <f t="shared" si="235"/>
        <v>0.58823529411764708</v>
      </c>
      <c r="U2160" s="8">
        <v>2.8243999999999998</v>
      </c>
      <c r="V2160">
        <v>13</v>
      </c>
      <c r="W2160" s="8">
        <f t="shared" si="236"/>
        <v>0.38235294117647056</v>
      </c>
      <c r="X2160" s="8">
        <v>2.79562</v>
      </c>
      <c r="Y2160">
        <v>1</v>
      </c>
      <c r="Z2160" s="8">
        <f t="shared" si="237"/>
        <v>2.9411764705882353E-2</v>
      </c>
      <c r="AA2160" s="8">
        <v>2.8997199999999999</v>
      </c>
    </row>
    <row r="2161" spans="2:27" ht="15" customHeight="1" x14ac:dyDescent="0.25">
      <c r="B2161" t="s">
        <v>221</v>
      </c>
      <c r="C2161" s="8">
        <v>-11990.023300000001</v>
      </c>
      <c r="D2161" s="2">
        <v>-11991.846482999999</v>
      </c>
      <c r="F2161" s="3">
        <v>0.99621700000000002</v>
      </c>
      <c r="G2161" s="2">
        <v>0.18809999999999899</v>
      </c>
      <c r="H2161">
        <v>3</v>
      </c>
      <c r="I2161">
        <v>10</v>
      </c>
      <c r="K2161" s="8">
        <f t="shared" si="231"/>
        <v>-0.72198461538573611</v>
      </c>
      <c r="L2161" s="8">
        <f t="shared" si="232"/>
        <v>-5.5537278106595082E-2</v>
      </c>
      <c r="M2161" s="8">
        <f t="shared" si="233"/>
        <v>-0.91848992307495791</v>
      </c>
      <c r="N2161" s="8">
        <f t="shared" si="234"/>
        <v>-7.0653071005765997E-2</v>
      </c>
      <c r="O2161" s="8"/>
      <c r="P2161" t="s">
        <v>2446</v>
      </c>
      <c r="Q2161">
        <v>35</v>
      </c>
      <c r="R2161" s="8">
        <v>2.8270200000000001</v>
      </c>
      <c r="S2161">
        <v>21</v>
      </c>
      <c r="T2161" s="8">
        <f t="shared" si="235"/>
        <v>0.6</v>
      </c>
      <c r="U2161" s="8">
        <v>2.8584000000000001</v>
      </c>
      <c r="V2161">
        <v>13</v>
      </c>
      <c r="W2161" s="8">
        <f t="shared" si="236"/>
        <v>0.37142857142857144</v>
      </c>
      <c r="X2161" s="8">
        <v>2.7764000000000002</v>
      </c>
      <c r="Y2161">
        <v>1</v>
      </c>
      <c r="Z2161" s="8">
        <f t="shared" si="237"/>
        <v>2.8571428571428571E-2</v>
      </c>
      <c r="AA2161" s="8">
        <v>2.82612</v>
      </c>
    </row>
    <row r="2162" spans="2:27" ht="15" customHeight="1" x14ac:dyDescent="0.25">
      <c r="B2162" t="s">
        <v>218</v>
      </c>
      <c r="C2162" s="8">
        <v>-11989.8271</v>
      </c>
      <c r="D2162" s="2">
        <v>-11991.634529000001</v>
      </c>
      <c r="F2162" s="3">
        <v>0.99551599999999996</v>
      </c>
      <c r="G2162" s="2">
        <v>0.18296999999999899</v>
      </c>
      <c r="H2162">
        <v>3</v>
      </c>
      <c r="I2162">
        <v>10</v>
      </c>
      <c r="K2162" s="8">
        <f t="shared" si="231"/>
        <v>-0.52578461538541887</v>
      </c>
      <c r="L2162" s="8">
        <f t="shared" si="232"/>
        <v>-4.0444970414262989E-2</v>
      </c>
      <c r="M2162" s="8">
        <f t="shared" si="233"/>
        <v>-0.70653592307644431</v>
      </c>
      <c r="N2162" s="8">
        <f t="shared" si="234"/>
        <v>-5.4348917159726486E-2</v>
      </c>
      <c r="O2162" s="8"/>
      <c r="P2162" t="s">
        <v>2447</v>
      </c>
      <c r="Q2162">
        <v>34</v>
      </c>
      <c r="R2162" s="8">
        <v>2.8135500000000002</v>
      </c>
      <c r="S2162">
        <v>21</v>
      </c>
      <c r="T2162" s="8">
        <f t="shared" si="235"/>
        <v>0.61764705882352944</v>
      </c>
      <c r="U2162" s="8">
        <v>2.8211400000000002</v>
      </c>
      <c r="V2162">
        <v>11</v>
      </c>
      <c r="W2162" s="8">
        <f t="shared" si="236"/>
        <v>0.3235294117647059</v>
      </c>
      <c r="X2162" s="8">
        <v>2.79426</v>
      </c>
      <c r="Y2162">
        <v>2</v>
      </c>
      <c r="Z2162" s="8">
        <f t="shared" si="237"/>
        <v>5.8823529411764705E-2</v>
      </c>
      <c r="AA2162" s="8">
        <v>2.8399100000000002</v>
      </c>
    </row>
    <row r="2163" spans="2:27" ht="15" customHeight="1" x14ac:dyDescent="0.25">
      <c r="B2163" t="s">
        <v>82</v>
      </c>
      <c r="C2163" s="8">
        <v>-11989.9102</v>
      </c>
      <c r="D2163" s="2">
        <v>-11991.718682000001</v>
      </c>
      <c r="F2163" s="3">
        <v>0.996394</v>
      </c>
      <c r="G2163" s="2">
        <v>0.18944999999999901</v>
      </c>
      <c r="H2163">
        <v>3</v>
      </c>
      <c r="I2163">
        <v>10</v>
      </c>
      <c r="K2163" s="8">
        <f t="shared" si="231"/>
        <v>-0.60888461538525007</v>
      </c>
      <c r="L2163" s="8">
        <f t="shared" si="232"/>
        <v>-4.6837278106557696E-2</v>
      </c>
      <c r="M2163" s="8">
        <f t="shared" si="233"/>
        <v>-0.79068892307623173</v>
      </c>
      <c r="N2163" s="8">
        <f t="shared" si="234"/>
        <v>-6.0822224852017825E-2</v>
      </c>
      <c r="O2163" s="8"/>
      <c r="P2163" t="s">
        <v>2448</v>
      </c>
      <c r="Q2163">
        <v>34</v>
      </c>
      <c r="R2163" s="8">
        <v>2.8085399999999998</v>
      </c>
      <c r="S2163">
        <v>22</v>
      </c>
      <c r="T2163" s="8">
        <f t="shared" si="235"/>
        <v>0.6470588235294118</v>
      </c>
      <c r="U2163" s="8">
        <v>2.8120400000000001</v>
      </c>
      <c r="V2163">
        <v>11</v>
      </c>
      <c r="W2163" s="8">
        <f t="shared" si="236"/>
        <v>0.3235294117647059</v>
      </c>
      <c r="X2163" s="8">
        <v>2.7909899999999999</v>
      </c>
      <c r="Y2163">
        <v>1</v>
      </c>
      <c r="Z2163" s="8">
        <f t="shared" si="237"/>
        <v>2.9411764705882353E-2</v>
      </c>
      <c r="AA2163" s="8">
        <v>2.92456</v>
      </c>
    </row>
    <row r="2164" spans="2:27" ht="15" customHeight="1" x14ac:dyDescent="0.25">
      <c r="B2164" t="s">
        <v>224</v>
      </c>
      <c r="C2164" s="8">
        <v>-11990.167100000001</v>
      </c>
      <c r="D2164" s="2">
        <v>-11991.783691000001</v>
      </c>
      <c r="F2164" s="3">
        <v>0.99694700000000003</v>
      </c>
      <c r="G2164" s="2">
        <v>0.19461999999999999</v>
      </c>
      <c r="H2164">
        <v>3</v>
      </c>
      <c r="I2164">
        <v>10</v>
      </c>
      <c r="K2164" s="8">
        <f t="shared" si="231"/>
        <v>-0.86578461538556439</v>
      </c>
      <c r="L2164" s="8">
        <f t="shared" si="232"/>
        <v>-6.6598816568120334E-2</v>
      </c>
      <c r="M2164" s="8">
        <f t="shared" si="233"/>
        <v>-0.85569792307614989</v>
      </c>
      <c r="N2164" s="8">
        <f t="shared" si="234"/>
        <v>-6.5822917159703842E-2</v>
      </c>
      <c r="O2164" s="8"/>
      <c r="P2164" t="s">
        <v>2449</v>
      </c>
      <c r="Q2164">
        <v>36</v>
      </c>
      <c r="R2164" s="8">
        <v>2.8329</v>
      </c>
      <c r="S2164">
        <v>20</v>
      </c>
      <c r="T2164" s="8">
        <f t="shared" si="235"/>
        <v>0.55555555555555558</v>
      </c>
      <c r="U2164" s="8">
        <v>2.8413300000000001</v>
      </c>
      <c r="V2164">
        <v>15</v>
      </c>
      <c r="W2164" s="8">
        <f t="shared" si="236"/>
        <v>0.41666666666666669</v>
      </c>
      <c r="X2164" s="8">
        <v>2.8268499999999999</v>
      </c>
      <c r="Y2164">
        <v>1</v>
      </c>
      <c r="Z2164" s="8">
        <f t="shared" si="237"/>
        <v>2.7777777777777776E-2</v>
      </c>
      <c r="AA2164" s="8">
        <v>2.7550599999999998</v>
      </c>
    </row>
    <row r="2165" spans="2:27" ht="15" customHeight="1" x14ac:dyDescent="0.25">
      <c r="B2165" t="s">
        <v>245</v>
      </c>
      <c r="C2165" s="8">
        <v>-11989.911099999999</v>
      </c>
      <c r="D2165" s="2">
        <v>-11991.699062</v>
      </c>
      <c r="F2165" s="3">
        <v>0.99566399999999999</v>
      </c>
      <c r="G2165" s="2">
        <v>0.18393000000000001</v>
      </c>
      <c r="H2165">
        <v>3</v>
      </c>
      <c r="I2165">
        <v>10</v>
      </c>
      <c r="K2165" s="8">
        <f t="shared" si="231"/>
        <v>-0.60978461538434203</v>
      </c>
      <c r="L2165" s="8">
        <f t="shared" si="232"/>
        <v>-4.6906508875718615E-2</v>
      </c>
      <c r="M2165" s="8">
        <f t="shared" si="233"/>
        <v>-0.77106892307529051</v>
      </c>
      <c r="N2165" s="8">
        <f t="shared" si="234"/>
        <v>-5.9312994082714655E-2</v>
      </c>
      <c r="O2165" s="8"/>
      <c r="P2165" t="s">
        <v>2450</v>
      </c>
      <c r="Q2165">
        <v>36</v>
      </c>
      <c r="R2165" s="8">
        <v>2.8307199999999999</v>
      </c>
      <c r="S2165">
        <v>22</v>
      </c>
      <c r="T2165" s="8">
        <f t="shared" si="235"/>
        <v>0.61111111111111116</v>
      </c>
      <c r="U2165" s="8">
        <v>2.84911</v>
      </c>
      <c r="V2165">
        <v>13</v>
      </c>
      <c r="W2165" s="8">
        <f t="shared" si="236"/>
        <v>0.3611111111111111</v>
      </c>
      <c r="X2165" s="8">
        <v>2.8044600000000002</v>
      </c>
      <c r="Y2165">
        <v>1</v>
      </c>
      <c r="Z2165" s="8">
        <f t="shared" si="237"/>
        <v>2.7777777777777776E-2</v>
      </c>
      <c r="AA2165" s="8">
        <v>2.7674500000000002</v>
      </c>
    </row>
    <row r="2166" spans="2:27" ht="15" customHeight="1" x14ac:dyDescent="0.25">
      <c r="B2166" t="s">
        <v>203</v>
      </c>
      <c r="C2166" s="8">
        <v>-11990.023999999999</v>
      </c>
      <c r="D2166" s="2">
        <v>-11991.934402999999</v>
      </c>
      <c r="F2166" s="3">
        <v>0.99471399999999999</v>
      </c>
      <c r="G2166" s="2">
        <v>0.17799999999999899</v>
      </c>
      <c r="H2166">
        <v>3</v>
      </c>
      <c r="I2166">
        <v>10</v>
      </c>
      <c r="K2166" s="8">
        <f t="shared" si="231"/>
        <v>-0.72268461538442352</v>
      </c>
      <c r="L2166" s="8">
        <f t="shared" si="232"/>
        <v>-5.5591124260340269E-2</v>
      </c>
      <c r="M2166" s="8">
        <f t="shared" si="233"/>
        <v>-1.006409923074898</v>
      </c>
      <c r="N2166" s="8">
        <f t="shared" si="234"/>
        <v>-7.7416147928838303E-2</v>
      </c>
      <c r="O2166" s="8"/>
      <c r="P2166" t="s">
        <v>2451</v>
      </c>
      <c r="Q2166">
        <v>36</v>
      </c>
      <c r="R2166" s="8">
        <v>2.8331200000000001</v>
      </c>
      <c r="S2166">
        <v>21</v>
      </c>
      <c r="T2166" s="8">
        <f t="shared" si="235"/>
        <v>0.58333333333333337</v>
      </c>
      <c r="U2166" s="8">
        <v>2.8601000000000001</v>
      </c>
      <c r="V2166">
        <v>15</v>
      </c>
      <c r="W2166" s="8">
        <f t="shared" si="236"/>
        <v>0.41666666666666669</v>
      </c>
      <c r="X2166" s="8">
        <v>2.79535</v>
      </c>
      <c r="Y2166">
        <v>0</v>
      </c>
      <c r="Z2166" s="8">
        <f t="shared" si="237"/>
        <v>0</v>
      </c>
      <c r="AA2166" s="8">
        <v>0</v>
      </c>
    </row>
    <row r="2167" spans="2:27" ht="15" customHeight="1" x14ac:dyDescent="0.25">
      <c r="B2167" t="s">
        <v>183</v>
      </c>
      <c r="C2167" s="8">
        <v>-11989.777099999999</v>
      </c>
      <c r="D2167" s="2">
        <v>-11991.369091</v>
      </c>
      <c r="F2167" s="3">
        <v>0.993641</v>
      </c>
      <c r="G2167" s="2">
        <v>0.1724</v>
      </c>
      <c r="H2167">
        <v>3</v>
      </c>
      <c r="I2167">
        <v>10</v>
      </c>
      <c r="K2167" s="8">
        <f t="shared" si="231"/>
        <v>-0.47578461538432748</v>
      </c>
      <c r="L2167" s="8">
        <f t="shared" si="232"/>
        <v>-3.6598816568025189E-2</v>
      </c>
      <c r="M2167" s="8">
        <f t="shared" si="233"/>
        <v>-0.44109792307608586</v>
      </c>
      <c r="N2167" s="8">
        <f t="shared" si="234"/>
        <v>-3.3930609467391223E-2</v>
      </c>
      <c r="O2167" s="8"/>
      <c r="P2167" t="s">
        <v>2452</v>
      </c>
      <c r="Q2167">
        <v>34</v>
      </c>
      <c r="R2167" s="8">
        <v>2.8150900000000001</v>
      </c>
      <c r="S2167">
        <v>21</v>
      </c>
      <c r="T2167" s="8">
        <f t="shared" si="235"/>
        <v>0.61764705882352944</v>
      </c>
      <c r="U2167" s="8">
        <v>2.8253699999999999</v>
      </c>
      <c r="V2167">
        <v>13</v>
      </c>
      <c r="W2167" s="8">
        <f t="shared" si="236"/>
        <v>0.38235294117647056</v>
      </c>
      <c r="X2167" s="8">
        <v>2.79847</v>
      </c>
      <c r="Y2167">
        <v>0</v>
      </c>
      <c r="Z2167" s="8">
        <f t="shared" si="237"/>
        <v>0</v>
      </c>
      <c r="AA2167" s="8">
        <v>0</v>
      </c>
    </row>
    <row r="2168" spans="2:27" ht="15" customHeight="1" x14ac:dyDescent="0.25">
      <c r="B2168" t="s">
        <v>102</v>
      </c>
      <c r="C2168" s="8">
        <v>-11989.7102</v>
      </c>
      <c r="D2168" s="2">
        <v>-11991.907314</v>
      </c>
      <c r="F2168" s="3">
        <v>0.99868699999999999</v>
      </c>
      <c r="G2168" s="2">
        <v>0.21981999999999899</v>
      </c>
      <c r="H2168">
        <v>3</v>
      </c>
      <c r="I2168">
        <v>10</v>
      </c>
      <c r="K2168" s="8">
        <f t="shared" si="231"/>
        <v>-0.40888461538452248</v>
      </c>
      <c r="L2168" s="8">
        <f t="shared" si="232"/>
        <v>-3.1452662721886342E-2</v>
      </c>
      <c r="M2168" s="8">
        <f t="shared" si="233"/>
        <v>-0.97932092307564744</v>
      </c>
      <c r="N2168" s="8">
        <f t="shared" si="234"/>
        <v>-7.5332378698126728E-2</v>
      </c>
      <c r="O2168" s="8"/>
      <c r="P2168" t="s">
        <v>2453</v>
      </c>
      <c r="Q2168">
        <v>36</v>
      </c>
      <c r="R2168" s="8">
        <v>2.8278500000000002</v>
      </c>
      <c r="S2168">
        <v>22</v>
      </c>
      <c r="T2168" s="8">
        <f t="shared" si="235"/>
        <v>0.61111111111111116</v>
      </c>
      <c r="U2168" s="8">
        <v>2.8388599999999999</v>
      </c>
      <c r="V2168">
        <v>13</v>
      </c>
      <c r="W2168" s="8">
        <f t="shared" si="236"/>
        <v>0.3611111111111111</v>
      </c>
      <c r="X2168" s="8">
        <v>2.7982900000000002</v>
      </c>
      <c r="Y2168">
        <v>1</v>
      </c>
      <c r="Z2168" s="8">
        <f t="shared" si="237"/>
        <v>2.7777777777777776E-2</v>
      </c>
      <c r="AA2168" s="8">
        <v>2.9699800000000001</v>
      </c>
    </row>
    <row r="2169" spans="2:27" ht="15" customHeight="1" x14ac:dyDescent="0.25">
      <c r="B2169" t="s">
        <v>206</v>
      </c>
      <c r="C2169" s="8">
        <v>-11989.7302</v>
      </c>
      <c r="D2169" s="2">
        <v>-11992.211396000001</v>
      </c>
      <c r="F2169" s="3">
        <v>0.99765800000000004</v>
      </c>
      <c r="G2169" s="2">
        <v>0.2021</v>
      </c>
      <c r="H2169">
        <v>3</v>
      </c>
      <c r="I2169">
        <v>10</v>
      </c>
      <c r="K2169" s="8">
        <f t="shared" si="231"/>
        <v>-0.42888461538495903</v>
      </c>
      <c r="L2169" s="8">
        <f t="shared" si="232"/>
        <v>-3.2991124260381463E-2</v>
      </c>
      <c r="M2169" s="8">
        <f t="shared" si="233"/>
        <v>-1.2834029230762098</v>
      </c>
      <c r="N2169" s="8">
        <f t="shared" si="234"/>
        <v>-9.8723301775093059E-2</v>
      </c>
      <c r="O2169" s="8"/>
      <c r="P2169" t="s">
        <v>2454</v>
      </c>
      <c r="Q2169">
        <v>36</v>
      </c>
      <c r="R2169" s="8">
        <v>2.8344100000000001</v>
      </c>
      <c r="S2169">
        <v>22</v>
      </c>
      <c r="T2169" s="8">
        <f t="shared" si="235"/>
        <v>0.61111111111111116</v>
      </c>
      <c r="U2169" s="8">
        <v>2.84368</v>
      </c>
      <c r="V2169">
        <v>12</v>
      </c>
      <c r="W2169" s="8">
        <f t="shared" si="236"/>
        <v>0.33333333333333331</v>
      </c>
      <c r="X2169" s="8">
        <v>2.8020399999999999</v>
      </c>
      <c r="Y2169">
        <v>2</v>
      </c>
      <c r="Z2169" s="8">
        <f t="shared" si="237"/>
        <v>5.5555555555555552E-2</v>
      </c>
      <c r="AA2169" s="8">
        <v>2.92672</v>
      </c>
    </row>
    <row r="2170" spans="2:27" ht="15" customHeight="1" x14ac:dyDescent="0.25">
      <c r="B2170" t="s">
        <v>126</v>
      </c>
      <c r="C2170" s="8">
        <v>-11989.9108</v>
      </c>
      <c r="D2170" s="2">
        <v>-11991.998726</v>
      </c>
      <c r="F2170" s="3">
        <v>0.99175999999999997</v>
      </c>
      <c r="G2170" s="2">
        <v>0.164629999999999</v>
      </c>
      <c r="H2170">
        <v>3</v>
      </c>
      <c r="I2170">
        <v>10</v>
      </c>
      <c r="K2170" s="8">
        <f t="shared" si="231"/>
        <v>-0.60948461538464471</v>
      </c>
      <c r="L2170" s="8">
        <f t="shared" si="232"/>
        <v>-4.6883431952664978E-2</v>
      </c>
      <c r="M2170" s="8">
        <f t="shared" si="233"/>
        <v>-1.0707329230754112</v>
      </c>
      <c r="N2170" s="8">
        <f t="shared" si="234"/>
        <v>-8.2364071005800871E-2</v>
      </c>
      <c r="O2170" s="8"/>
      <c r="P2170" t="s">
        <v>2455</v>
      </c>
      <c r="Q2170">
        <v>36</v>
      </c>
      <c r="R2170" s="8">
        <v>2.8327300000000002</v>
      </c>
      <c r="S2170">
        <v>21</v>
      </c>
      <c r="T2170" s="8">
        <f t="shared" si="235"/>
        <v>0.58333333333333337</v>
      </c>
      <c r="U2170" s="8">
        <v>2.8422700000000001</v>
      </c>
      <c r="V2170">
        <v>14</v>
      </c>
      <c r="W2170" s="8">
        <f t="shared" si="236"/>
        <v>0.3888888888888889</v>
      </c>
      <c r="X2170" s="8">
        <v>2.8089499999999998</v>
      </c>
      <c r="Y2170">
        <v>1</v>
      </c>
      <c r="Z2170" s="8">
        <f t="shared" si="237"/>
        <v>2.7777777777777776E-2</v>
      </c>
      <c r="AA2170" s="8">
        <v>2.9651999999999998</v>
      </c>
    </row>
    <row r="2171" spans="2:27" ht="15" customHeight="1" x14ac:dyDescent="0.25">
      <c r="B2171" t="s">
        <v>212</v>
      </c>
      <c r="C2171" s="8">
        <v>-11989.4683</v>
      </c>
      <c r="D2171" s="2">
        <v>-11991.093632</v>
      </c>
      <c r="F2171" s="3">
        <v>0.99356100000000003</v>
      </c>
      <c r="G2171" s="2">
        <v>0.17186999999999999</v>
      </c>
      <c r="H2171">
        <v>3</v>
      </c>
      <c r="I2171">
        <v>10</v>
      </c>
      <c r="K2171" s="8">
        <f t="shared" si="231"/>
        <v>-0.16698461538544507</v>
      </c>
      <c r="L2171" s="8">
        <f t="shared" si="232"/>
        <v>-1.2844970414265005E-2</v>
      </c>
      <c r="M2171" s="8">
        <f t="shared" si="233"/>
        <v>-0.16563892307567585</v>
      </c>
      <c r="N2171" s="8">
        <f t="shared" si="234"/>
        <v>-1.2741455621205834E-2</v>
      </c>
      <c r="O2171" s="8"/>
      <c r="P2171" t="s">
        <v>2456</v>
      </c>
      <c r="Q2171">
        <v>36</v>
      </c>
      <c r="R2171" s="8">
        <v>2.83243</v>
      </c>
      <c r="S2171">
        <v>25</v>
      </c>
      <c r="T2171" s="8">
        <f t="shared" si="235"/>
        <v>0.69444444444444442</v>
      </c>
      <c r="U2171" s="8">
        <v>2.8416700000000001</v>
      </c>
      <c r="V2171">
        <v>8</v>
      </c>
      <c r="W2171" s="8">
        <f t="shared" si="236"/>
        <v>0.22222222222222221</v>
      </c>
      <c r="X2171" s="8">
        <v>2.7876699999999999</v>
      </c>
      <c r="Y2171">
        <v>3</v>
      </c>
      <c r="Z2171" s="8">
        <f t="shared" si="237"/>
        <v>8.3333333333333329E-2</v>
      </c>
      <c r="AA2171" s="8">
        <v>2.8748</v>
      </c>
    </row>
    <row r="2172" spans="2:27" ht="15" customHeight="1" x14ac:dyDescent="0.25">
      <c r="B2172" t="s">
        <v>97</v>
      </c>
      <c r="C2172" s="8">
        <v>-11989.740400000001</v>
      </c>
      <c r="D2172" s="2">
        <v>-11991.342608000001</v>
      </c>
      <c r="F2172" s="3">
        <v>0.99190900000000004</v>
      </c>
      <c r="G2172" s="2">
        <v>0.16522000000000001</v>
      </c>
      <c r="H2172">
        <v>3</v>
      </c>
      <c r="I2172">
        <v>10</v>
      </c>
      <c r="K2172" s="8">
        <f t="shared" si="231"/>
        <v>-0.43908461538558186</v>
      </c>
      <c r="L2172" s="8">
        <f t="shared" si="232"/>
        <v>-3.377573964504476E-2</v>
      </c>
      <c r="M2172" s="8">
        <f t="shared" si="233"/>
        <v>-0.41461492307644221</v>
      </c>
      <c r="N2172" s="8">
        <f t="shared" si="234"/>
        <v>-3.1893455621264784E-2</v>
      </c>
      <c r="O2172" s="8"/>
      <c r="P2172" t="s">
        <v>2457</v>
      </c>
      <c r="Q2172">
        <v>36</v>
      </c>
      <c r="R2172" s="8">
        <v>2.8351299999999999</v>
      </c>
      <c r="S2172">
        <v>23</v>
      </c>
      <c r="T2172" s="8">
        <f t="shared" si="235"/>
        <v>0.63888888888888884</v>
      </c>
      <c r="U2172" s="8">
        <v>2.8446600000000002</v>
      </c>
      <c r="V2172">
        <v>12</v>
      </c>
      <c r="W2172" s="8">
        <f t="shared" si="236"/>
        <v>0.33333333333333331</v>
      </c>
      <c r="X2172" s="8">
        <v>2.7911600000000001</v>
      </c>
      <c r="Y2172">
        <v>1</v>
      </c>
      <c r="Z2172" s="8">
        <f t="shared" si="237"/>
        <v>2.7777777777777776E-2</v>
      </c>
      <c r="AA2172" s="8">
        <v>3.1434199999999999</v>
      </c>
    </row>
    <row r="2173" spans="2:27" ht="15" customHeight="1" x14ac:dyDescent="0.25">
      <c r="B2173" t="s">
        <v>141</v>
      </c>
      <c r="C2173" s="8">
        <v>-11989.881100000001</v>
      </c>
      <c r="D2173" s="2">
        <v>-11992.063878999999</v>
      </c>
      <c r="F2173" s="3">
        <v>0.99806499999999998</v>
      </c>
      <c r="G2173" s="2">
        <v>0.20805999999999999</v>
      </c>
      <c r="H2173">
        <v>3</v>
      </c>
      <c r="I2173">
        <v>10</v>
      </c>
      <c r="K2173" s="8">
        <f t="shared" si="231"/>
        <v>-0.57978461538550619</v>
      </c>
      <c r="L2173" s="8">
        <f t="shared" si="232"/>
        <v>-4.4598816568115859E-2</v>
      </c>
      <c r="M2173" s="8">
        <f t="shared" si="233"/>
        <v>-1.1358859230749658</v>
      </c>
      <c r="N2173" s="8">
        <f t="shared" si="234"/>
        <v>-8.7375840236535829E-2</v>
      </c>
      <c r="O2173" s="8"/>
      <c r="P2173" t="s">
        <v>2458</v>
      </c>
      <c r="Q2173">
        <v>36</v>
      </c>
      <c r="R2173" s="8">
        <v>2.8298899999999998</v>
      </c>
      <c r="S2173">
        <v>21</v>
      </c>
      <c r="T2173" s="8">
        <f t="shared" si="235"/>
        <v>0.58333333333333337</v>
      </c>
      <c r="U2173" s="8">
        <v>2.83487</v>
      </c>
      <c r="V2173">
        <v>14</v>
      </c>
      <c r="W2173" s="8">
        <f t="shared" si="236"/>
        <v>0.3888888888888889</v>
      </c>
      <c r="X2173" s="8">
        <v>2.8208500000000001</v>
      </c>
      <c r="Y2173">
        <v>1</v>
      </c>
      <c r="Z2173" s="8">
        <f t="shared" si="237"/>
        <v>2.7777777777777776E-2</v>
      </c>
      <c r="AA2173" s="8">
        <v>2.8519000000000001</v>
      </c>
    </row>
    <row r="2174" spans="2:27" ht="15" customHeight="1" x14ac:dyDescent="0.25">
      <c r="B2174" t="s">
        <v>91</v>
      </c>
      <c r="C2174" s="8">
        <v>-11990.0622</v>
      </c>
      <c r="D2174" s="2">
        <v>-11992.155459</v>
      </c>
      <c r="F2174" s="3">
        <v>0.99573100000000003</v>
      </c>
      <c r="G2174" s="2">
        <v>0.18440000000000001</v>
      </c>
      <c r="H2174">
        <v>3</v>
      </c>
      <c r="I2174">
        <v>10</v>
      </c>
      <c r="K2174" s="8">
        <f t="shared" si="231"/>
        <v>-0.76088461538529373</v>
      </c>
      <c r="L2174" s="8">
        <f t="shared" si="232"/>
        <v>-5.8529585798868751E-2</v>
      </c>
      <c r="M2174" s="8">
        <f t="shared" si="233"/>
        <v>-1.227465923075215</v>
      </c>
      <c r="N2174" s="8">
        <f t="shared" si="234"/>
        <v>-9.4420455621170379E-2</v>
      </c>
      <c r="O2174" s="8"/>
      <c r="P2174" t="s">
        <v>2459</v>
      </c>
      <c r="Q2174">
        <v>36</v>
      </c>
      <c r="R2174" s="8">
        <v>2.8342200000000002</v>
      </c>
      <c r="S2174">
        <v>20</v>
      </c>
      <c r="T2174" s="8">
        <f t="shared" si="235"/>
        <v>0.55555555555555558</v>
      </c>
      <c r="U2174" s="8">
        <v>2.8475600000000001</v>
      </c>
      <c r="V2174">
        <v>16</v>
      </c>
      <c r="W2174" s="8">
        <f t="shared" si="236"/>
        <v>0.44444444444444442</v>
      </c>
      <c r="X2174" s="8">
        <v>2.8175500000000002</v>
      </c>
      <c r="Y2174">
        <v>0</v>
      </c>
      <c r="Z2174" s="8">
        <f t="shared" si="237"/>
        <v>0</v>
      </c>
      <c r="AA2174" s="8">
        <v>0</v>
      </c>
    </row>
    <row r="2175" spans="2:27" ht="15" customHeight="1" x14ac:dyDescent="0.25">
      <c r="B2175" t="s">
        <v>85</v>
      </c>
      <c r="C2175" s="8">
        <v>-11989.7317</v>
      </c>
      <c r="D2175" s="2">
        <v>-11991.539182</v>
      </c>
      <c r="F2175" s="3">
        <v>0.994116</v>
      </c>
      <c r="G2175" s="2">
        <v>0.17476</v>
      </c>
      <c r="H2175">
        <v>3</v>
      </c>
      <c r="I2175">
        <v>10</v>
      </c>
      <c r="K2175" s="8">
        <f t="shared" si="231"/>
        <v>-0.43038461538526462</v>
      </c>
      <c r="L2175" s="8">
        <f t="shared" si="232"/>
        <v>-3.3106508875789586E-2</v>
      </c>
      <c r="M2175" s="8">
        <f t="shared" si="233"/>
        <v>-0.61118892307604256</v>
      </c>
      <c r="N2175" s="8">
        <f t="shared" si="234"/>
        <v>-4.7014532544310969E-2</v>
      </c>
      <c r="O2175" s="8"/>
      <c r="P2175" t="s">
        <v>2460</v>
      </c>
      <c r="Q2175">
        <v>36</v>
      </c>
      <c r="R2175" s="8">
        <v>2.83046</v>
      </c>
      <c r="S2175">
        <v>23</v>
      </c>
      <c r="T2175" s="8">
        <f t="shared" si="235"/>
        <v>0.63888888888888884</v>
      </c>
      <c r="U2175" s="8">
        <v>2.8418199999999998</v>
      </c>
      <c r="V2175">
        <v>12</v>
      </c>
      <c r="W2175" s="8">
        <f t="shared" si="236"/>
        <v>0.33333333333333331</v>
      </c>
      <c r="X2175" s="8">
        <v>2.7989099999999998</v>
      </c>
      <c r="Y2175">
        <v>1</v>
      </c>
      <c r="Z2175" s="8">
        <f t="shared" si="237"/>
        <v>2.7777777777777776E-2</v>
      </c>
      <c r="AA2175" s="8">
        <v>2.9477199999999999</v>
      </c>
    </row>
    <row r="2176" spans="2:27" ht="15" customHeight="1" x14ac:dyDescent="0.25">
      <c r="B2176" t="s">
        <v>129</v>
      </c>
      <c r="C2176" s="8">
        <v>-11989.8598</v>
      </c>
      <c r="D2176" s="2">
        <v>-11991.959075999999</v>
      </c>
      <c r="F2176" s="3">
        <v>0.99371699999999996</v>
      </c>
      <c r="G2176" s="2">
        <v>0.17274999999999999</v>
      </c>
      <c r="H2176">
        <v>3</v>
      </c>
      <c r="I2176">
        <v>10</v>
      </c>
      <c r="K2176" s="8">
        <f t="shared" si="231"/>
        <v>-0.55848461538516858</v>
      </c>
      <c r="L2176" s="8">
        <f t="shared" si="232"/>
        <v>-4.2960355029628354E-2</v>
      </c>
      <c r="M2176" s="8">
        <f t="shared" si="233"/>
        <v>-1.0310829230747913</v>
      </c>
      <c r="N2176" s="8">
        <f t="shared" si="234"/>
        <v>-7.9314071005753176E-2</v>
      </c>
      <c r="O2176" s="8"/>
      <c r="P2176" t="s">
        <v>2461</v>
      </c>
      <c r="Q2176">
        <v>36</v>
      </c>
      <c r="R2176" s="8">
        <v>2.8316699999999999</v>
      </c>
      <c r="S2176">
        <v>21</v>
      </c>
      <c r="T2176" s="8">
        <f t="shared" si="235"/>
        <v>0.58333333333333337</v>
      </c>
      <c r="U2176" s="8">
        <v>2.83317</v>
      </c>
      <c r="V2176">
        <v>14</v>
      </c>
      <c r="W2176" s="8">
        <f t="shared" si="236"/>
        <v>0.3888888888888889</v>
      </c>
      <c r="X2176" s="8">
        <v>2.82735</v>
      </c>
      <c r="Y2176">
        <v>1</v>
      </c>
      <c r="Z2176" s="8">
        <f t="shared" si="237"/>
        <v>2.7777777777777776E-2</v>
      </c>
      <c r="AA2176" s="8">
        <v>2.8607499999999999</v>
      </c>
    </row>
    <row r="2177" spans="2:27" ht="15" customHeight="1" x14ac:dyDescent="0.25">
      <c r="B2177" t="s">
        <v>138</v>
      </c>
      <c r="C2177" s="8">
        <v>-11989.9179</v>
      </c>
      <c r="D2177" s="2">
        <v>-11991.797643</v>
      </c>
      <c r="F2177" s="3">
        <v>0.99403300000000006</v>
      </c>
      <c r="G2177" s="2">
        <v>0.17437</v>
      </c>
      <c r="H2177">
        <v>3</v>
      </c>
      <c r="I2177">
        <v>10</v>
      </c>
      <c r="K2177" s="8">
        <f t="shared" si="231"/>
        <v>-0.61658461538536358</v>
      </c>
      <c r="L2177" s="8">
        <f t="shared" si="232"/>
        <v>-4.7429585798874123E-2</v>
      </c>
      <c r="M2177" s="8">
        <f t="shared" si="233"/>
        <v>-0.86964992307548528</v>
      </c>
      <c r="N2177" s="8">
        <f t="shared" si="234"/>
        <v>-6.6896147928883487E-2</v>
      </c>
      <c r="O2177" s="8"/>
      <c r="P2177" t="s">
        <v>2462</v>
      </c>
      <c r="Q2177">
        <v>36</v>
      </c>
      <c r="R2177" s="8">
        <v>2.8328500000000001</v>
      </c>
      <c r="S2177">
        <v>20</v>
      </c>
      <c r="T2177" s="8">
        <f t="shared" si="235"/>
        <v>0.55555555555555558</v>
      </c>
      <c r="U2177" s="8">
        <v>2.85372</v>
      </c>
      <c r="V2177">
        <v>16</v>
      </c>
      <c r="W2177" s="8">
        <f t="shared" si="236"/>
        <v>0.44444444444444442</v>
      </c>
      <c r="X2177" s="8">
        <v>2.8067600000000001</v>
      </c>
      <c r="Y2177">
        <v>0</v>
      </c>
      <c r="Z2177" s="8">
        <f t="shared" si="237"/>
        <v>0</v>
      </c>
      <c r="AA2177" s="8">
        <v>0</v>
      </c>
    </row>
    <row r="2178" spans="2:27" ht="15" customHeight="1" x14ac:dyDescent="0.25">
      <c r="B2178" t="s">
        <v>120</v>
      </c>
      <c r="C2178" s="8">
        <v>-11989.6636</v>
      </c>
      <c r="D2178" s="2">
        <v>-11991.597954000001</v>
      </c>
      <c r="F2178" s="3">
        <v>0.993452</v>
      </c>
      <c r="G2178" s="2">
        <v>0.17119000000000001</v>
      </c>
      <c r="H2178">
        <v>3</v>
      </c>
      <c r="I2178">
        <v>10</v>
      </c>
      <c r="K2178" s="8">
        <f t="shared" si="231"/>
        <v>-0.36228461538485135</v>
      </c>
      <c r="L2178" s="8">
        <f t="shared" si="232"/>
        <v>-2.7868047337296257E-2</v>
      </c>
      <c r="M2178" s="8">
        <f t="shared" si="233"/>
        <v>-0.6699609230763599</v>
      </c>
      <c r="N2178" s="8">
        <f t="shared" si="234"/>
        <v>-5.1535455621258455E-2</v>
      </c>
      <c r="O2178" s="8"/>
      <c r="P2178" t="s">
        <v>2463</v>
      </c>
      <c r="Q2178">
        <v>36</v>
      </c>
      <c r="R2178" s="8">
        <v>2.8346300000000002</v>
      </c>
      <c r="S2178">
        <v>23</v>
      </c>
      <c r="T2178" s="8">
        <f t="shared" si="235"/>
        <v>0.63888888888888884</v>
      </c>
      <c r="U2178" s="8">
        <v>2.84911</v>
      </c>
      <c r="V2178">
        <v>12</v>
      </c>
      <c r="W2178" s="8">
        <f t="shared" si="236"/>
        <v>0.33333333333333331</v>
      </c>
      <c r="X2178" s="8">
        <v>2.8044199999999999</v>
      </c>
      <c r="Y2178">
        <v>1</v>
      </c>
      <c r="Z2178" s="8">
        <f t="shared" si="237"/>
        <v>2.7777777777777776E-2</v>
      </c>
      <c r="AA2178" s="8">
        <v>2.86408</v>
      </c>
    </row>
    <row r="2179" spans="2:27" ht="15" customHeight="1" x14ac:dyDescent="0.25">
      <c r="B2179" t="s">
        <v>240</v>
      </c>
      <c r="C2179" s="8">
        <v>-11989.9326</v>
      </c>
      <c r="D2179" s="2">
        <v>-11991.724617</v>
      </c>
      <c r="F2179" s="3">
        <v>0.99373299999999998</v>
      </c>
      <c r="G2179" s="2">
        <v>0.17288999999999899</v>
      </c>
      <c r="H2179">
        <v>3</v>
      </c>
      <c r="I2179">
        <v>10</v>
      </c>
      <c r="K2179" s="8">
        <f t="shared" ref="K2179:K2236" si="238">IF(ISNUMBER(C2179),C2179-(($C$3-$C$2236)/($H$3-$H$2236)*H2179+$C$2236),"")</f>
        <v>-0.63128461538508418</v>
      </c>
      <c r="L2179" s="8">
        <f t="shared" ref="L2179:L2236" si="239">IF(ISNUMBER(C2179),K2179/(H2179+I2179),"")</f>
        <v>-4.856035502962186E-2</v>
      </c>
      <c r="M2179" s="8">
        <f t="shared" ref="M2179:M2236" si="240">IF(ISNUMBER(D2179),D2179-(($D$3-$D$2236)/($H$3-$H$2236)*H2179+$D$2236),"")</f>
        <v>-0.79662392307545815</v>
      </c>
      <c r="N2179" s="8">
        <f t="shared" ref="N2179:N2236" si="241">IF(ISNUMBER(D2179),M2179/(H2179+I2179),"")</f>
        <v>-6.1278763313496784E-2</v>
      </c>
      <c r="O2179" s="8"/>
      <c r="P2179" t="s">
        <v>2464</v>
      </c>
      <c r="Q2179">
        <v>36</v>
      </c>
      <c r="R2179" s="8">
        <v>2.8313999999999999</v>
      </c>
      <c r="S2179">
        <v>21</v>
      </c>
      <c r="T2179" s="8">
        <f t="shared" ref="T2179:T2236" si="242">IF(ISNUMBER(S2179),S2179/(Q2179),"")</f>
        <v>0.58333333333333337</v>
      </c>
      <c r="U2179" s="8">
        <v>2.8321299999999998</v>
      </c>
      <c r="V2179">
        <v>13</v>
      </c>
      <c r="W2179" s="8">
        <f t="shared" ref="W2179:W2236" si="243">IF(ISNUMBER(V2179),V2179/($Q2179),"")</f>
        <v>0.3611111111111111</v>
      </c>
      <c r="X2179" s="8">
        <v>2.8334700000000002</v>
      </c>
      <c r="Y2179">
        <v>2</v>
      </c>
      <c r="Z2179" s="8">
        <f t="shared" ref="Z2179:Z2236" si="244">IF(ISNUMBER(Y2179),Y2179/($Q2179),"")</f>
        <v>5.5555555555555552E-2</v>
      </c>
      <c r="AA2179" s="8">
        <v>2.8102800000000001</v>
      </c>
    </row>
    <row r="2180" spans="2:27" ht="15" customHeight="1" x14ac:dyDescent="0.25">
      <c r="B2180" t="s">
        <v>254</v>
      </c>
      <c r="C2180" s="8">
        <v>-11989.9247</v>
      </c>
      <c r="D2180" s="2">
        <v>-11991.903711999999</v>
      </c>
      <c r="F2180" s="3">
        <v>0.99582999999999999</v>
      </c>
      <c r="G2180" s="2">
        <v>0.18336</v>
      </c>
      <c r="H2180">
        <v>3</v>
      </c>
      <c r="I2180">
        <v>10</v>
      </c>
      <c r="K2180" s="8">
        <f t="shared" si="238"/>
        <v>-0.62338461538456613</v>
      </c>
      <c r="L2180" s="8">
        <f t="shared" si="239"/>
        <v>-4.7952662721889701E-2</v>
      </c>
      <c r="M2180" s="8">
        <f t="shared" si="240"/>
        <v>-0.97571892307496455</v>
      </c>
      <c r="N2180" s="8">
        <f t="shared" si="241"/>
        <v>-7.505530177499728E-2</v>
      </c>
      <c r="O2180" s="8"/>
      <c r="P2180" t="s">
        <v>2465</v>
      </c>
      <c r="Q2180">
        <v>36</v>
      </c>
      <c r="R2180" s="8">
        <v>2.83081</v>
      </c>
      <c r="S2180">
        <v>21</v>
      </c>
      <c r="T2180" s="8">
        <f t="shared" si="242"/>
        <v>0.58333333333333337</v>
      </c>
      <c r="U2180" s="8">
        <v>2.8309899999999999</v>
      </c>
      <c r="V2180">
        <v>13</v>
      </c>
      <c r="W2180" s="8">
        <f t="shared" si="243"/>
        <v>0.3611111111111111</v>
      </c>
      <c r="X2180" s="8">
        <v>2.8319899999999998</v>
      </c>
      <c r="Y2180">
        <v>2</v>
      </c>
      <c r="Z2180" s="8">
        <f t="shared" si="244"/>
        <v>5.5555555555555552E-2</v>
      </c>
      <c r="AA2180" s="8">
        <v>2.82124</v>
      </c>
    </row>
    <row r="2181" spans="2:27" ht="15" customHeight="1" x14ac:dyDescent="0.25">
      <c r="B2181" t="s">
        <v>160</v>
      </c>
      <c r="C2181" s="8">
        <v>-11989.9977</v>
      </c>
      <c r="D2181" s="2">
        <v>-11992.008539</v>
      </c>
      <c r="F2181" s="3">
        <v>0.99528700000000003</v>
      </c>
      <c r="G2181" s="2">
        <v>0.18143999999999899</v>
      </c>
      <c r="H2181">
        <v>3</v>
      </c>
      <c r="I2181">
        <v>10</v>
      </c>
      <c r="K2181" s="8">
        <f t="shared" si="238"/>
        <v>-0.69638461538488627</v>
      </c>
      <c r="L2181" s="8">
        <f t="shared" si="239"/>
        <v>-5.3568047337298946E-2</v>
      </c>
      <c r="M2181" s="8">
        <f t="shared" si="240"/>
        <v>-1.080545923075988</v>
      </c>
      <c r="N2181" s="8">
        <f t="shared" si="241"/>
        <v>-8.3118917159691386E-2</v>
      </c>
      <c r="O2181" s="8"/>
      <c r="P2181" t="s">
        <v>2466</v>
      </c>
      <c r="Q2181">
        <v>35</v>
      </c>
      <c r="R2181" s="8">
        <v>2.8243800000000001</v>
      </c>
      <c r="S2181">
        <v>20</v>
      </c>
      <c r="T2181" s="8">
        <f t="shared" si="242"/>
        <v>0.5714285714285714</v>
      </c>
      <c r="U2181" s="8">
        <v>2.82681</v>
      </c>
      <c r="V2181">
        <v>14</v>
      </c>
      <c r="W2181" s="8">
        <f t="shared" si="243"/>
        <v>0.4</v>
      </c>
      <c r="X2181" s="8">
        <v>2.8171300000000001</v>
      </c>
      <c r="Y2181">
        <v>1</v>
      </c>
      <c r="Z2181" s="8">
        <f t="shared" si="244"/>
        <v>2.8571428571428571E-2</v>
      </c>
      <c r="AA2181" s="8">
        <v>2.87724</v>
      </c>
    </row>
    <row r="2182" spans="2:27" ht="15" customHeight="1" x14ac:dyDescent="0.25">
      <c r="B2182" t="s">
        <v>257</v>
      </c>
      <c r="C2182" s="8">
        <v>-11989.6232</v>
      </c>
      <c r="D2182" s="2">
        <v>-11991.433004</v>
      </c>
      <c r="F2182" s="3">
        <v>0.99565099999999995</v>
      </c>
      <c r="G2182" s="2">
        <v>0.18387999999999999</v>
      </c>
      <c r="H2182">
        <v>3</v>
      </c>
      <c r="I2182">
        <v>10</v>
      </c>
      <c r="K2182" s="8">
        <f t="shared" si="238"/>
        <v>-0.32188461538498814</v>
      </c>
      <c r="L2182" s="8">
        <f t="shared" si="239"/>
        <v>-2.4760355029614472E-2</v>
      </c>
      <c r="M2182" s="8">
        <f t="shared" si="240"/>
        <v>-0.50501092307604267</v>
      </c>
      <c r="N2182" s="8">
        <f t="shared" si="241"/>
        <v>-3.8846994082772514E-2</v>
      </c>
      <c r="O2182" s="8"/>
      <c r="P2182" t="s">
        <v>2467</v>
      </c>
      <c r="Q2182">
        <v>36</v>
      </c>
      <c r="R2182" s="8">
        <v>2.8330899999999999</v>
      </c>
      <c r="S2182">
        <v>24</v>
      </c>
      <c r="T2182" s="8">
        <f t="shared" si="242"/>
        <v>0.66666666666666663</v>
      </c>
      <c r="U2182" s="8">
        <v>2.8388399999999998</v>
      </c>
      <c r="V2182">
        <v>9</v>
      </c>
      <c r="W2182" s="8">
        <f t="shared" si="243"/>
        <v>0.25</v>
      </c>
      <c r="X2182" s="8">
        <v>2.81223</v>
      </c>
      <c r="Y2182">
        <v>3</v>
      </c>
      <c r="Z2182" s="8">
        <f t="shared" si="244"/>
        <v>8.3333333333333329E-2</v>
      </c>
      <c r="AA2182" s="8">
        <v>2.84971</v>
      </c>
    </row>
    <row r="2183" spans="2:27" ht="15" customHeight="1" x14ac:dyDescent="0.25">
      <c r="B2183" t="s">
        <v>169</v>
      </c>
      <c r="C2183" s="8">
        <v>-11989.883900000001</v>
      </c>
      <c r="D2183" s="2">
        <v>-11991.653995000001</v>
      </c>
      <c r="F2183" s="3">
        <v>0.99328300000000003</v>
      </c>
      <c r="G2183" s="2">
        <v>0.17076999999999901</v>
      </c>
      <c r="H2183">
        <v>3</v>
      </c>
      <c r="I2183">
        <v>10</v>
      </c>
      <c r="K2183" s="8">
        <f t="shared" si="238"/>
        <v>-0.58258461538571282</v>
      </c>
      <c r="L2183" s="8">
        <f t="shared" si="239"/>
        <v>-4.4814201183516374E-2</v>
      </c>
      <c r="M2183" s="8">
        <f t="shared" si="240"/>
        <v>-0.72600192307618272</v>
      </c>
      <c r="N2183" s="8">
        <f t="shared" si="241"/>
        <v>-5.5846301775090978E-2</v>
      </c>
      <c r="O2183" s="8"/>
      <c r="P2183" t="s">
        <v>2468</v>
      </c>
      <c r="Q2183">
        <v>36</v>
      </c>
      <c r="R2183" s="8">
        <v>2.8298700000000001</v>
      </c>
      <c r="S2183">
        <v>22</v>
      </c>
      <c r="T2183" s="8">
        <f t="shared" si="242"/>
        <v>0.61111111111111116</v>
      </c>
      <c r="U2183" s="8">
        <v>2.8406600000000002</v>
      </c>
      <c r="V2183">
        <v>13</v>
      </c>
      <c r="W2183" s="8">
        <f t="shared" si="243"/>
        <v>0.3611111111111111</v>
      </c>
      <c r="X2183" s="8">
        <v>2.8112300000000001</v>
      </c>
      <c r="Y2183">
        <v>1</v>
      </c>
      <c r="Z2183" s="8">
        <f t="shared" si="244"/>
        <v>2.7777777777777776E-2</v>
      </c>
      <c r="AA2183" s="8">
        <v>2.83466</v>
      </c>
    </row>
    <row r="2184" spans="2:27" ht="15" customHeight="1" x14ac:dyDescent="0.25">
      <c r="B2184" t="s">
        <v>132</v>
      </c>
      <c r="C2184" s="8">
        <v>-11990.035099999999</v>
      </c>
      <c r="D2184" s="2">
        <v>-11991.964153999999</v>
      </c>
      <c r="F2184" s="3">
        <v>0.99696499999999999</v>
      </c>
      <c r="G2184" s="2">
        <v>0.19456000000000001</v>
      </c>
      <c r="H2184">
        <v>3</v>
      </c>
      <c r="I2184">
        <v>10</v>
      </c>
      <c r="K2184" s="8">
        <f t="shared" si="238"/>
        <v>-0.73378461538413831</v>
      </c>
      <c r="L2184" s="8">
        <f t="shared" si="239"/>
        <v>-5.6444970414164485E-2</v>
      </c>
      <c r="M2184" s="8">
        <f t="shared" si="240"/>
        <v>-1.0361609230749309</v>
      </c>
      <c r="N2184" s="8">
        <f t="shared" si="241"/>
        <v>-7.9704686390379295E-2</v>
      </c>
      <c r="O2184" s="8"/>
      <c r="P2184" t="s">
        <v>2469</v>
      </c>
      <c r="Q2184">
        <v>35</v>
      </c>
      <c r="R2184" s="8">
        <v>2.8288799999999998</v>
      </c>
      <c r="S2184">
        <v>20</v>
      </c>
      <c r="T2184" s="8">
        <f t="shared" si="242"/>
        <v>0.5714285714285714</v>
      </c>
      <c r="U2184" s="8">
        <v>2.8660899999999998</v>
      </c>
      <c r="V2184">
        <v>15</v>
      </c>
      <c r="W2184" s="8">
        <f t="shared" si="243"/>
        <v>0.42857142857142855</v>
      </c>
      <c r="X2184" s="8">
        <v>2.7792699999999999</v>
      </c>
      <c r="Y2184">
        <v>0</v>
      </c>
      <c r="Z2184" s="8">
        <f t="shared" si="244"/>
        <v>0</v>
      </c>
      <c r="AA2184" s="8">
        <v>0</v>
      </c>
    </row>
    <row r="2185" spans="2:27" ht="15" customHeight="1" x14ac:dyDescent="0.25">
      <c r="B2185" t="s">
        <v>172</v>
      </c>
      <c r="C2185" s="8">
        <v>-11990.065699999999</v>
      </c>
      <c r="D2185" s="2">
        <v>-11992.076406</v>
      </c>
      <c r="F2185" s="3">
        <v>0.99466100000000002</v>
      </c>
      <c r="G2185" s="2">
        <v>0.1777</v>
      </c>
      <c r="H2185">
        <v>3</v>
      </c>
      <c r="I2185">
        <v>10</v>
      </c>
      <c r="K2185" s="8">
        <f t="shared" si="238"/>
        <v>-0.76438461538418778</v>
      </c>
      <c r="L2185" s="8">
        <f t="shared" si="239"/>
        <v>-5.8798816568014445E-2</v>
      </c>
      <c r="M2185" s="8">
        <f t="shared" si="240"/>
        <v>-1.1484129230757389</v>
      </c>
      <c r="N2185" s="8">
        <f t="shared" si="241"/>
        <v>-8.8339455621210691E-2</v>
      </c>
      <c r="O2185" s="8"/>
      <c r="P2185" t="s">
        <v>2470</v>
      </c>
      <c r="Q2185">
        <v>36</v>
      </c>
      <c r="R2185" s="8">
        <v>2.83324</v>
      </c>
      <c r="S2185">
        <v>20</v>
      </c>
      <c r="T2185" s="8">
        <f t="shared" si="242"/>
        <v>0.55555555555555558</v>
      </c>
      <c r="U2185" s="8">
        <v>2.8352400000000002</v>
      </c>
      <c r="V2185">
        <v>15</v>
      </c>
      <c r="W2185" s="8">
        <f t="shared" si="243"/>
        <v>0.41666666666666669</v>
      </c>
      <c r="X2185" s="8">
        <v>2.8304</v>
      </c>
      <c r="Y2185">
        <v>1</v>
      </c>
      <c r="Z2185" s="8">
        <f t="shared" si="244"/>
        <v>2.7777777777777776E-2</v>
      </c>
      <c r="AA2185" s="8">
        <v>2.8357700000000001</v>
      </c>
    </row>
    <row r="2186" spans="2:27" ht="15" customHeight="1" x14ac:dyDescent="0.25">
      <c r="B2186" t="s">
        <v>79</v>
      </c>
      <c r="C2186" s="8">
        <v>-11989.839099999999</v>
      </c>
      <c r="D2186" s="2">
        <v>-11991.65841</v>
      </c>
      <c r="F2186" s="3">
        <v>0.99316000000000004</v>
      </c>
      <c r="G2186" s="2">
        <v>0.17022000000000001</v>
      </c>
      <c r="H2186">
        <v>3</v>
      </c>
      <c r="I2186">
        <v>10</v>
      </c>
      <c r="K2186" s="8">
        <f t="shared" si="238"/>
        <v>-0.53778461538422562</v>
      </c>
      <c r="L2186" s="8">
        <f t="shared" si="239"/>
        <v>-4.1368047337248123E-2</v>
      </c>
      <c r="M2186" s="8">
        <f t="shared" si="240"/>
        <v>-0.73041692307560879</v>
      </c>
      <c r="N2186" s="8">
        <f t="shared" si="241"/>
        <v>-5.6185917159662216E-2</v>
      </c>
      <c r="O2186" s="8"/>
      <c r="P2186" t="s">
        <v>2471</v>
      </c>
      <c r="Q2186">
        <v>34</v>
      </c>
      <c r="R2186" s="8">
        <v>2.81331</v>
      </c>
      <c r="S2186">
        <v>20</v>
      </c>
      <c r="T2186" s="8">
        <f t="shared" si="242"/>
        <v>0.58823529411764708</v>
      </c>
      <c r="U2186" s="8">
        <v>2.8199100000000001</v>
      </c>
      <c r="V2186">
        <v>14</v>
      </c>
      <c r="W2186" s="8">
        <f t="shared" si="243"/>
        <v>0.41176470588235292</v>
      </c>
      <c r="X2186" s="8">
        <v>2.8038799999999999</v>
      </c>
      <c r="Y2186">
        <v>0</v>
      </c>
      <c r="Z2186" s="8">
        <f t="shared" si="244"/>
        <v>0</v>
      </c>
      <c r="AA2186" s="8">
        <v>0</v>
      </c>
    </row>
    <row r="2187" spans="2:27" ht="15" customHeight="1" x14ac:dyDescent="0.25">
      <c r="B2187" t="s">
        <v>166</v>
      </c>
      <c r="C2187" s="8">
        <v>-11989.868200000001</v>
      </c>
      <c r="D2187" s="2">
        <v>-11991.803102</v>
      </c>
      <c r="F2187" s="3">
        <v>0.98805900000000002</v>
      </c>
      <c r="G2187" s="2">
        <v>0.15342999999999901</v>
      </c>
      <c r="H2187">
        <v>3</v>
      </c>
      <c r="I2187">
        <v>10</v>
      </c>
      <c r="K2187" s="8">
        <f t="shared" si="238"/>
        <v>-0.56688461538578849</v>
      </c>
      <c r="L2187" s="8">
        <f t="shared" si="239"/>
        <v>-4.3606508875829883E-2</v>
      </c>
      <c r="M2187" s="8">
        <f t="shared" si="240"/>
        <v>-0.87510892307545873</v>
      </c>
      <c r="N2187" s="8">
        <f t="shared" si="241"/>
        <v>-6.7316071005804515E-2</v>
      </c>
      <c r="O2187" s="8"/>
      <c r="P2187" t="s">
        <v>2472</v>
      </c>
      <c r="Q2187">
        <v>35</v>
      </c>
      <c r="R2187" s="8">
        <v>2.8212299999999999</v>
      </c>
      <c r="S2187">
        <v>21</v>
      </c>
      <c r="T2187" s="8">
        <f t="shared" si="242"/>
        <v>0.6</v>
      </c>
      <c r="U2187" s="8">
        <v>2.8276599999999998</v>
      </c>
      <c r="V2187">
        <v>13</v>
      </c>
      <c r="W2187" s="8">
        <f t="shared" si="243"/>
        <v>0.37142857142857144</v>
      </c>
      <c r="X2187" s="8">
        <v>2.8162199999999999</v>
      </c>
      <c r="Y2187">
        <v>1</v>
      </c>
      <c r="Z2187" s="8">
        <f t="shared" si="244"/>
        <v>2.8571428571428571E-2</v>
      </c>
      <c r="AA2187" s="8">
        <v>2.75156</v>
      </c>
    </row>
    <row r="2188" spans="2:27" ht="15" customHeight="1" x14ac:dyDescent="0.25">
      <c r="B2188" t="s">
        <v>144</v>
      </c>
      <c r="C2188" s="8">
        <v>-11990.1404</v>
      </c>
      <c r="D2188" s="2">
        <v>-11991.742980999999</v>
      </c>
      <c r="F2188" s="3">
        <v>0.99601300000000004</v>
      </c>
      <c r="G2188" s="2">
        <v>0.1865</v>
      </c>
      <c r="H2188">
        <v>3</v>
      </c>
      <c r="I2188">
        <v>10</v>
      </c>
      <c r="K2188" s="8">
        <f t="shared" si="238"/>
        <v>-0.83908461538521806</v>
      </c>
      <c r="L2188" s="8">
        <f t="shared" si="239"/>
        <v>-6.4544970414247546E-2</v>
      </c>
      <c r="M2188" s="8">
        <f t="shared" si="240"/>
        <v>-0.81498792307502299</v>
      </c>
      <c r="N2188" s="8">
        <f t="shared" si="241"/>
        <v>-6.2691378698078698E-2</v>
      </c>
      <c r="O2188" s="8"/>
      <c r="P2188" t="s">
        <v>2473</v>
      </c>
      <c r="Q2188">
        <v>36</v>
      </c>
      <c r="R2188" s="8">
        <v>2.8321100000000001</v>
      </c>
      <c r="S2188">
        <v>20</v>
      </c>
      <c r="T2188" s="8">
        <f t="shared" si="242"/>
        <v>0.55555555555555558</v>
      </c>
      <c r="U2188" s="8">
        <v>2.8308</v>
      </c>
      <c r="V2188">
        <v>15</v>
      </c>
      <c r="W2188" s="8">
        <f t="shared" si="243"/>
        <v>0.41666666666666669</v>
      </c>
      <c r="X2188" s="8">
        <v>2.8386399999999998</v>
      </c>
      <c r="Y2188">
        <v>1</v>
      </c>
      <c r="Z2188" s="8">
        <f t="shared" si="244"/>
        <v>2.7777777777777776E-2</v>
      </c>
      <c r="AA2188" s="8">
        <v>2.76058</v>
      </c>
    </row>
    <row r="2189" spans="2:27" ht="15" customHeight="1" x14ac:dyDescent="0.25">
      <c r="B2189" t="s">
        <v>123</v>
      </c>
      <c r="C2189" s="8">
        <v>-11989.7587</v>
      </c>
      <c r="D2189" s="2">
        <v>-11991.596562999999</v>
      </c>
      <c r="F2189" s="3">
        <v>0.99349399999999999</v>
      </c>
      <c r="G2189" s="2">
        <v>0.17175000000000001</v>
      </c>
      <c r="H2189">
        <v>3</v>
      </c>
      <c r="I2189">
        <v>10</v>
      </c>
      <c r="K2189" s="8">
        <f t="shared" si="238"/>
        <v>-0.45738461538530828</v>
      </c>
      <c r="L2189" s="8">
        <f t="shared" si="239"/>
        <v>-3.5183431952716018E-2</v>
      </c>
      <c r="M2189" s="8">
        <f t="shared" si="240"/>
        <v>-0.66856992307475593</v>
      </c>
      <c r="N2189" s="8">
        <f t="shared" si="241"/>
        <v>-5.1428455621135072E-2</v>
      </c>
      <c r="O2189" s="8"/>
      <c r="P2189" t="s">
        <v>2474</v>
      </c>
      <c r="Q2189">
        <v>34</v>
      </c>
      <c r="R2189" s="8">
        <v>2.8134000000000001</v>
      </c>
      <c r="S2189">
        <v>21</v>
      </c>
      <c r="T2189" s="8">
        <f t="shared" si="242"/>
        <v>0.61764705882352944</v>
      </c>
      <c r="U2189" s="8">
        <v>2.8157899999999998</v>
      </c>
      <c r="V2189">
        <v>11</v>
      </c>
      <c r="W2189" s="8">
        <f t="shared" si="243"/>
        <v>0.3235294117647059</v>
      </c>
      <c r="X2189" s="8">
        <v>2.7960199999999999</v>
      </c>
      <c r="Y2189">
        <v>2</v>
      </c>
      <c r="Z2189" s="8">
        <f t="shared" si="244"/>
        <v>5.8823529411764705E-2</v>
      </c>
      <c r="AA2189" s="8">
        <v>2.8839999999999999</v>
      </c>
    </row>
    <row r="2190" spans="2:27" ht="15" customHeight="1" x14ac:dyDescent="0.25">
      <c r="B2190" t="s">
        <v>114</v>
      </c>
      <c r="C2190" s="8">
        <v>-11989.9915</v>
      </c>
      <c r="D2190" s="2">
        <v>-11991.849203</v>
      </c>
      <c r="F2190" s="3">
        <v>0.99279099999999998</v>
      </c>
      <c r="G2190" s="2">
        <v>0.16866999999999999</v>
      </c>
      <c r="H2190">
        <v>3</v>
      </c>
      <c r="I2190">
        <v>10</v>
      </c>
      <c r="K2190" s="8">
        <f t="shared" si="238"/>
        <v>-0.69018461538507836</v>
      </c>
      <c r="L2190" s="8">
        <f t="shared" si="239"/>
        <v>-5.3091124260390643E-2</v>
      </c>
      <c r="M2190" s="8">
        <f t="shared" si="240"/>
        <v>-0.92120992307536653</v>
      </c>
      <c r="N2190" s="8">
        <f t="shared" si="241"/>
        <v>-7.0862301775028197E-2</v>
      </c>
      <c r="O2190" s="8"/>
      <c r="P2190" t="s">
        <v>2475</v>
      </c>
      <c r="Q2190">
        <v>36</v>
      </c>
      <c r="R2190" s="8">
        <v>2.8316599999999998</v>
      </c>
      <c r="S2190">
        <v>21</v>
      </c>
      <c r="T2190" s="8">
        <f t="shared" si="242"/>
        <v>0.58333333333333337</v>
      </c>
      <c r="U2190" s="8">
        <v>2.8492600000000001</v>
      </c>
      <c r="V2190">
        <v>15</v>
      </c>
      <c r="W2190" s="8">
        <f t="shared" si="243"/>
        <v>0.41666666666666669</v>
      </c>
      <c r="X2190" s="8">
        <v>2.8070200000000001</v>
      </c>
      <c r="Y2190">
        <v>0</v>
      </c>
      <c r="Z2190" s="8">
        <f t="shared" si="244"/>
        <v>0</v>
      </c>
      <c r="AA2190" s="8">
        <v>0</v>
      </c>
    </row>
    <row r="2191" spans="2:27" ht="15" customHeight="1" x14ac:dyDescent="0.25">
      <c r="B2191" s="40" t="s">
        <v>108</v>
      </c>
      <c r="C2191" s="55">
        <v>-11989.921678000001</v>
      </c>
      <c r="D2191" s="41">
        <v>-11991.886011000001</v>
      </c>
      <c r="E2191" s="40"/>
      <c r="F2191" s="42">
        <v>0.99414599999999997</v>
      </c>
      <c r="G2191" s="41">
        <v>0.175009999999999</v>
      </c>
      <c r="H2191" s="40">
        <v>3</v>
      </c>
      <c r="I2191" s="40">
        <v>10</v>
      </c>
      <c r="K2191" s="8">
        <f t="shared" si="238"/>
        <v>-0.62036261538560211</v>
      </c>
      <c r="L2191" s="8">
        <f t="shared" si="239"/>
        <v>-4.7720201183507852E-2</v>
      </c>
      <c r="M2191" s="8">
        <f t="shared" si="240"/>
        <v>-0.95801792307611322</v>
      </c>
      <c r="N2191" s="8">
        <f t="shared" si="241"/>
        <v>-7.3693686390470248E-2</v>
      </c>
      <c r="O2191" s="8"/>
      <c r="P2191" t="s">
        <v>2476</v>
      </c>
      <c r="Q2191">
        <v>36</v>
      </c>
      <c r="R2191" s="8">
        <v>2.8343600000000002</v>
      </c>
      <c r="S2191">
        <v>22</v>
      </c>
      <c r="T2191" s="8">
        <f t="shared" si="242"/>
        <v>0.61111111111111116</v>
      </c>
      <c r="U2191" s="8">
        <v>2.8437299999999999</v>
      </c>
      <c r="V2191">
        <v>13</v>
      </c>
      <c r="W2191" s="8">
        <f t="shared" si="243"/>
        <v>0.3611111111111111</v>
      </c>
      <c r="X2191" s="8">
        <v>2.80444</v>
      </c>
      <c r="Y2191">
        <v>1</v>
      </c>
      <c r="Z2191" s="8">
        <f t="shared" si="244"/>
        <v>2.7777777777777776E-2</v>
      </c>
      <c r="AA2191" s="8">
        <v>3.01715</v>
      </c>
    </row>
    <row r="2192" spans="2:27" ht="15" customHeight="1" x14ac:dyDescent="0.25">
      <c r="B2192" t="s">
        <v>111</v>
      </c>
      <c r="C2192" s="8">
        <v>-11989.9624</v>
      </c>
      <c r="D2192" s="2">
        <v>-11991.748315000001</v>
      </c>
      <c r="F2192" s="3">
        <v>0.99464900000000001</v>
      </c>
      <c r="G2192" s="2">
        <v>0.17763999999999899</v>
      </c>
      <c r="H2192">
        <v>3</v>
      </c>
      <c r="I2192">
        <v>10</v>
      </c>
      <c r="K2192" s="8">
        <f t="shared" si="238"/>
        <v>-0.66108461538533447</v>
      </c>
      <c r="L2192" s="8">
        <f t="shared" si="239"/>
        <v>-5.0852662721948806E-2</v>
      </c>
      <c r="M2192" s="8">
        <f t="shared" si="240"/>
        <v>-0.82032192307633522</v>
      </c>
      <c r="N2192" s="8">
        <f t="shared" si="241"/>
        <v>-6.3101686390487327E-2</v>
      </c>
      <c r="O2192" s="8"/>
      <c r="P2192" t="s">
        <v>2477</v>
      </c>
      <c r="Q2192">
        <v>36</v>
      </c>
      <c r="R2192" s="8">
        <v>2.8323</v>
      </c>
      <c r="S2192">
        <v>22</v>
      </c>
      <c r="T2192" s="8">
        <f t="shared" si="242"/>
        <v>0.61111111111111116</v>
      </c>
      <c r="U2192" s="8">
        <v>2.8334899999999998</v>
      </c>
      <c r="V2192">
        <v>13</v>
      </c>
      <c r="W2192" s="8">
        <f t="shared" si="243"/>
        <v>0.3611111111111111</v>
      </c>
      <c r="X2192" s="8">
        <v>2.8342399999999999</v>
      </c>
      <c r="Y2192">
        <v>1</v>
      </c>
      <c r="Z2192" s="8">
        <f t="shared" si="244"/>
        <v>2.7777777777777776E-2</v>
      </c>
      <c r="AA2192" s="8">
        <v>2.7807300000000001</v>
      </c>
    </row>
    <row r="2193" spans="1:27" ht="15" customHeight="1" x14ac:dyDescent="0.25">
      <c r="B2193" t="s">
        <v>88</v>
      </c>
      <c r="C2193" s="8">
        <v>-11989.6947</v>
      </c>
      <c r="D2193" s="2">
        <v>-11991.498793000001</v>
      </c>
      <c r="F2193" s="3">
        <v>0.99253100000000005</v>
      </c>
      <c r="G2193" s="2">
        <v>0.16758000000000001</v>
      </c>
      <c r="H2193">
        <v>3</v>
      </c>
      <c r="I2193">
        <v>10</v>
      </c>
      <c r="K2193" s="8">
        <f t="shared" si="238"/>
        <v>-0.39338461538500269</v>
      </c>
      <c r="L2193" s="8">
        <f t="shared" si="239"/>
        <v>-3.026035502961559E-2</v>
      </c>
      <c r="M2193" s="8">
        <f t="shared" si="240"/>
        <v>-0.57079992307626526</v>
      </c>
      <c r="N2193" s="8">
        <f t="shared" si="241"/>
        <v>-4.390768639048194E-2</v>
      </c>
      <c r="O2193" s="8"/>
      <c r="P2193" t="s">
        <v>2478</v>
      </c>
      <c r="Q2193">
        <v>36</v>
      </c>
      <c r="R2193" s="8">
        <v>2.8367900000000001</v>
      </c>
      <c r="S2193">
        <v>24</v>
      </c>
      <c r="T2193" s="8">
        <f t="shared" si="242"/>
        <v>0.66666666666666663</v>
      </c>
      <c r="U2193" s="8">
        <v>2.8477399999999999</v>
      </c>
      <c r="V2193">
        <v>11</v>
      </c>
      <c r="W2193" s="8">
        <f t="shared" si="243"/>
        <v>0.30555555555555558</v>
      </c>
      <c r="X2193" s="8">
        <v>2.7839</v>
      </c>
      <c r="Y2193">
        <v>1</v>
      </c>
      <c r="Z2193" s="8">
        <f t="shared" si="244"/>
        <v>2.7777777777777776E-2</v>
      </c>
      <c r="AA2193" s="8">
        <v>3.15591</v>
      </c>
    </row>
    <row r="2194" spans="1:27" ht="15" customHeight="1" x14ac:dyDescent="0.25">
      <c r="B2194" t="s">
        <v>227</v>
      </c>
      <c r="C2194" s="8">
        <v>-11990.064200000001</v>
      </c>
      <c r="D2194" s="2">
        <v>-11991.828688</v>
      </c>
      <c r="F2194" s="3">
        <v>0.99746000000000001</v>
      </c>
      <c r="G2194" s="2">
        <v>0.19999999999999901</v>
      </c>
      <c r="H2194">
        <v>3</v>
      </c>
      <c r="I2194">
        <v>10</v>
      </c>
      <c r="K2194" s="8">
        <f t="shared" si="238"/>
        <v>-0.76288461538570118</v>
      </c>
      <c r="L2194" s="8">
        <f t="shared" si="239"/>
        <v>-5.8683431952746244E-2</v>
      </c>
      <c r="M2194" s="8">
        <f t="shared" si="240"/>
        <v>-0.90069492307520704</v>
      </c>
      <c r="N2194" s="8">
        <f t="shared" si="241"/>
        <v>-6.9284224851938997E-2</v>
      </c>
      <c r="O2194" s="8"/>
      <c r="P2194" t="s">
        <v>2479</v>
      </c>
      <c r="Q2194">
        <v>35</v>
      </c>
      <c r="R2194" s="8">
        <v>2.82396</v>
      </c>
      <c r="S2194">
        <v>20</v>
      </c>
      <c r="T2194" s="8">
        <f t="shared" si="242"/>
        <v>0.5714285714285714</v>
      </c>
      <c r="U2194" s="8">
        <v>2.82396</v>
      </c>
      <c r="V2194">
        <v>13</v>
      </c>
      <c r="W2194" s="8">
        <f t="shared" si="243"/>
        <v>0.37142857142857144</v>
      </c>
      <c r="X2194" s="8">
        <v>2.8207</v>
      </c>
      <c r="Y2194">
        <v>2</v>
      </c>
      <c r="Z2194" s="8">
        <f t="shared" si="244"/>
        <v>5.7142857142857141E-2</v>
      </c>
      <c r="AA2194" s="8">
        <v>2.8451599999999999</v>
      </c>
    </row>
    <row r="2195" spans="1:27" ht="15" customHeight="1" x14ac:dyDescent="0.25">
      <c r="B2195" t="s">
        <v>233</v>
      </c>
      <c r="C2195" s="8">
        <v>-11989.987800000001</v>
      </c>
      <c r="D2195" s="2">
        <v>-11991.745741999999</v>
      </c>
      <c r="F2195" s="3">
        <v>0.99533899999999997</v>
      </c>
      <c r="G2195" s="2">
        <v>0.18179999999999999</v>
      </c>
      <c r="H2195">
        <v>3</v>
      </c>
      <c r="I2195">
        <v>10</v>
      </c>
      <c r="K2195" s="8">
        <f t="shared" si="238"/>
        <v>-0.68648461538577976</v>
      </c>
      <c r="L2195" s="8">
        <f t="shared" si="239"/>
        <v>-5.280650887582921E-2</v>
      </c>
      <c r="M2195" s="8">
        <f t="shared" si="240"/>
        <v>-0.81774892307475966</v>
      </c>
      <c r="N2195" s="8">
        <f t="shared" si="241"/>
        <v>-6.2903763313443051E-2</v>
      </c>
      <c r="O2195" s="8"/>
      <c r="P2195" t="s">
        <v>2480</v>
      </c>
      <c r="Q2195">
        <v>36</v>
      </c>
      <c r="R2195" s="8">
        <v>2.8340900000000002</v>
      </c>
      <c r="S2195">
        <v>22</v>
      </c>
      <c r="T2195" s="8">
        <f t="shared" si="242"/>
        <v>0.61111111111111116</v>
      </c>
      <c r="U2195" s="8">
        <v>2.8357100000000002</v>
      </c>
      <c r="V2195">
        <v>12</v>
      </c>
      <c r="W2195" s="8">
        <f t="shared" si="243"/>
        <v>0.33333333333333331</v>
      </c>
      <c r="X2195" s="8">
        <v>2.8448799999999999</v>
      </c>
      <c r="Y2195">
        <v>2</v>
      </c>
      <c r="Z2195" s="8">
        <f t="shared" si="244"/>
        <v>5.5555555555555552E-2</v>
      </c>
      <c r="AA2195" s="8">
        <v>2.7514699999999999</v>
      </c>
    </row>
    <row r="2196" spans="1:27" ht="15" customHeight="1" x14ac:dyDescent="0.25">
      <c r="B2196" t="s">
        <v>274</v>
      </c>
      <c r="C2196" s="8">
        <v>-11989.816500000001</v>
      </c>
      <c r="D2196" s="2">
        <v>-11991.571397</v>
      </c>
      <c r="F2196" s="3">
        <v>0.99658800000000003</v>
      </c>
      <c r="G2196" s="2">
        <v>0.19102</v>
      </c>
      <c r="H2196">
        <v>3</v>
      </c>
      <c r="I2196">
        <v>10</v>
      </c>
      <c r="K2196" s="8">
        <f t="shared" si="238"/>
        <v>-0.51518461538580596</v>
      </c>
      <c r="L2196" s="8">
        <f t="shared" si="239"/>
        <v>-3.962958579890815E-2</v>
      </c>
      <c r="M2196" s="8">
        <f t="shared" si="240"/>
        <v>-0.64340392307531147</v>
      </c>
      <c r="N2196" s="8">
        <f t="shared" si="241"/>
        <v>-4.9492609467331652E-2</v>
      </c>
      <c r="O2196" s="8"/>
      <c r="P2196" t="s">
        <v>2481</v>
      </c>
      <c r="Q2196">
        <v>36</v>
      </c>
      <c r="R2196" s="8">
        <v>2.8354400000000002</v>
      </c>
      <c r="S2196">
        <v>23</v>
      </c>
      <c r="T2196" s="8">
        <f t="shared" si="242"/>
        <v>0.63888888888888884</v>
      </c>
      <c r="U2196" s="8">
        <v>2.8413200000000001</v>
      </c>
      <c r="V2196">
        <v>10</v>
      </c>
      <c r="W2196" s="8">
        <f t="shared" si="243"/>
        <v>0.27777777777777779</v>
      </c>
      <c r="X2196" s="8">
        <v>2.8307099999999998</v>
      </c>
      <c r="Y2196">
        <v>3</v>
      </c>
      <c r="Z2196" s="8">
        <f t="shared" si="244"/>
        <v>8.3333333333333329E-2</v>
      </c>
      <c r="AA2196" s="8">
        <v>2.8060800000000001</v>
      </c>
    </row>
    <row r="2197" spans="1:27" ht="15" customHeight="1" x14ac:dyDescent="0.25">
      <c r="B2197" t="s">
        <v>209</v>
      </c>
      <c r="C2197" s="8">
        <v>-11990.0386</v>
      </c>
      <c r="D2197" s="2">
        <v>-11991.56745</v>
      </c>
      <c r="F2197" s="3">
        <v>0.99478800000000001</v>
      </c>
      <c r="G2197" s="2">
        <v>0.17842</v>
      </c>
      <c r="H2197">
        <v>3</v>
      </c>
      <c r="I2197">
        <v>10</v>
      </c>
      <c r="K2197" s="8">
        <f t="shared" si="238"/>
        <v>-0.73728461538485135</v>
      </c>
      <c r="L2197" s="8">
        <f t="shared" si="239"/>
        <v>-5.6714201183450101E-2</v>
      </c>
      <c r="M2197" s="8">
        <f t="shared" si="240"/>
        <v>-0.63945692307606805</v>
      </c>
      <c r="N2197" s="8">
        <f t="shared" si="241"/>
        <v>-4.9188994082774468E-2</v>
      </c>
      <c r="O2197" s="8"/>
      <c r="P2197" t="s">
        <v>2482</v>
      </c>
      <c r="Q2197">
        <v>36</v>
      </c>
      <c r="R2197" s="8">
        <v>2.83304</v>
      </c>
      <c r="S2197">
        <v>21</v>
      </c>
      <c r="T2197" s="8">
        <f t="shared" si="242"/>
        <v>0.58333333333333337</v>
      </c>
      <c r="U2197" s="8">
        <v>2.8465500000000001</v>
      </c>
      <c r="V2197">
        <v>14</v>
      </c>
      <c r="W2197" s="8">
        <f t="shared" si="243"/>
        <v>0.3888888888888889</v>
      </c>
      <c r="X2197" s="8">
        <v>2.8089499999999998</v>
      </c>
      <c r="Y2197">
        <v>1</v>
      </c>
      <c r="Z2197" s="8">
        <f t="shared" si="244"/>
        <v>2.7777777777777776E-2</v>
      </c>
      <c r="AA2197" s="8">
        <v>2.8864800000000002</v>
      </c>
    </row>
    <row r="2198" spans="1:27" ht="15" customHeight="1" x14ac:dyDescent="0.25">
      <c r="B2198" t="s">
        <v>260</v>
      </c>
      <c r="C2198" s="8">
        <v>-11989.974083999999</v>
      </c>
      <c r="D2198" s="2">
        <v>-11991.722339</v>
      </c>
      <c r="F2198" s="3">
        <v>1.000016</v>
      </c>
      <c r="G2198" s="2">
        <v>0.18365000000000001</v>
      </c>
      <c r="H2198">
        <v>3</v>
      </c>
      <c r="I2198">
        <v>10</v>
      </c>
      <c r="K2198" s="8">
        <f t="shared" si="238"/>
        <v>-0.67276861538448429</v>
      </c>
      <c r="L2198" s="8">
        <f t="shared" si="239"/>
        <v>-5.1751431952652638E-2</v>
      </c>
      <c r="M2198" s="8">
        <f t="shared" si="240"/>
        <v>-0.79434592307552521</v>
      </c>
      <c r="N2198" s="8">
        <f t="shared" si="241"/>
        <v>-6.1103532544271172E-2</v>
      </c>
      <c r="O2198" s="8"/>
      <c r="P2198" t="s">
        <v>2483</v>
      </c>
      <c r="Q2198">
        <v>36</v>
      </c>
      <c r="R2198" s="8">
        <v>2.83419</v>
      </c>
      <c r="S2198">
        <v>21</v>
      </c>
      <c r="T2198" s="8">
        <f t="shared" si="242"/>
        <v>0.58333333333333337</v>
      </c>
      <c r="U2198" s="8">
        <v>2.8530000000000002</v>
      </c>
      <c r="V2198">
        <v>14</v>
      </c>
      <c r="W2198" s="8">
        <f t="shared" si="243"/>
        <v>0.3888888888888889</v>
      </c>
      <c r="X2198" s="8">
        <v>2.8120099999999999</v>
      </c>
      <c r="Y2198">
        <v>1</v>
      </c>
      <c r="Z2198" s="8">
        <f t="shared" si="244"/>
        <v>2.7777777777777776E-2</v>
      </c>
      <c r="AA2198" s="8">
        <v>2.7497600000000002</v>
      </c>
    </row>
    <row r="2199" spans="1:27" ht="15" customHeight="1" x14ac:dyDescent="0.25">
      <c r="B2199" t="s">
        <v>105</v>
      </c>
      <c r="C2199" s="8">
        <v>-11989.8719</v>
      </c>
      <c r="D2199" s="2">
        <v>-11991.680979000001</v>
      </c>
      <c r="F2199" s="3">
        <v>0.99634</v>
      </c>
      <c r="G2199" s="2">
        <v>0.18908</v>
      </c>
      <c r="H2199">
        <v>3</v>
      </c>
      <c r="I2199">
        <v>10</v>
      </c>
      <c r="K2199" s="8">
        <f t="shared" si="238"/>
        <v>-0.57058461538508709</v>
      </c>
      <c r="L2199" s="8">
        <f t="shared" si="239"/>
        <v>-4.3891124260391316E-2</v>
      </c>
      <c r="M2199" s="8">
        <f t="shared" si="240"/>
        <v>-0.75298592307626677</v>
      </c>
      <c r="N2199" s="8">
        <f t="shared" si="241"/>
        <v>-5.7921994082789752E-2</v>
      </c>
      <c r="O2199" s="8"/>
      <c r="P2199" t="s">
        <v>2484</v>
      </c>
      <c r="Q2199">
        <v>34</v>
      </c>
      <c r="R2199" s="8">
        <v>2.8138999999999998</v>
      </c>
      <c r="S2199">
        <v>21</v>
      </c>
      <c r="T2199" s="8">
        <f t="shared" si="242"/>
        <v>0.61764705882352944</v>
      </c>
      <c r="U2199" s="8">
        <v>2.8143799999999999</v>
      </c>
      <c r="V2199">
        <v>12</v>
      </c>
      <c r="W2199" s="8">
        <f t="shared" si="243"/>
        <v>0.35294117647058826</v>
      </c>
      <c r="X2199" s="8">
        <v>2.8169</v>
      </c>
      <c r="Y2199">
        <v>1</v>
      </c>
      <c r="Z2199" s="8">
        <f t="shared" si="244"/>
        <v>2.9411764705882353E-2</v>
      </c>
      <c r="AA2199" s="8">
        <v>2.7679</v>
      </c>
    </row>
    <row r="2200" spans="1:27" ht="15" customHeight="1" x14ac:dyDescent="0.25">
      <c r="K2200" s="8" t="str">
        <f t="shared" si="238"/>
        <v/>
      </c>
      <c r="L2200" s="8" t="str">
        <f t="shared" si="239"/>
        <v/>
      </c>
      <c r="M2200" s="8" t="str">
        <f t="shared" si="240"/>
        <v/>
      </c>
      <c r="N2200" s="8" t="str">
        <f t="shared" si="241"/>
        <v/>
      </c>
      <c r="O2200" s="8"/>
      <c r="T2200" s="8" t="str">
        <f t="shared" si="242"/>
        <v/>
      </c>
      <c r="W2200" s="8" t="str">
        <f t="shared" si="243"/>
        <v/>
      </c>
      <c r="Z2200" s="8" t="str">
        <f t="shared" si="244"/>
        <v/>
      </c>
    </row>
    <row r="2201" spans="1:27" ht="15" customHeight="1" x14ac:dyDescent="0.25">
      <c r="B2201" s="54" t="s">
        <v>1407</v>
      </c>
      <c r="C2201" s="52" t="s">
        <v>0</v>
      </c>
      <c r="D2201" s="53" t="s">
        <v>1</v>
      </c>
      <c r="E2201" s="7"/>
      <c r="F2201" s="54" t="s">
        <v>2</v>
      </c>
      <c r="G2201" s="54" t="s">
        <v>3</v>
      </c>
      <c r="H2201" s="7" t="s">
        <v>4</v>
      </c>
      <c r="I2201" s="7" t="s">
        <v>5</v>
      </c>
      <c r="K2201" s="8" t="str">
        <f t="shared" si="238"/>
        <v/>
      </c>
      <c r="L2201" s="8" t="str">
        <f t="shared" si="239"/>
        <v/>
      </c>
      <c r="M2201" s="8" t="str">
        <f t="shared" si="240"/>
        <v/>
      </c>
      <c r="N2201" s="8" t="str">
        <f t="shared" si="241"/>
        <v/>
      </c>
      <c r="O2201" s="8"/>
      <c r="T2201" s="8" t="str">
        <f t="shared" si="242"/>
        <v/>
      </c>
      <c r="W2201" s="8" t="str">
        <f t="shared" si="243"/>
        <v/>
      </c>
      <c r="Z2201" s="8" t="str">
        <f t="shared" si="244"/>
        <v/>
      </c>
    </row>
    <row r="2202" spans="1:27" ht="15" customHeight="1" x14ac:dyDescent="0.25">
      <c r="A2202" s="7" t="s">
        <v>2485</v>
      </c>
      <c r="B2202" t="s">
        <v>20</v>
      </c>
      <c r="C2202" s="8">
        <v>-11896.7125</v>
      </c>
      <c r="D2202" s="2">
        <v>-11898.339112</v>
      </c>
      <c r="F2202" s="3">
        <v>0.99570800000000004</v>
      </c>
      <c r="G2202" s="2">
        <v>0.18426999999999999</v>
      </c>
      <c r="H2202">
        <v>2</v>
      </c>
      <c r="I2202">
        <v>11</v>
      </c>
      <c r="K2202" s="8">
        <f t="shared" si="238"/>
        <v>-0.6965230769237678</v>
      </c>
      <c r="L2202" s="8">
        <f t="shared" si="239"/>
        <v>-5.3578698224905213E-2</v>
      </c>
      <c r="M2202" s="8">
        <f t="shared" si="240"/>
        <v>-0.64631861538327939</v>
      </c>
      <c r="N2202" s="8">
        <f t="shared" si="241"/>
        <v>-4.971681656794457E-2</v>
      </c>
      <c r="O2202" s="8"/>
      <c r="P2202" t="s">
        <v>2486</v>
      </c>
      <c r="Q2202">
        <v>34</v>
      </c>
      <c r="R2202" s="8">
        <v>2.8117800000000002</v>
      </c>
      <c r="S2202">
        <v>22</v>
      </c>
      <c r="T2202" s="8">
        <f t="shared" si="242"/>
        <v>0.6470588235294118</v>
      </c>
      <c r="U2202" s="8">
        <v>2.7987099999999998</v>
      </c>
      <c r="V2202">
        <v>11</v>
      </c>
      <c r="W2202" s="8">
        <f t="shared" si="243"/>
        <v>0.3235294117647059</v>
      </c>
      <c r="X2202" s="8">
        <v>2.84565</v>
      </c>
      <c r="Y2202">
        <v>1</v>
      </c>
      <c r="Z2202" s="8">
        <f t="shared" si="244"/>
        <v>2.9411764705882353E-2</v>
      </c>
      <c r="AA2202" s="8">
        <v>2.7267299999999999</v>
      </c>
    </row>
    <row r="2203" spans="1:27" ht="15" customHeight="1" x14ac:dyDescent="0.25">
      <c r="B2203" t="s">
        <v>24</v>
      </c>
      <c r="C2203" s="8">
        <v>-11896.696400000001</v>
      </c>
      <c r="D2203" s="2">
        <v>-11898.432736000001</v>
      </c>
      <c r="F2203" s="3">
        <v>0.99475000000000002</v>
      </c>
      <c r="G2203" s="2">
        <v>0.17824999999999899</v>
      </c>
      <c r="H2203">
        <v>2</v>
      </c>
      <c r="I2203">
        <v>11</v>
      </c>
      <c r="K2203" s="8">
        <f t="shared" si="238"/>
        <v>-0.68042307692485338</v>
      </c>
      <c r="L2203" s="8">
        <f t="shared" si="239"/>
        <v>-5.2340236686527181E-2</v>
      </c>
      <c r="M2203" s="8">
        <f t="shared" si="240"/>
        <v>-0.73994261538427963</v>
      </c>
      <c r="N2203" s="8">
        <f t="shared" si="241"/>
        <v>-5.6918662721867665E-2</v>
      </c>
      <c r="O2203" s="8"/>
      <c r="P2203" t="s">
        <v>2487</v>
      </c>
      <c r="Q2203">
        <v>36</v>
      </c>
      <c r="R2203" s="8">
        <v>2.8377599999999998</v>
      </c>
      <c r="S2203">
        <v>22</v>
      </c>
      <c r="T2203" s="8">
        <f t="shared" si="242"/>
        <v>0.61111111111111116</v>
      </c>
      <c r="U2203" s="8">
        <v>2.8047800000000001</v>
      </c>
      <c r="V2203">
        <v>13</v>
      </c>
      <c r="W2203" s="8">
        <f t="shared" si="243"/>
        <v>0.3611111111111111</v>
      </c>
      <c r="X2203" s="8">
        <v>2.88341</v>
      </c>
      <c r="Y2203">
        <v>1</v>
      </c>
      <c r="Z2203" s="8">
        <f t="shared" si="244"/>
        <v>2.7777777777777776E-2</v>
      </c>
      <c r="AA2203" s="8">
        <v>2.9697200000000001</v>
      </c>
    </row>
    <row r="2204" spans="1:27" ht="15" customHeight="1" x14ac:dyDescent="0.25">
      <c r="B2204" s="7" t="s">
        <v>26</v>
      </c>
      <c r="C2204" s="5">
        <v>-11896.876200000001</v>
      </c>
      <c r="D2204" s="23">
        <v>-11898.470911</v>
      </c>
      <c r="E2204" s="7"/>
      <c r="F2204" s="34">
        <v>0.99646199999999996</v>
      </c>
      <c r="G2204" s="23">
        <v>0.19008</v>
      </c>
      <c r="H2204" s="7">
        <v>2</v>
      </c>
      <c r="I2204" s="7">
        <v>11</v>
      </c>
      <c r="K2204" s="8">
        <f t="shared" si="238"/>
        <v>-0.86022307692473987</v>
      </c>
      <c r="L2204" s="8">
        <f t="shared" si="239"/>
        <v>-6.6171005917287681E-2</v>
      </c>
      <c r="M2204" s="8">
        <f t="shared" si="240"/>
        <v>-0.7781176153839624</v>
      </c>
      <c r="N2204" s="8">
        <f t="shared" si="241"/>
        <v>-5.9855201183381723E-2</v>
      </c>
      <c r="O2204" s="8"/>
      <c r="P2204" t="s">
        <v>2488</v>
      </c>
      <c r="Q2204">
        <v>34</v>
      </c>
      <c r="R2204" s="8">
        <v>2.8161299999999998</v>
      </c>
      <c r="S2204">
        <v>22</v>
      </c>
      <c r="T2204" s="8">
        <f t="shared" si="242"/>
        <v>0.6470588235294118</v>
      </c>
      <c r="U2204" s="8">
        <v>2.8054899999999998</v>
      </c>
      <c r="V2204">
        <v>12</v>
      </c>
      <c r="W2204" s="8">
        <f t="shared" si="243"/>
        <v>0.35294117647058826</v>
      </c>
      <c r="X2204" s="8">
        <v>2.8356499999999998</v>
      </c>
      <c r="Y2204">
        <v>0</v>
      </c>
      <c r="Z2204" s="8">
        <f t="shared" si="244"/>
        <v>0</v>
      </c>
      <c r="AA2204" s="8">
        <v>0</v>
      </c>
    </row>
    <row r="2205" spans="1:27" ht="15" customHeight="1" x14ac:dyDescent="0.25">
      <c r="B2205" t="s">
        <v>28</v>
      </c>
      <c r="C2205" s="8">
        <v>-11896.731900000001</v>
      </c>
      <c r="D2205" s="2">
        <v>-11898.340466</v>
      </c>
      <c r="F2205" s="3">
        <v>0.99313799999999997</v>
      </c>
      <c r="G2205" s="2">
        <v>0.17014000000000001</v>
      </c>
      <c r="H2205">
        <v>2</v>
      </c>
      <c r="I2205">
        <v>11</v>
      </c>
      <c r="K2205" s="8">
        <f t="shared" si="238"/>
        <v>-0.71592307692480972</v>
      </c>
      <c r="L2205" s="8">
        <f t="shared" si="239"/>
        <v>-5.5071005917293053E-2</v>
      </c>
      <c r="M2205" s="8">
        <f t="shared" si="240"/>
        <v>-0.64767261538327148</v>
      </c>
      <c r="N2205" s="8">
        <f t="shared" si="241"/>
        <v>-4.9820970414097804E-2</v>
      </c>
      <c r="O2205" s="8"/>
      <c r="P2205" t="s">
        <v>2489</v>
      </c>
      <c r="Q2205">
        <v>36</v>
      </c>
      <c r="R2205" s="8">
        <v>2.8331300000000001</v>
      </c>
      <c r="S2205">
        <v>22</v>
      </c>
      <c r="T2205" s="8">
        <f t="shared" si="242"/>
        <v>0.61111111111111116</v>
      </c>
      <c r="U2205" s="8">
        <v>2.8124400000000001</v>
      </c>
      <c r="V2205">
        <v>14</v>
      </c>
      <c r="W2205" s="8">
        <f t="shared" si="243"/>
        <v>0.3888888888888889</v>
      </c>
      <c r="X2205" s="8">
        <v>2.86565</v>
      </c>
      <c r="Y2205">
        <v>0</v>
      </c>
      <c r="Z2205" s="8">
        <f t="shared" si="244"/>
        <v>0</v>
      </c>
      <c r="AA2205" s="8">
        <v>0</v>
      </c>
    </row>
    <row r="2206" spans="1:27" ht="15" customHeight="1" x14ac:dyDescent="0.25">
      <c r="B2206" t="s">
        <v>30</v>
      </c>
      <c r="C2206" s="8">
        <v>-11896.495800000001</v>
      </c>
      <c r="D2206" s="2">
        <v>-11898.136721000001</v>
      </c>
      <c r="F2206" s="3">
        <v>0.99785999999999997</v>
      </c>
      <c r="G2206" s="2">
        <v>0.12162000000000001</v>
      </c>
      <c r="H2206">
        <v>2</v>
      </c>
      <c r="I2206">
        <v>11</v>
      </c>
      <c r="K2206" s="8">
        <f t="shared" si="238"/>
        <v>-0.47982307692473114</v>
      </c>
      <c r="L2206" s="8">
        <f t="shared" si="239"/>
        <v>-3.6909467455748551E-2</v>
      </c>
      <c r="M2206" s="8">
        <f t="shared" si="240"/>
        <v>-0.44392761538438208</v>
      </c>
      <c r="N2206" s="8">
        <f t="shared" si="241"/>
        <v>-3.4148278106490931E-2</v>
      </c>
      <c r="O2206" s="8"/>
      <c r="P2206" t="s">
        <v>2490</v>
      </c>
      <c r="Q2206">
        <v>36</v>
      </c>
      <c r="R2206" s="8">
        <v>2.82864</v>
      </c>
      <c r="S2206">
        <v>26</v>
      </c>
      <c r="T2206" s="8">
        <f t="shared" si="242"/>
        <v>0.72222222222222221</v>
      </c>
      <c r="U2206" s="8">
        <v>2.8438300000000001</v>
      </c>
      <c r="V2206">
        <v>10</v>
      </c>
      <c r="W2206" s="8">
        <f t="shared" si="243"/>
        <v>0.27777777777777779</v>
      </c>
      <c r="X2206" s="8">
        <v>2.7891499999999998</v>
      </c>
      <c r="Y2206">
        <v>0</v>
      </c>
      <c r="Z2206" s="8">
        <f t="shared" si="244"/>
        <v>0</v>
      </c>
      <c r="AA2206" s="8">
        <v>0</v>
      </c>
    </row>
    <row r="2207" spans="1:27" ht="15" customHeight="1" x14ac:dyDescent="0.25">
      <c r="B2207" t="s">
        <v>38</v>
      </c>
      <c r="C2207" s="8">
        <v>-11896.373100000001</v>
      </c>
      <c r="D2207" s="2">
        <v>-11898.541649999999</v>
      </c>
      <c r="F2207" s="3">
        <v>0.99524299999999999</v>
      </c>
      <c r="G2207" s="2">
        <v>0.18121999999999999</v>
      </c>
      <c r="H2207">
        <v>2</v>
      </c>
      <c r="I2207">
        <v>11</v>
      </c>
      <c r="K2207" s="8">
        <f t="shared" si="238"/>
        <v>-0.35712307692483591</v>
      </c>
      <c r="L2207" s="8">
        <f t="shared" si="239"/>
        <v>-2.7471005917295069E-2</v>
      </c>
      <c r="M2207" s="8">
        <f t="shared" si="240"/>
        <v>-0.84885661538282875</v>
      </c>
      <c r="N2207" s="8">
        <f t="shared" si="241"/>
        <v>-6.5296662721756063E-2</v>
      </c>
      <c r="O2207" s="8"/>
      <c r="P2207" t="s">
        <v>2491</v>
      </c>
      <c r="Q2207">
        <v>36</v>
      </c>
      <c r="R2207" s="8">
        <v>2.8281900000000002</v>
      </c>
      <c r="S2207">
        <v>27</v>
      </c>
      <c r="T2207" s="8">
        <f t="shared" si="242"/>
        <v>0.75</v>
      </c>
      <c r="U2207" s="8">
        <v>2.8322600000000002</v>
      </c>
      <c r="V2207">
        <v>8</v>
      </c>
      <c r="W2207" s="8">
        <f t="shared" si="243"/>
        <v>0.22222222222222221</v>
      </c>
      <c r="X2207" s="8">
        <v>2.8188</v>
      </c>
      <c r="Y2207">
        <v>1</v>
      </c>
      <c r="Z2207" s="8">
        <f t="shared" si="244"/>
        <v>2.7777777777777776E-2</v>
      </c>
      <c r="AA2207" s="8">
        <v>2.7934299999999999</v>
      </c>
    </row>
    <row r="2208" spans="1:27" ht="15" customHeight="1" x14ac:dyDescent="0.25">
      <c r="B2208" t="s">
        <v>40</v>
      </c>
      <c r="C2208" s="8">
        <v>-11896.468500000001</v>
      </c>
      <c r="D2208" s="2">
        <v>-11898.501269</v>
      </c>
      <c r="F2208" s="3">
        <v>0.99397899999999995</v>
      </c>
      <c r="G2208" s="2">
        <v>0.17404</v>
      </c>
      <c r="H2208">
        <v>2</v>
      </c>
      <c r="I2208">
        <v>11</v>
      </c>
      <c r="K2208" s="8">
        <f t="shared" si="238"/>
        <v>-0.45252307692499016</v>
      </c>
      <c r="L2208" s="8">
        <f t="shared" si="239"/>
        <v>-3.4809467455768475E-2</v>
      </c>
      <c r="M2208" s="8">
        <f t="shared" si="240"/>
        <v>-0.80847561538394075</v>
      </c>
      <c r="N2208" s="8">
        <f t="shared" si="241"/>
        <v>-6.2190431952610828E-2</v>
      </c>
      <c r="O2208" s="8"/>
      <c r="P2208" t="s">
        <v>2492</v>
      </c>
      <c r="Q2208">
        <v>36</v>
      </c>
      <c r="R2208" s="8">
        <v>2.8308300000000002</v>
      </c>
      <c r="S2208">
        <v>26</v>
      </c>
      <c r="T2208" s="8">
        <f t="shared" si="242"/>
        <v>0.72222222222222221</v>
      </c>
      <c r="U2208" s="8">
        <v>2.83751</v>
      </c>
      <c r="V2208">
        <v>10</v>
      </c>
      <c r="W2208" s="8">
        <f t="shared" si="243"/>
        <v>0.27777777777777779</v>
      </c>
      <c r="X2208" s="8">
        <v>2.8134700000000001</v>
      </c>
      <c r="Y2208">
        <v>0</v>
      </c>
      <c r="Z2208" s="8">
        <f t="shared" si="244"/>
        <v>0</v>
      </c>
      <c r="AA2208" s="8">
        <v>0</v>
      </c>
    </row>
    <row r="2209" spans="2:27" ht="15" customHeight="1" x14ac:dyDescent="0.25">
      <c r="B2209" t="s">
        <v>42</v>
      </c>
      <c r="C2209" s="8">
        <v>-11896.4879</v>
      </c>
      <c r="D2209" s="2">
        <v>-11898.470606000001</v>
      </c>
      <c r="F2209" s="3">
        <v>0.99323600000000001</v>
      </c>
      <c r="G2209" s="2">
        <v>0.17057999999999901</v>
      </c>
      <c r="H2209">
        <v>2</v>
      </c>
      <c r="I2209">
        <v>11</v>
      </c>
      <c r="K2209" s="8">
        <f t="shared" si="238"/>
        <v>-0.47192307692421309</v>
      </c>
      <c r="L2209" s="8">
        <f t="shared" si="239"/>
        <v>-3.6301775148016392E-2</v>
      </c>
      <c r="M2209" s="8">
        <f t="shared" si="240"/>
        <v>-0.77781261538439139</v>
      </c>
      <c r="N2209" s="8">
        <f t="shared" si="241"/>
        <v>-5.9831739644953183E-2</v>
      </c>
      <c r="O2209" s="8"/>
      <c r="P2209" t="s">
        <v>2493</v>
      </c>
      <c r="Q2209">
        <v>36</v>
      </c>
      <c r="R2209" s="8">
        <v>2.8323700000000001</v>
      </c>
      <c r="S2209">
        <v>26</v>
      </c>
      <c r="T2209" s="8">
        <f t="shared" si="242"/>
        <v>0.72222222222222221</v>
      </c>
      <c r="U2209" s="8">
        <v>2.8380399999999999</v>
      </c>
      <c r="V2209">
        <v>9</v>
      </c>
      <c r="W2209" s="8">
        <f t="shared" si="243"/>
        <v>0.25</v>
      </c>
      <c r="X2209" s="8">
        <v>2.8128299999999999</v>
      </c>
      <c r="Y2209">
        <v>1</v>
      </c>
      <c r="Z2209" s="8">
        <f t="shared" si="244"/>
        <v>2.7777777777777776E-2</v>
      </c>
      <c r="AA2209" s="8">
        <v>2.8609599999999999</v>
      </c>
    </row>
    <row r="2210" spans="2:27" ht="15" customHeight="1" x14ac:dyDescent="0.25">
      <c r="B2210" s="7" t="s">
        <v>44</v>
      </c>
      <c r="C2210" s="19">
        <v>-11896.5857</v>
      </c>
      <c r="D2210" s="20">
        <v>-11898.666627000001</v>
      </c>
      <c r="E2210" s="7"/>
      <c r="F2210" s="34">
        <v>0.99359399999999998</v>
      </c>
      <c r="G2210" s="23">
        <v>0.17221999999999901</v>
      </c>
      <c r="H2210" s="7">
        <v>2</v>
      </c>
      <c r="I2210" s="7">
        <v>11</v>
      </c>
      <c r="K2210" s="8">
        <f t="shared" si="238"/>
        <v>-0.56972307692376489</v>
      </c>
      <c r="L2210" s="8">
        <f t="shared" si="239"/>
        <v>-4.3824852071058837E-2</v>
      </c>
      <c r="M2210" s="8">
        <f t="shared" si="240"/>
        <v>-0.97383361538413737</v>
      </c>
      <c r="N2210" s="8">
        <f t="shared" si="241"/>
        <v>-7.4910278106472106E-2</v>
      </c>
      <c r="O2210" s="8"/>
      <c r="P2210" t="s">
        <v>2494</v>
      </c>
      <c r="Q2210">
        <v>35</v>
      </c>
      <c r="R2210" s="8">
        <v>2.8232200000000001</v>
      </c>
      <c r="S2210">
        <v>25</v>
      </c>
      <c r="T2210" s="8">
        <f t="shared" si="242"/>
        <v>0.7142857142857143</v>
      </c>
      <c r="U2210" s="8">
        <v>2.8282799999999999</v>
      </c>
      <c r="V2210">
        <v>10</v>
      </c>
      <c r="W2210" s="8">
        <f t="shared" si="243"/>
        <v>0.2857142857142857</v>
      </c>
      <c r="X2210" s="8">
        <v>2.8105799999999999</v>
      </c>
      <c r="Y2210">
        <v>0</v>
      </c>
      <c r="Z2210" s="8">
        <f t="shared" si="244"/>
        <v>0</v>
      </c>
      <c r="AA2210" s="8">
        <v>0</v>
      </c>
    </row>
    <row r="2211" spans="2:27" ht="15" customHeight="1" x14ac:dyDescent="0.25">
      <c r="B2211" t="s">
        <v>46</v>
      </c>
      <c r="C2211" s="8">
        <v>-11896.383099999999</v>
      </c>
      <c r="D2211" s="2">
        <v>-11898.307709000001</v>
      </c>
      <c r="F2211" s="3">
        <v>0.99495</v>
      </c>
      <c r="G2211" s="2">
        <v>0.17938000000000001</v>
      </c>
      <c r="H2211">
        <v>2</v>
      </c>
      <c r="I2211">
        <v>11</v>
      </c>
      <c r="K2211" s="8">
        <f t="shared" si="238"/>
        <v>-0.3671230769232352</v>
      </c>
      <c r="L2211" s="8">
        <f t="shared" si="239"/>
        <v>-2.8240236686402707E-2</v>
      </c>
      <c r="M2211" s="8">
        <f t="shared" si="240"/>
        <v>-0.61491561538423412</v>
      </c>
      <c r="N2211" s="8">
        <f t="shared" si="241"/>
        <v>-4.7301201183402627E-2</v>
      </c>
      <c r="O2211" s="8"/>
      <c r="P2211" t="s">
        <v>2495</v>
      </c>
      <c r="Q2211">
        <v>36</v>
      </c>
      <c r="R2211" s="8">
        <v>2.8301400000000001</v>
      </c>
      <c r="S2211">
        <v>27</v>
      </c>
      <c r="T2211" s="8">
        <f t="shared" si="242"/>
        <v>0.75</v>
      </c>
      <c r="U2211" s="8">
        <v>2.8473999999999999</v>
      </c>
      <c r="V2211">
        <v>9</v>
      </c>
      <c r="W2211" s="8">
        <f t="shared" si="243"/>
        <v>0.25</v>
      </c>
      <c r="X2211" s="8">
        <v>2.7783799999999998</v>
      </c>
      <c r="Y2211">
        <v>0</v>
      </c>
      <c r="Z2211" s="8">
        <f t="shared" si="244"/>
        <v>0</v>
      </c>
      <c r="AA2211" s="8">
        <v>0</v>
      </c>
    </row>
    <row r="2212" spans="2:27" ht="15" customHeight="1" x14ac:dyDescent="0.25">
      <c r="B2212" t="s">
        <v>48</v>
      </c>
      <c r="C2212" s="8">
        <v>-11896.2657</v>
      </c>
      <c r="D2212" s="2">
        <v>-11897.928351</v>
      </c>
      <c r="F2212" s="3">
        <v>0.99574200000000002</v>
      </c>
      <c r="G2212" s="2">
        <v>0.17594000000000001</v>
      </c>
      <c r="H2212">
        <v>2</v>
      </c>
      <c r="I2212">
        <v>11</v>
      </c>
      <c r="K2212" s="8">
        <f t="shared" si="238"/>
        <v>-0.24972307692405593</v>
      </c>
      <c r="L2212" s="8">
        <f t="shared" si="239"/>
        <v>-1.920946745569661E-2</v>
      </c>
      <c r="M2212" s="8">
        <f t="shared" si="240"/>
        <v>-0.2355576153840957</v>
      </c>
      <c r="N2212" s="8">
        <f t="shared" si="241"/>
        <v>-1.811981656800736E-2</v>
      </c>
      <c r="O2212" s="8"/>
      <c r="P2212" t="s">
        <v>2496</v>
      </c>
      <c r="Q2212">
        <v>36</v>
      </c>
      <c r="R2212" s="8">
        <v>2.8342800000000001</v>
      </c>
      <c r="S2212">
        <v>27</v>
      </c>
      <c r="T2212" s="8">
        <f t="shared" si="242"/>
        <v>0.75</v>
      </c>
      <c r="U2212" s="8">
        <v>2.83935</v>
      </c>
      <c r="V2212">
        <v>8</v>
      </c>
      <c r="W2212" s="8">
        <f t="shared" si="243"/>
        <v>0.22222222222222221</v>
      </c>
      <c r="X2212" s="8">
        <v>2.7928199999999999</v>
      </c>
      <c r="Y2212">
        <v>1</v>
      </c>
      <c r="Z2212" s="8">
        <f t="shared" si="244"/>
        <v>2.7777777777777776E-2</v>
      </c>
      <c r="AA2212" s="8">
        <v>3.0290599999999999</v>
      </c>
    </row>
    <row r="2213" spans="2:27" ht="15" customHeight="1" x14ac:dyDescent="0.25">
      <c r="B2213" t="s">
        <v>50</v>
      </c>
      <c r="C2213" s="8">
        <v>-11896.4174</v>
      </c>
      <c r="D2213" s="2">
        <v>-11898.549509</v>
      </c>
      <c r="F2213" s="3">
        <v>0.99637399999999998</v>
      </c>
      <c r="G2213" s="2">
        <v>0.18931999999999899</v>
      </c>
      <c r="H2213">
        <v>2</v>
      </c>
      <c r="I2213">
        <v>11</v>
      </c>
      <c r="K2213" s="8">
        <f t="shared" si="238"/>
        <v>-0.40142307692440227</v>
      </c>
      <c r="L2213" s="8">
        <f t="shared" si="239"/>
        <v>-3.087869822495402E-2</v>
      </c>
      <c r="M2213" s="8">
        <f t="shared" si="240"/>
        <v>-0.85671561538401875</v>
      </c>
      <c r="N2213" s="8">
        <f t="shared" si="241"/>
        <v>-6.5901201183386063E-2</v>
      </c>
      <c r="O2213" s="8"/>
      <c r="P2213" t="s">
        <v>2497</v>
      </c>
      <c r="Q2213">
        <v>35</v>
      </c>
      <c r="R2213" s="8">
        <v>2.8252199999999998</v>
      </c>
      <c r="S2213">
        <v>25</v>
      </c>
      <c r="T2213" s="8">
        <f t="shared" si="242"/>
        <v>0.7142857142857143</v>
      </c>
      <c r="U2213" s="8">
        <v>2.82945</v>
      </c>
      <c r="V2213">
        <v>10</v>
      </c>
      <c r="W2213" s="8">
        <f t="shared" si="243"/>
        <v>0.2857142857142857</v>
      </c>
      <c r="X2213" s="8">
        <v>2.8146399999999998</v>
      </c>
      <c r="Y2213">
        <v>0</v>
      </c>
      <c r="Z2213" s="8">
        <f t="shared" si="244"/>
        <v>0</v>
      </c>
      <c r="AA2213" s="8">
        <v>0</v>
      </c>
    </row>
    <row r="2214" spans="2:27" ht="15" customHeight="1" x14ac:dyDescent="0.25">
      <c r="B2214" t="s">
        <v>52</v>
      </c>
      <c r="C2214" s="8">
        <v>-11896.3223</v>
      </c>
      <c r="D2214" s="2">
        <v>-11898.155316</v>
      </c>
      <c r="F2214" s="3">
        <v>0.98769700000000005</v>
      </c>
      <c r="G2214" s="2">
        <v>0.15254000000000001</v>
      </c>
      <c r="H2214">
        <v>2</v>
      </c>
      <c r="I2214">
        <v>11</v>
      </c>
      <c r="K2214" s="8">
        <f t="shared" si="238"/>
        <v>-0.30632307692394534</v>
      </c>
      <c r="L2214" s="8">
        <f t="shared" si="239"/>
        <v>-2.3563313609534255E-2</v>
      </c>
      <c r="M2214" s="8">
        <f t="shared" si="240"/>
        <v>-0.46252261538393213</v>
      </c>
      <c r="N2214" s="8">
        <f t="shared" si="241"/>
        <v>-3.5578662721840931E-2</v>
      </c>
      <c r="O2214" s="8"/>
      <c r="P2214" t="s">
        <v>2498</v>
      </c>
      <c r="Q2214">
        <v>36</v>
      </c>
      <c r="R2214" s="8">
        <v>2.8276300000000001</v>
      </c>
      <c r="S2214">
        <v>26</v>
      </c>
      <c r="T2214" s="8">
        <f t="shared" si="242"/>
        <v>0.72222222222222221</v>
      </c>
      <c r="U2214" s="8">
        <v>2.8336199999999998</v>
      </c>
      <c r="V2214">
        <v>10</v>
      </c>
      <c r="W2214" s="8">
        <f t="shared" si="243"/>
        <v>0.27777777777777779</v>
      </c>
      <c r="X2214" s="8">
        <v>2.8120699999999998</v>
      </c>
      <c r="Y2214">
        <v>0</v>
      </c>
      <c r="Z2214" s="8">
        <f t="shared" si="244"/>
        <v>0</v>
      </c>
      <c r="AA2214" s="8">
        <v>0</v>
      </c>
    </row>
    <row r="2215" spans="2:27" ht="15" customHeight="1" x14ac:dyDescent="0.25">
      <c r="B2215" t="s">
        <v>54</v>
      </c>
      <c r="C2215" s="8">
        <v>-11896.4049</v>
      </c>
      <c r="D2215" s="2">
        <v>-11898.474405999999</v>
      </c>
      <c r="F2215" s="3">
        <v>0.99533799999999995</v>
      </c>
      <c r="G2215" s="2">
        <v>0.18156999999999901</v>
      </c>
      <c r="H2215">
        <v>2</v>
      </c>
      <c r="I2215">
        <v>11</v>
      </c>
      <c r="K2215" s="8">
        <f t="shared" si="238"/>
        <v>-0.38892307692367467</v>
      </c>
      <c r="L2215" s="8">
        <f t="shared" si="239"/>
        <v>-2.991715976335959E-2</v>
      </c>
      <c r="M2215" s="8">
        <f t="shared" si="240"/>
        <v>-0.78161261538298277</v>
      </c>
      <c r="N2215" s="8">
        <f t="shared" si="241"/>
        <v>-6.0124047337152521E-2</v>
      </c>
      <c r="O2215" s="8"/>
      <c r="P2215" t="s">
        <v>2499</v>
      </c>
      <c r="Q2215">
        <v>36</v>
      </c>
      <c r="R2215" s="8">
        <v>2.82925</v>
      </c>
      <c r="S2215">
        <v>26</v>
      </c>
      <c r="T2215" s="8">
        <f t="shared" si="242"/>
        <v>0.72222222222222221</v>
      </c>
      <c r="U2215" s="8">
        <v>2.8290999999999999</v>
      </c>
      <c r="V2215">
        <v>9</v>
      </c>
      <c r="W2215" s="8">
        <f t="shared" si="243"/>
        <v>0.25</v>
      </c>
      <c r="X2215" s="8">
        <v>2.82863</v>
      </c>
      <c r="Y2215">
        <v>1</v>
      </c>
      <c r="Z2215" s="8">
        <f t="shared" si="244"/>
        <v>2.7777777777777776E-2</v>
      </c>
      <c r="AA2215" s="8">
        <v>2.8386499999999999</v>
      </c>
    </row>
    <row r="2216" spans="2:27" ht="15" customHeight="1" x14ac:dyDescent="0.25">
      <c r="B2216" t="s">
        <v>56</v>
      </c>
      <c r="C2216" s="8">
        <v>-11896.5069</v>
      </c>
      <c r="D2216" s="2">
        <v>-11898.538089</v>
      </c>
      <c r="F2216" s="3">
        <v>0.99589799999999995</v>
      </c>
      <c r="G2216" s="2">
        <v>0.18564</v>
      </c>
      <c r="H2216">
        <v>2</v>
      </c>
      <c r="I2216">
        <v>11</v>
      </c>
      <c r="K2216" s="8">
        <f t="shared" si="238"/>
        <v>-0.49092307692444592</v>
      </c>
      <c r="L2216" s="8">
        <f t="shared" si="239"/>
        <v>-3.776331360957276E-2</v>
      </c>
      <c r="M2216" s="8">
        <f t="shared" si="240"/>
        <v>-0.8452956153832929</v>
      </c>
      <c r="N2216" s="8">
        <f t="shared" si="241"/>
        <v>-6.5022739644868682E-2</v>
      </c>
      <c r="O2216" s="8"/>
      <c r="P2216" t="s">
        <v>2500</v>
      </c>
      <c r="Q2216">
        <v>36</v>
      </c>
      <c r="R2216" s="8">
        <v>2.8329</v>
      </c>
      <c r="S2216">
        <v>25</v>
      </c>
      <c r="T2216" s="8">
        <f t="shared" si="242"/>
        <v>0.69444444444444442</v>
      </c>
      <c r="U2216" s="8">
        <v>2.8407</v>
      </c>
      <c r="V2216">
        <v>11</v>
      </c>
      <c r="W2216" s="8">
        <f t="shared" si="243"/>
        <v>0.30555555555555558</v>
      </c>
      <c r="X2216" s="8">
        <v>2.8151799999999998</v>
      </c>
      <c r="Y2216">
        <v>0</v>
      </c>
      <c r="Z2216" s="8">
        <f t="shared" si="244"/>
        <v>0</v>
      </c>
      <c r="AA2216" s="8">
        <v>0</v>
      </c>
    </row>
    <row r="2217" spans="2:27" ht="15" customHeight="1" x14ac:dyDescent="0.25">
      <c r="B2217" t="s">
        <v>58</v>
      </c>
      <c r="C2217" s="8">
        <v>-11896.537700000001</v>
      </c>
      <c r="D2217" s="2">
        <v>-11898.561801</v>
      </c>
      <c r="F2217" s="3">
        <v>0.99304400000000004</v>
      </c>
      <c r="G2217" s="2">
        <v>0.16975999999999999</v>
      </c>
      <c r="H2217">
        <v>2</v>
      </c>
      <c r="I2217">
        <v>11</v>
      </c>
      <c r="K2217" s="8">
        <f t="shared" si="238"/>
        <v>-0.52172307692489994</v>
      </c>
      <c r="L2217" s="8">
        <f t="shared" si="239"/>
        <v>-4.013254437883846E-2</v>
      </c>
      <c r="M2217" s="8">
        <f t="shared" si="240"/>
        <v>-0.8690076153834525</v>
      </c>
      <c r="N2217" s="8">
        <f t="shared" si="241"/>
        <v>-6.6846739644880956E-2</v>
      </c>
      <c r="O2217" s="8"/>
      <c r="P2217" t="s">
        <v>2501</v>
      </c>
      <c r="Q2217">
        <v>36</v>
      </c>
      <c r="R2217" s="8">
        <v>2.8340900000000002</v>
      </c>
      <c r="S2217">
        <v>25</v>
      </c>
      <c r="T2217" s="8">
        <f t="shared" si="242"/>
        <v>0.69444444444444442</v>
      </c>
      <c r="U2217" s="8">
        <v>2.8425799999999999</v>
      </c>
      <c r="V2217">
        <v>11</v>
      </c>
      <c r="W2217" s="8">
        <f t="shared" si="243"/>
        <v>0.30555555555555558</v>
      </c>
      <c r="X2217" s="8">
        <v>2.8147799999999998</v>
      </c>
      <c r="Y2217">
        <v>0</v>
      </c>
      <c r="Z2217" s="8">
        <f t="shared" si="244"/>
        <v>0</v>
      </c>
      <c r="AA2217" s="8">
        <v>0</v>
      </c>
    </row>
    <row r="2218" spans="2:27" ht="15" customHeight="1" x14ac:dyDescent="0.25">
      <c r="B2218" t="s">
        <v>60</v>
      </c>
      <c r="C2218" s="8">
        <v>-11896.597100000001</v>
      </c>
      <c r="D2218" s="2">
        <v>-11898.664359</v>
      </c>
      <c r="F2218" s="3">
        <v>0.99319800000000003</v>
      </c>
      <c r="G2218" s="2">
        <v>0.17038</v>
      </c>
      <c r="H2218">
        <v>2</v>
      </c>
      <c r="I2218">
        <v>11</v>
      </c>
      <c r="K2218" s="8">
        <f t="shared" si="238"/>
        <v>-0.58112307692499598</v>
      </c>
      <c r="L2218" s="8">
        <f t="shared" si="239"/>
        <v>-4.4701775148076613E-2</v>
      </c>
      <c r="M2218" s="8">
        <f t="shared" si="240"/>
        <v>-0.97156561538395181</v>
      </c>
      <c r="N2218" s="8">
        <f t="shared" si="241"/>
        <v>-7.4735816567996299E-2</v>
      </c>
      <c r="O2218" s="8"/>
      <c r="P2218" t="s">
        <v>2502</v>
      </c>
      <c r="Q2218">
        <v>36</v>
      </c>
      <c r="R2218" s="8">
        <v>2.83094</v>
      </c>
      <c r="S2218">
        <v>25</v>
      </c>
      <c r="T2218" s="8">
        <f t="shared" si="242"/>
        <v>0.69444444444444442</v>
      </c>
      <c r="U2218" s="8">
        <v>2.8279700000000001</v>
      </c>
      <c r="V2218">
        <v>11</v>
      </c>
      <c r="W2218" s="8">
        <f t="shared" si="243"/>
        <v>0.30555555555555558</v>
      </c>
      <c r="X2218" s="8">
        <v>2.8376899999999998</v>
      </c>
      <c r="Y2218">
        <v>0</v>
      </c>
      <c r="Z2218" s="8">
        <f t="shared" si="244"/>
        <v>0</v>
      </c>
      <c r="AA2218" s="8">
        <v>0</v>
      </c>
    </row>
    <row r="2219" spans="2:27" ht="15" customHeight="1" x14ac:dyDescent="0.25">
      <c r="B2219" t="s">
        <v>62</v>
      </c>
      <c r="C2219" s="8">
        <v>-11896.249299999999</v>
      </c>
      <c r="D2219" s="2">
        <v>-11898.090910999999</v>
      </c>
      <c r="F2219" s="3">
        <v>0.99454200000000004</v>
      </c>
      <c r="G2219" s="2">
        <v>0.177119999999999</v>
      </c>
      <c r="H2219">
        <v>2</v>
      </c>
      <c r="I2219">
        <v>11</v>
      </c>
      <c r="K2219" s="8">
        <f t="shared" si="238"/>
        <v>-0.23332307692362519</v>
      </c>
      <c r="L2219" s="8">
        <f t="shared" si="239"/>
        <v>-1.7947928994125013E-2</v>
      </c>
      <c r="M2219" s="8">
        <f t="shared" si="240"/>
        <v>-0.39811761538294377</v>
      </c>
      <c r="N2219" s="8">
        <f t="shared" si="241"/>
        <v>-3.0624431952534135E-2</v>
      </c>
      <c r="O2219" s="8"/>
      <c r="P2219" t="s">
        <v>2503</v>
      </c>
      <c r="Q2219">
        <v>36</v>
      </c>
      <c r="R2219" s="8">
        <v>2.8333400000000002</v>
      </c>
      <c r="S2219">
        <v>28</v>
      </c>
      <c r="T2219" s="8">
        <f t="shared" si="242"/>
        <v>0.77777777777777779</v>
      </c>
      <c r="U2219" s="8">
        <v>2.8374999999999999</v>
      </c>
      <c r="V2219">
        <v>7</v>
      </c>
      <c r="W2219" s="8">
        <f t="shared" si="243"/>
        <v>0.19444444444444445</v>
      </c>
      <c r="X2219" s="8">
        <v>2.7867000000000002</v>
      </c>
      <c r="Y2219">
        <v>1</v>
      </c>
      <c r="Z2219" s="8">
        <f t="shared" si="244"/>
        <v>2.7777777777777776E-2</v>
      </c>
      <c r="AA2219" s="8">
        <v>3.0434700000000001</v>
      </c>
    </row>
    <row r="2220" spans="2:27" ht="15" customHeight="1" x14ac:dyDescent="0.25">
      <c r="B2220" t="s">
        <v>64</v>
      </c>
      <c r="C2220" s="8">
        <v>-11896.385700000001</v>
      </c>
      <c r="D2220" s="2">
        <v>-11898.196148999999</v>
      </c>
      <c r="F2220" s="3">
        <v>0.99399700000000002</v>
      </c>
      <c r="G2220" s="2">
        <v>0.17415</v>
      </c>
      <c r="H2220">
        <v>2</v>
      </c>
      <c r="I2220">
        <v>11</v>
      </c>
      <c r="K2220" s="8">
        <f t="shared" si="238"/>
        <v>-0.36972307692485629</v>
      </c>
      <c r="L2220" s="8">
        <f t="shared" si="239"/>
        <v>-2.8440236686527405E-2</v>
      </c>
      <c r="M2220" s="8">
        <f t="shared" si="240"/>
        <v>-0.50335561538304319</v>
      </c>
      <c r="N2220" s="8">
        <f t="shared" si="241"/>
        <v>-3.8719662721772553E-2</v>
      </c>
      <c r="O2220" s="8"/>
      <c r="P2220" t="s">
        <v>2504</v>
      </c>
      <c r="Q2220">
        <v>36</v>
      </c>
      <c r="R2220" s="8">
        <v>2.8328199999999999</v>
      </c>
      <c r="S2220">
        <v>27</v>
      </c>
      <c r="T2220" s="8">
        <f t="shared" si="242"/>
        <v>0.75</v>
      </c>
      <c r="U2220" s="8">
        <v>2.8409</v>
      </c>
      <c r="V2220">
        <v>9</v>
      </c>
      <c r="W2220" s="8">
        <f t="shared" si="243"/>
        <v>0.25</v>
      </c>
      <c r="X2220" s="8">
        <v>2.8085800000000001</v>
      </c>
      <c r="Y2220">
        <v>0</v>
      </c>
      <c r="Z2220" s="8">
        <f t="shared" si="244"/>
        <v>0</v>
      </c>
      <c r="AA2220" s="8">
        <v>0</v>
      </c>
    </row>
    <row r="2221" spans="2:27" ht="15" customHeight="1" x14ac:dyDescent="0.25">
      <c r="B2221" t="s">
        <v>66</v>
      </c>
      <c r="C2221" s="8">
        <v>-11896.632799999999</v>
      </c>
      <c r="D2221" s="2">
        <v>-11898.306021</v>
      </c>
      <c r="F2221" s="3">
        <v>0.99697100000000005</v>
      </c>
      <c r="G2221" s="2">
        <v>0.19467999999999999</v>
      </c>
      <c r="H2221">
        <v>2</v>
      </c>
      <c r="I2221">
        <v>11</v>
      </c>
      <c r="K2221" s="8">
        <f t="shared" si="238"/>
        <v>-0.61682307692353788</v>
      </c>
      <c r="L2221" s="8">
        <f t="shared" si="239"/>
        <v>-4.7447928994118302E-2</v>
      </c>
      <c r="M2221" s="8">
        <f t="shared" si="240"/>
        <v>-0.61322761538394843</v>
      </c>
      <c r="N2221" s="8">
        <f t="shared" si="241"/>
        <v>-4.7171355029534498E-2</v>
      </c>
      <c r="O2221" s="8"/>
      <c r="P2221" t="s">
        <v>2505</v>
      </c>
      <c r="Q2221">
        <v>36</v>
      </c>
      <c r="R2221" s="8">
        <v>2.8342499999999999</v>
      </c>
      <c r="S2221">
        <v>25</v>
      </c>
      <c r="T2221" s="8">
        <f t="shared" si="242"/>
        <v>0.69444444444444442</v>
      </c>
      <c r="U2221" s="8">
        <v>2.8308499999999999</v>
      </c>
      <c r="V2221">
        <v>10</v>
      </c>
      <c r="W2221" s="8">
        <f t="shared" si="243"/>
        <v>0.27777777777777779</v>
      </c>
      <c r="X2221" s="8">
        <v>2.85087</v>
      </c>
      <c r="Y2221">
        <v>1</v>
      </c>
      <c r="Z2221" s="8">
        <f t="shared" si="244"/>
        <v>2.7777777777777776E-2</v>
      </c>
      <c r="AA2221" s="8">
        <v>2.7531099999999999</v>
      </c>
    </row>
    <row r="2222" spans="2:27" ht="15" customHeight="1" x14ac:dyDescent="0.25">
      <c r="B2222" t="s">
        <v>68</v>
      </c>
      <c r="C2222" s="8">
        <v>-11896.567999999999</v>
      </c>
      <c r="D2222" s="2">
        <v>-11898.165016999999</v>
      </c>
      <c r="F2222" s="3">
        <v>0.99642600000000003</v>
      </c>
      <c r="G2222" s="2">
        <v>0.18964999999999901</v>
      </c>
      <c r="H2222">
        <v>2</v>
      </c>
      <c r="I2222">
        <v>11</v>
      </c>
      <c r="K2222" s="8">
        <f t="shared" si="238"/>
        <v>-0.55202307692343311</v>
      </c>
      <c r="L2222" s="8">
        <f t="shared" si="239"/>
        <v>-4.2463313609494853E-2</v>
      </c>
      <c r="M2222" s="8">
        <f t="shared" si="240"/>
        <v>-0.47222361538297264</v>
      </c>
      <c r="N2222" s="8">
        <f t="shared" si="241"/>
        <v>-3.6324893490997892E-2</v>
      </c>
      <c r="O2222" s="8"/>
      <c r="P2222" t="s">
        <v>2506</v>
      </c>
      <c r="Q2222">
        <v>36</v>
      </c>
      <c r="R2222" s="8">
        <v>2.8305799999999999</v>
      </c>
      <c r="S2222">
        <v>25</v>
      </c>
      <c r="T2222" s="8">
        <f t="shared" si="242"/>
        <v>0.69444444444444442</v>
      </c>
      <c r="U2222" s="8">
        <v>2.8324699999999998</v>
      </c>
      <c r="V2222">
        <v>10</v>
      </c>
      <c r="W2222" s="8">
        <f t="shared" si="243"/>
        <v>0.27777777777777779</v>
      </c>
      <c r="X2222" s="8">
        <v>2.8212600000000001</v>
      </c>
      <c r="Y2222">
        <v>1</v>
      </c>
      <c r="Z2222" s="8">
        <f t="shared" si="244"/>
        <v>2.7777777777777776E-2</v>
      </c>
      <c r="AA2222" s="8">
        <v>2.8766699999999998</v>
      </c>
    </row>
    <row r="2223" spans="2:27" ht="15" customHeight="1" x14ac:dyDescent="0.25">
      <c r="B2223" t="s">
        <v>70</v>
      </c>
      <c r="C2223" s="8">
        <v>-11896.5838</v>
      </c>
      <c r="D2223" s="2">
        <v>-11898.364189</v>
      </c>
      <c r="F2223" s="3">
        <v>0.99716300000000002</v>
      </c>
      <c r="G2223" s="2">
        <v>0.19416</v>
      </c>
      <c r="H2223">
        <v>2</v>
      </c>
      <c r="I2223">
        <v>11</v>
      </c>
      <c r="K2223" s="8">
        <f t="shared" si="238"/>
        <v>-0.56782307692446921</v>
      </c>
      <c r="L2223" s="8">
        <f t="shared" si="239"/>
        <v>-4.3678698224959171E-2</v>
      </c>
      <c r="M2223" s="8">
        <f t="shared" si="240"/>
        <v>-0.671395615383517</v>
      </c>
      <c r="N2223" s="8">
        <f t="shared" si="241"/>
        <v>-5.1645816567962848E-2</v>
      </c>
      <c r="O2223" s="8"/>
      <c r="P2223" t="s">
        <v>2507</v>
      </c>
      <c r="Q2223">
        <v>35</v>
      </c>
      <c r="R2223" s="8">
        <v>2.8248600000000001</v>
      </c>
      <c r="S2223">
        <v>25</v>
      </c>
      <c r="T2223" s="8">
        <f t="shared" si="242"/>
        <v>0.7142857142857143</v>
      </c>
      <c r="U2223" s="8">
        <v>2.8444400000000001</v>
      </c>
      <c r="V2223">
        <v>10</v>
      </c>
      <c r="W2223" s="8">
        <f t="shared" si="243"/>
        <v>0.2857142857142857</v>
      </c>
      <c r="X2223" s="8">
        <v>2.7759200000000002</v>
      </c>
      <c r="Y2223">
        <v>0</v>
      </c>
      <c r="Z2223" s="8">
        <f t="shared" si="244"/>
        <v>0</v>
      </c>
      <c r="AA2223" s="8">
        <v>0</v>
      </c>
    </row>
    <row r="2224" spans="2:27" ht="15" customHeight="1" x14ac:dyDescent="0.25">
      <c r="B2224" t="s">
        <v>72</v>
      </c>
      <c r="C2224" s="8">
        <v>-11896.4203</v>
      </c>
      <c r="D2224" s="2">
        <v>-11898.257981999999</v>
      </c>
      <c r="F2224" s="3">
        <v>0.99552300000000005</v>
      </c>
      <c r="G2224" s="2">
        <v>0.18282000000000001</v>
      </c>
      <c r="H2224">
        <v>2</v>
      </c>
      <c r="I2224">
        <v>11</v>
      </c>
      <c r="K2224" s="8">
        <f t="shared" si="238"/>
        <v>-0.40432307692390168</v>
      </c>
      <c r="L2224" s="8">
        <f t="shared" si="239"/>
        <v>-3.1101775147992436E-2</v>
      </c>
      <c r="M2224" s="8">
        <f t="shared" si="240"/>
        <v>-0.56518861538279452</v>
      </c>
      <c r="N2224" s="8">
        <f t="shared" si="241"/>
        <v>-4.3476047337138043E-2</v>
      </c>
      <c r="O2224" s="8"/>
      <c r="P2224" t="s">
        <v>2508</v>
      </c>
      <c r="Q2224">
        <v>36</v>
      </c>
      <c r="R2224" s="8">
        <v>2.83378</v>
      </c>
      <c r="S2224">
        <v>27</v>
      </c>
      <c r="T2224" s="8">
        <f t="shared" si="242"/>
        <v>0.75</v>
      </c>
      <c r="U2224" s="8">
        <v>2.8421400000000001</v>
      </c>
      <c r="V2224">
        <v>8</v>
      </c>
      <c r="W2224" s="8">
        <f t="shared" si="243"/>
        <v>0.22222222222222221</v>
      </c>
      <c r="X2224" s="8">
        <v>2.81324</v>
      </c>
      <c r="Y2224">
        <v>1</v>
      </c>
      <c r="Z2224" s="8">
        <f t="shared" si="244"/>
        <v>2.7777777777777776E-2</v>
      </c>
      <c r="AA2224" s="8">
        <v>2.7723</v>
      </c>
    </row>
    <row r="2225" spans="1:27" ht="15" customHeight="1" x14ac:dyDescent="0.25">
      <c r="B2225" t="s">
        <v>74</v>
      </c>
      <c r="C2225" s="8">
        <v>-11896.523999999999</v>
      </c>
      <c r="D2225" s="2">
        <v>-11898.376840000001</v>
      </c>
      <c r="F2225" s="3">
        <v>0.99480199999999996</v>
      </c>
      <c r="G2225" s="2">
        <v>0.17848</v>
      </c>
      <c r="H2225">
        <v>2</v>
      </c>
      <c r="I2225">
        <v>11</v>
      </c>
      <c r="K2225" s="8">
        <f t="shared" si="238"/>
        <v>-0.50802307692356408</v>
      </c>
      <c r="L2225" s="8">
        <f t="shared" si="239"/>
        <v>-3.9078698224889546E-2</v>
      </c>
      <c r="M2225" s="8">
        <f t="shared" si="240"/>
        <v>-0.68404661538443179</v>
      </c>
      <c r="N2225" s="8">
        <f t="shared" si="241"/>
        <v>-5.2618970414187061E-2</v>
      </c>
      <c r="O2225" s="8"/>
      <c r="P2225" t="s">
        <v>2509</v>
      </c>
      <c r="Q2225">
        <v>36</v>
      </c>
      <c r="R2225" s="8">
        <v>2.8335900000000001</v>
      </c>
      <c r="S2225">
        <v>26</v>
      </c>
      <c r="T2225" s="8">
        <f t="shared" si="242"/>
        <v>0.72222222222222221</v>
      </c>
      <c r="U2225" s="8">
        <v>2.84524</v>
      </c>
      <c r="V2225">
        <v>10</v>
      </c>
      <c r="W2225" s="8">
        <f t="shared" si="243"/>
        <v>0.27777777777777779</v>
      </c>
      <c r="X2225" s="8">
        <v>2.8033199999999998</v>
      </c>
      <c r="Y2225">
        <v>0</v>
      </c>
      <c r="Z2225" s="8">
        <f t="shared" si="244"/>
        <v>0</v>
      </c>
      <c r="AA2225" s="8">
        <v>0</v>
      </c>
    </row>
    <row r="2226" spans="1:27" ht="15" customHeight="1" x14ac:dyDescent="0.25">
      <c r="B2226" t="s">
        <v>76</v>
      </c>
      <c r="C2226" s="8">
        <v>-11896.331700000001</v>
      </c>
      <c r="D2226" s="2">
        <v>-11897.979278000001</v>
      </c>
      <c r="F2226" s="3">
        <v>0.99313300000000004</v>
      </c>
      <c r="G2226" s="2">
        <v>0.17011000000000001</v>
      </c>
      <c r="H2226">
        <v>2</v>
      </c>
      <c r="I2226">
        <v>11</v>
      </c>
      <c r="K2226" s="8">
        <f t="shared" si="238"/>
        <v>-0.31572307692476898</v>
      </c>
      <c r="L2226" s="8">
        <f t="shared" si="239"/>
        <v>-2.4286390532674538E-2</v>
      </c>
      <c r="M2226" s="8">
        <f t="shared" si="240"/>
        <v>-0.28648461538432457</v>
      </c>
      <c r="N2226" s="8">
        <f t="shared" si="241"/>
        <v>-2.2037278106486504E-2</v>
      </c>
      <c r="O2226" s="8"/>
      <c r="P2226" t="s">
        <v>2510</v>
      </c>
      <c r="Q2226">
        <v>36</v>
      </c>
      <c r="R2226" s="8">
        <v>2.8363</v>
      </c>
      <c r="S2226">
        <v>28</v>
      </c>
      <c r="T2226" s="8">
        <f t="shared" si="242"/>
        <v>0.77777777777777779</v>
      </c>
      <c r="U2226" s="8">
        <v>2.84388</v>
      </c>
      <c r="V2226">
        <v>8</v>
      </c>
      <c r="W2226" s="8">
        <f t="shared" si="243"/>
        <v>0.22222222222222221</v>
      </c>
      <c r="X2226" s="8">
        <v>2.80979</v>
      </c>
      <c r="Y2226">
        <v>0</v>
      </c>
      <c r="Z2226" s="8">
        <f t="shared" si="244"/>
        <v>0</v>
      </c>
      <c r="AA2226" s="8">
        <v>0</v>
      </c>
    </row>
    <row r="2227" spans="1:27" ht="15" customHeight="1" x14ac:dyDescent="0.25">
      <c r="K2227" s="8" t="str">
        <f t="shared" si="238"/>
        <v/>
      </c>
      <c r="L2227" s="8" t="str">
        <f t="shared" si="239"/>
        <v/>
      </c>
      <c r="M2227" s="8" t="str">
        <f t="shared" si="240"/>
        <v/>
      </c>
      <c r="N2227" s="8" t="str">
        <f t="shared" si="241"/>
        <v/>
      </c>
      <c r="O2227" s="8"/>
      <c r="T2227" s="8" t="str">
        <f t="shared" si="242"/>
        <v/>
      </c>
      <c r="W2227" s="8" t="str">
        <f t="shared" si="243"/>
        <v/>
      </c>
      <c r="Z2227" s="8" t="str">
        <f t="shared" si="244"/>
        <v/>
      </c>
    </row>
    <row r="2228" spans="1:27" ht="15" customHeight="1" x14ac:dyDescent="0.25">
      <c r="B2228" s="54" t="s">
        <v>1407</v>
      </c>
      <c r="C2228" s="52" t="s">
        <v>0</v>
      </c>
      <c r="D2228" s="53" t="s">
        <v>1</v>
      </c>
      <c r="E2228" s="7"/>
      <c r="F2228" s="54" t="s">
        <v>2</v>
      </c>
      <c r="G2228" s="54" t="s">
        <v>3</v>
      </c>
      <c r="H2228" s="7" t="s">
        <v>4</v>
      </c>
      <c r="I2228" s="7" t="s">
        <v>5</v>
      </c>
      <c r="K2228" s="8" t="str">
        <f t="shared" si="238"/>
        <v/>
      </c>
      <c r="L2228" s="8" t="str">
        <f t="shared" si="239"/>
        <v/>
      </c>
      <c r="M2228" s="8" t="str">
        <f t="shared" si="240"/>
        <v/>
      </c>
      <c r="N2228" s="8" t="str">
        <f t="shared" si="241"/>
        <v/>
      </c>
      <c r="O2228" s="8"/>
      <c r="T2228" s="8" t="str">
        <f t="shared" si="242"/>
        <v/>
      </c>
      <c r="W2228" s="8" t="str">
        <f t="shared" si="243"/>
        <v/>
      </c>
      <c r="Z2228" s="8" t="str">
        <f t="shared" si="244"/>
        <v/>
      </c>
    </row>
    <row r="2229" spans="1:27" ht="15" customHeight="1" x14ac:dyDescent="0.25">
      <c r="A2229" s="7" t="s">
        <v>2511</v>
      </c>
      <c r="B2229" t="s">
        <v>20</v>
      </c>
      <c r="C2229" s="4">
        <v>-11803.2778</v>
      </c>
      <c r="D2229" s="2">
        <v>-11804.943549</v>
      </c>
      <c r="F2229" s="3">
        <v>0.99440899999999999</v>
      </c>
      <c r="G2229" s="2">
        <v>0.17646999999999999</v>
      </c>
      <c r="H2229">
        <v>1</v>
      </c>
      <c r="I2229">
        <v>12</v>
      </c>
      <c r="K2229" s="8">
        <f t="shared" si="238"/>
        <v>-0.547161538461296</v>
      </c>
      <c r="L2229" s="8">
        <f t="shared" si="239"/>
        <v>-4.2089349112407387E-2</v>
      </c>
      <c r="M2229" s="8">
        <f t="shared" si="240"/>
        <v>-0.48595530769125617</v>
      </c>
      <c r="N2229" s="8">
        <f t="shared" si="241"/>
        <v>-3.7381177514712011E-2</v>
      </c>
      <c r="O2229" s="8"/>
      <c r="P2229" t="s">
        <v>2512</v>
      </c>
      <c r="Q2229">
        <v>36</v>
      </c>
      <c r="R2229" s="8">
        <v>2.8316400000000002</v>
      </c>
      <c r="S2229">
        <v>26</v>
      </c>
      <c r="T2229" s="8">
        <f t="shared" si="242"/>
        <v>0.72222222222222221</v>
      </c>
      <c r="U2229" s="8">
        <v>2.8081200000000002</v>
      </c>
      <c r="V2229">
        <v>10</v>
      </c>
      <c r="W2229" s="8">
        <f t="shared" si="243"/>
        <v>0.27777777777777779</v>
      </c>
      <c r="X2229" s="8">
        <v>2.8928099999999999</v>
      </c>
      <c r="Y2229">
        <v>0</v>
      </c>
      <c r="Z2229" s="8">
        <f t="shared" si="244"/>
        <v>0</v>
      </c>
      <c r="AA2229" s="8">
        <v>0</v>
      </c>
    </row>
    <row r="2230" spans="1:27" ht="15" customHeight="1" x14ac:dyDescent="0.25">
      <c r="B2230" t="s">
        <v>24</v>
      </c>
      <c r="C2230" s="4">
        <v>-11802.9637</v>
      </c>
      <c r="D2230" s="2">
        <v>-11804.753882000001</v>
      </c>
      <c r="F2230" s="3">
        <v>0.99461699999999997</v>
      </c>
      <c r="G2230" s="2">
        <v>0.17751999999999901</v>
      </c>
      <c r="H2230">
        <v>1</v>
      </c>
      <c r="I2230">
        <v>12</v>
      </c>
      <c r="K2230" s="8">
        <f t="shared" si="238"/>
        <v>-0.23306153846169764</v>
      </c>
      <c r="L2230" s="8">
        <f t="shared" si="239"/>
        <v>-1.7927810650899819E-2</v>
      </c>
      <c r="M2230" s="8">
        <f t="shared" si="240"/>
        <v>-0.2962883076925209</v>
      </c>
      <c r="N2230" s="8">
        <f t="shared" si="241"/>
        <v>-2.2791408284040068E-2</v>
      </c>
      <c r="O2230" s="8"/>
      <c r="P2230" t="s">
        <v>2513</v>
      </c>
      <c r="Q2230">
        <v>36</v>
      </c>
      <c r="R2230" s="8">
        <v>2.83128</v>
      </c>
      <c r="S2230">
        <v>31</v>
      </c>
      <c r="T2230" s="8">
        <f t="shared" si="242"/>
        <v>0.86111111111111116</v>
      </c>
      <c r="U2230" s="8">
        <v>2.8391099999999998</v>
      </c>
      <c r="V2230">
        <v>5</v>
      </c>
      <c r="W2230" s="8">
        <f t="shared" si="243"/>
        <v>0.1388888888888889</v>
      </c>
      <c r="X2230" s="8">
        <v>2.7827600000000001</v>
      </c>
      <c r="Y2230">
        <v>0</v>
      </c>
      <c r="Z2230" s="8">
        <f t="shared" si="244"/>
        <v>0</v>
      </c>
      <c r="AA2230" s="8">
        <v>0</v>
      </c>
    </row>
    <row r="2231" spans="1:27" ht="15" customHeight="1" x14ac:dyDescent="0.25">
      <c r="B2231" t="s">
        <v>26</v>
      </c>
      <c r="C2231" s="4">
        <v>-11802.9362</v>
      </c>
      <c r="D2231" s="2">
        <v>-11805.049107000001</v>
      </c>
      <c r="F2231" s="3">
        <v>0.99416899999999997</v>
      </c>
      <c r="G2231" s="2">
        <v>0.17505000000000001</v>
      </c>
      <c r="H2231">
        <v>1</v>
      </c>
      <c r="I2231">
        <v>12</v>
      </c>
      <c r="K2231" s="8">
        <f t="shared" si="238"/>
        <v>-0.20556153846155212</v>
      </c>
      <c r="L2231" s="8">
        <f t="shared" si="239"/>
        <v>-1.581242603550401E-2</v>
      </c>
      <c r="M2231" s="8">
        <f t="shared" si="240"/>
        <v>-0.59151330769236665</v>
      </c>
      <c r="N2231" s="8">
        <f t="shared" si="241"/>
        <v>-4.5501023668643586E-2</v>
      </c>
      <c r="O2231" s="8"/>
      <c r="P2231" t="s">
        <v>2514</v>
      </c>
      <c r="Q2231">
        <v>36</v>
      </c>
      <c r="R2231" s="8">
        <v>2.8328899999999999</v>
      </c>
      <c r="S2231">
        <v>31</v>
      </c>
      <c r="T2231" s="8">
        <f t="shared" si="242"/>
        <v>0.86111111111111116</v>
      </c>
      <c r="U2231" s="8">
        <v>2.8338700000000001</v>
      </c>
      <c r="V2231">
        <v>5</v>
      </c>
      <c r="W2231" s="8">
        <f t="shared" si="243"/>
        <v>0.1388888888888889</v>
      </c>
      <c r="X2231" s="8">
        <v>2.8268</v>
      </c>
      <c r="Y2231">
        <v>0</v>
      </c>
      <c r="Z2231" s="8">
        <f t="shared" si="244"/>
        <v>0</v>
      </c>
      <c r="AA2231" s="8">
        <v>0</v>
      </c>
    </row>
    <row r="2232" spans="1:27" ht="15" customHeight="1" x14ac:dyDescent="0.25">
      <c r="B2232" s="7" t="s">
        <v>28</v>
      </c>
      <c r="C2232" s="10">
        <v>-11803.059800000001</v>
      </c>
      <c r="D2232" s="20">
        <v>-11805.113547000001</v>
      </c>
      <c r="E2232" s="7"/>
      <c r="F2232" s="34">
        <v>0.99314999999999998</v>
      </c>
      <c r="G2232" s="23">
        <v>0.17021</v>
      </c>
      <c r="H2232" s="7">
        <v>1</v>
      </c>
      <c r="I2232" s="7">
        <v>12</v>
      </c>
      <c r="K2232" s="8">
        <f t="shared" si="238"/>
        <v>-0.32916153846235829</v>
      </c>
      <c r="L2232" s="8">
        <f t="shared" si="239"/>
        <v>-2.5320118343258331E-2</v>
      </c>
      <c r="M2232" s="8">
        <f t="shared" si="240"/>
        <v>-0.65595330769247084</v>
      </c>
      <c r="N2232" s="8">
        <f t="shared" si="241"/>
        <v>-5.0457946745574682E-2</v>
      </c>
      <c r="O2232" s="8"/>
      <c r="P2232" t="s">
        <v>2515</v>
      </c>
      <c r="Q2232">
        <v>36</v>
      </c>
      <c r="R2232" s="8">
        <v>2.8302800000000001</v>
      </c>
      <c r="S2232">
        <v>30</v>
      </c>
      <c r="T2232" s="8">
        <f t="shared" si="242"/>
        <v>0.83333333333333337</v>
      </c>
      <c r="U2232" s="8">
        <v>2.8314699999999999</v>
      </c>
      <c r="V2232">
        <v>6</v>
      </c>
      <c r="W2232" s="8">
        <f t="shared" si="243"/>
        <v>0.16666666666666666</v>
      </c>
      <c r="X2232" s="8">
        <v>2.8243100000000001</v>
      </c>
      <c r="Y2232">
        <v>0</v>
      </c>
      <c r="Z2232" s="8">
        <f t="shared" si="244"/>
        <v>0</v>
      </c>
      <c r="AA2232" s="8">
        <v>0</v>
      </c>
    </row>
    <row r="2233" spans="1:27" ht="15" customHeight="1" x14ac:dyDescent="0.25">
      <c r="B2233" t="s">
        <v>30</v>
      </c>
      <c r="C2233" s="4">
        <v>-11802.8961</v>
      </c>
      <c r="D2233" s="2">
        <v>-11804.607655</v>
      </c>
      <c r="F2233" s="3">
        <v>0.99338300000000002</v>
      </c>
      <c r="G2233" s="2">
        <v>0.17124</v>
      </c>
      <c r="H2233">
        <v>1</v>
      </c>
      <c r="I2233">
        <v>12</v>
      </c>
      <c r="K2233" s="8">
        <f t="shared" si="238"/>
        <v>-0.16546153846138623</v>
      </c>
      <c r="L2233" s="8">
        <f t="shared" si="239"/>
        <v>-1.2727810650875863E-2</v>
      </c>
      <c r="M2233" s="8">
        <f t="shared" si="240"/>
        <v>-0.15006130769143056</v>
      </c>
      <c r="N2233" s="8">
        <f t="shared" si="241"/>
        <v>-1.1543177514725427E-2</v>
      </c>
      <c r="O2233" s="8"/>
      <c r="P2233" t="s">
        <v>2516</v>
      </c>
      <c r="Q2233">
        <v>36</v>
      </c>
      <c r="R2233" s="8">
        <v>2.8330299999999999</v>
      </c>
      <c r="S2233">
        <v>32</v>
      </c>
      <c r="T2233" s="8">
        <f t="shared" si="242"/>
        <v>0.88888888888888884</v>
      </c>
      <c r="U2233" s="8">
        <v>2.84077</v>
      </c>
      <c r="V2233">
        <v>4</v>
      </c>
      <c r="W2233" s="8">
        <f t="shared" si="243"/>
        <v>0.1111111111111111</v>
      </c>
      <c r="X2233" s="8">
        <v>2.7710499999999998</v>
      </c>
      <c r="Y2233">
        <v>0</v>
      </c>
      <c r="Z2233" s="8">
        <f t="shared" si="244"/>
        <v>0</v>
      </c>
      <c r="AA2233" s="8">
        <v>0</v>
      </c>
    </row>
    <row r="2234" spans="1:27" ht="15" customHeight="1" x14ac:dyDescent="0.25">
      <c r="C2234" s="4"/>
      <c r="K2234" s="8" t="str">
        <f t="shared" si="238"/>
        <v/>
      </c>
      <c r="L2234" s="8" t="str">
        <f t="shared" si="239"/>
        <v/>
      </c>
      <c r="M2234" s="8" t="str">
        <f t="shared" si="240"/>
        <v/>
      </c>
      <c r="N2234" s="8" t="str">
        <f t="shared" si="241"/>
        <v/>
      </c>
      <c r="O2234" s="8"/>
      <c r="T2234" s="8" t="str">
        <f t="shared" si="242"/>
        <v/>
      </c>
      <c r="W2234" s="8" t="str">
        <f t="shared" si="243"/>
        <v/>
      </c>
      <c r="Z2234" s="8" t="str">
        <f t="shared" si="244"/>
        <v/>
      </c>
    </row>
    <row r="2235" spans="1:27" ht="15" customHeight="1" x14ac:dyDescent="0.25">
      <c r="B2235" s="54" t="s">
        <v>1407</v>
      </c>
      <c r="C2235" s="52" t="s">
        <v>0</v>
      </c>
      <c r="D2235" s="53" t="s">
        <v>1</v>
      </c>
      <c r="E2235" s="7"/>
      <c r="F2235" s="54" t="s">
        <v>2</v>
      </c>
      <c r="G2235" s="54" t="s">
        <v>3</v>
      </c>
      <c r="H2235" s="7" t="s">
        <v>4</v>
      </c>
      <c r="I2235" s="7" t="s">
        <v>5</v>
      </c>
      <c r="K2235" s="8" t="str">
        <f t="shared" si="238"/>
        <v/>
      </c>
      <c r="L2235" s="8" t="str">
        <f t="shared" si="239"/>
        <v/>
      </c>
      <c r="M2235" s="8" t="str">
        <f t="shared" si="240"/>
        <v/>
      </c>
      <c r="N2235" s="8" t="str">
        <f t="shared" si="241"/>
        <v/>
      </c>
      <c r="O2235" s="8"/>
      <c r="T2235" s="8" t="str">
        <f t="shared" si="242"/>
        <v/>
      </c>
      <c r="W2235" s="8" t="str">
        <f t="shared" si="243"/>
        <v/>
      </c>
      <c r="Z2235" s="8" t="str">
        <f t="shared" si="244"/>
        <v/>
      </c>
    </row>
    <row r="2236" spans="1:27" ht="15" customHeight="1" x14ac:dyDescent="0.25">
      <c r="A2236" s="7" t="s">
        <v>2517</v>
      </c>
      <c r="B2236" s="7" t="s">
        <v>20</v>
      </c>
      <c r="C2236" s="10">
        <v>-11709.445299999999</v>
      </c>
      <c r="D2236" s="6">
        <v>-11711.222394</v>
      </c>
      <c r="E2236" s="7"/>
      <c r="F2236" s="34">
        <v>0.99520699999999995</v>
      </c>
      <c r="G2236" s="23">
        <v>0.17901999999999901</v>
      </c>
      <c r="H2236" s="7">
        <v>0</v>
      </c>
      <c r="I2236" s="7">
        <v>13</v>
      </c>
      <c r="K2236" s="8">
        <f t="shared" si="238"/>
        <v>0</v>
      </c>
      <c r="L2236" s="8">
        <f t="shared" si="239"/>
        <v>0</v>
      </c>
      <c r="M2236" s="8">
        <f t="shared" si="240"/>
        <v>0</v>
      </c>
      <c r="N2236" s="8">
        <f t="shared" si="241"/>
        <v>0</v>
      </c>
      <c r="O2236" s="8"/>
      <c r="P2236" t="s">
        <v>2518</v>
      </c>
      <c r="Q2236">
        <v>36</v>
      </c>
      <c r="R2236" s="8">
        <v>2.8296600000000001</v>
      </c>
      <c r="S2236">
        <v>36</v>
      </c>
      <c r="T2236" s="8">
        <f t="shared" si="242"/>
        <v>1</v>
      </c>
      <c r="U2236" s="8">
        <v>2.8296600000000001</v>
      </c>
      <c r="V2236">
        <v>0</v>
      </c>
      <c r="W2236" s="8">
        <f t="shared" si="243"/>
        <v>0</v>
      </c>
      <c r="X2236" s="8">
        <v>0</v>
      </c>
      <c r="Y2236">
        <v>0</v>
      </c>
      <c r="Z2236" s="8">
        <f t="shared" si="244"/>
        <v>0</v>
      </c>
      <c r="AA2236" s="8">
        <v>0</v>
      </c>
    </row>
  </sheetData>
  <pageMargins left="0.7" right="0.7" top="0.75" bottom="0.75" header="0.51180555555555496" footer="0.51180555555555496"/>
  <pageSetup firstPageNumber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M33"/>
  <sheetViews>
    <sheetView zoomScaleNormal="100" workbookViewId="0">
      <selection activeCell="K19" sqref="K19"/>
    </sheetView>
  </sheetViews>
  <sheetFormatPr defaultRowHeight="15" x14ac:dyDescent="0.25"/>
  <cols>
    <col min="1" max="1" width="16.5703125"/>
    <col min="2" max="2" width="7.42578125"/>
    <col min="3" max="4" width="8.5703125"/>
    <col min="5" max="5" width="13.28515625"/>
    <col min="6" max="6" width="5.7109375"/>
    <col min="7" max="7" width="5.85546875"/>
    <col min="8" max="8" width="10.7109375"/>
    <col min="9" max="9" width="10.42578125"/>
    <col min="10" max="10" width="10.7109375"/>
    <col min="11" max="11" width="13.28515625"/>
    <col min="12" max="12" width="12.7109375"/>
    <col min="13" max="13" width="18.5703125"/>
    <col min="14" max="1025" width="10.7109375"/>
  </cols>
  <sheetData>
    <row r="4" spans="1:13" ht="15" customHeight="1" x14ac:dyDescent="0.25">
      <c r="A4" t="s">
        <v>2519</v>
      </c>
      <c r="C4" t="s">
        <v>2</v>
      </c>
      <c r="D4" t="s">
        <v>3</v>
      </c>
      <c r="E4" t="s">
        <v>2520</v>
      </c>
      <c r="F4" t="s">
        <v>4</v>
      </c>
      <c r="G4" t="s">
        <v>5</v>
      </c>
      <c r="H4" t="s">
        <v>2521</v>
      </c>
      <c r="I4" t="s">
        <v>2522</v>
      </c>
      <c r="L4" t="s">
        <v>2523</v>
      </c>
      <c r="M4" t="s">
        <v>2524</v>
      </c>
    </row>
    <row r="5" spans="1:13" ht="15" customHeight="1" x14ac:dyDescent="0.25">
      <c r="A5" t="s">
        <v>2517</v>
      </c>
      <c r="B5" t="s">
        <v>20</v>
      </c>
      <c r="C5" s="2">
        <v>0.99598399999999998</v>
      </c>
      <c r="D5" s="2">
        <v>0.18626000000000001</v>
      </c>
      <c r="E5" s="2">
        <v>-12923.279990000001</v>
      </c>
      <c r="F5">
        <v>13</v>
      </c>
      <c r="G5">
        <v>0</v>
      </c>
      <c r="I5">
        <v>1</v>
      </c>
      <c r="K5" s="2">
        <f>($E$5-$E$31)/($F$5-$F$31)*F5+$E$31</f>
        <v>-12923.279990000001</v>
      </c>
      <c r="L5" s="2">
        <f>E5-K5</f>
        <v>0</v>
      </c>
      <c r="M5" s="2">
        <f>L5/(F5+G5)</f>
        <v>0</v>
      </c>
    </row>
    <row r="6" spans="1:13" ht="15" customHeight="1" x14ac:dyDescent="0.25">
      <c r="C6" s="2"/>
      <c r="D6" s="2"/>
      <c r="E6" s="2"/>
      <c r="K6" s="2"/>
      <c r="L6" s="2"/>
      <c r="M6" s="2"/>
    </row>
    <row r="7" spans="1:13" ht="15" customHeight="1" x14ac:dyDescent="0.25">
      <c r="A7" t="s">
        <v>22</v>
      </c>
      <c r="B7" t="s">
        <v>26</v>
      </c>
      <c r="C7" s="2">
        <v>0.996278</v>
      </c>
      <c r="D7" s="2">
        <v>0.18854000000000001</v>
      </c>
      <c r="E7" s="2">
        <v>-12830.413659</v>
      </c>
      <c r="F7">
        <v>12</v>
      </c>
      <c r="G7">
        <v>1</v>
      </c>
      <c r="I7">
        <v>5</v>
      </c>
      <c r="K7" s="2">
        <f>($E$5-$E$31)/($F$5-$F$31)*F7+$E$31</f>
        <v>-12830.044790307693</v>
      </c>
      <c r="L7" s="2">
        <f>E7-K7</f>
        <v>-0.36886869230693264</v>
      </c>
      <c r="M7" s="2">
        <f>L7/(F7+G7)</f>
        <v>-2.8374514792840973E-2</v>
      </c>
    </row>
    <row r="8" spans="1:13" ht="15" customHeight="1" x14ac:dyDescent="0.25">
      <c r="C8" s="2"/>
      <c r="D8" s="2"/>
      <c r="E8" s="2"/>
      <c r="K8" s="2"/>
      <c r="L8" s="2"/>
      <c r="M8" s="2"/>
    </row>
    <row r="9" spans="1:13" ht="15" customHeight="1" x14ac:dyDescent="0.25">
      <c r="A9" t="s">
        <v>32</v>
      </c>
      <c r="B9" t="s">
        <v>50</v>
      </c>
      <c r="C9" s="2">
        <v>0.99658400000000003</v>
      </c>
      <c r="D9" s="2">
        <v>0.19112000000000001</v>
      </c>
      <c r="E9" s="2">
        <v>-12737.578846</v>
      </c>
      <c r="F9">
        <v>11</v>
      </c>
      <c r="G9">
        <v>2</v>
      </c>
      <c r="I9">
        <v>25</v>
      </c>
      <c r="K9" s="2">
        <f>($E$5-$E$31)/($F$5-$F$31)*F9+$E$31</f>
        <v>-12736.809590615385</v>
      </c>
      <c r="L9" s="2">
        <f>E9-K9</f>
        <v>-0.76925538461546239</v>
      </c>
      <c r="M9" s="2">
        <f>L9/(F9+G9)</f>
        <v>-5.9173491124266335E-2</v>
      </c>
    </row>
    <row r="10" spans="1:13" ht="15" customHeight="1" x14ac:dyDescent="0.25">
      <c r="C10" s="2"/>
      <c r="D10" s="2"/>
      <c r="E10" s="2"/>
      <c r="K10" s="2"/>
      <c r="L10" s="2"/>
      <c r="M10" s="2"/>
    </row>
    <row r="11" spans="1:13" ht="15" customHeight="1" x14ac:dyDescent="0.25">
      <c r="A11" t="s">
        <v>78</v>
      </c>
      <c r="B11" t="s">
        <v>79</v>
      </c>
      <c r="C11" s="2">
        <v>0.99532299999999996</v>
      </c>
      <c r="D11" s="2">
        <v>0.18160999999999999</v>
      </c>
      <c r="E11" s="2">
        <v>-12644.661555999999</v>
      </c>
      <c r="F11">
        <v>10</v>
      </c>
      <c r="G11">
        <v>3</v>
      </c>
      <c r="I11">
        <v>81</v>
      </c>
      <c r="K11" s="2">
        <f>($E$5-$E$31)/($F$5-$F$31)*F11+$E$31</f>
        <v>-12643.574390923077</v>
      </c>
      <c r="L11" s="2">
        <f>E11-K11</f>
        <v>-1.087165076922247</v>
      </c>
      <c r="M11" s="2">
        <f>L11/(F11+G11)</f>
        <v>-8.362808284017284E-2</v>
      </c>
    </row>
    <row r="12" spans="1:13" ht="15" customHeight="1" x14ac:dyDescent="0.25">
      <c r="C12" s="2"/>
      <c r="D12" s="2"/>
      <c r="E12" s="2"/>
      <c r="K12" s="2"/>
      <c r="L12" s="2"/>
      <c r="M12" s="2"/>
    </row>
    <row r="13" spans="1:13" ht="15" customHeight="1" x14ac:dyDescent="0.25">
      <c r="A13" t="s">
        <v>297</v>
      </c>
      <c r="B13" t="s">
        <v>585</v>
      </c>
      <c r="C13" s="2">
        <v>0.99567600000000001</v>
      </c>
      <c r="D13" s="2">
        <v>0.18406</v>
      </c>
      <c r="E13" s="2">
        <v>-12551.705943000001</v>
      </c>
      <c r="F13">
        <v>9</v>
      </c>
      <c r="G13">
        <v>4</v>
      </c>
      <c r="I13">
        <v>195</v>
      </c>
      <c r="K13" s="2">
        <f>($E$5-$E$31)/($F$5-$F$31)*F13+$E$31</f>
        <v>-12550.339191230771</v>
      </c>
      <c r="L13" s="2">
        <f>E13-K13</f>
        <v>-1.3667517692301772</v>
      </c>
      <c r="M13" s="2">
        <f>L13/(F13+G13)</f>
        <v>-0.10513475147924439</v>
      </c>
    </row>
    <row r="14" spans="1:13" ht="15" customHeight="1" x14ac:dyDescent="0.25">
      <c r="B14" s="56"/>
      <c r="C14" s="2"/>
      <c r="D14" s="2"/>
      <c r="E14" s="2"/>
      <c r="K14" s="2"/>
      <c r="L14" s="2"/>
      <c r="M14" s="2"/>
    </row>
    <row r="15" spans="1:13" ht="15" customHeight="1" x14ac:dyDescent="0.25">
      <c r="A15" t="s">
        <v>607</v>
      </c>
      <c r="B15" s="56">
        <v>568</v>
      </c>
      <c r="C15" s="2">
        <v>0.99545099999999997</v>
      </c>
      <c r="D15" s="2">
        <v>0.182529999999999</v>
      </c>
      <c r="E15" s="2">
        <v>-12458.63812</v>
      </c>
      <c r="F15">
        <v>8</v>
      </c>
      <c r="G15">
        <v>5</v>
      </c>
      <c r="I15">
        <v>343</v>
      </c>
      <c r="K15" s="2">
        <f>($E$5-$E$31)/($F$5-$F$31)*F15+$E$31</f>
        <v>-12457.103991538463</v>
      </c>
      <c r="L15" s="2">
        <f>E15-K15</f>
        <v>-1.5341284615369659</v>
      </c>
      <c r="M15" s="2">
        <f>L15/(F15+G15)</f>
        <v>-0.11800988165668969</v>
      </c>
    </row>
    <row r="16" spans="1:13" ht="15" customHeight="1" x14ac:dyDescent="0.25">
      <c r="B16" s="56"/>
      <c r="C16" s="2"/>
      <c r="D16" s="2"/>
      <c r="E16" s="2"/>
      <c r="K16" s="2"/>
      <c r="L16" s="2"/>
      <c r="M16" s="2"/>
    </row>
    <row r="17" spans="1:13" ht="15" customHeight="1" x14ac:dyDescent="0.25">
      <c r="A17" t="s">
        <v>951</v>
      </c>
      <c r="B17" s="56">
        <v>542</v>
      </c>
      <c r="C17" s="2">
        <v>0.99701499999999998</v>
      </c>
      <c r="D17" s="2">
        <v>0.187219999999999</v>
      </c>
      <c r="E17" s="2">
        <v>-12365.688034999999</v>
      </c>
      <c r="F17">
        <v>7</v>
      </c>
      <c r="G17">
        <v>6</v>
      </c>
      <c r="I17">
        <v>454</v>
      </c>
      <c r="K17" s="2">
        <f>($E$5-$E$31)/($F$5-$F$31)*F17+$E$31</f>
        <v>-12363.868791846155</v>
      </c>
      <c r="L17" s="2">
        <f>E17-K17</f>
        <v>-1.8192431538445817</v>
      </c>
      <c r="M17" s="2">
        <f>L17/(F17+G17)</f>
        <v>-0.13994178106496782</v>
      </c>
    </row>
    <row r="18" spans="1:13" ht="15" customHeight="1" x14ac:dyDescent="0.25">
      <c r="B18" s="56"/>
      <c r="C18" s="2"/>
      <c r="D18" s="2"/>
      <c r="E18" s="2"/>
      <c r="K18" s="2"/>
      <c r="L18" s="2"/>
      <c r="M18" s="2"/>
    </row>
    <row r="19" spans="1:13" ht="15" customHeight="1" x14ac:dyDescent="0.25">
      <c r="A19" s="57" t="s">
        <v>1406</v>
      </c>
      <c r="B19" s="58">
        <v>739</v>
      </c>
      <c r="C19" s="59">
        <v>0.99768500000000004</v>
      </c>
      <c r="D19" s="59">
        <v>0.20280999999999899</v>
      </c>
      <c r="E19" s="59">
        <v>-12272.196362999999</v>
      </c>
      <c r="F19" s="57">
        <v>6</v>
      </c>
      <c r="G19" s="57">
        <v>7</v>
      </c>
      <c r="H19" s="57"/>
      <c r="I19" s="57">
        <v>454</v>
      </c>
      <c r="K19" s="2">
        <f>($E$5-$E$31)/($F$5-$F$31)*F19+$E$31</f>
        <v>-12270.633592153847</v>
      </c>
      <c r="L19" s="2">
        <f>E19-K19</f>
        <v>-1.562770846152489</v>
      </c>
      <c r="M19" s="2">
        <f>L19/(F19+G19)</f>
        <v>-0.12021314201172992</v>
      </c>
    </row>
    <row r="20" spans="1:13" ht="15" customHeight="1" x14ac:dyDescent="0.25">
      <c r="B20" s="56"/>
      <c r="C20" s="2"/>
      <c r="D20" s="2"/>
      <c r="E20" s="2"/>
      <c r="K20" s="2"/>
      <c r="L20" s="2"/>
      <c r="M20" s="2"/>
    </row>
    <row r="21" spans="1:13" ht="15" customHeight="1" x14ac:dyDescent="0.25">
      <c r="A21" t="s">
        <v>1862</v>
      </c>
      <c r="B21" s="56">
        <v>452</v>
      </c>
      <c r="C21" s="2">
        <v>0.99436400000000003</v>
      </c>
      <c r="D21" s="2">
        <v>0.176089999999999</v>
      </c>
      <c r="E21" s="2">
        <v>-12179.08856</v>
      </c>
      <c r="F21">
        <v>5</v>
      </c>
      <c r="G21">
        <v>8</v>
      </c>
      <c r="I21">
        <v>343</v>
      </c>
      <c r="K21" s="2">
        <f>($E$5-$E$31)/($F$5-$F$31)*F21+$E$31</f>
        <v>-12177.398392461539</v>
      </c>
      <c r="L21" s="2">
        <f>E21-K21</f>
        <v>-1.6901675384615373</v>
      </c>
      <c r="M21" s="2">
        <f>L21/(F21+G21)</f>
        <v>-0.1300128875739644</v>
      </c>
    </row>
    <row r="22" spans="1:13" ht="15" customHeight="1" x14ac:dyDescent="0.25">
      <c r="B22" s="56"/>
      <c r="C22" s="2"/>
      <c r="D22" s="2"/>
      <c r="E22" s="2"/>
      <c r="K22" s="2"/>
      <c r="L22" s="2"/>
      <c r="M22" s="2"/>
    </row>
    <row r="23" spans="1:13" ht="15" customHeight="1" x14ac:dyDescent="0.25">
      <c r="A23" t="s">
        <v>2207</v>
      </c>
      <c r="B23" s="56" t="s">
        <v>132</v>
      </c>
      <c r="C23" s="2">
        <v>0.99734900000000004</v>
      </c>
      <c r="D23" s="2">
        <v>0.19994000000000001</v>
      </c>
      <c r="E23" s="2">
        <v>-12085.716555000001</v>
      </c>
      <c r="F23">
        <v>4</v>
      </c>
      <c r="G23">
        <v>9</v>
      </c>
      <c r="I23">
        <v>195</v>
      </c>
      <c r="K23" s="2">
        <f>($E$5-$E$31)/($F$5-$F$31)*F23+$E$31</f>
        <v>-12084.163192769231</v>
      </c>
      <c r="L23" s="2">
        <f>E23-K23</f>
        <v>-1.5533622307702899</v>
      </c>
      <c r="M23" s="2">
        <f>L23/(F23+G23)</f>
        <v>-0.11948940236694537</v>
      </c>
    </row>
    <row r="24" spans="1:13" ht="15" customHeight="1" x14ac:dyDescent="0.25">
      <c r="B24" s="56"/>
      <c r="C24" s="2"/>
      <c r="D24" s="2"/>
      <c r="E24" s="2"/>
      <c r="K24" s="2"/>
      <c r="L24" s="2"/>
      <c r="M24" s="2"/>
    </row>
    <row r="25" spans="1:13" ht="15" customHeight="1" x14ac:dyDescent="0.25">
      <c r="A25" t="s">
        <v>2403</v>
      </c>
      <c r="B25" t="s">
        <v>186</v>
      </c>
      <c r="C25" s="2">
        <v>0.99731300000000001</v>
      </c>
      <c r="D25" s="2">
        <v>0.19832</v>
      </c>
      <c r="E25" s="2">
        <v>-11992.242337</v>
      </c>
      <c r="F25">
        <v>3</v>
      </c>
      <c r="G25">
        <v>10</v>
      </c>
      <c r="I25">
        <v>81</v>
      </c>
      <c r="K25" s="2">
        <f>($E$5-$E$31)/($F$5-$F$31)*F25+$E$31</f>
        <v>-11990.927993076924</v>
      </c>
      <c r="L25" s="2">
        <f>E25-K25</f>
        <v>-1.3143439230752847</v>
      </c>
      <c r="M25" s="2">
        <f>L25/(F25+G25)</f>
        <v>-0.10110337869809882</v>
      </c>
    </row>
    <row r="26" spans="1:13" ht="15" customHeight="1" x14ac:dyDescent="0.25">
      <c r="C26" s="2"/>
      <c r="D26" s="2"/>
      <c r="E26" s="2"/>
      <c r="K26" s="2"/>
      <c r="L26" s="2"/>
      <c r="M26" s="2"/>
    </row>
    <row r="27" spans="1:13" ht="15" customHeight="1" x14ac:dyDescent="0.25">
      <c r="A27" t="s">
        <v>2485</v>
      </c>
      <c r="B27" t="s">
        <v>44</v>
      </c>
      <c r="C27" s="2">
        <v>0.99359399999999998</v>
      </c>
      <c r="D27" s="2">
        <v>0.17221999999999901</v>
      </c>
      <c r="E27" s="2">
        <v>-11898.666627000001</v>
      </c>
      <c r="F27">
        <v>2</v>
      </c>
      <c r="G27">
        <v>11</v>
      </c>
      <c r="I27">
        <v>25</v>
      </c>
      <c r="K27" s="2">
        <f>($E$5-$E$31)/($F$5-$F$31)*F27+$E$31</f>
        <v>-11897.692793384616</v>
      </c>
      <c r="L27" s="2">
        <f>E27-K27</f>
        <v>-0.97383361538413737</v>
      </c>
      <c r="M27" s="2">
        <f>L27/(F27+G27)</f>
        <v>-7.4910278106472106E-2</v>
      </c>
    </row>
    <row r="28" spans="1:13" ht="15" customHeight="1" x14ac:dyDescent="0.25">
      <c r="C28" s="2"/>
      <c r="D28" s="2"/>
      <c r="E28" s="2"/>
      <c r="K28" s="2"/>
      <c r="L28" s="2"/>
      <c r="M28" s="2"/>
    </row>
    <row r="29" spans="1:13" ht="15" customHeight="1" x14ac:dyDescent="0.25">
      <c r="A29" t="s">
        <v>2511</v>
      </c>
      <c r="B29" t="s">
        <v>28</v>
      </c>
      <c r="C29" s="2">
        <v>0.99314999999999998</v>
      </c>
      <c r="D29" s="2">
        <v>0.17021</v>
      </c>
      <c r="E29" s="2">
        <v>-11805.113547000001</v>
      </c>
      <c r="F29">
        <v>1</v>
      </c>
      <c r="G29">
        <v>12</v>
      </c>
      <c r="I29">
        <v>5</v>
      </c>
      <c r="K29" s="2">
        <f>($E$5-$E$31)/($F$5-$F$31)*F29+$E$31</f>
        <v>-11804.457593692308</v>
      </c>
      <c r="L29" s="2">
        <f>E29-K29</f>
        <v>-0.65595330769247084</v>
      </c>
      <c r="M29" s="2">
        <f>L29/(F29+G29)</f>
        <v>-5.0457946745574682E-2</v>
      </c>
    </row>
    <row r="30" spans="1:13" ht="15" customHeight="1" x14ac:dyDescent="0.25">
      <c r="C30" s="2"/>
      <c r="D30" s="2"/>
      <c r="E30" s="2"/>
      <c r="K30" s="2"/>
      <c r="L30" s="2"/>
      <c r="M30" s="2"/>
    </row>
    <row r="31" spans="1:13" ht="15" customHeight="1" x14ac:dyDescent="0.25">
      <c r="A31" t="s">
        <v>19</v>
      </c>
      <c r="B31" t="s">
        <v>20</v>
      </c>
      <c r="C31" s="2">
        <v>0.99520699999999995</v>
      </c>
      <c r="D31" s="2">
        <v>0.17901999999999901</v>
      </c>
      <c r="E31" s="2">
        <v>-11711.222394</v>
      </c>
      <c r="F31">
        <v>0</v>
      </c>
      <c r="G31">
        <v>13</v>
      </c>
      <c r="I31">
        <v>1</v>
      </c>
      <c r="K31" s="2">
        <f>($E$5-$E$31)/($F$5-$F$31)*F31+$E$31</f>
        <v>-11711.222394</v>
      </c>
      <c r="L31" s="2">
        <f>E31-K31</f>
        <v>0</v>
      </c>
      <c r="M31" s="2">
        <f>L31/(F31+G31)</f>
        <v>0</v>
      </c>
    </row>
    <row r="32" spans="1:13" ht="15" customHeight="1" x14ac:dyDescent="0.25">
      <c r="K32" s="2"/>
      <c r="L32" s="2"/>
      <c r="M32" s="2"/>
    </row>
    <row r="33" spans="3:9" ht="15" customHeight="1" x14ac:dyDescent="0.25">
      <c r="C33" s="2"/>
      <c r="D33" s="2"/>
      <c r="E33" s="2"/>
      <c r="I33" s="60">
        <f>SUM(I5:I32)</f>
        <v>2208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93"/>
  <sheetViews>
    <sheetView zoomScaleNormal="100" workbookViewId="0">
      <selection activeCell="E35" sqref="E35"/>
    </sheetView>
  </sheetViews>
  <sheetFormatPr defaultRowHeight="15" x14ac:dyDescent="0.25"/>
  <cols>
    <col min="1" max="10" width="10.7109375"/>
    <col min="11" max="13" width="16.42578125"/>
    <col min="14" max="1025" width="10.7109375"/>
  </cols>
  <sheetData>
    <row r="2" spans="1:14" ht="15" customHeight="1" x14ac:dyDescent="0.25">
      <c r="A2">
        <v>1</v>
      </c>
      <c r="B2">
        <v>0</v>
      </c>
      <c r="C2">
        <v>0</v>
      </c>
      <c r="D2">
        <v>0</v>
      </c>
    </row>
    <row r="3" spans="1:14" ht="15" customHeight="1" x14ac:dyDescent="0.25">
      <c r="A3">
        <v>2</v>
      </c>
      <c r="B3">
        <v>0</v>
      </c>
      <c r="C3">
        <v>0</v>
      </c>
      <c r="D3">
        <v>0</v>
      </c>
    </row>
    <row r="4" spans="1:14" ht="15" customHeight="1" x14ac:dyDescent="0.25">
      <c r="A4">
        <v>3</v>
      </c>
      <c r="B4">
        <v>0</v>
      </c>
      <c r="C4">
        <v>0</v>
      </c>
      <c r="D4">
        <v>0</v>
      </c>
    </row>
    <row r="5" spans="1:14" ht="15" customHeight="1" x14ac:dyDescent="0.25">
      <c r="A5">
        <v>4</v>
      </c>
      <c r="B5">
        <v>0</v>
      </c>
      <c r="C5">
        <v>0</v>
      </c>
      <c r="D5">
        <v>0</v>
      </c>
    </row>
    <row r="6" spans="1:14" ht="15" customHeight="1" x14ac:dyDescent="0.25">
      <c r="A6">
        <v>5</v>
      </c>
      <c r="B6">
        <v>0</v>
      </c>
      <c r="C6">
        <v>0</v>
      </c>
      <c r="D6">
        <v>0</v>
      </c>
    </row>
    <row r="7" spans="1:14" ht="15" customHeight="1" x14ac:dyDescent="0.25">
      <c r="A7">
        <v>6</v>
      </c>
      <c r="B7">
        <v>0</v>
      </c>
      <c r="C7">
        <v>0</v>
      </c>
      <c r="D7">
        <v>0</v>
      </c>
    </row>
    <row r="8" spans="1:14" ht="15" customHeight="1" x14ac:dyDescent="0.25">
      <c r="A8">
        <v>7</v>
      </c>
      <c r="B8">
        <v>0</v>
      </c>
      <c r="C8">
        <v>0</v>
      </c>
      <c r="D8">
        <v>0</v>
      </c>
    </row>
    <row r="9" spans="1:14" ht="15" customHeight="1" x14ac:dyDescent="0.25">
      <c r="A9">
        <v>8</v>
      </c>
      <c r="B9">
        <v>0</v>
      </c>
      <c r="C9">
        <v>0</v>
      </c>
      <c r="D9">
        <v>0</v>
      </c>
    </row>
    <row r="10" spans="1:14" ht="15" customHeight="1" x14ac:dyDescent="0.25">
      <c r="A10">
        <v>9</v>
      </c>
      <c r="B10">
        <v>0</v>
      </c>
      <c r="C10">
        <v>0</v>
      </c>
      <c r="D10">
        <v>0</v>
      </c>
    </row>
    <row r="11" spans="1:14" ht="15" customHeight="1" x14ac:dyDescent="0.25">
      <c r="A11">
        <v>10</v>
      </c>
      <c r="B11">
        <v>0</v>
      </c>
      <c r="C11">
        <v>0</v>
      </c>
      <c r="D11">
        <v>0</v>
      </c>
    </row>
    <row r="12" spans="1:14" ht="15" customHeight="1" x14ac:dyDescent="0.25">
      <c r="A12">
        <v>11</v>
      </c>
      <c r="B12">
        <v>0</v>
      </c>
      <c r="C12">
        <v>0</v>
      </c>
      <c r="D12">
        <v>0</v>
      </c>
    </row>
    <row r="13" spans="1:14" ht="15" customHeight="1" x14ac:dyDescent="0.25">
      <c r="A13">
        <v>12</v>
      </c>
      <c r="B13">
        <v>0</v>
      </c>
      <c r="C13">
        <v>0</v>
      </c>
      <c r="D13">
        <v>0</v>
      </c>
    </row>
    <row r="14" spans="1:14" ht="15" customHeight="1" x14ac:dyDescent="0.25">
      <c r="A14">
        <v>13</v>
      </c>
      <c r="B14">
        <v>0</v>
      </c>
      <c r="C14">
        <v>0</v>
      </c>
      <c r="D14">
        <v>0</v>
      </c>
    </row>
    <row r="15" spans="1:14" ht="15" customHeight="1" x14ac:dyDescent="0.25">
      <c r="A15">
        <v>14</v>
      </c>
      <c r="B15">
        <v>0</v>
      </c>
      <c r="C15">
        <v>0</v>
      </c>
      <c r="D15">
        <v>0</v>
      </c>
    </row>
    <row r="16" spans="1:14" ht="15" customHeight="1" x14ac:dyDescent="0.25">
      <c r="A16">
        <v>15</v>
      </c>
      <c r="B16">
        <v>0</v>
      </c>
      <c r="C16">
        <v>0</v>
      </c>
      <c r="D16">
        <v>0</v>
      </c>
      <c r="J16" t="s">
        <v>2525</v>
      </c>
      <c r="K16" s="2">
        <v>5.9323000000000001E-2</v>
      </c>
      <c r="L16" s="2">
        <v>-6.7392999999999995E-2</v>
      </c>
      <c r="M16" s="2">
        <v>1.1933149999999999</v>
      </c>
      <c r="N16">
        <v>1</v>
      </c>
    </row>
    <row r="17" spans="1:14" ht="15" customHeight="1" x14ac:dyDescent="0.25">
      <c r="A17">
        <v>16</v>
      </c>
      <c r="B17">
        <v>0</v>
      </c>
      <c r="C17">
        <v>0</v>
      </c>
      <c r="D17">
        <v>0</v>
      </c>
      <c r="J17" t="s">
        <v>2525</v>
      </c>
      <c r="K17" s="2">
        <v>-4.3251999999999999E-2</v>
      </c>
      <c r="L17" s="2">
        <v>2.6777860000000002</v>
      </c>
      <c r="M17" s="2">
        <v>0.81169599999999997</v>
      </c>
      <c r="N17">
        <v>1</v>
      </c>
    </row>
    <row r="18" spans="1:14" ht="15" customHeight="1" x14ac:dyDescent="0.25">
      <c r="A18">
        <v>17</v>
      </c>
      <c r="B18">
        <v>0</v>
      </c>
      <c r="C18">
        <v>0</v>
      </c>
      <c r="D18">
        <v>0</v>
      </c>
      <c r="J18" t="s">
        <v>2525</v>
      </c>
      <c r="K18" s="2">
        <v>6.8617999999999998E-2</v>
      </c>
      <c r="L18" s="2">
        <v>-2.7943720000000001</v>
      </c>
      <c r="M18" s="2">
        <v>0.95120700000000002</v>
      </c>
      <c r="N18">
        <v>1</v>
      </c>
    </row>
    <row r="19" spans="1:14" ht="15" customHeight="1" x14ac:dyDescent="0.25">
      <c r="A19">
        <v>18</v>
      </c>
      <c r="B19">
        <v>0</v>
      </c>
      <c r="C19">
        <v>0</v>
      </c>
      <c r="D19">
        <v>0</v>
      </c>
      <c r="J19" t="s">
        <v>2526</v>
      </c>
      <c r="K19" s="2">
        <v>2.4323860000000002</v>
      </c>
      <c r="L19" s="2">
        <v>1.3940269999999999</v>
      </c>
      <c r="M19" s="2">
        <v>1.0059560000000001</v>
      </c>
      <c r="N19">
        <v>2</v>
      </c>
    </row>
    <row r="20" spans="1:14" ht="15" customHeight="1" x14ac:dyDescent="0.25">
      <c r="A20">
        <v>19</v>
      </c>
      <c r="B20">
        <v>0</v>
      </c>
      <c r="C20">
        <v>0</v>
      </c>
      <c r="D20">
        <v>0</v>
      </c>
      <c r="J20" t="s">
        <v>2525</v>
      </c>
      <c r="K20" s="2">
        <v>2.559987</v>
      </c>
      <c r="L20" s="2">
        <v>-1.438977</v>
      </c>
      <c r="M20" s="2">
        <v>1.430253</v>
      </c>
      <c r="N20">
        <v>1</v>
      </c>
    </row>
    <row r="21" spans="1:14" ht="15" customHeight="1" x14ac:dyDescent="0.25">
      <c r="A21">
        <v>20</v>
      </c>
      <c r="B21">
        <v>0</v>
      </c>
      <c r="C21">
        <v>0</v>
      </c>
      <c r="D21">
        <v>0</v>
      </c>
      <c r="J21" t="s">
        <v>2525</v>
      </c>
      <c r="K21" s="2">
        <v>-2.437341</v>
      </c>
      <c r="L21" s="2">
        <v>1.30284</v>
      </c>
      <c r="M21" s="2">
        <v>1.415365</v>
      </c>
      <c r="N21">
        <v>1</v>
      </c>
    </row>
    <row r="22" spans="1:14" ht="15" customHeight="1" x14ac:dyDescent="0.25">
      <c r="A22">
        <v>21</v>
      </c>
      <c r="B22">
        <v>0</v>
      </c>
      <c r="C22">
        <v>0</v>
      </c>
      <c r="D22">
        <v>0</v>
      </c>
      <c r="J22" t="s">
        <v>2526</v>
      </c>
      <c r="K22" s="2">
        <v>-2.3855189999999999</v>
      </c>
      <c r="L22" s="2">
        <v>-1.5316620000000001</v>
      </c>
      <c r="M22" s="2">
        <v>1.120236</v>
      </c>
      <c r="N22">
        <v>2</v>
      </c>
    </row>
    <row r="23" spans="1:14" ht="15" customHeight="1" x14ac:dyDescent="0.25">
      <c r="A23">
        <v>22</v>
      </c>
      <c r="B23">
        <v>0</v>
      </c>
      <c r="C23">
        <v>0</v>
      </c>
      <c r="D23">
        <v>0</v>
      </c>
      <c r="J23" t="s">
        <v>2525</v>
      </c>
      <c r="K23" s="2">
        <v>1.052281</v>
      </c>
      <c r="L23" s="2">
        <v>1.060109</v>
      </c>
      <c r="M23" s="2">
        <v>-1.4312480000000001</v>
      </c>
      <c r="N23">
        <v>1</v>
      </c>
    </row>
    <row r="24" spans="1:14" ht="15" customHeight="1" x14ac:dyDescent="0.25">
      <c r="A24">
        <v>23</v>
      </c>
      <c r="B24">
        <v>0</v>
      </c>
      <c r="C24">
        <v>0</v>
      </c>
      <c r="D24">
        <v>0</v>
      </c>
      <c r="J24" t="s">
        <v>2526</v>
      </c>
      <c r="K24" s="2">
        <v>-1.6256999999999999</v>
      </c>
      <c r="L24" s="2">
        <v>1.727322</v>
      </c>
      <c r="M24" s="2">
        <v>-1.2167250000000001</v>
      </c>
      <c r="N24">
        <v>2</v>
      </c>
    </row>
    <row r="25" spans="1:14" ht="15" customHeight="1" x14ac:dyDescent="0.25">
      <c r="A25">
        <v>24</v>
      </c>
      <c r="B25">
        <v>0</v>
      </c>
      <c r="C25">
        <v>0</v>
      </c>
      <c r="D25">
        <v>0</v>
      </c>
      <c r="J25" t="s">
        <v>2526</v>
      </c>
      <c r="K25" s="2">
        <v>1.4993339999999999</v>
      </c>
      <c r="L25" s="2">
        <v>-1.670004</v>
      </c>
      <c r="M25" s="2">
        <v>-1.102403</v>
      </c>
      <c r="N25">
        <v>2</v>
      </c>
    </row>
    <row r="26" spans="1:14" ht="15" customHeight="1" x14ac:dyDescent="0.25">
      <c r="A26">
        <v>25</v>
      </c>
      <c r="B26">
        <v>0</v>
      </c>
      <c r="C26">
        <v>0</v>
      </c>
      <c r="D26">
        <v>0</v>
      </c>
      <c r="J26" t="s">
        <v>2525</v>
      </c>
      <c r="K26" s="2">
        <v>-1.179691</v>
      </c>
      <c r="L26" s="2">
        <v>-1.042349</v>
      </c>
      <c r="M26" s="2">
        <v>-1.319817</v>
      </c>
      <c r="N26">
        <v>1</v>
      </c>
    </row>
    <row r="27" spans="1:14" ht="15" customHeight="1" x14ac:dyDescent="0.25">
      <c r="A27">
        <v>26</v>
      </c>
      <c r="B27">
        <v>0</v>
      </c>
      <c r="C27">
        <v>0</v>
      </c>
      <c r="D27">
        <v>0</v>
      </c>
      <c r="J27" t="s">
        <v>2525</v>
      </c>
      <c r="K27" s="2">
        <v>3.6620159999999999</v>
      </c>
      <c r="L27" s="2">
        <v>-6.4587000000000006E-2</v>
      </c>
      <c r="M27" s="2">
        <v>-0.93837099999999996</v>
      </c>
      <c r="N27">
        <v>1</v>
      </c>
    </row>
    <row r="28" spans="1:14" ht="15" customHeight="1" x14ac:dyDescent="0.25">
      <c r="A28">
        <v>27</v>
      </c>
      <c r="B28">
        <v>0</v>
      </c>
      <c r="C28">
        <v>0</v>
      </c>
      <c r="D28">
        <v>0</v>
      </c>
      <c r="J28" t="s">
        <v>2526</v>
      </c>
      <c r="K28" s="2">
        <v>-3.738381</v>
      </c>
      <c r="L28" s="2">
        <v>6.8528000000000006E-2</v>
      </c>
      <c r="M28" s="2">
        <v>-0.74341299999999999</v>
      </c>
      <c r="N28">
        <v>2</v>
      </c>
    </row>
    <row r="29" spans="1:14" ht="15" customHeight="1" x14ac:dyDescent="0.25">
      <c r="A29">
        <v>28</v>
      </c>
      <c r="B29">
        <v>0</v>
      </c>
      <c r="C29">
        <v>0</v>
      </c>
      <c r="D29">
        <v>0</v>
      </c>
    </row>
    <row r="30" spans="1:14" ht="15" customHeight="1" x14ac:dyDescent="0.25">
      <c r="A30">
        <v>29</v>
      </c>
      <c r="B30">
        <v>0</v>
      </c>
      <c r="C30">
        <v>0</v>
      </c>
      <c r="D30">
        <v>0</v>
      </c>
      <c r="K30">
        <v>0</v>
      </c>
      <c r="L30">
        <v>0</v>
      </c>
      <c r="M30">
        <v>1.19526</v>
      </c>
      <c r="N30">
        <v>1</v>
      </c>
    </row>
    <row r="31" spans="1:14" ht="15" customHeight="1" x14ac:dyDescent="0.25">
      <c r="A31">
        <v>30</v>
      </c>
      <c r="B31">
        <v>0</v>
      </c>
      <c r="C31">
        <v>0</v>
      </c>
      <c r="D31">
        <v>0</v>
      </c>
      <c r="K31">
        <v>0</v>
      </c>
      <c r="L31">
        <v>2.5697999</v>
      </c>
      <c r="M31">
        <v>0.70406002000000001</v>
      </c>
      <c r="N31">
        <v>1</v>
      </c>
    </row>
    <row r="32" spans="1:14" ht="15" customHeight="1" x14ac:dyDescent="0.25">
      <c r="A32">
        <v>31</v>
      </c>
      <c r="B32">
        <v>0</v>
      </c>
      <c r="C32">
        <v>0</v>
      </c>
      <c r="D32">
        <v>0</v>
      </c>
      <c r="K32">
        <v>0</v>
      </c>
      <c r="L32">
        <v>-2.5697999</v>
      </c>
      <c r="M32">
        <v>0.70406002000000001</v>
      </c>
      <c r="N32">
        <v>1</v>
      </c>
    </row>
    <row r="33" spans="1:14" ht="15" customHeight="1" x14ac:dyDescent="0.25">
      <c r="A33">
        <v>32</v>
      </c>
      <c r="B33">
        <v>0</v>
      </c>
      <c r="C33">
        <v>0</v>
      </c>
      <c r="D33">
        <v>0</v>
      </c>
      <c r="K33">
        <v>2.3346499999999999</v>
      </c>
      <c r="L33">
        <v>1.37462</v>
      </c>
      <c r="M33">
        <v>1.10761</v>
      </c>
      <c r="N33">
        <v>2</v>
      </c>
    </row>
    <row r="34" spans="1:14" ht="15" customHeight="1" x14ac:dyDescent="0.25">
      <c r="A34">
        <v>33</v>
      </c>
      <c r="B34">
        <v>0</v>
      </c>
      <c r="C34">
        <v>0</v>
      </c>
      <c r="D34">
        <v>0</v>
      </c>
      <c r="K34">
        <v>2.3346499999999999</v>
      </c>
      <c r="L34">
        <v>-1.37462</v>
      </c>
      <c r="M34">
        <v>1.10761</v>
      </c>
      <c r="N34">
        <v>1</v>
      </c>
    </row>
    <row r="35" spans="1:14" ht="15" customHeight="1" x14ac:dyDescent="0.25">
      <c r="A35">
        <v>34</v>
      </c>
      <c r="B35">
        <v>0</v>
      </c>
      <c r="C35">
        <v>0</v>
      </c>
      <c r="D35">
        <v>0</v>
      </c>
      <c r="K35">
        <v>-2.3346499999999999</v>
      </c>
      <c r="L35">
        <v>1.37462</v>
      </c>
      <c r="M35">
        <v>1.10761</v>
      </c>
      <c r="N35">
        <v>1</v>
      </c>
    </row>
    <row r="36" spans="1:14" ht="15" customHeight="1" x14ac:dyDescent="0.25">
      <c r="A36">
        <v>35</v>
      </c>
      <c r="B36">
        <v>0</v>
      </c>
      <c r="C36">
        <v>0</v>
      </c>
      <c r="D36">
        <v>0</v>
      </c>
      <c r="K36">
        <v>-2.3346499999999999</v>
      </c>
      <c r="L36">
        <v>-1.37462</v>
      </c>
      <c r="M36">
        <v>1.10761</v>
      </c>
      <c r="N36">
        <v>2</v>
      </c>
    </row>
    <row r="37" spans="1:14" ht="15" customHeight="1" x14ac:dyDescent="0.25">
      <c r="A37">
        <v>36</v>
      </c>
      <c r="B37">
        <v>0</v>
      </c>
      <c r="C37">
        <v>0</v>
      </c>
      <c r="D37">
        <v>0</v>
      </c>
      <c r="K37">
        <v>1.2981499000000001</v>
      </c>
      <c r="L37">
        <v>1.3251500000000001</v>
      </c>
      <c r="M37">
        <v>-1.34534</v>
      </c>
      <c r="N37">
        <v>1</v>
      </c>
    </row>
    <row r="38" spans="1:14" ht="15" customHeight="1" x14ac:dyDescent="0.25">
      <c r="A38">
        <v>37</v>
      </c>
      <c r="B38">
        <v>0</v>
      </c>
      <c r="C38">
        <v>0</v>
      </c>
      <c r="D38">
        <v>0</v>
      </c>
      <c r="K38">
        <v>-1.2981499000000001</v>
      </c>
      <c r="L38">
        <v>1.3251500000000001</v>
      </c>
      <c r="M38">
        <v>-1.34534</v>
      </c>
      <c r="N38">
        <v>2</v>
      </c>
    </row>
    <row r="39" spans="1:14" ht="15" customHeight="1" x14ac:dyDescent="0.25">
      <c r="A39">
        <v>38</v>
      </c>
      <c r="B39">
        <v>0</v>
      </c>
      <c r="C39">
        <v>0</v>
      </c>
      <c r="D39">
        <v>0</v>
      </c>
      <c r="K39">
        <v>1.2981499000000001</v>
      </c>
      <c r="L39">
        <v>-1.3251500000000001</v>
      </c>
      <c r="M39">
        <v>-1.34534</v>
      </c>
      <c r="N39">
        <v>2</v>
      </c>
    </row>
    <row r="40" spans="1:14" ht="15" customHeight="1" x14ac:dyDescent="0.25">
      <c r="A40">
        <v>39</v>
      </c>
      <c r="B40">
        <v>0</v>
      </c>
      <c r="C40">
        <v>0</v>
      </c>
      <c r="D40">
        <v>0</v>
      </c>
      <c r="K40">
        <v>-1.2981499000000001</v>
      </c>
      <c r="L40">
        <v>-1.3251500000000001</v>
      </c>
      <c r="M40">
        <v>-1.34534</v>
      </c>
      <c r="N40">
        <v>1</v>
      </c>
    </row>
    <row r="41" spans="1:14" ht="15" customHeight="1" x14ac:dyDescent="0.25">
      <c r="A41">
        <v>40</v>
      </c>
      <c r="B41">
        <v>0</v>
      </c>
      <c r="C41">
        <v>0</v>
      </c>
      <c r="D41">
        <v>0</v>
      </c>
      <c r="K41">
        <v>3.5313001000000002</v>
      </c>
      <c r="L41">
        <v>0</v>
      </c>
      <c r="M41">
        <v>-0.82623999999999997</v>
      </c>
      <c r="N41">
        <v>1</v>
      </c>
    </row>
    <row r="42" spans="1:14" ht="15" customHeight="1" x14ac:dyDescent="0.25">
      <c r="A42">
        <v>41</v>
      </c>
      <c r="B42">
        <v>0</v>
      </c>
      <c r="C42">
        <v>0</v>
      </c>
      <c r="D42">
        <v>0</v>
      </c>
      <c r="K42">
        <v>-3.5313001000000002</v>
      </c>
      <c r="L42">
        <v>0</v>
      </c>
      <c r="M42">
        <v>-0.82623999999999997</v>
      </c>
      <c r="N42">
        <v>2</v>
      </c>
    </row>
    <row r="43" spans="1:14" ht="15" customHeight="1" x14ac:dyDescent="0.25">
      <c r="A43">
        <v>42</v>
      </c>
      <c r="B43">
        <v>0</v>
      </c>
      <c r="C43">
        <v>0</v>
      </c>
      <c r="D43">
        <v>0</v>
      </c>
    </row>
    <row r="44" spans="1:14" ht="15" customHeight="1" x14ac:dyDescent="0.25">
      <c r="A44">
        <v>43</v>
      </c>
      <c r="B44">
        <v>0</v>
      </c>
      <c r="C44">
        <v>0</v>
      </c>
      <c r="D44">
        <v>0</v>
      </c>
    </row>
    <row r="45" spans="1:14" ht="15" customHeight="1" x14ac:dyDescent="0.25">
      <c r="A45">
        <v>44</v>
      </c>
      <c r="B45">
        <v>0</v>
      </c>
      <c r="C45">
        <v>0</v>
      </c>
      <c r="D45">
        <v>0</v>
      </c>
    </row>
    <row r="46" spans="1:14" ht="15" customHeight="1" x14ac:dyDescent="0.25">
      <c r="A46">
        <v>45</v>
      </c>
      <c r="B46">
        <v>0</v>
      </c>
      <c r="C46">
        <v>0</v>
      </c>
      <c r="D46">
        <v>0</v>
      </c>
    </row>
    <row r="47" spans="1:14" ht="15" customHeight="1" x14ac:dyDescent="0.25">
      <c r="A47">
        <v>46</v>
      </c>
      <c r="B47">
        <v>0</v>
      </c>
      <c r="C47">
        <v>0</v>
      </c>
      <c r="D47">
        <v>0</v>
      </c>
    </row>
    <row r="48" spans="1:14" ht="15" customHeight="1" x14ac:dyDescent="0.25">
      <c r="A48">
        <v>47</v>
      </c>
      <c r="B48">
        <v>0</v>
      </c>
      <c r="C48">
        <v>0</v>
      </c>
      <c r="D48">
        <v>0</v>
      </c>
    </row>
    <row r="49" spans="1:4" ht="15" customHeight="1" x14ac:dyDescent="0.25">
      <c r="A49">
        <v>48</v>
      </c>
      <c r="B49">
        <v>0</v>
      </c>
      <c r="C49">
        <v>0</v>
      </c>
      <c r="D49">
        <v>0</v>
      </c>
    </row>
    <row r="50" spans="1:4" ht="15" customHeight="1" x14ac:dyDescent="0.25">
      <c r="A50">
        <v>49</v>
      </c>
      <c r="B50">
        <v>0</v>
      </c>
      <c r="C50">
        <v>0</v>
      </c>
      <c r="D50">
        <v>0</v>
      </c>
    </row>
    <row r="51" spans="1:4" ht="15" customHeight="1" x14ac:dyDescent="0.25">
      <c r="A51">
        <v>50</v>
      </c>
      <c r="B51">
        <v>0</v>
      </c>
      <c r="C51">
        <v>0</v>
      </c>
      <c r="D51">
        <v>0</v>
      </c>
    </row>
    <row r="52" spans="1:4" ht="15" customHeight="1" x14ac:dyDescent="0.25">
      <c r="A52">
        <v>51</v>
      </c>
      <c r="B52">
        <v>0</v>
      </c>
      <c r="C52">
        <v>0</v>
      </c>
      <c r="D52">
        <v>0</v>
      </c>
    </row>
    <row r="53" spans="1:4" ht="15" customHeight="1" x14ac:dyDescent="0.25">
      <c r="A53">
        <v>52</v>
      </c>
      <c r="B53">
        <v>0</v>
      </c>
      <c r="C53">
        <v>0</v>
      </c>
      <c r="D53">
        <v>0</v>
      </c>
    </row>
    <row r="54" spans="1:4" ht="15" customHeight="1" x14ac:dyDescent="0.25">
      <c r="A54">
        <v>53</v>
      </c>
      <c r="B54">
        <v>0</v>
      </c>
      <c r="C54">
        <v>0</v>
      </c>
      <c r="D54">
        <v>0</v>
      </c>
    </row>
    <row r="55" spans="1:4" ht="15" customHeight="1" x14ac:dyDescent="0.25">
      <c r="A55">
        <v>54</v>
      </c>
      <c r="B55">
        <v>0</v>
      </c>
      <c r="C55">
        <v>0</v>
      </c>
      <c r="D55">
        <v>0</v>
      </c>
    </row>
    <row r="56" spans="1:4" ht="15" customHeight="1" x14ac:dyDescent="0.25">
      <c r="A56">
        <v>55</v>
      </c>
      <c r="B56">
        <v>0</v>
      </c>
      <c r="C56">
        <v>0</v>
      </c>
      <c r="D56">
        <v>0</v>
      </c>
    </row>
    <row r="57" spans="1:4" ht="15" customHeight="1" x14ac:dyDescent="0.25">
      <c r="A57">
        <v>56</v>
      </c>
      <c r="B57">
        <v>0</v>
      </c>
      <c r="C57">
        <v>0</v>
      </c>
      <c r="D57">
        <v>0</v>
      </c>
    </row>
    <row r="58" spans="1:4" ht="15" customHeight="1" x14ac:dyDescent="0.25">
      <c r="A58">
        <v>57</v>
      </c>
      <c r="B58">
        <v>0</v>
      </c>
      <c r="C58">
        <v>0</v>
      </c>
      <c r="D58">
        <v>0</v>
      </c>
    </row>
    <row r="59" spans="1:4" ht="15" customHeight="1" x14ac:dyDescent="0.25">
      <c r="A59">
        <v>58</v>
      </c>
      <c r="B59">
        <v>0</v>
      </c>
      <c r="C59">
        <v>0</v>
      </c>
      <c r="D59">
        <v>0</v>
      </c>
    </row>
    <row r="60" spans="1:4" ht="15" customHeight="1" x14ac:dyDescent="0.25">
      <c r="A60">
        <v>59</v>
      </c>
      <c r="B60">
        <v>0</v>
      </c>
      <c r="C60">
        <v>0</v>
      </c>
      <c r="D60">
        <v>0</v>
      </c>
    </row>
    <row r="61" spans="1:4" ht="15" customHeight="1" x14ac:dyDescent="0.25">
      <c r="A61">
        <v>60</v>
      </c>
      <c r="B61">
        <v>0</v>
      </c>
      <c r="C61">
        <v>0</v>
      </c>
      <c r="D61">
        <v>0</v>
      </c>
    </row>
    <row r="62" spans="1:4" ht="15" customHeight="1" x14ac:dyDescent="0.25">
      <c r="A62">
        <v>61</v>
      </c>
      <c r="B62">
        <v>0</v>
      </c>
      <c r="C62">
        <v>0</v>
      </c>
      <c r="D62">
        <v>0</v>
      </c>
    </row>
    <row r="63" spans="1:4" ht="15" customHeight="1" x14ac:dyDescent="0.25">
      <c r="A63">
        <v>62</v>
      </c>
      <c r="B63">
        <v>0</v>
      </c>
      <c r="C63">
        <v>0</v>
      </c>
      <c r="D63">
        <v>0</v>
      </c>
    </row>
    <row r="64" spans="1:4" ht="15" customHeight="1" x14ac:dyDescent="0.25">
      <c r="A64">
        <v>63</v>
      </c>
      <c r="B64">
        <v>0</v>
      </c>
      <c r="C64">
        <v>0</v>
      </c>
      <c r="D64">
        <v>0</v>
      </c>
    </row>
    <row r="65" spans="1:4" ht="15" customHeight="1" x14ac:dyDescent="0.25">
      <c r="A65">
        <v>64</v>
      </c>
      <c r="B65">
        <v>0</v>
      </c>
      <c r="C65">
        <v>0</v>
      </c>
      <c r="D65">
        <v>0</v>
      </c>
    </row>
    <row r="66" spans="1:4" ht="15" customHeight="1" x14ac:dyDescent="0.25">
      <c r="A66">
        <v>65</v>
      </c>
      <c r="B66">
        <v>0</v>
      </c>
      <c r="C66">
        <v>0</v>
      </c>
      <c r="D66">
        <v>0</v>
      </c>
    </row>
    <row r="67" spans="1:4" ht="15" customHeight="1" x14ac:dyDescent="0.25">
      <c r="A67">
        <v>66</v>
      </c>
      <c r="B67">
        <v>0</v>
      </c>
      <c r="C67">
        <v>0</v>
      </c>
      <c r="D67">
        <v>0</v>
      </c>
    </row>
    <row r="68" spans="1:4" ht="15" customHeight="1" x14ac:dyDescent="0.25">
      <c r="A68">
        <v>67</v>
      </c>
      <c r="B68">
        <v>0</v>
      </c>
      <c r="C68">
        <v>0</v>
      </c>
      <c r="D68">
        <v>0</v>
      </c>
    </row>
    <row r="69" spans="1:4" ht="15" customHeight="1" x14ac:dyDescent="0.25">
      <c r="A69">
        <v>68</v>
      </c>
      <c r="B69">
        <v>0</v>
      </c>
      <c r="C69">
        <v>0</v>
      </c>
      <c r="D69">
        <v>0</v>
      </c>
    </row>
    <row r="70" spans="1:4" ht="15" customHeight="1" x14ac:dyDescent="0.25">
      <c r="A70">
        <v>69</v>
      </c>
      <c r="B70">
        <v>0</v>
      </c>
      <c r="C70">
        <v>0</v>
      </c>
      <c r="D70">
        <v>0</v>
      </c>
    </row>
    <row r="71" spans="1:4" ht="15" customHeight="1" x14ac:dyDescent="0.25">
      <c r="A71">
        <v>70</v>
      </c>
      <c r="B71">
        <v>0</v>
      </c>
      <c r="C71">
        <v>0</v>
      </c>
      <c r="D71">
        <v>0</v>
      </c>
    </row>
    <row r="72" spans="1:4" ht="15" customHeight="1" x14ac:dyDescent="0.25">
      <c r="A72">
        <v>71</v>
      </c>
      <c r="B72">
        <v>0</v>
      </c>
      <c r="C72">
        <v>0</v>
      </c>
      <c r="D72">
        <v>0</v>
      </c>
    </row>
    <row r="73" spans="1:4" ht="15" customHeight="1" x14ac:dyDescent="0.25">
      <c r="A73">
        <v>72</v>
      </c>
      <c r="B73">
        <v>0</v>
      </c>
      <c r="C73">
        <v>0</v>
      </c>
      <c r="D73">
        <v>0</v>
      </c>
    </row>
    <row r="74" spans="1:4" ht="15" customHeight="1" x14ac:dyDescent="0.25">
      <c r="A74">
        <v>73</v>
      </c>
      <c r="B74">
        <v>0</v>
      </c>
      <c r="C74">
        <v>0</v>
      </c>
      <c r="D74">
        <v>0</v>
      </c>
    </row>
    <row r="75" spans="1:4" ht="15" customHeight="1" x14ac:dyDescent="0.25">
      <c r="A75">
        <v>74</v>
      </c>
      <c r="B75">
        <v>0</v>
      </c>
      <c r="C75">
        <v>0</v>
      </c>
      <c r="D75">
        <v>0</v>
      </c>
    </row>
    <row r="76" spans="1:4" ht="15" customHeight="1" x14ac:dyDescent="0.25">
      <c r="A76">
        <v>75</v>
      </c>
      <c r="B76">
        <v>0</v>
      </c>
      <c r="C76">
        <v>0</v>
      </c>
      <c r="D76">
        <v>0</v>
      </c>
    </row>
    <row r="77" spans="1:4" ht="15" customHeight="1" x14ac:dyDescent="0.25">
      <c r="A77">
        <v>76</v>
      </c>
      <c r="B77">
        <v>0</v>
      </c>
      <c r="C77">
        <v>0</v>
      </c>
      <c r="D77">
        <v>0</v>
      </c>
    </row>
    <row r="78" spans="1:4" ht="15" customHeight="1" x14ac:dyDescent="0.25">
      <c r="A78">
        <v>77</v>
      </c>
      <c r="B78">
        <v>0</v>
      </c>
      <c r="C78">
        <v>0</v>
      </c>
      <c r="D78">
        <v>0</v>
      </c>
    </row>
    <row r="79" spans="1:4" ht="15" customHeight="1" x14ac:dyDescent="0.25">
      <c r="A79">
        <v>78</v>
      </c>
      <c r="B79">
        <v>0</v>
      </c>
      <c r="C79">
        <v>0</v>
      </c>
      <c r="D79">
        <v>0</v>
      </c>
    </row>
    <row r="80" spans="1:4" ht="15" customHeight="1" x14ac:dyDescent="0.25">
      <c r="A80">
        <v>79</v>
      </c>
      <c r="B80">
        <v>0</v>
      </c>
      <c r="C80">
        <v>0</v>
      </c>
      <c r="D80">
        <v>0</v>
      </c>
    </row>
    <row r="81" spans="1:4" ht="15" customHeight="1" x14ac:dyDescent="0.25">
      <c r="A81">
        <v>80</v>
      </c>
      <c r="B81">
        <v>0</v>
      </c>
      <c r="C81">
        <v>0</v>
      </c>
      <c r="D81">
        <v>0</v>
      </c>
    </row>
    <row r="82" spans="1:4" ht="15" customHeight="1" x14ac:dyDescent="0.25">
      <c r="A82">
        <v>81</v>
      </c>
      <c r="B82">
        <v>0</v>
      </c>
      <c r="C82">
        <v>0</v>
      </c>
      <c r="D82">
        <v>0</v>
      </c>
    </row>
    <row r="83" spans="1:4" ht="15" customHeight="1" x14ac:dyDescent="0.25">
      <c r="A83">
        <v>82</v>
      </c>
      <c r="B83">
        <v>0</v>
      </c>
      <c r="C83">
        <v>0</v>
      </c>
      <c r="D83">
        <v>0</v>
      </c>
    </row>
    <row r="84" spans="1:4" ht="15" customHeight="1" x14ac:dyDescent="0.25">
      <c r="A84">
        <v>83</v>
      </c>
      <c r="B84">
        <v>0</v>
      </c>
      <c r="C84">
        <v>0</v>
      </c>
      <c r="D84">
        <v>0</v>
      </c>
    </row>
    <row r="85" spans="1:4" ht="15" customHeight="1" x14ac:dyDescent="0.25">
      <c r="A85">
        <v>84</v>
      </c>
      <c r="B85">
        <v>0</v>
      </c>
      <c r="C85">
        <v>0</v>
      </c>
      <c r="D85">
        <v>0</v>
      </c>
    </row>
    <row r="86" spans="1:4" ht="15" customHeight="1" x14ac:dyDescent="0.25">
      <c r="A86">
        <v>85</v>
      </c>
      <c r="B86">
        <v>0</v>
      </c>
      <c r="C86">
        <v>0</v>
      </c>
      <c r="D86">
        <v>0</v>
      </c>
    </row>
    <row r="87" spans="1:4" ht="15" customHeight="1" x14ac:dyDescent="0.25">
      <c r="A87">
        <v>86</v>
      </c>
      <c r="B87">
        <v>0</v>
      </c>
      <c r="C87">
        <v>0</v>
      </c>
      <c r="D87">
        <v>0</v>
      </c>
    </row>
    <row r="88" spans="1:4" ht="15" customHeight="1" x14ac:dyDescent="0.25">
      <c r="A88">
        <v>87</v>
      </c>
      <c r="B88">
        <v>0</v>
      </c>
      <c r="C88">
        <v>0</v>
      </c>
      <c r="D88">
        <v>0</v>
      </c>
    </row>
    <row r="89" spans="1:4" ht="15" customHeight="1" x14ac:dyDescent="0.25">
      <c r="A89">
        <v>88</v>
      </c>
      <c r="B89">
        <v>0</v>
      </c>
      <c r="C89">
        <v>0</v>
      </c>
      <c r="D89">
        <v>0</v>
      </c>
    </row>
    <row r="90" spans="1:4" ht="15" customHeight="1" x14ac:dyDescent="0.25">
      <c r="A90">
        <v>89</v>
      </c>
      <c r="B90">
        <v>0</v>
      </c>
      <c r="C90">
        <v>0</v>
      </c>
      <c r="D90">
        <v>0</v>
      </c>
    </row>
    <row r="91" spans="1:4" ht="15" customHeight="1" x14ac:dyDescent="0.25">
      <c r="A91">
        <v>90</v>
      </c>
      <c r="B91">
        <v>0</v>
      </c>
      <c r="C91">
        <v>0</v>
      </c>
      <c r="D91">
        <v>0</v>
      </c>
    </row>
    <row r="92" spans="1:4" ht="15" customHeight="1" x14ac:dyDescent="0.25">
      <c r="A92">
        <v>91</v>
      </c>
      <c r="B92">
        <v>0</v>
      </c>
      <c r="C92">
        <v>0</v>
      </c>
      <c r="D92">
        <v>0</v>
      </c>
    </row>
    <row r="93" spans="1:4" ht="15" customHeight="1" x14ac:dyDescent="0.25">
      <c r="A93">
        <v>92</v>
      </c>
      <c r="B93">
        <v>0</v>
      </c>
      <c r="C93">
        <v>0</v>
      </c>
      <c r="D93">
        <v>0</v>
      </c>
    </row>
    <row r="94" spans="1:4" ht="15" customHeight="1" x14ac:dyDescent="0.25">
      <c r="A94">
        <v>93</v>
      </c>
      <c r="B94">
        <v>0</v>
      </c>
      <c r="C94">
        <v>0</v>
      </c>
      <c r="D94">
        <v>0</v>
      </c>
    </row>
    <row r="95" spans="1:4" ht="15" customHeight="1" x14ac:dyDescent="0.25">
      <c r="A95">
        <v>94</v>
      </c>
      <c r="B95">
        <v>0</v>
      </c>
      <c r="C95">
        <v>0</v>
      </c>
      <c r="D95">
        <v>0</v>
      </c>
    </row>
    <row r="96" spans="1:4" ht="15" customHeight="1" x14ac:dyDescent="0.25">
      <c r="A96">
        <v>95</v>
      </c>
      <c r="B96">
        <v>0</v>
      </c>
      <c r="C96">
        <v>0</v>
      </c>
      <c r="D96">
        <v>0</v>
      </c>
    </row>
    <row r="97" spans="1:4" ht="15" customHeight="1" x14ac:dyDescent="0.25">
      <c r="A97">
        <v>96</v>
      </c>
      <c r="B97">
        <v>0</v>
      </c>
      <c r="C97">
        <v>0</v>
      </c>
      <c r="D97">
        <v>0</v>
      </c>
    </row>
    <row r="98" spans="1:4" ht="15" customHeight="1" x14ac:dyDescent="0.25">
      <c r="A98">
        <v>97</v>
      </c>
      <c r="B98">
        <v>0</v>
      </c>
      <c r="C98">
        <v>0</v>
      </c>
      <c r="D98">
        <v>0</v>
      </c>
    </row>
    <row r="99" spans="1:4" ht="15" customHeight="1" x14ac:dyDescent="0.25">
      <c r="A99">
        <v>98</v>
      </c>
      <c r="B99">
        <v>0</v>
      </c>
      <c r="C99">
        <v>0</v>
      </c>
      <c r="D99">
        <v>0</v>
      </c>
    </row>
    <row r="100" spans="1:4" ht="15" customHeight="1" x14ac:dyDescent="0.25">
      <c r="A100">
        <v>99</v>
      </c>
      <c r="B100">
        <v>0</v>
      </c>
      <c r="C100">
        <v>0</v>
      </c>
      <c r="D100">
        <v>0</v>
      </c>
    </row>
    <row r="101" spans="1:4" ht="15" customHeight="1" x14ac:dyDescent="0.25">
      <c r="A101">
        <v>100</v>
      </c>
      <c r="B101">
        <v>0</v>
      </c>
      <c r="C101">
        <v>0</v>
      </c>
      <c r="D101">
        <v>0</v>
      </c>
    </row>
    <row r="102" spans="1:4" ht="15" customHeight="1" x14ac:dyDescent="0.25">
      <c r="A102">
        <v>101</v>
      </c>
      <c r="B102">
        <v>0</v>
      </c>
      <c r="C102">
        <v>0</v>
      </c>
      <c r="D102">
        <v>0</v>
      </c>
    </row>
    <row r="103" spans="1:4" ht="15" customHeight="1" x14ac:dyDescent="0.25">
      <c r="A103">
        <v>102</v>
      </c>
      <c r="B103">
        <v>0</v>
      </c>
      <c r="C103">
        <v>0</v>
      </c>
      <c r="D103">
        <v>0</v>
      </c>
    </row>
    <row r="104" spans="1:4" ht="15" customHeight="1" x14ac:dyDescent="0.25">
      <c r="A104">
        <v>103</v>
      </c>
      <c r="B104">
        <v>0</v>
      </c>
      <c r="C104">
        <v>0</v>
      </c>
      <c r="D104">
        <v>0</v>
      </c>
    </row>
    <row r="105" spans="1:4" ht="15" customHeight="1" x14ac:dyDescent="0.25">
      <c r="A105">
        <v>104</v>
      </c>
      <c r="B105">
        <v>0</v>
      </c>
      <c r="C105">
        <v>0</v>
      </c>
      <c r="D105">
        <v>0</v>
      </c>
    </row>
    <row r="106" spans="1:4" ht="15" customHeight="1" x14ac:dyDescent="0.25">
      <c r="A106">
        <v>105</v>
      </c>
      <c r="B106">
        <v>0</v>
      </c>
      <c r="C106">
        <v>0</v>
      </c>
      <c r="D106">
        <v>0</v>
      </c>
    </row>
    <row r="107" spans="1:4" ht="15" customHeight="1" x14ac:dyDescent="0.25">
      <c r="A107">
        <v>106</v>
      </c>
      <c r="B107">
        <v>0</v>
      </c>
      <c r="C107">
        <v>0</v>
      </c>
      <c r="D107">
        <v>0</v>
      </c>
    </row>
    <row r="108" spans="1:4" ht="15" customHeight="1" x14ac:dyDescent="0.25">
      <c r="A108">
        <v>107</v>
      </c>
      <c r="B108">
        <v>0</v>
      </c>
      <c r="C108">
        <v>0</v>
      </c>
      <c r="D108">
        <v>0</v>
      </c>
    </row>
    <row r="109" spans="1:4" ht="15" customHeight="1" x14ac:dyDescent="0.25">
      <c r="A109">
        <v>108</v>
      </c>
      <c r="B109">
        <v>0</v>
      </c>
      <c r="C109">
        <v>0</v>
      </c>
      <c r="D109">
        <v>0</v>
      </c>
    </row>
    <row r="110" spans="1:4" ht="15" customHeight="1" x14ac:dyDescent="0.25">
      <c r="A110">
        <v>109</v>
      </c>
      <c r="B110">
        <v>0</v>
      </c>
      <c r="C110">
        <v>0</v>
      </c>
      <c r="D110">
        <v>0</v>
      </c>
    </row>
    <row r="111" spans="1:4" ht="15" customHeight="1" x14ac:dyDescent="0.25">
      <c r="A111">
        <v>110</v>
      </c>
      <c r="B111">
        <v>0</v>
      </c>
      <c r="C111">
        <v>0</v>
      </c>
      <c r="D111">
        <v>0</v>
      </c>
    </row>
    <row r="112" spans="1:4" ht="15" customHeight="1" x14ac:dyDescent="0.25">
      <c r="A112">
        <v>111</v>
      </c>
      <c r="B112">
        <v>0</v>
      </c>
      <c r="C112">
        <v>0</v>
      </c>
      <c r="D112">
        <v>0</v>
      </c>
    </row>
    <row r="113" spans="1:4" ht="15" customHeight="1" x14ac:dyDescent="0.25">
      <c r="A113">
        <v>112</v>
      </c>
      <c r="B113">
        <v>0</v>
      </c>
      <c r="C113">
        <v>0</v>
      </c>
      <c r="D113">
        <v>0</v>
      </c>
    </row>
    <row r="114" spans="1:4" ht="15" customHeight="1" x14ac:dyDescent="0.25">
      <c r="A114">
        <v>113</v>
      </c>
      <c r="B114">
        <v>0</v>
      </c>
      <c r="C114">
        <v>0</v>
      </c>
      <c r="D114">
        <v>0</v>
      </c>
    </row>
    <row r="115" spans="1:4" ht="15" customHeight="1" x14ac:dyDescent="0.25">
      <c r="A115">
        <v>114</v>
      </c>
      <c r="B115">
        <v>0</v>
      </c>
      <c r="C115">
        <v>0</v>
      </c>
      <c r="D115">
        <v>0</v>
      </c>
    </row>
    <row r="116" spans="1:4" ht="15" customHeight="1" x14ac:dyDescent="0.25">
      <c r="A116">
        <v>115</v>
      </c>
      <c r="B116">
        <v>0</v>
      </c>
      <c r="C116">
        <v>0</v>
      </c>
      <c r="D116">
        <v>0</v>
      </c>
    </row>
    <row r="117" spans="1:4" ht="15" customHeight="1" x14ac:dyDescent="0.25">
      <c r="A117">
        <v>116</v>
      </c>
      <c r="B117">
        <v>0</v>
      </c>
      <c r="C117">
        <v>0</v>
      </c>
      <c r="D117">
        <v>0</v>
      </c>
    </row>
    <row r="118" spans="1:4" ht="15" customHeight="1" x14ac:dyDescent="0.25">
      <c r="A118">
        <v>117</v>
      </c>
      <c r="B118">
        <v>0</v>
      </c>
      <c r="C118">
        <v>0</v>
      </c>
      <c r="D118">
        <v>0</v>
      </c>
    </row>
    <row r="119" spans="1:4" ht="15" customHeight="1" x14ac:dyDescent="0.25">
      <c r="A119">
        <v>118</v>
      </c>
      <c r="B119">
        <v>0</v>
      </c>
      <c r="C119">
        <v>0</v>
      </c>
      <c r="D119">
        <v>0</v>
      </c>
    </row>
    <row r="120" spans="1:4" ht="15" customHeight="1" x14ac:dyDescent="0.25">
      <c r="A120">
        <v>119</v>
      </c>
      <c r="B120">
        <v>0</v>
      </c>
      <c r="C120">
        <v>0</v>
      </c>
      <c r="D120">
        <v>0</v>
      </c>
    </row>
    <row r="121" spans="1:4" ht="15" customHeight="1" x14ac:dyDescent="0.25">
      <c r="A121">
        <v>120</v>
      </c>
      <c r="B121">
        <v>0</v>
      </c>
      <c r="C121">
        <v>0</v>
      </c>
      <c r="D121">
        <v>0</v>
      </c>
    </row>
    <row r="122" spans="1:4" ht="15" customHeight="1" x14ac:dyDescent="0.25">
      <c r="A122">
        <v>121</v>
      </c>
      <c r="B122">
        <v>0</v>
      </c>
      <c r="C122">
        <v>0</v>
      </c>
      <c r="D122">
        <v>0</v>
      </c>
    </row>
    <row r="123" spans="1:4" ht="15" customHeight="1" x14ac:dyDescent="0.25">
      <c r="A123">
        <v>122</v>
      </c>
      <c r="B123">
        <v>0</v>
      </c>
      <c r="C123">
        <v>0</v>
      </c>
      <c r="D123">
        <v>0</v>
      </c>
    </row>
    <row r="124" spans="1:4" ht="15" customHeight="1" x14ac:dyDescent="0.25">
      <c r="A124">
        <v>123</v>
      </c>
      <c r="B124">
        <v>0</v>
      </c>
      <c r="C124">
        <v>0</v>
      </c>
      <c r="D124">
        <v>0</v>
      </c>
    </row>
    <row r="125" spans="1:4" ht="15" customHeight="1" x14ac:dyDescent="0.25">
      <c r="A125">
        <v>124</v>
      </c>
      <c r="B125">
        <v>0</v>
      </c>
      <c r="C125">
        <v>0</v>
      </c>
      <c r="D125">
        <v>0</v>
      </c>
    </row>
    <row r="126" spans="1:4" ht="15" customHeight="1" x14ac:dyDescent="0.25">
      <c r="A126">
        <v>125</v>
      </c>
      <c r="B126">
        <v>0</v>
      </c>
      <c r="C126">
        <v>0</v>
      </c>
      <c r="D126">
        <v>0</v>
      </c>
    </row>
    <row r="127" spans="1:4" ht="15" customHeight="1" x14ac:dyDescent="0.25">
      <c r="A127">
        <v>126</v>
      </c>
      <c r="B127">
        <v>0</v>
      </c>
      <c r="C127">
        <v>0</v>
      </c>
      <c r="D127">
        <v>0</v>
      </c>
    </row>
    <row r="128" spans="1:4" ht="15" customHeight="1" x14ac:dyDescent="0.25">
      <c r="A128">
        <v>127</v>
      </c>
      <c r="B128">
        <v>0</v>
      </c>
      <c r="C128">
        <v>0</v>
      </c>
      <c r="D128">
        <v>0</v>
      </c>
    </row>
    <row r="129" spans="1:10" ht="15" customHeight="1" x14ac:dyDescent="0.25">
      <c r="A129">
        <v>128</v>
      </c>
      <c r="B129">
        <v>0</v>
      </c>
      <c r="C129">
        <v>0</v>
      </c>
      <c r="D129">
        <v>0</v>
      </c>
    </row>
    <row r="130" spans="1:10" ht="15" customHeight="1" x14ac:dyDescent="0.25">
      <c r="A130">
        <v>129</v>
      </c>
      <c r="B130">
        <v>0</v>
      </c>
      <c r="C130">
        <v>0</v>
      </c>
      <c r="D130">
        <v>0</v>
      </c>
    </row>
    <row r="131" spans="1:10" ht="15" customHeight="1" x14ac:dyDescent="0.25">
      <c r="A131">
        <v>130</v>
      </c>
      <c r="B131">
        <v>0</v>
      </c>
      <c r="C131">
        <v>0</v>
      </c>
      <c r="D131">
        <v>0</v>
      </c>
    </row>
    <row r="132" spans="1:10" ht="15" customHeight="1" x14ac:dyDescent="0.25">
      <c r="A132">
        <v>131</v>
      </c>
      <c r="B132">
        <v>0</v>
      </c>
      <c r="C132">
        <v>0</v>
      </c>
      <c r="D132">
        <v>0</v>
      </c>
    </row>
    <row r="133" spans="1:10" ht="15" customHeight="1" x14ac:dyDescent="0.25">
      <c r="A133">
        <v>132</v>
      </c>
      <c r="B133">
        <v>0</v>
      </c>
      <c r="C133">
        <v>0</v>
      </c>
      <c r="D133">
        <v>0</v>
      </c>
    </row>
    <row r="134" spans="1:10" ht="15" customHeight="1" x14ac:dyDescent="0.25">
      <c r="A134">
        <v>133</v>
      </c>
      <c r="B134">
        <v>0</v>
      </c>
      <c r="C134">
        <v>0</v>
      </c>
      <c r="D134">
        <v>0</v>
      </c>
    </row>
    <row r="135" spans="1:10" ht="15" customHeight="1" x14ac:dyDescent="0.25">
      <c r="A135">
        <v>134</v>
      </c>
      <c r="B135">
        <v>0</v>
      </c>
      <c r="C135">
        <v>0</v>
      </c>
      <c r="D135">
        <v>0</v>
      </c>
    </row>
    <row r="136" spans="1:10" ht="15" customHeight="1" x14ac:dyDescent="0.25">
      <c r="A136">
        <v>135</v>
      </c>
      <c r="B136">
        <v>0</v>
      </c>
      <c r="C136">
        <v>0</v>
      </c>
      <c r="D136">
        <v>0</v>
      </c>
    </row>
    <row r="137" spans="1:10" ht="15" customHeight="1" x14ac:dyDescent="0.25">
      <c r="A137">
        <v>136</v>
      </c>
      <c r="B137">
        <v>0</v>
      </c>
      <c r="C137">
        <v>0</v>
      </c>
      <c r="D137">
        <v>0</v>
      </c>
    </row>
    <row r="138" spans="1:10" ht="15" customHeight="1" x14ac:dyDescent="0.25">
      <c r="A138">
        <v>137</v>
      </c>
      <c r="B138">
        <v>0</v>
      </c>
      <c r="C138">
        <v>0</v>
      </c>
      <c r="D138">
        <v>0</v>
      </c>
    </row>
    <row r="139" spans="1:10" ht="15" customHeight="1" x14ac:dyDescent="0.25">
      <c r="A139">
        <v>138</v>
      </c>
      <c r="B139">
        <v>0</v>
      </c>
      <c r="C139">
        <v>0</v>
      </c>
      <c r="D139">
        <v>0</v>
      </c>
    </row>
    <row r="140" spans="1:10" ht="15" customHeight="1" x14ac:dyDescent="0.25">
      <c r="A140">
        <v>139</v>
      </c>
      <c r="B140">
        <v>0</v>
      </c>
      <c r="C140">
        <v>0</v>
      </c>
      <c r="D140">
        <v>0</v>
      </c>
    </row>
    <row r="141" spans="1:10" ht="15" customHeight="1" x14ac:dyDescent="0.25">
      <c r="A141">
        <v>140</v>
      </c>
      <c r="B141">
        <v>0</v>
      </c>
      <c r="C141">
        <v>0</v>
      </c>
      <c r="D141">
        <v>0</v>
      </c>
    </row>
    <row r="142" spans="1:10" ht="15" customHeight="1" x14ac:dyDescent="0.25">
      <c r="A142">
        <v>141</v>
      </c>
      <c r="B142">
        <v>0</v>
      </c>
      <c r="C142">
        <v>0</v>
      </c>
      <c r="D142">
        <v>0</v>
      </c>
      <c r="H142">
        <v>40</v>
      </c>
      <c r="I142">
        <v>40</v>
      </c>
      <c r="J142">
        <v>40</v>
      </c>
    </row>
    <row r="143" spans="1:10" ht="15" customHeight="1" x14ac:dyDescent="0.25">
      <c r="A143">
        <v>142</v>
      </c>
      <c r="B143">
        <v>0</v>
      </c>
      <c r="C143">
        <v>0</v>
      </c>
      <c r="D143">
        <v>0</v>
      </c>
    </row>
    <row r="144" spans="1:10" ht="15" customHeight="1" x14ac:dyDescent="0.25">
      <c r="A144">
        <v>143</v>
      </c>
      <c r="B144">
        <v>0</v>
      </c>
      <c r="C144">
        <v>0</v>
      </c>
      <c r="D144">
        <v>0</v>
      </c>
    </row>
    <row r="145" spans="1:17" ht="15" customHeight="1" x14ac:dyDescent="0.25">
      <c r="A145">
        <v>144</v>
      </c>
      <c r="B145">
        <v>0</v>
      </c>
      <c r="C145">
        <v>0</v>
      </c>
      <c r="D145">
        <v>0</v>
      </c>
    </row>
    <row r="148" spans="1:17" ht="15" customHeight="1" x14ac:dyDescent="0.25">
      <c r="B148">
        <v>196.966995239</v>
      </c>
      <c r="C148" t="s">
        <v>2526</v>
      </c>
      <c r="D148">
        <v>3.5970809099999999</v>
      </c>
      <c r="E148">
        <v>2.2718519999999999E-2</v>
      </c>
      <c r="F148">
        <v>1.1674860300000001</v>
      </c>
      <c r="G148">
        <v>0</v>
      </c>
      <c r="H148">
        <v>0</v>
      </c>
      <c r="I148">
        <v>0</v>
      </c>
      <c r="K148" s="60">
        <f t="shared" ref="K148:K179" si="0">D148/H$142</f>
        <v>8.9927022750000002E-2</v>
      </c>
      <c r="L148" s="60">
        <f t="shared" ref="L148:L179" si="1">E148/I$142</f>
        <v>5.67963E-4</v>
      </c>
      <c r="M148" s="60">
        <f t="shared" ref="M148:M179" si="2">F148/J$142</f>
        <v>2.9187150750000002E-2</v>
      </c>
      <c r="O148" s="60">
        <f t="shared" ref="O148:O179" si="3">K148+0.5</f>
        <v>0.58992702274999997</v>
      </c>
      <c r="P148" s="60">
        <f t="shared" ref="P148:P179" si="4">L148+0.5</f>
        <v>0.50056796299999995</v>
      </c>
      <c r="Q148" s="60">
        <f t="shared" ref="Q148:Q179" si="5">M148+0.5</f>
        <v>0.52918715075</v>
      </c>
    </row>
    <row r="149" spans="1:17" ht="15" customHeight="1" x14ac:dyDescent="0.25">
      <c r="B149">
        <v>196.966995239</v>
      </c>
      <c r="C149" t="s">
        <v>2526</v>
      </c>
      <c r="D149">
        <v>3.04227538</v>
      </c>
      <c r="E149">
        <v>0.27586632999999999</v>
      </c>
      <c r="F149">
        <v>5.5752435199999999</v>
      </c>
      <c r="G149">
        <v>0</v>
      </c>
      <c r="H149">
        <v>0</v>
      </c>
      <c r="I149">
        <v>0</v>
      </c>
      <c r="K149" s="60">
        <f t="shared" si="0"/>
        <v>7.6056884500000005E-2</v>
      </c>
      <c r="L149" s="60">
        <f t="shared" si="1"/>
        <v>6.8966582499999998E-3</v>
      </c>
      <c r="M149" s="60">
        <f t="shared" si="2"/>
        <v>0.13938108799999999</v>
      </c>
      <c r="O149" s="60">
        <f t="shared" si="3"/>
        <v>0.57605688450000003</v>
      </c>
      <c r="P149" s="60">
        <f t="shared" si="4"/>
        <v>0.50689665824999997</v>
      </c>
      <c r="Q149" s="60">
        <f t="shared" si="5"/>
        <v>0.63938108799999993</v>
      </c>
    </row>
    <row r="150" spans="1:17" ht="15" customHeight="1" x14ac:dyDescent="0.25">
      <c r="B150">
        <v>196.966995239</v>
      </c>
      <c r="C150" t="s">
        <v>2526</v>
      </c>
      <c r="D150">
        <v>0.87593281000000001</v>
      </c>
      <c r="E150">
        <v>1.4272595699999999</v>
      </c>
      <c r="F150">
        <v>5.0041785399999998</v>
      </c>
      <c r="G150">
        <v>0</v>
      </c>
      <c r="H150">
        <v>0</v>
      </c>
      <c r="I150">
        <v>0</v>
      </c>
      <c r="K150" s="60">
        <f t="shared" si="0"/>
        <v>2.1898320249999999E-2</v>
      </c>
      <c r="L150" s="60">
        <f t="shared" si="1"/>
        <v>3.5681489249999997E-2</v>
      </c>
      <c r="M150" s="60">
        <f t="shared" si="2"/>
        <v>0.12510446349999998</v>
      </c>
      <c r="O150" s="60">
        <f t="shared" si="3"/>
        <v>0.52189832025000005</v>
      </c>
      <c r="P150" s="60">
        <f t="shared" si="4"/>
        <v>0.53568148925000003</v>
      </c>
      <c r="Q150" s="60">
        <f t="shared" si="5"/>
        <v>0.62510446350000004</v>
      </c>
    </row>
    <row r="151" spans="1:17" ht="15" customHeight="1" x14ac:dyDescent="0.25">
      <c r="B151">
        <v>196.966995239</v>
      </c>
      <c r="C151" t="s">
        <v>2526</v>
      </c>
      <c r="D151">
        <v>4.07325084</v>
      </c>
      <c r="E151">
        <v>4.4059022099999998</v>
      </c>
      <c r="F151">
        <v>4.7452289600000004</v>
      </c>
      <c r="G151">
        <v>0</v>
      </c>
      <c r="H151">
        <v>0</v>
      </c>
      <c r="I151">
        <v>0</v>
      </c>
      <c r="K151" s="60">
        <f t="shared" si="0"/>
        <v>0.101831271</v>
      </c>
      <c r="L151" s="60">
        <f t="shared" si="1"/>
        <v>0.11014755525</v>
      </c>
      <c r="M151" s="60">
        <f t="shared" si="2"/>
        <v>0.11863072400000001</v>
      </c>
      <c r="O151" s="60">
        <f t="shared" si="3"/>
        <v>0.601831271</v>
      </c>
      <c r="P151" s="60">
        <f t="shared" si="4"/>
        <v>0.61014755524999997</v>
      </c>
      <c r="Q151" s="60">
        <f t="shared" si="5"/>
        <v>0.61863072399999997</v>
      </c>
    </row>
    <row r="152" spans="1:17" ht="15" customHeight="1" x14ac:dyDescent="0.25">
      <c r="B152">
        <v>196.966995239</v>
      </c>
      <c r="C152" t="s">
        <v>2526</v>
      </c>
      <c r="D152">
        <v>4.6648192999999996</v>
      </c>
      <c r="E152">
        <v>5.9987835499999997</v>
      </c>
      <c r="F152">
        <v>-1.1206195999999999</v>
      </c>
      <c r="G152">
        <v>0</v>
      </c>
      <c r="H152">
        <v>0</v>
      </c>
      <c r="I152">
        <v>0</v>
      </c>
      <c r="K152" s="60">
        <f t="shared" si="0"/>
        <v>0.11662048249999998</v>
      </c>
      <c r="L152" s="60">
        <f t="shared" si="1"/>
        <v>0.14996958874999999</v>
      </c>
      <c r="M152" s="60">
        <f t="shared" si="2"/>
        <v>-2.8015489999999997E-2</v>
      </c>
      <c r="O152" s="60">
        <f t="shared" si="3"/>
        <v>0.61662048250000001</v>
      </c>
      <c r="P152" s="60">
        <f t="shared" si="4"/>
        <v>0.64996958874999999</v>
      </c>
      <c r="Q152" s="60">
        <f t="shared" si="5"/>
        <v>0.47198451000000002</v>
      </c>
    </row>
    <row r="153" spans="1:17" ht="15" customHeight="1" x14ac:dyDescent="0.25">
      <c r="B153">
        <v>196.966995239</v>
      </c>
      <c r="C153" t="s">
        <v>2526</v>
      </c>
      <c r="D153">
        <v>3.1320464399999999</v>
      </c>
      <c r="E153">
        <v>4.23525141</v>
      </c>
      <c r="F153">
        <v>2.4268223799999999</v>
      </c>
      <c r="G153">
        <v>0</v>
      </c>
      <c r="H153">
        <v>0</v>
      </c>
      <c r="I153">
        <v>0</v>
      </c>
      <c r="K153" s="60">
        <f t="shared" si="0"/>
        <v>7.8301160999999994E-2</v>
      </c>
      <c r="L153" s="60">
        <f t="shared" si="1"/>
        <v>0.10588128525</v>
      </c>
      <c r="M153" s="60">
        <f t="shared" si="2"/>
        <v>6.0670559499999999E-2</v>
      </c>
      <c r="O153" s="60">
        <f t="shared" si="3"/>
        <v>0.57830116099999995</v>
      </c>
      <c r="P153" s="60">
        <f t="shared" si="4"/>
        <v>0.60588128524999996</v>
      </c>
      <c r="Q153" s="60">
        <f t="shared" si="5"/>
        <v>0.5606705595</v>
      </c>
    </row>
    <row r="154" spans="1:17" ht="15" customHeight="1" x14ac:dyDescent="0.25">
      <c r="B154">
        <v>196.966995239</v>
      </c>
      <c r="C154" t="s">
        <v>2526</v>
      </c>
      <c r="D154">
        <v>8.4972265999999994</v>
      </c>
      <c r="E154">
        <v>0.28287443000000001</v>
      </c>
      <c r="F154">
        <v>1.8276381100000001</v>
      </c>
      <c r="G154">
        <v>0</v>
      </c>
      <c r="H154">
        <v>0</v>
      </c>
      <c r="I154">
        <v>0</v>
      </c>
      <c r="K154" s="60">
        <f t="shared" si="0"/>
        <v>0.21243066499999999</v>
      </c>
      <c r="L154" s="60">
        <f t="shared" si="1"/>
        <v>7.0718607500000006E-3</v>
      </c>
      <c r="M154" s="60">
        <f t="shared" si="2"/>
        <v>4.569095275E-2</v>
      </c>
      <c r="O154" s="60">
        <f t="shared" si="3"/>
        <v>0.71243066499999996</v>
      </c>
      <c r="P154" s="60">
        <f t="shared" si="4"/>
        <v>0.50707186074999999</v>
      </c>
      <c r="Q154" s="60">
        <f t="shared" si="5"/>
        <v>0.54569095275000001</v>
      </c>
    </row>
    <row r="155" spans="1:17" ht="15" customHeight="1" x14ac:dyDescent="0.25">
      <c r="B155">
        <v>196.966995239</v>
      </c>
      <c r="C155" t="s">
        <v>2526</v>
      </c>
      <c r="D155">
        <v>7.0278107399999996</v>
      </c>
      <c r="E155">
        <v>0.34995863999999999</v>
      </c>
      <c r="F155">
        <v>3.8772324500000002</v>
      </c>
      <c r="G155">
        <v>0</v>
      </c>
      <c r="H155">
        <v>0</v>
      </c>
      <c r="I155">
        <v>0</v>
      </c>
      <c r="K155" s="60">
        <f t="shared" si="0"/>
        <v>0.1756952685</v>
      </c>
      <c r="L155" s="60">
        <f t="shared" si="1"/>
        <v>8.7489660000000004E-3</v>
      </c>
      <c r="M155" s="60">
        <f t="shared" si="2"/>
        <v>9.6930811249999999E-2</v>
      </c>
      <c r="O155" s="60">
        <f t="shared" si="3"/>
        <v>0.67569526849999995</v>
      </c>
      <c r="P155" s="60">
        <f t="shared" si="4"/>
        <v>0.50874896599999997</v>
      </c>
      <c r="Q155" s="60">
        <f t="shared" si="5"/>
        <v>0.59693081125000003</v>
      </c>
    </row>
    <row r="156" spans="1:17" ht="15" customHeight="1" x14ac:dyDescent="0.25">
      <c r="B156">
        <v>196.966995239</v>
      </c>
      <c r="C156" t="s">
        <v>2526</v>
      </c>
      <c r="D156">
        <v>0.23826910000000001</v>
      </c>
      <c r="E156">
        <v>-3.5244854999999999</v>
      </c>
      <c r="F156">
        <v>1.4194762599999999</v>
      </c>
      <c r="G156">
        <v>0</v>
      </c>
      <c r="H156">
        <v>0</v>
      </c>
      <c r="I156">
        <v>0</v>
      </c>
      <c r="K156" s="60">
        <f t="shared" si="0"/>
        <v>5.9567274999999999E-3</v>
      </c>
      <c r="L156" s="60">
        <f t="shared" si="1"/>
        <v>-8.8112137499999993E-2</v>
      </c>
      <c r="M156" s="60">
        <f t="shared" si="2"/>
        <v>3.5486906499999998E-2</v>
      </c>
      <c r="O156" s="60">
        <f t="shared" si="3"/>
        <v>0.50595672749999998</v>
      </c>
      <c r="P156" s="60">
        <f t="shared" si="4"/>
        <v>0.41188786249999998</v>
      </c>
      <c r="Q156" s="60">
        <f t="shared" si="5"/>
        <v>0.53548690649999997</v>
      </c>
    </row>
    <row r="157" spans="1:17" ht="15" customHeight="1" x14ac:dyDescent="0.25">
      <c r="B157">
        <v>196.966995239</v>
      </c>
      <c r="C157" t="s">
        <v>2526</v>
      </c>
      <c r="D157">
        <v>6.1060567900000002</v>
      </c>
      <c r="E157">
        <v>0.15635636</v>
      </c>
      <c r="F157">
        <v>1.5541855499999999</v>
      </c>
      <c r="G157">
        <v>0</v>
      </c>
      <c r="H157">
        <v>0</v>
      </c>
      <c r="I157">
        <v>0</v>
      </c>
      <c r="K157" s="60">
        <f t="shared" si="0"/>
        <v>0.15265141975000002</v>
      </c>
      <c r="L157" s="60">
        <f t="shared" si="1"/>
        <v>3.9089090000000003E-3</v>
      </c>
      <c r="M157" s="60">
        <f t="shared" si="2"/>
        <v>3.8854638749999997E-2</v>
      </c>
      <c r="O157" s="60">
        <f t="shared" si="3"/>
        <v>0.65265141974999996</v>
      </c>
      <c r="P157" s="60">
        <f t="shared" si="4"/>
        <v>0.50390890899999996</v>
      </c>
      <c r="Q157" s="60">
        <f t="shared" si="5"/>
        <v>0.53885463874999995</v>
      </c>
    </row>
    <row r="158" spans="1:17" ht="15" customHeight="1" x14ac:dyDescent="0.25">
      <c r="B158">
        <v>196.966995239</v>
      </c>
      <c r="C158" t="s">
        <v>2526</v>
      </c>
      <c r="D158">
        <v>5.1117780100000001</v>
      </c>
      <c r="E158">
        <v>-5.0695270000000001E-2</v>
      </c>
      <c r="F158">
        <v>-0.87277340000000003</v>
      </c>
      <c r="G158">
        <v>0</v>
      </c>
      <c r="H158">
        <v>0</v>
      </c>
      <c r="I158">
        <v>0</v>
      </c>
      <c r="K158" s="60">
        <f t="shared" si="0"/>
        <v>0.12779445025</v>
      </c>
      <c r="L158" s="60">
        <f t="shared" si="1"/>
        <v>-1.26738175E-3</v>
      </c>
      <c r="M158" s="60">
        <f t="shared" si="2"/>
        <v>-2.1819335000000002E-2</v>
      </c>
      <c r="O158" s="60">
        <f t="shared" si="3"/>
        <v>0.62779445025000002</v>
      </c>
      <c r="P158" s="60">
        <f t="shared" si="4"/>
        <v>0.49873261824999998</v>
      </c>
      <c r="Q158" s="60">
        <f t="shared" si="5"/>
        <v>0.478180665</v>
      </c>
    </row>
    <row r="159" spans="1:17" ht="15" customHeight="1" x14ac:dyDescent="0.25">
      <c r="B159">
        <v>196.966995239</v>
      </c>
      <c r="C159" t="s">
        <v>2526</v>
      </c>
      <c r="D159">
        <v>-0.97680771</v>
      </c>
      <c r="E159">
        <v>-1.5565498799999999</v>
      </c>
      <c r="F159">
        <v>0.34801331000000002</v>
      </c>
      <c r="G159">
        <v>0</v>
      </c>
      <c r="H159">
        <v>0</v>
      </c>
      <c r="I159">
        <v>0</v>
      </c>
      <c r="K159" s="60">
        <f t="shared" si="0"/>
        <v>-2.442019275E-2</v>
      </c>
      <c r="L159" s="60">
        <f t="shared" si="1"/>
        <v>-3.8913746999999999E-2</v>
      </c>
      <c r="M159" s="60">
        <f t="shared" si="2"/>
        <v>8.7003327500000012E-3</v>
      </c>
      <c r="O159" s="60">
        <f t="shared" si="3"/>
        <v>0.47557980724999999</v>
      </c>
      <c r="P159" s="60">
        <f t="shared" si="4"/>
        <v>0.461086253</v>
      </c>
      <c r="Q159" s="60">
        <f t="shared" si="5"/>
        <v>0.50870033275000004</v>
      </c>
    </row>
    <row r="160" spans="1:17" ht="15" customHeight="1" x14ac:dyDescent="0.25">
      <c r="B160">
        <v>196.966995239</v>
      </c>
      <c r="C160" t="s">
        <v>2526</v>
      </c>
      <c r="D160">
        <v>4.5871398599999997</v>
      </c>
      <c r="E160">
        <v>0.22030522999999999</v>
      </c>
      <c r="F160">
        <v>3.5846034200000001</v>
      </c>
      <c r="G160">
        <v>0</v>
      </c>
      <c r="H160">
        <v>0</v>
      </c>
      <c r="I160">
        <v>0</v>
      </c>
      <c r="K160" s="60">
        <f t="shared" si="0"/>
        <v>0.11467849649999999</v>
      </c>
      <c r="L160" s="60">
        <f t="shared" si="1"/>
        <v>5.5076307499999999E-3</v>
      </c>
      <c r="M160" s="60">
        <f t="shared" si="2"/>
        <v>8.9615085499999997E-2</v>
      </c>
      <c r="O160" s="60">
        <f t="shared" si="3"/>
        <v>0.61467849649999995</v>
      </c>
      <c r="P160" s="60">
        <f t="shared" si="4"/>
        <v>0.50550763075000005</v>
      </c>
      <c r="Q160" s="60">
        <f t="shared" si="5"/>
        <v>0.58961508549999997</v>
      </c>
    </row>
    <row r="161" spans="2:17" ht="15" customHeight="1" x14ac:dyDescent="0.25">
      <c r="B161">
        <v>196.966995239</v>
      </c>
      <c r="C161" t="s">
        <v>2526</v>
      </c>
      <c r="D161">
        <v>-5.3231079399999999</v>
      </c>
      <c r="E161">
        <v>-0.23676994000000001</v>
      </c>
      <c r="F161">
        <v>3.50025129</v>
      </c>
      <c r="G161">
        <v>0</v>
      </c>
      <c r="H161">
        <v>0</v>
      </c>
      <c r="I161">
        <v>0</v>
      </c>
      <c r="K161" s="60">
        <f t="shared" si="0"/>
        <v>-0.13307769850000001</v>
      </c>
      <c r="L161" s="60">
        <f t="shared" si="1"/>
        <v>-5.9192485E-3</v>
      </c>
      <c r="M161" s="60">
        <f t="shared" si="2"/>
        <v>8.7506282249999998E-2</v>
      </c>
      <c r="O161" s="60">
        <f t="shared" si="3"/>
        <v>0.36692230149999999</v>
      </c>
      <c r="P161" s="60">
        <f t="shared" si="4"/>
        <v>0.49408075150000003</v>
      </c>
      <c r="Q161" s="60">
        <f t="shared" si="5"/>
        <v>0.58750628225000001</v>
      </c>
    </row>
    <row r="162" spans="2:17" ht="15" customHeight="1" x14ac:dyDescent="0.25">
      <c r="B162">
        <v>196.966995239</v>
      </c>
      <c r="C162" t="s">
        <v>2526</v>
      </c>
      <c r="D162">
        <v>1.84119203</v>
      </c>
      <c r="E162">
        <v>1.6046076300000001</v>
      </c>
      <c r="F162">
        <v>7.3003807399999996</v>
      </c>
      <c r="G162">
        <v>0</v>
      </c>
      <c r="H162">
        <v>0</v>
      </c>
      <c r="I162">
        <v>0</v>
      </c>
      <c r="K162" s="60">
        <f t="shared" si="0"/>
        <v>4.6029800750000002E-2</v>
      </c>
      <c r="L162" s="60">
        <f t="shared" si="1"/>
        <v>4.0115190750000002E-2</v>
      </c>
      <c r="M162" s="60">
        <f t="shared" si="2"/>
        <v>0.1825095185</v>
      </c>
      <c r="O162" s="60">
        <f t="shared" si="3"/>
        <v>0.54602980074999996</v>
      </c>
      <c r="P162" s="60">
        <f t="shared" si="4"/>
        <v>0.54011519075000003</v>
      </c>
      <c r="Q162" s="60">
        <f t="shared" si="5"/>
        <v>0.68250951849999997</v>
      </c>
    </row>
    <row r="163" spans="2:17" ht="15" customHeight="1" x14ac:dyDescent="0.25">
      <c r="B163">
        <v>196.966995239</v>
      </c>
      <c r="C163" t="s">
        <v>2526</v>
      </c>
      <c r="D163">
        <v>3.27918551</v>
      </c>
      <c r="E163">
        <v>-1.8800350699999999</v>
      </c>
      <c r="F163">
        <v>4.2886328599999999</v>
      </c>
      <c r="G163">
        <v>0</v>
      </c>
      <c r="H163">
        <v>0</v>
      </c>
      <c r="I163">
        <v>0</v>
      </c>
      <c r="K163" s="60">
        <f t="shared" si="0"/>
        <v>8.1979637750000001E-2</v>
      </c>
      <c r="L163" s="60">
        <f t="shared" si="1"/>
        <v>-4.7000876749999997E-2</v>
      </c>
      <c r="M163" s="60">
        <f t="shared" si="2"/>
        <v>0.1072158215</v>
      </c>
      <c r="O163" s="60">
        <f t="shared" si="3"/>
        <v>0.58197963774999995</v>
      </c>
      <c r="P163" s="60">
        <f t="shared" si="4"/>
        <v>0.45299912325000002</v>
      </c>
      <c r="Q163" s="60">
        <f t="shared" si="5"/>
        <v>0.60721582149999997</v>
      </c>
    </row>
    <row r="164" spans="2:17" ht="15" customHeight="1" x14ac:dyDescent="0.25">
      <c r="B164">
        <v>196.966995239</v>
      </c>
      <c r="C164" t="s">
        <v>2526</v>
      </c>
      <c r="D164">
        <v>3.60885086</v>
      </c>
      <c r="E164">
        <v>1.9849028900000001</v>
      </c>
      <c r="F164">
        <v>-0.46789026</v>
      </c>
      <c r="G164">
        <v>0</v>
      </c>
      <c r="H164">
        <v>0</v>
      </c>
      <c r="I164">
        <v>0</v>
      </c>
      <c r="K164" s="60">
        <f t="shared" si="0"/>
        <v>9.0221271500000005E-2</v>
      </c>
      <c r="L164" s="60">
        <f t="shared" si="1"/>
        <v>4.9622572250000004E-2</v>
      </c>
      <c r="M164" s="60">
        <f t="shared" si="2"/>
        <v>-1.1697256499999999E-2</v>
      </c>
      <c r="O164" s="60">
        <f t="shared" si="3"/>
        <v>0.59022127150000003</v>
      </c>
      <c r="P164" s="60">
        <f t="shared" si="4"/>
        <v>0.54962257225</v>
      </c>
      <c r="Q164" s="60">
        <f t="shared" si="5"/>
        <v>0.48830274350000002</v>
      </c>
    </row>
    <row r="165" spans="2:17" ht="15" customHeight="1" x14ac:dyDescent="0.25">
      <c r="B165">
        <v>196.966995239</v>
      </c>
      <c r="C165" t="s">
        <v>2526</v>
      </c>
      <c r="D165">
        <v>0.92850133000000001</v>
      </c>
      <c r="E165">
        <v>3.4002294499999999</v>
      </c>
      <c r="F165">
        <v>3.4351195799999998</v>
      </c>
      <c r="G165">
        <v>0</v>
      </c>
      <c r="H165">
        <v>0</v>
      </c>
      <c r="I165">
        <v>0</v>
      </c>
      <c r="K165" s="60">
        <f t="shared" si="0"/>
        <v>2.321253325E-2</v>
      </c>
      <c r="L165" s="60">
        <f t="shared" si="1"/>
        <v>8.5005736249999991E-2</v>
      </c>
      <c r="M165" s="60">
        <f t="shared" si="2"/>
        <v>8.5877989500000002E-2</v>
      </c>
      <c r="O165" s="60">
        <f t="shared" si="3"/>
        <v>0.52321253324999994</v>
      </c>
      <c r="P165" s="60">
        <f t="shared" si="4"/>
        <v>0.58500573624999996</v>
      </c>
      <c r="Q165" s="60">
        <f t="shared" si="5"/>
        <v>0.58587798950000003</v>
      </c>
    </row>
    <row r="166" spans="2:17" ht="15" customHeight="1" x14ac:dyDescent="0.25">
      <c r="B166">
        <v>196.966995239</v>
      </c>
      <c r="C166" t="s">
        <v>2526</v>
      </c>
      <c r="D166">
        <v>-2.1838657399999999</v>
      </c>
      <c r="E166">
        <v>-0.19393858999999999</v>
      </c>
      <c r="F166">
        <v>2.0953526500000001</v>
      </c>
      <c r="G166">
        <v>0</v>
      </c>
      <c r="H166">
        <v>0</v>
      </c>
      <c r="I166">
        <v>0</v>
      </c>
      <c r="K166" s="60">
        <f t="shared" si="0"/>
        <v>-5.45966435E-2</v>
      </c>
      <c r="L166" s="60">
        <f t="shared" si="1"/>
        <v>-4.8484647499999999E-3</v>
      </c>
      <c r="M166" s="60">
        <f t="shared" si="2"/>
        <v>5.2383816250000007E-2</v>
      </c>
      <c r="O166" s="60">
        <f t="shared" si="3"/>
        <v>0.44540335650000001</v>
      </c>
      <c r="P166" s="60">
        <f t="shared" si="4"/>
        <v>0.49515153525</v>
      </c>
      <c r="Q166" s="60">
        <f t="shared" si="5"/>
        <v>0.55238381624999999</v>
      </c>
    </row>
    <row r="167" spans="2:17" ht="15" customHeight="1" x14ac:dyDescent="0.25">
      <c r="B167">
        <v>196.966995239</v>
      </c>
      <c r="C167" t="s">
        <v>2526</v>
      </c>
      <c r="D167">
        <v>6.2768813300000001</v>
      </c>
      <c r="E167">
        <v>-1.9744876899999999</v>
      </c>
      <c r="F167">
        <v>0.24001106999999999</v>
      </c>
      <c r="G167">
        <v>0</v>
      </c>
      <c r="H167">
        <v>0</v>
      </c>
      <c r="I167">
        <v>0</v>
      </c>
      <c r="K167" s="60">
        <f t="shared" si="0"/>
        <v>0.15692203325000001</v>
      </c>
      <c r="L167" s="60">
        <f t="shared" si="1"/>
        <v>-4.9362192249999999E-2</v>
      </c>
      <c r="M167" s="60">
        <f t="shared" si="2"/>
        <v>6.0002767500000002E-3</v>
      </c>
      <c r="O167" s="60">
        <f t="shared" si="3"/>
        <v>0.65692203324999998</v>
      </c>
      <c r="P167" s="60">
        <f t="shared" si="4"/>
        <v>0.45063780775000001</v>
      </c>
      <c r="Q167" s="60">
        <f t="shared" si="5"/>
        <v>0.50600027675000003</v>
      </c>
    </row>
    <row r="168" spans="2:17" ht="15" customHeight="1" x14ac:dyDescent="0.25">
      <c r="B168">
        <v>196.966995239</v>
      </c>
      <c r="C168" t="s">
        <v>2526</v>
      </c>
      <c r="D168">
        <v>4.6574477999999999</v>
      </c>
      <c r="E168">
        <v>-5.87230995</v>
      </c>
      <c r="F168">
        <v>3.9009498699999998</v>
      </c>
      <c r="G168">
        <v>0</v>
      </c>
      <c r="H168">
        <v>0</v>
      </c>
      <c r="I168">
        <v>0</v>
      </c>
      <c r="K168" s="60">
        <f t="shared" si="0"/>
        <v>0.11643619499999999</v>
      </c>
      <c r="L168" s="60">
        <f t="shared" si="1"/>
        <v>-0.14680774874999999</v>
      </c>
      <c r="M168" s="60">
        <f t="shared" si="2"/>
        <v>9.7523746750000001E-2</v>
      </c>
      <c r="O168" s="60">
        <f t="shared" si="3"/>
        <v>0.61643619500000002</v>
      </c>
      <c r="P168" s="60">
        <f t="shared" si="4"/>
        <v>0.35319225124999998</v>
      </c>
      <c r="Q168" s="60">
        <f t="shared" si="5"/>
        <v>0.59752374674999997</v>
      </c>
    </row>
    <row r="169" spans="2:17" ht="15" customHeight="1" x14ac:dyDescent="0.25">
      <c r="B169">
        <v>196.966995239</v>
      </c>
      <c r="C169" t="s">
        <v>2526</v>
      </c>
      <c r="D169">
        <v>-2.0275520500000002</v>
      </c>
      <c r="E169">
        <v>0.79896920000000005</v>
      </c>
      <c r="F169">
        <v>-2.1429300200000001</v>
      </c>
      <c r="G169">
        <v>0</v>
      </c>
      <c r="H169">
        <v>0</v>
      </c>
      <c r="I169">
        <v>0</v>
      </c>
      <c r="K169" s="60">
        <f t="shared" si="0"/>
        <v>-5.0688801250000005E-2</v>
      </c>
      <c r="L169" s="60">
        <f t="shared" si="1"/>
        <v>1.9974230000000003E-2</v>
      </c>
      <c r="M169" s="60">
        <f t="shared" si="2"/>
        <v>-5.3573250500000003E-2</v>
      </c>
      <c r="O169" s="60">
        <f t="shared" si="3"/>
        <v>0.44931119874999997</v>
      </c>
      <c r="P169" s="60">
        <f t="shared" si="4"/>
        <v>0.51997422999999998</v>
      </c>
      <c r="Q169" s="60">
        <f t="shared" si="5"/>
        <v>0.4464267495</v>
      </c>
    </row>
    <row r="170" spans="2:17" ht="15" customHeight="1" x14ac:dyDescent="0.25">
      <c r="B170">
        <v>196.966995239</v>
      </c>
      <c r="C170" t="s">
        <v>2526</v>
      </c>
      <c r="D170">
        <v>3.9569586999999999</v>
      </c>
      <c r="E170">
        <v>0.45867743</v>
      </c>
      <c r="F170">
        <v>7.8080225600000004</v>
      </c>
      <c r="G170">
        <v>0</v>
      </c>
      <c r="H170">
        <v>0</v>
      </c>
      <c r="I170">
        <v>0</v>
      </c>
      <c r="K170" s="60">
        <f t="shared" si="0"/>
        <v>9.8923967500000001E-2</v>
      </c>
      <c r="L170" s="60">
        <f t="shared" si="1"/>
        <v>1.1466935750000001E-2</v>
      </c>
      <c r="M170" s="60">
        <f t="shared" si="2"/>
        <v>0.19520056400000002</v>
      </c>
      <c r="O170" s="60">
        <f t="shared" si="3"/>
        <v>0.59892396749999999</v>
      </c>
      <c r="P170" s="60">
        <f t="shared" si="4"/>
        <v>0.51146693575000002</v>
      </c>
      <c r="Q170" s="60">
        <f t="shared" si="5"/>
        <v>0.69520056400000008</v>
      </c>
    </row>
    <row r="171" spans="2:17" ht="15" customHeight="1" x14ac:dyDescent="0.25">
      <c r="B171">
        <v>196.966995239</v>
      </c>
      <c r="C171" t="s">
        <v>2526</v>
      </c>
      <c r="D171">
        <v>2.10744467</v>
      </c>
      <c r="E171">
        <v>2.0618349600000001</v>
      </c>
      <c r="F171">
        <v>1.60379808</v>
      </c>
      <c r="G171">
        <v>0</v>
      </c>
      <c r="H171">
        <v>0</v>
      </c>
      <c r="I171">
        <v>0</v>
      </c>
      <c r="K171" s="60">
        <f t="shared" si="0"/>
        <v>5.2686116749999998E-2</v>
      </c>
      <c r="L171" s="60">
        <f t="shared" si="1"/>
        <v>5.1545874000000005E-2</v>
      </c>
      <c r="M171" s="60">
        <f t="shared" si="2"/>
        <v>4.0094952000000003E-2</v>
      </c>
      <c r="O171" s="60">
        <f t="shared" si="3"/>
        <v>0.55268611675000001</v>
      </c>
      <c r="P171" s="60">
        <f t="shared" si="4"/>
        <v>0.55154587399999999</v>
      </c>
      <c r="Q171" s="60">
        <f t="shared" si="5"/>
        <v>0.54009495200000002</v>
      </c>
    </row>
    <row r="172" spans="2:17" ht="15" customHeight="1" x14ac:dyDescent="0.25">
      <c r="B172">
        <v>196.966995239</v>
      </c>
      <c r="C172" t="s">
        <v>2526</v>
      </c>
      <c r="D172">
        <v>-0.33289098</v>
      </c>
      <c r="E172">
        <v>2.7513565</v>
      </c>
      <c r="F172">
        <v>6.6900211000000001</v>
      </c>
      <c r="G172">
        <v>0</v>
      </c>
      <c r="H172">
        <v>0</v>
      </c>
      <c r="I172">
        <v>0</v>
      </c>
      <c r="K172" s="60">
        <f t="shared" si="0"/>
        <v>-8.3222745000000008E-3</v>
      </c>
      <c r="L172" s="60">
        <f t="shared" si="1"/>
        <v>6.8783912500000002E-2</v>
      </c>
      <c r="M172" s="60">
        <f t="shared" si="2"/>
        <v>0.1672505275</v>
      </c>
      <c r="O172" s="60">
        <f t="shared" si="3"/>
        <v>0.4916777255</v>
      </c>
      <c r="P172" s="60">
        <f t="shared" si="4"/>
        <v>0.56878391250000004</v>
      </c>
      <c r="Q172" s="60">
        <f t="shared" si="5"/>
        <v>0.66725052750000002</v>
      </c>
    </row>
    <row r="173" spans="2:17" ht="15" customHeight="1" x14ac:dyDescent="0.25">
      <c r="B173">
        <v>196.966995239</v>
      </c>
      <c r="C173" t="s">
        <v>2526</v>
      </c>
      <c r="D173">
        <v>4.2156940900000004</v>
      </c>
      <c r="E173">
        <v>-1.6674376099999999</v>
      </c>
      <c r="F173">
        <v>6.5936049399999996</v>
      </c>
      <c r="G173">
        <v>0</v>
      </c>
      <c r="H173">
        <v>0</v>
      </c>
      <c r="I173">
        <v>0</v>
      </c>
      <c r="K173" s="60">
        <f t="shared" si="0"/>
        <v>0.10539235225000002</v>
      </c>
      <c r="L173" s="60">
        <f t="shared" si="1"/>
        <v>-4.1685940249999998E-2</v>
      </c>
      <c r="M173" s="60">
        <f t="shared" si="2"/>
        <v>0.16484012349999999</v>
      </c>
      <c r="O173" s="60">
        <f t="shared" si="3"/>
        <v>0.60539235224999999</v>
      </c>
      <c r="P173" s="60">
        <f t="shared" si="4"/>
        <v>0.45831405975</v>
      </c>
      <c r="Q173" s="60">
        <f t="shared" si="5"/>
        <v>0.66484012349999999</v>
      </c>
    </row>
    <row r="174" spans="2:17" ht="15" customHeight="1" x14ac:dyDescent="0.25">
      <c r="B174">
        <v>196.966995239</v>
      </c>
      <c r="C174" t="s">
        <v>2526</v>
      </c>
      <c r="D174">
        <v>2.1362161899999998</v>
      </c>
      <c r="E174">
        <v>4.0278768600000001</v>
      </c>
      <c r="F174">
        <v>-3.9233699999999998E-3</v>
      </c>
      <c r="G174">
        <v>0</v>
      </c>
      <c r="H174">
        <v>0</v>
      </c>
      <c r="I174">
        <v>0</v>
      </c>
      <c r="K174" s="60">
        <f t="shared" si="0"/>
        <v>5.3405404749999996E-2</v>
      </c>
      <c r="L174" s="60">
        <f t="shared" si="1"/>
        <v>0.10069692150000001</v>
      </c>
      <c r="M174" s="60">
        <f t="shared" si="2"/>
        <v>-9.8084249999999995E-5</v>
      </c>
      <c r="O174" s="60">
        <f t="shared" si="3"/>
        <v>0.55340540475</v>
      </c>
      <c r="P174" s="60">
        <f t="shared" si="4"/>
        <v>0.60069692149999998</v>
      </c>
      <c r="Q174" s="60">
        <f t="shared" si="5"/>
        <v>0.49990191574999998</v>
      </c>
    </row>
    <row r="175" spans="2:17" ht="15" customHeight="1" x14ac:dyDescent="0.25">
      <c r="B175">
        <v>196.966995239</v>
      </c>
      <c r="C175" t="s">
        <v>2526</v>
      </c>
      <c r="D175">
        <v>-1.1054817100000001</v>
      </c>
      <c r="E175">
        <v>1.01464412</v>
      </c>
      <c r="F175">
        <v>0.16769603999999999</v>
      </c>
      <c r="G175">
        <v>0</v>
      </c>
      <c r="H175">
        <v>0</v>
      </c>
      <c r="I175">
        <v>0</v>
      </c>
      <c r="K175" s="60">
        <f t="shared" si="0"/>
        <v>-2.763704275E-2</v>
      </c>
      <c r="L175" s="60">
        <f t="shared" si="1"/>
        <v>2.5366103000000001E-2</v>
      </c>
      <c r="M175" s="60">
        <f t="shared" si="2"/>
        <v>4.1924010000000001E-3</v>
      </c>
      <c r="O175" s="60">
        <f t="shared" si="3"/>
        <v>0.47236295724999999</v>
      </c>
      <c r="P175" s="60">
        <f t="shared" si="4"/>
        <v>0.52536610299999997</v>
      </c>
      <c r="Q175" s="60">
        <f t="shared" si="5"/>
        <v>0.50419240099999996</v>
      </c>
    </row>
    <row r="176" spans="2:17" ht="15" customHeight="1" x14ac:dyDescent="0.25">
      <c r="B176">
        <v>196.966995239</v>
      </c>
      <c r="C176" t="s">
        <v>2526</v>
      </c>
      <c r="D176">
        <v>-1.9025388299999999</v>
      </c>
      <c r="E176">
        <v>-1.7359097699999999</v>
      </c>
      <c r="F176">
        <v>-1.9647779599999999</v>
      </c>
      <c r="G176">
        <v>0</v>
      </c>
      <c r="H176">
        <v>0</v>
      </c>
      <c r="I176">
        <v>0</v>
      </c>
      <c r="K176" s="60">
        <f t="shared" si="0"/>
        <v>-4.7563470749999996E-2</v>
      </c>
      <c r="L176" s="60">
        <f t="shared" si="1"/>
        <v>-4.3397744249999995E-2</v>
      </c>
      <c r="M176" s="60">
        <f t="shared" si="2"/>
        <v>-4.9119448999999996E-2</v>
      </c>
      <c r="O176" s="60">
        <f t="shared" si="3"/>
        <v>0.45243652925</v>
      </c>
      <c r="P176" s="60">
        <f t="shared" si="4"/>
        <v>0.45660225575000002</v>
      </c>
      <c r="Q176" s="60">
        <f t="shared" si="5"/>
        <v>0.45088055100000002</v>
      </c>
    </row>
    <row r="177" spans="2:17" ht="15" customHeight="1" x14ac:dyDescent="0.25">
      <c r="B177">
        <v>196.966995239</v>
      </c>
      <c r="C177" t="s">
        <v>2526</v>
      </c>
      <c r="D177">
        <v>1.0877561600000001</v>
      </c>
      <c r="E177">
        <v>-0.11718629999999999</v>
      </c>
      <c r="F177">
        <v>0.80711237999999996</v>
      </c>
      <c r="G177">
        <v>0</v>
      </c>
      <c r="H177">
        <v>0</v>
      </c>
      <c r="I177">
        <v>0</v>
      </c>
      <c r="K177" s="60">
        <f t="shared" si="0"/>
        <v>2.7193904000000001E-2</v>
      </c>
      <c r="L177" s="60">
        <f t="shared" si="1"/>
        <v>-2.9296574999999997E-3</v>
      </c>
      <c r="M177" s="60">
        <f t="shared" si="2"/>
        <v>2.0177809499999998E-2</v>
      </c>
      <c r="O177" s="60">
        <f t="shared" si="3"/>
        <v>0.52719390399999999</v>
      </c>
      <c r="P177" s="60">
        <f t="shared" si="4"/>
        <v>0.49707034249999998</v>
      </c>
      <c r="Q177" s="60">
        <f t="shared" si="5"/>
        <v>0.52017780950000003</v>
      </c>
    </row>
    <row r="178" spans="2:17" ht="15" customHeight="1" x14ac:dyDescent="0.25">
      <c r="B178">
        <v>196.966995239</v>
      </c>
      <c r="C178" t="s">
        <v>2526</v>
      </c>
      <c r="D178">
        <v>3.79991638</v>
      </c>
      <c r="E178">
        <v>-2.1387412100000001</v>
      </c>
      <c r="F178">
        <v>-0.18683841000000001</v>
      </c>
      <c r="G178">
        <v>0</v>
      </c>
      <c r="H178">
        <v>0</v>
      </c>
      <c r="I178">
        <v>0</v>
      </c>
      <c r="K178" s="60">
        <f t="shared" si="0"/>
        <v>9.4997909500000005E-2</v>
      </c>
      <c r="L178" s="60">
        <f t="shared" si="1"/>
        <v>-5.346853025E-2</v>
      </c>
      <c r="M178" s="60">
        <f t="shared" si="2"/>
        <v>-4.6709602499999999E-3</v>
      </c>
      <c r="O178" s="60">
        <f t="shared" si="3"/>
        <v>0.59499790949999998</v>
      </c>
      <c r="P178" s="60">
        <f t="shared" si="4"/>
        <v>0.44653146975000002</v>
      </c>
      <c r="Q178" s="60">
        <f t="shared" si="5"/>
        <v>0.49532903974999998</v>
      </c>
    </row>
    <row r="179" spans="2:17" ht="15" customHeight="1" x14ac:dyDescent="0.25">
      <c r="B179">
        <v>196.966995239</v>
      </c>
      <c r="C179" t="s">
        <v>2526</v>
      </c>
      <c r="D179">
        <v>5.5053466499999999</v>
      </c>
      <c r="E179">
        <v>0.40996269000000002</v>
      </c>
      <c r="F179">
        <v>5.8989262099999999</v>
      </c>
      <c r="G179">
        <v>0</v>
      </c>
      <c r="H179">
        <v>0</v>
      </c>
      <c r="I179">
        <v>0</v>
      </c>
      <c r="K179" s="60">
        <f t="shared" si="0"/>
        <v>0.13763366625000001</v>
      </c>
      <c r="L179" s="60">
        <f t="shared" si="1"/>
        <v>1.024906725E-2</v>
      </c>
      <c r="M179" s="60">
        <f t="shared" si="2"/>
        <v>0.14747315524999999</v>
      </c>
      <c r="O179" s="60">
        <f t="shared" si="3"/>
        <v>0.63763366624999995</v>
      </c>
      <c r="P179" s="60">
        <f t="shared" si="4"/>
        <v>0.51024906724999997</v>
      </c>
      <c r="Q179" s="60">
        <f t="shared" si="5"/>
        <v>0.64747315524999993</v>
      </c>
    </row>
    <row r="180" spans="2:17" ht="15" customHeight="1" x14ac:dyDescent="0.25">
      <c r="B180">
        <v>196.966995239</v>
      </c>
      <c r="C180" t="s">
        <v>2526</v>
      </c>
      <c r="D180">
        <v>-1.16659102</v>
      </c>
      <c r="E180">
        <v>1.7901549999999999E-2</v>
      </c>
      <c r="F180">
        <v>4.57844301</v>
      </c>
      <c r="G180">
        <v>0</v>
      </c>
      <c r="H180">
        <v>0</v>
      </c>
      <c r="I180">
        <v>0</v>
      </c>
      <c r="K180" s="60">
        <f t="shared" ref="K180:K211" si="6">D180/H$142</f>
        <v>-2.91647755E-2</v>
      </c>
      <c r="L180" s="60">
        <f t="shared" ref="L180:L211" si="7">E180/I$142</f>
        <v>4.4753874999999997E-4</v>
      </c>
      <c r="M180" s="60">
        <f t="shared" ref="M180:M211" si="8">F180/J$142</f>
        <v>0.11446107525</v>
      </c>
      <c r="O180" s="60">
        <f t="shared" ref="O180:O211" si="9">K180+0.5</f>
        <v>0.47083522449999998</v>
      </c>
      <c r="P180" s="60">
        <f t="shared" ref="P180:P211" si="10">L180+0.5</f>
        <v>0.50044753875000003</v>
      </c>
      <c r="Q180" s="60">
        <f t="shared" ref="Q180:Q211" si="11">M180+0.5</f>
        <v>0.61446107525000004</v>
      </c>
    </row>
    <row r="181" spans="2:17" ht="15" customHeight="1" x14ac:dyDescent="0.25">
      <c r="B181">
        <v>196.966995239</v>
      </c>
      <c r="C181" t="s">
        <v>2526</v>
      </c>
      <c r="D181">
        <v>3.7352687800000002</v>
      </c>
      <c r="E181">
        <v>-6.1848368000000002</v>
      </c>
      <c r="F181">
        <v>1.6404595099999999</v>
      </c>
      <c r="G181">
        <v>0</v>
      </c>
      <c r="H181">
        <v>0</v>
      </c>
      <c r="I181">
        <v>0</v>
      </c>
      <c r="K181" s="60">
        <f t="shared" si="6"/>
        <v>9.3381719500000002E-2</v>
      </c>
      <c r="L181" s="60">
        <f t="shared" si="7"/>
        <v>-0.15462092</v>
      </c>
      <c r="M181" s="60">
        <f t="shared" si="8"/>
        <v>4.1011487749999999E-2</v>
      </c>
      <c r="O181" s="60">
        <f t="shared" si="9"/>
        <v>0.59338171949999996</v>
      </c>
      <c r="P181" s="60">
        <f t="shared" si="10"/>
        <v>0.34537908</v>
      </c>
      <c r="Q181" s="60">
        <f t="shared" si="11"/>
        <v>0.54101148774999996</v>
      </c>
    </row>
    <row r="182" spans="2:17" ht="15" customHeight="1" x14ac:dyDescent="0.25">
      <c r="B182">
        <v>196.966995239</v>
      </c>
      <c r="C182" t="s">
        <v>2526</v>
      </c>
      <c r="D182">
        <v>2.4086298400000001</v>
      </c>
      <c r="E182">
        <v>-5.2478485900000003</v>
      </c>
      <c r="F182">
        <v>4.8542160399999998</v>
      </c>
      <c r="G182">
        <v>0</v>
      </c>
      <c r="H182">
        <v>0</v>
      </c>
      <c r="I182">
        <v>0</v>
      </c>
      <c r="K182" s="60">
        <f t="shared" si="6"/>
        <v>6.0215746000000001E-2</v>
      </c>
      <c r="L182" s="60">
        <f t="shared" si="7"/>
        <v>-0.13119621475000001</v>
      </c>
      <c r="M182" s="60">
        <f t="shared" si="8"/>
        <v>0.121355401</v>
      </c>
      <c r="O182" s="60">
        <f t="shared" si="9"/>
        <v>0.56021574600000001</v>
      </c>
      <c r="P182" s="60">
        <f t="shared" si="10"/>
        <v>0.36880378525000002</v>
      </c>
      <c r="Q182" s="60">
        <f t="shared" si="11"/>
        <v>0.62135540099999997</v>
      </c>
    </row>
    <row r="183" spans="2:17" ht="15" customHeight="1" x14ac:dyDescent="0.25">
      <c r="B183">
        <v>196.966995239</v>
      </c>
      <c r="C183" t="s">
        <v>2526</v>
      </c>
      <c r="D183">
        <v>4.60886379</v>
      </c>
      <c r="E183">
        <v>4.1258028800000002</v>
      </c>
      <c r="F183">
        <v>0.40293067999999999</v>
      </c>
      <c r="G183">
        <v>0</v>
      </c>
      <c r="H183">
        <v>0</v>
      </c>
      <c r="I183">
        <v>0</v>
      </c>
      <c r="K183" s="60">
        <f t="shared" si="6"/>
        <v>0.11522159475</v>
      </c>
      <c r="L183" s="60">
        <f t="shared" si="7"/>
        <v>0.103145072</v>
      </c>
      <c r="M183" s="60">
        <f t="shared" si="8"/>
        <v>1.0073267E-2</v>
      </c>
      <c r="O183" s="60">
        <f t="shared" si="9"/>
        <v>0.61522159475000004</v>
      </c>
      <c r="P183" s="60">
        <f t="shared" si="10"/>
        <v>0.603145072</v>
      </c>
      <c r="Q183" s="60">
        <f t="shared" si="11"/>
        <v>0.510073267</v>
      </c>
    </row>
    <row r="184" spans="2:17" ht="15" customHeight="1" x14ac:dyDescent="0.25">
      <c r="B184">
        <v>196.966995239</v>
      </c>
      <c r="C184" t="s">
        <v>2526</v>
      </c>
      <c r="D184">
        <v>2.0641514000000001</v>
      </c>
      <c r="E184">
        <v>8.6141099999999998E-2</v>
      </c>
      <c r="F184">
        <v>3.19041906</v>
      </c>
      <c r="G184">
        <v>0</v>
      </c>
      <c r="H184">
        <v>0</v>
      </c>
      <c r="I184">
        <v>0</v>
      </c>
      <c r="K184" s="60">
        <f t="shared" si="6"/>
        <v>5.1603784999999999E-2</v>
      </c>
      <c r="L184" s="60">
        <f t="shared" si="7"/>
        <v>2.1535274999999999E-3</v>
      </c>
      <c r="M184" s="60">
        <f t="shared" si="8"/>
        <v>7.9760476499999997E-2</v>
      </c>
      <c r="O184" s="60">
        <f t="shared" si="9"/>
        <v>0.55160378499999996</v>
      </c>
      <c r="P184" s="60">
        <f t="shared" si="10"/>
        <v>0.50215352749999997</v>
      </c>
      <c r="Q184" s="60">
        <f t="shared" si="11"/>
        <v>0.57976047649999995</v>
      </c>
    </row>
    <row r="185" spans="2:17" ht="15" customHeight="1" x14ac:dyDescent="0.25">
      <c r="B185">
        <v>196.966995239</v>
      </c>
      <c r="C185" t="s">
        <v>2526</v>
      </c>
      <c r="D185">
        <v>-2.29566173</v>
      </c>
      <c r="E185">
        <v>2.3633612899999998</v>
      </c>
      <c r="F185">
        <v>1.9546326000000001</v>
      </c>
      <c r="G185">
        <v>0</v>
      </c>
      <c r="H185">
        <v>0</v>
      </c>
      <c r="I185">
        <v>0</v>
      </c>
      <c r="K185" s="60">
        <f t="shared" si="6"/>
        <v>-5.7391543249999996E-2</v>
      </c>
      <c r="L185" s="60">
        <f t="shared" si="7"/>
        <v>5.9084032249999995E-2</v>
      </c>
      <c r="M185" s="60">
        <f t="shared" si="8"/>
        <v>4.8865815E-2</v>
      </c>
      <c r="O185" s="60">
        <f t="shared" si="9"/>
        <v>0.44260845674999999</v>
      </c>
      <c r="P185" s="60">
        <f t="shared" si="10"/>
        <v>0.55908403225000003</v>
      </c>
      <c r="Q185" s="60">
        <f t="shared" si="11"/>
        <v>0.54886581499999998</v>
      </c>
    </row>
    <row r="186" spans="2:17" ht="15" customHeight="1" x14ac:dyDescent="0.25">
      <c r="B186">
        <v>196.966995239</v>
      </c>
      <c r="C186" t="s">
        <v>2526</v>
      </c>
      <c r="D186">
        <v>-1.8624830999999999</v>
      </c>
      <c r="E186">
        <v>-5.7897109799999997</v>
      </c>
      <c r="F186">
        <v>5.2419923400000004</v>
      </c>
      <c r="G186">
        <v>0</v>
      </c>
      <c r="H186">
        <v>0</v>
      </c>
      <c r="I186">
        <v>0</v>
      </c>
      <c r="K186" s="60">
        <f t="shared" si="6"/>
        <v>-4.65620775E-2</v>
      </c>
      <c r="L186" s="60">
        <f t="shared" si="7"/>
        <v>-0.1447427745</v>
      </c>
      <c r="M186" s="60">
        <f t="shared" si="8"/>
        <v>0.1310498085</v>
      </c>
      <c r="O186" s="60">
        <f t="shared" si="9"/>
        <v>0.45343792249999998</v>
      </c>
      <c r="P186" s="60">
        <f t="shared" si="10"/>
        <v>0.3552572255</v>
      </c>
      <c r="Q186" s="60">
        <f t="shared" si="11"/>
        <v>0.63104980850000003</v>
      </c>
    </row>
    <row r="187" spans="2:17" ht="15" customHeight="1" x14ac:dyDescent="0.25">
      <c r="B187">
        <v>196.966995239</v>
      </c>
      <c r="C187" t="s">
        <v>2526</v>
      </c>
      <c r="D187">
        <v>0.11234669</v>
      </c>
      <c r="E187">
        <v>-0.33427055999999999</v>
      </c>
      <c r="F187">
        <v>-1.5764901</v>
      </c>
      <c r="G187">
        <v>0</v>
      </c>
      <c r="H187">
        <v>0</v>
      </c>
      <c r="I187">
        <v>0</v>
      </c>
      <c r="K187" s="60">
        <f t="shared" si="6"/>
        <v>2.8086672499999998E-3</v>
      </c>
      <c r="L187" s="60">
        <f t="shared" si="7"/>
        <v>-8.3567639999999992E-3</v>
      </c>
      <c r="M187" s="60">
        <f t="shared" si="8"/>
        <v>-3.9412252500000002E-2</v>
      </c>
      <c r="O187" s="60">
        <f t="shared" si="9"/>
        <v>0.50280866724999995</v>
      </c>
      <c r="P187" s="60">
        <f t="shared" si="10"/>
        <v>0.49164323599999998</v>
      </c>
      <c r="Q187" s="60">
        <f t="shared" si="11"/>
        <v>0.46058774749999998</v>
      </c>
    </row>
    <row r="188" spans="2:17" ht="15" customHeight="1" x14ac:dyDescent="0.25">
      <c r="B188">
        <v>196.966995239</v>
      </c>
      <c r="C188" t="s">
        <v>2526</v>
      </c>
      <c r="D188">
        <v>5.6012990199999999</v>
      </c>
      <c r="E188">
        <v>2.40132177</v>
      </c>
      <c r="F188">
        <v>4.3722172500000003</v>
      </c>
      <c r="G188">
        <v>0</v>
      </c>
      <c r="H188">
        <v>0</v>
      </c>
      <c r="I188">
        <v>0</v>
      </c>
      <c r="K188" s="60">
        <f t="shared" si="6"/>
        <v>0.1400324755</v>
      </c>
      <c r="L188" s="60">
        <f t="shared" si="7"/>
        <v>6.0033044250000001E-2</v>
      </c>
      <c r="M188" s="60">
        <f t="shared" si="8"/>
        <v>0.10930543125</v>
      </c>
      <c r="O188" s="60">
        <f t="shared" si="9"/>
        <v>0.64003247549999998</v>
      </c>
      <c r="P188" s="60">
        <f t="shared" si="10"/>
        <v>0.56003304425</v>
      </c>
      <c r="Q188" s="60">
        <f t="shared" si="11"/>
        <v>0.60930543125000003</v>
      </c>
    </row>
    <row r="189" spans="2:17" ht="15" customHeight="1" x14ac:dyDescent="0.25">
      <c r="B189">
        <v>196.966995239</v>
      </c>
      <c r="C189" t="s">
        <v>2526</v>
      </c>
      <c r="D189">
        <v>-1.0658406300000001</v>
      </c>
      <c r="E189">
        <v>-2.5360934799999999</v>
      </c>
      <c r="F189">
        <v>4.7229644300000002</v>
      </c>
      <c r="G189">
        <v>0</v>
      </c>
      <c r="H189">
        <v>0</v>
      </c>
      <c r="I189">
        <v>0</v>
      </c>
      <c r="K189" s="60">
        <f t="shared" si="6"/>
        <v>-2.6646015750000002E-2</v>
      </c>
      <c r="L189" s="60">
        <f t="shared" si="7"/>
        <v>-6.3402337000000003E-2</v>
      </c>
      <c r="M189" s="60">
        <f t="shared" si="8"/>
        <v>0.11807411075</v>
      </c>
      <c r="O189" s="60">
        <f t="shared" si="9"/>
        <v>0.47335398424999997</v>
      </c>
      <c r="P189" s="60">
        <f t="shared" si="10"/>
        <v>0.43659766300000002</v>
      </c>
      <c r="Q189" s="60">
        <f t="shared" si="11"/>
        <v>0.61807411074999996</v>
      </c>
    </row>
    <row r="190" spans="2:17" ht="15" customHeight="1" x14ac:dyDescent="0.25">
      <c r="B190">
        <v>196.966995239</v>
      </c>
      <c r="C190" t="s">
        <v>2526</v>
      </c>
      <c r="D190">
        <v>-4.2392940000000001</v>
      </c>
      <c r="E190">
        <v>-1.59090402</v>
      </c>
      <c r="F190">
        <v>1.69303242</v>
      </c>
      <c r="G190">
        <v>0</v>
      </c>
      <c r="H190">
        <v>0</v>
      </c>
      <c r="I190">
        <v>0</v>
      </c>
      <c r="K190" s="60">
        <f t="shared" si="6"/>
        <v>-0.10598235</v>
      </c>
      <c r="L190" s="60">
        <f t="shared" si="7"/>
        <v>-3.9772600499999998E-2</v>
      </c>
      <c r="M190" s="60">
        <f t="shared" si="8"/>
        <v>4.2325810499999998E-2</v>
      </c>
      <c r="O190" s="60">
        <f t="shared" si="9"/>
        <v>0.39401765</v>
      </c>
      <c r="P190" s="60">
        <f t="shared" si="10"/>
        <v>0.46022739950000002</v>
      </c>
      <c r="Q190" s="60">
        <f t="shared" si="11"/>
        <v>0.54232581049999995</v>
      </c>
    </row>
    <row r="191" spans="2:17" ht="15" customHeight="1" x14ac:dyDescent="0.25">
      <c r="B191">
        <v>196.966995239</v>
      </c>
      <c r="C191" t="s">
        <v>2526</v>
      </c>
      <c r="D191">
        <v>1.2330316299999999</v>
      </c>
      <c r="E191">
        <v>-3.3173332900000001</v>
      </c>
      <c r="F191">
        <v>3.8476162399999998</v>
      </c>
      <c r="G191">
        <v>0</v>
      </c>
      <c r="H191">
        <v>0</v>
      </c>
      <c r="I191">
        <v>0</v>
      </c>
      <c r="K191" s="60">
        <f t="shared" si="6"/>
        <v>3.0825790749999998E-2</v>
      </c>
      <c r="L191" s="60">
        <f t="shared" si="7"/>
        <v>-8.2933332250000005E-2</v>
      </c>
      <c r="M191" s="60">
        <f t="shared" si="8"/>
        <v>9.6190405999999992E-2</v>
      </c>
      <c r="O191" s="60">
        <f t="shared" si="9"/>
        <v>0.53082579075000003</v>
      </c>
      <c r="P191" s="60">
        <f t="shared" si="10"/>
        <v>0.41706666775000001</v>
      </c>
      <c r="Q191" s="60">
        <f t="shared" si="11"/>
        <v>0.59619040599999995</v>
      </c>
    </row>
    <row r="192" spans="2:17" ht="15" customHeight="1" x14ac:dyDescent="0.25">
      <c r="B192">
        <v>196.966995239</v>
      </c>
      <c r="C192" t="s">
        <v>2526</v>
      </c>
      <c r="D192">
        <v>1.1818783100000001</v>
      </c>
      <c r="E192">
        <v>3.8037945</v>
      </c>
      <c r="F192">
        <v>-2.31239097</v>
      </c>
      <c r="G192">
        <v>0</v>
      </c>
      <c r="H192">
        <v>0</v>
      </c>
      <c r="I192">
        <v>0</v>
      </c>
      <c r="K192" s="60">
        <f t="shared" si="6"/>
        <v>2.9546957750000002E-2</v>
      </c>
      <c r="L192" s="60">
        <f t="shared" si="7"/>
        <v>9.5094862500000002E-2</v>
      </c>
      <c r="M192" s="60">
        <f t="shared" si="8"/>
        <v>-5.7809774250000001E-2</v>
      </c>
      <c r="O192" s="60">
        <f t="shared" si="9"/>
        <v>0.52954695775000005</v>
      </c>
      <c r="P192" s="60">
        <f t="shared" si="10"/>
        <v>0.59509486249999999</v>
      </c>
      <c r="Q192" s="60">
        <f t="shared" si="11"/>
        <v>0.44219022575</v>
      </c>
    </row>
    <row r="193" spans="2:17" ht="15" customHeight="1" x14ac:dyDescent="0.25">
      <c r="B193">
        <v>196.966995239</v>
      </c>
      <c r="C193" t="s">
        <v>2526</v>
      </c>
      <c r="D193">
        <v>-4.3530606699999996</v>
      </c>
      <c r="E193">
        <v>0.95198057000000003</v>
      </c>
      <c r="F193">
        <v>1.5211203799999999</v>
      </c>
      <c r="G193">
        <v>0</v>
      </c>
      <c r="H193">
        <v>0</v>
      </c>
      <c r="I193">
        <v>0</v>
      </c>
      <c r="K193" s="60">
        <f t="shared" si="6"/>
        <v>-0.10882651674999999</v>
      </c>
      <c r="L193" s="60">
        <f t="shared" si="7"/>
        <v>2.3799514250000001E-2</v>
      </c>
      <c r="M193" s="60">
        <f t="shared" si="8"/>
        <v>3.8028009500000001E-2</v>
      </c>
      <c r="O193" s="60">
        <f t="shared" si="9"/>
        <v>0.39117348325000001</v>
      </c>
      <c r="P193" s="60">
        <f t="shared" si="10"/>
        <v>0.52379951425000004</v>
      </c>
      <c r="Q193" s="60">
        <f t="shared" si="11"/>
        <v>0.53802800949999996</v>
      </c>
    </row>
    <row r="194" spans="2:17" ht="15" customHeight="1" x14ac:dyDescent="0.25">
      <c r="B194">
        <v>196.966995239</v>
      </c>
      <c r="C194" t="s">
        <v>2526</v>
      </c>
      <c r="D194">
        <v>-3.5200357100000002</v>
      </c>
      <c r="E194">
        <v>3.73993756</v>
      </c>
      <c r="F194">
        <v>3.7661053999999998</v>
      </c>
      <c r="G194">
        <v>0</v>
      </c>
      <c r="H194">
        <v>0</v>
      </c>
      <c r="I194">
        <v>0</v>
      </c>
      <c r="K194" s="60">
        <f t="shared" si="6"/>
        <v>-8.8000892750000004E-2</v>
      </c>
      <c r="L194" s="60">
        <f t="shared" si="7"/>
        <v>9.3498439000000003E-2</v>
      </c>
      <c r="M194" s="60">
        <f t="shared" si="8"/>
        <v>9.4152634999999998E-2</v>
      </c>
      <c r="O194" s="60">
        <f t="shared" si="9"/>
        <v>0.41199910725</v>
      </c>
      <c r="P194" s="60">
        <f t="shared" si="10"/>
        <v>0.59349843899999999</v>
      </c>
      <c r="Q194" s="60">
        <f t="shared" si="11"/>
        <v>0.59415263500000004</v>
      </c>
    </row>
    <row r="195" spans="2:17" ht="15" customHeight="1" x14ac:dyDescent="0.25">
      <c r="B195">
        <v>196.966995239</v>
      </c>
      <c r="C195" t="s">
        <v>2526</v>
      </c>
      <c r="D195">
        <v>1.3069292800000001</v>
      </c>
      <c r="E195">
        <v>-2.2907434699999998</v>
      </c>
      <c r="F195">
        <v>-0.52549497000000001</v>
      </c>
      <c r="G195">
        <v>0</v>
      </c>
      <c r="H195">
        <v>0</v>
      </c>
      <c r="I195">
        <v>0</v>
      </c>
      <c r="K195" s="60">
        <f t="shared" si="6"/>
        <v>3.2673232000000003E-2</v>
      </c>
      <c r="L195" s="60">
        <f t="shared" si="7"/>
        <v>-5.7268586749999996E-2</v>
      </c>
      <c r="M195" s="60">
        <f t="shared" si="8"/>
        <v>-1.313737425E-2</v>
      </c>
      <c r="O195" s="60">
        <f t="shared" si="9"/>
        <v>0.53267323200000005</v>
      </c>
      <c r="P195" s="60">
        <f t="shared" si="10"/>
        <v>0.44273141324999998</v>
      </c>
      <c r="Q195" s="60">
        <f t="shared" si="11"/>
        <v>0.48686262575</v>
      </c>
    </row>
    <row r="196" spans="2:17" ht="15" customHeight="1" x14ac:dyDescent="0.25">
      <c r="B196">
        <v>196.966995239</v>
      </c>
      <c r="C196" t="s">
        <v>2526</v>
      </c>
      <c r="D196">
        <v>7.1199788599999998</v>
      </c>
      <c r="E196">
        <v>2.33682525</v>
      </c>
      <c r="F196">
        <v>2.3531227399999999</v>
      </c>
      <c r="G196">
        <v>0</v>
      </c>
      <c r="H196">
        <v>0</v>
      </c>
      <c r="I196">
        <v>0</v>
      </c>
      <c r="K196" s="60">
        <f t="shared" si="6"/>
        <v>0.17799947150000001</v>
      </c>
      <c r="L196" s="60">
        <f t="shared" si="7"/>
        <v>5.8420631250000001E-2</v>
      </c>
      <c r="M196" s="60">
        <f t="shared" si="8"/>
        <v>5.8828068499999997E-2</v>
      </c>
      <c r="O196" s="60">
        <f t="shared" si="9"/>
        <v>0.67799947149999995</v>
      </c>
      <c r="P196" s="60">
        <f t="shared" si="10"/>
        <v>0.55842063124999997</v>
      </c>
      <c r="Q196" s="60">
        <f t="shared" si="11"/>
        <v>0.5588280685</v>
      </c>
    </row>
    <row r="197" spans="2:17" ht="15" customHeight="1" x14ac:dyDescent="0.25">
      <c r="B197">
        <v>196.966995239</v>
      </c>
      <c r="C197" t="s">
        <v>2526</v>
      </c>
      <c r="D197">
        <v>-0.11433792</v>
      </c>
      <c r="E197">
        <v>1.2240667999999999</v>
      </c>
      <c r="F197">
        <v>2.58549271</v>
      </c>
      <c r="G197">
        <v>0</v>
      </c>
      <c r="H197">
        <v>0</v>
      </c>
      <c r="I197">
        <v>0</v>
      </c>
      <c r="K197" s="60">
        <f t="shared" si="6"/>
        <v>-2.858448E-3</v>
      </c>
      <c r="L197" s="60">
        <f t="shared" si="7"/>
        <v>3.0601669999999997E-2</v>
      </c>
      <c r="M197" s="60">
        <f t="shared" si="8"/>
        <v>6.4637317750000006E-2</v>
      </c>
      <c r="O197" s="60">
        <f t="shared" si="9"/>
        <v>0.49714155199999999</v>
      </c>
      <c r="P197" s="60">
        <f t="shared" si="10"/>
        <v>0.53060167000000003</v>
      </c>
      <c r="Q197" s="60">
        <f t="shared" si="11"/>
        <v>0.56463731775000003</v>
      </c>
    </row>
    <row r="198" spans="2:17" ht="15" customHeight="1" x14ac:dyDescent="0.25">
      <c r="B198">
        <v>196.966995239</v>
      </c>
      <c r="C198" t="s">
        <v>2526</v>
      </c>
      <c r="D198">
        <v>0.99507113000000003</v>
      </c>
      <c r="E198">
        <v>-1.14592019</v>
      </c>
      <c r="F198">
        <v>5.1612199600000004</v>
      </c>
      <c r="G198">
        <v>0</v>
      </c>
      <c r="H198">
        <v>0</v>
      </c>
      <c r="I198">
        <v>0</v>
      </c>
      <c r="K198" s="60">
        <f t="shared" si="6"/>
        <v>2.4876778250000002E-2</v>
      </c>
      <c r="L198" s="60">
        <f t="shared" si="7"/>
        <v>-2.8648004750000001E-2</v>
      </c>
      <c r="M198" s="60">
        <f t="shared" si="8"/>
        <v>0.12903049900000002</v>
      </c>
      <c r="O198" s="60">
        <f t="shared" si="9"/>
        <v>0.52487677825000001</v>
      </c>
      <c r="P198" s="60">
        <f t="shared" si="10"/>
        <v>0.47135199524999999</v>
      </c>
      <c r="Q198" s="60">
        <f t="shared" si="11"/>
        <v>0.62903049899999997</v>
      </c>
    </row>
    <row r="199" spans="2:17" ht="15" customHeight="1" x14ac:dyDescent="0.25">
      <c r="B199">
        <v>196.966995239</v>
      </c>
      <c r="C199" t="s">
        <v>2526</v>
      </c>
      <c r="D199">
        <v>3.4853498300000001</v>
      </c>
      <c r="E199">
        <v>-4.0207734000000004</v>
      </c>
      <c r="F199">
        <v>2.95328883</v>
      </c>
      <c r="G199">
        <v>0</v>
      </c>
      <c r="H199">
        <v>0</v>
      </c>
      <c r="I199">
        <v>0</v>
      </c>
      <c r="K199" s="60">
        <f t="shared" si="6"/>
        <v>8.7133745750000005E-2</v>
      </c>
      <c r="L199" s="60">
        <f t="shared" si="7"/>
        <v>-0.10051933500000002</v>
      </c>
      <c r="M199" s="60">
        <f t="shared" si="8"/>
        <v>7.3832220749999997E-2</v>
      </c>
      <c r="O199" s="60">
        <f t="shared" si="9"/>
        <v>0.58713374574999999</v>
      </c>
      <c r="P199" s="60">
        <f t="shared" si="10"/>
        <v>0.39948066500000001</v>
      </c>
      <c r="Q199" s="60">
        <f t="shared" si="11"/>
        <v>0.57383222074999995</v>
      </c>
    </row>
    <row r="200" spans="2:17" ht="15" customHeight="1" x14ac:dyDescent="0.25">
      <c r="B200">
        <v>196.966995239</v>
      </c>
      <c r="C200" t="s">
        <v>2526</v>
      </c>
      <c r="D200">
        <v>5.3413793800000002</v>
      </c>
      <c r="E200">
        <v>-2.2093821600000001</v>
      </c>
      <c r="F200">
        <v>-2.1792479400000002</v>
      </c>
      <c r="G200">
        <v>0</v>
      </c>
      <c r="H200">
        <v>0</v>
      </c>
      <c r="I200">
        <v>0</v>
      </c>
      <c r="K200" s="60">
        <f t="shared" si="6"/>
        <v>0.13353448449999999</v>
      </c>
      <c r="L200" s="60">
        <f t="shared" si="7"/>
        <v>-5.5234554000000005E-2</v>
      </c>
      <c r="M200" s="60">
        <f t="shared" si="8"/>
        <v>-5.4481198500000008E-2</v>
      </c>
      <c r="O200" s="60">
        <f t="shared" si="9"/>
        <v>0.63353448449999994</v>
      </c>
      <c r="P200" s="60">
        <f t="shared" si="10"/>
        <v>0.44476544600000001</v>
      </c>
      <c r="Q200" s="60">
        <f t="shared" si="11"/>
        <v>0.44551880150000001</v>
      </c>
    </row>
    <row r="201" spans="2:17" ht="15" customHeight="1" x14ac:dyDescent="0.25">
      <c r="B201">
        <v>196.966995239</v>
      </c>
      <c r="C201" t="s">
        <v>2526</v>
      </c>
      <c r="D201">
        <v>3.1722179100000001</v>
      </c>
      <c r="E201">
        <v>6.2498901599999996</v>
      </c>
      <c r="F201">
        <v>0.81028462999999995</v>
      </c>
      <c r="G201">
        <v>0</v>
      </c>
      <c r="H201">
        <v>0</v>
      </c>
      <c r="I201">
        <v>0</v>
      </c>
      <c r="K201" s="60">
        <f t="shared" si="6"/>
        <v>7.9305447750000008E-2</v>
      </c>
      <c r="L201" s="60">
        <f t="shared" si="7"/>
        <v>0.156247254</v>
      </c>
      <c r="M201" s="60">
        <f t="shared" si="8"/>
        <v>2.0257115749999999E-2</v>
      </c>
      <c r="O201" s="60">
        <f t="shared" si="9"/>
        <v>0.57930544775000004</v>
      </c>
      <c r="P201" s="60">
        <f t="shared" si="10"/>
        <v>0.65624725399999995</v>
      </c>
      <c r="Q201" s="60">
        <f t="shared" si="11"/>
        <v>0.52025711575</v>
      </c>
    </row>
    <row r="202" spans="2:17" ht="15" customHeight="1" x14ac:dyDescent="0.25">
      <c r="B202">
        <v>196.966995239</v>
      </c>
      <c r="C202" t="s">
        <v>2526</v>
      </c>
      <c r="D202">
        <v>-2.49402473</v>
      </c>
      <c r="E202">
        <v>3.8698088300000002</v>
      </c>
      <c r="F202">
        <v>6.0258803900000002</v>
      </c>
      <c r="G202">
        <v>0</v>
      </c>
      <c r="H202">
        <v>0</v>
      </c>
      <c r="I202">
        <v>0</v>
      </c>
      <c r="K202" s="60">
        <f t="shared" si="6"/>
        <v>-6.2350618250000003E-2</v>
      </c>
      <c r="L202" s="60">
        <f t="shared" si="7"/>
        <v>9.6745220749999999E-2</v>
      </c>
      <c r="M202" s="60">
        <f t="shared" si="8"/>
        <v>0.15064700975</v>
      </c>
      <c r="O202" s="60">
        <f t="shared" si="9"/>
        <v>0.43764938175000001</v>
      </c>
      <c r="P202" s="60">
        <f t="shared" si="10"/>
        <v>0.59674522075000003</v>
      </c>
      <c r="Q202" s="60">
        <f t="shared" si="11"/>
        <v>0.65064700975</v>
      </c>
    </row>
    <row r="203" spans="2:17" ht="15" customHeight="1" x14ac:dyDescent="0.25">
      <c r="B203">
        <v>196.966995239</v>
      </c>
      <c r="C203" t="s">
        <v>2526</v>
      </c>
      <c r="D203">
        <v>4.4290835700000004</v>
      </c>
      <c r="E203">
        <v>-3.8215575199999998</v>
      </c>
      <c r="F203">
        <v>5.2740769500000004</v>
      </c>
      <c r="G203">
        <v>0</v>
      </c>
      <c r="H203">
        <v>0</v>
      </c>
      <c r="I203">
        <v>0</v>
      </c>
      <c r="K203" s="60">
        <f t="shared" si="6"/>
        <v>0.11072708925000001</v>
      </c>
      <c r="L203" s="60">
        <f t="shared" si="7"/>
        <v>-9.553893799999999E-2</v>
      </c>
      <c r="M203" s="60">
        <f t="shared" si="8"/>
        <v>0.13185192375000002</v>
      </c>
      <c r="O203" s="60">
        <f t="shared" si="9"/>
        <v>0.61072708924999997</v>
      </c>
      <c r="P203" s="60">
        <f t="shared" si="10"/>
        <v>0.40446106199999998</v>
      </c>
      <c r="Q203" s="60">
        <f t="shared" si="11"/>
        <v>0.63185192374999999</v>
      </c>
    </row>
    <row r="204" spans="2:17" ht="15" customHeight="1" x14ac:dyDescent="0.25">
      <c r="B204">
        <v>196.966995239</v>
      </c>
      <c r="C204" t="s">
        <v>2526</v>
      </c>
      <c r="D204">
        <v>6.1446106800000004</v>
      </c>
      <c r="E204">
        <v>-5.9124138899999998</v>
      </c>
      <c r="F204">
        <v>1.9628380400000001</v>
      </c>
      <c r="G204">
        <v>0</v>
      </c>
      <c r="H204">
        <v>0</v>
      </c>
      <c r="I204">
        <v>0</v>
      </c>
      <c r="K204" s="60">
        <f t="shared" si="6"/>
        <v>0.153615267</v>
      </c>
      <c r="L204" s="60">
        <f t="shared" si="7"/>
        <v>-0.14781034725</v>
      </c>
      <c r="M204" s="60">
        <f t="shared" si="8"/>
        <v>4.9070951000000002E-2</v>
      </c>
      <c r="O204" s="60">
        <f t="shared" si="9"/>
        <v>0.65361526699999994</v>
      </c>
      <c r="P204" s="60">
        <f t="shared" si="10"/>
        <v>0.35218965275000003</v>
      </c>
      <c r="Q204" s="60">
        <f t="shared" si="11"/>
        <v>0.54907095100000003</v>
      </c>
    </row>
    <row r="205" spans="2:17" ht="15" customHeight="1" x14ac:dyDescent="0.25">
      <c r="B205">
        <v>196.966995239</v>
      </c>
      <c r="C205" t="s">
        <v>2526</v>
      </c>
      <c r="D205">
        <v>1.63816389</v>
      </c>
      <c r="E205">
        <v>-0.39535095999999997</v>
      </c>
      <c r="F205">
        <v>-3.5405734600000001</v>
      </c>
      <c r="G205">
        <v>0</v>
      </c>
      <c r="H205">
        <v>0</v>
      </c>
      <c r="I205">
        <v>0</v>
      </c>
      <c r="K205" s="60">
        <f t="shared" si="6"/>
        <v>4.0954097250000002E-2</v>
      </c>
      <c r="L205" s="60">
        <f t="shared" si="7"/>
        <v>-9.8837739999999997E-3</v>
      </c>
      <c r="M205" s="60">
        <f t="shared" si="8"/>
        <v>-8.8514336499999999E-2</v>
      </c>
      <c r="O205" s="60">
        <f t="shared" si="9"/>
        <v>0.54095409724999999</v>
      </c>
      <c r="P205" s="60">
        <f t="shared" si="10"/>
        <v>0.49011622599999999</v>
      </c>
      <c r="Q205" s="60">
        <f t="shared" si="11"/>
        <v>0.41148566349999999</v>
      </c>
    </row>
    <row r="206" spans="2:17" ht="15" customHeight="1" x14ac:dyDescent="0.25">
      <c r="B206">
        <v>196.966995239</v>
      </c>
      <c r="C206" t="s">
        <v>2526</v>
      </c>
      <c r="D206">
        <v>-1.0600627600000001</v>
      </c>
      <c r="E206">
        <v>2.9964523500000002</v>
      </c>
      <c r="F206">
        <v>-1.4070029900000001</v>
      </c>
      <c r="G206">
        <v>0</v>
      </c>
      <c r="H206">
        <v>0</v>
      </c>
      <c r="I206">
        <v>0</v>
      </c>
      <c r="K206" s="60">
        <f t="shared" si="6"/>
        <v>-2.6501569000000003E-2</v>
      </c>
      <c r="L206" s="60">
        <f t="shared" si="7"/>
        <v>7.4911308750000002E-2</v>
      </c>
      <c r="M206" s="60">
        <f t="shared" si="8"/>
        <v>-3.517507475E-2</v>
      </c>
      <c r="O206" s="60">
        <f t="shared" si="9"/>
        <v>0.473498431</v>
      </c>
      <c r="P206" s="60">
        <f t="shared" si="10"/>
        <v>0.57491130874999996</v>
      </c>
      <c r="Q206" s="60">
        <f t="shared" si="11"/>
        <v>0.46482492525000002</v>
      </c>
    </row>
    <row r="207" spans="2:17" ht="15" customHeight="1" x14ac:dyDescent="0.25">
      <c r="B207">
        <v>196.966995239</v>
      </c>
      <c r="C207" t="s">
        <v>2526</v>
      </c>
      <c r="D207">
        <v>-3.1556383700000001</v>
      </c>
      <c r="E207">
        <v>-0.39840089000000001</v>
      </c>
      <c r="F207">
        <v>-0.25161161999999998</v>
      </c>
      <c r="G207">
        <v>0</v>
      </c>
      <c r="H207">
        <v>0</v>
      </c>
      <c r="I207">
        <v>0</v>
      </c>
      <c r="K207" s="60">
        <f t="shared" si="6"/>
        <v>-7.8890959250000003E-2</v>
      </c>
      <c r="L207" s="60">
        <f t="shared" si="7"/>
        <v>-9.9600222500000005E-3</v>
      </c>
      <c r="M207" s="60">
        <f t="shared" si="8"/>
        <v>-6.2902904999999993E-3</v>
      </c>
      <c r="O207" s="60">
        <f t="shared" si="9"/>
        <v>0.42110904075</v>
      </c>
      <c r="P207" s="60">
        <f t="shared" si="10"/>
        <v>0.49003997775000002</v>
      </c>
      <c r="Q207" s="60">
        <f t="shared" si="11"/>
        <v>0.49370970949999998</v>
      </c>
    </row>
    <row r="208" spans="2:17" ht="15" customHeight="1" x14ac:dyDescent="0.25">
      <c r="B208">
        <v>196.966995239</v>
      </c>
      <c r="C208" t="s">
        <v>2526</v>
      </c>
      <c r="D208">
        <v>0.35610939000000003</v>
      </c>
      <c r="E208">
        <v>-2.4711688500000002</v>
      </c>
      <c r="F208">
        <v>-2.8273486999999999</v>
      </c>
      <c r="G208">
        <v>0</v>
      </c>
      <c r="H208">
        <v>0</v>
      </c>
      <c r="I208">
        <v>0</v>
      </c>
      <c r="K208" s="60">
        <f t="shared" si="6"/>
        <v>8.9027347500000003E-3</v>
      </c>
      <c r="L208" s="60">
        <f t="shared" si="7"/>
        <v>-6.1779221250000002E-2</v>
      </c>
      <c r="M208" s="60">
        <f t="shared" si="8"/>
        <v>-7.0683717499999993E-2</v>
      </c>
      <c r="O208" s="60">
        <f t="shared" si="9"/>
        <v>0.50890273475000003</v>
      </c>
      <c r="P208" s="60">
        <f t="shared" si="10"/>
        <v>0.43822077874999998</v>
      </c>
      <c r="Q208" s="60">
        <f t="shared" si="11"/>
        <v>0.42931628249999998</v>
      </c>
    </row>
    <row r="209" spans="2:17" ht="15" customHeight="1" x14ac:dyDescent="0.25">
      <c r="B209">
        <v>196.966995239</v>
      </c>
      <c r="C209" t="s">
        <v>2526</v>
      </c>
      <c r="D209">
        <v>2.8410383600000002</v>
      </c>
      <c r="E209">
        <v>-2.3535396099999999</v>
      </c>
      <c r="F209">
        <v>-2.5400364299999998</v>
      </c>
      <c r="G209">
        <v>0</v>
      </c>
      <c r="H209">
        <v>0</v>
      </c>
      <c r="I209">
        <v>0</v>
      </c>
      <c r="K209" s="60">
        <f t="shared" si="6"/>
        <v>7.1025959E-2</v>
      </c>
      <c r="L209" s="60">
        <f t="shared" si="7"/>
        <v>-5.883849025E-2</v>
      </c>
      <c r="M209" s="60">
        <f t="shared" si="8"/>
        <v>-6.350091075E-2</v>
      </c>
      <c r="O209" s="60">
        <f t="shared" si="9"/>
        <v>0.57102595899999997</v>
      </c>
      <c r="P209" s="60">
        <f t="shared" si="10"/>
        <v>0.44116150975000001</v>
      </c>
      <c r="Q209" s="60">
        <f t="shared" si="11"/>
        <v>0.43649908925000003</v>
      </c>
    </row>
    <row r="210" spans="2:17" ht="15" customHeight="1" x14ac:dyDescent="0.25">
      <c r="B210">
        <v>196.966995239</v>
      </c>
      <c r="C210" t="s">
        <v>2526</v>
      </c>
      <c r="D210">
        <v>-1.8327565299999999</v>
      </c>
      <c r="E210">
        <v>-4.8992651900000004</v>
      </c>
      <c r="F210">
        <v>0.98155395000000001</v>
      </c>
      <c r="G210">
        <v>0</v>
      </c>
      <c r="H210">
        <v>0</v>
      </c>
      <c r="I210">
        <v>0</v>
      </c>
      <c r="K210" s="60">
        <f t="shared" si="6"/>
        <v>-4.5818913249999996E-2</v>
      </c>
      <c r="L210" s="60">
        <f t="shared" si="7"/>
        <v>-0.12248162975000002</v>
      </c>
      <c r="M210" s="60">
        <f t="shared" si="8"/>
        <v>2.4538848750000002E-2</v>
      </c>
      <c r="O210" s="60">
        <f t="shared" si="9"/>
        <v>0.45418108675000002</v>
      </c>
      <c r="P210" s="60">
        <f t="shared" si="10"/>
        <v>0.37751837025000001</v>
      </c>
      <c r="Q210" s="60">
        <f t="shared" si="11"/>
        <v>0.52453884875000001</v>
      </c>
    </row>
    <row r="211" spans="2:17" ht="15" customHeight="1" x14ac:dyDescent="0.25">
      <c r="B211">
        <v>196.966995239</v>
      </c>
      <c r="C211" t="s">
        <v>2526</v>
      </c>
      <c r="D211">
        <v>2.6527628499999998</v>
      </c>
      <c r="E211">
        <v>1.78730988</v>
      </c>
      <c r="F211">
        <v>-2.8249352299999999</v>
      </c>
      <c r="G211">
        <v>0</v>
      </c>
      <c r="H211">
        <v>0</v>
      </c>
      <c r="I211">
        <v>0</v>
      </c>
      <c r="K211" s="60">
        <f t="shared" si="6"/>
        <v>6.631907125E-2</v>
      </c>
      <c r="L211" s="60">
        <f t="shared" si="7"/>
        <v>4.4682747000000002E-2</v>
      </c>
      <c r="M211" s="60">
        <f t="shared" si="8"/>
        <v>-7.0623380749999992E-2</v>
      </c>
      <c r="O211" s="60">
        <f t="shared" si="9"/>
        <v>0.56631907125000003</v>
      </c>
      <c r="P211" s="60">
        <f t="shared" si="10"/>
        <v>0.54468274699999997</v>
      </c>
      <c r="Q211" s="60">
        <f t="shared" si="11"/>
        <v>0.42937661925000004</v>
      </c>
    </row>
    <row r="212" spans="2:17" ht="15" customHeight="1" x14ac:dyDescent="0.25">
      <c r="B212">
        <v>196.966995239</v>
      </c>
      <c r="C212" t="s">
        <v>2526</v>
      </c>
      <c r="D212">
        <v>2.6072129099999999</v>
      </c>
      <c r="E212">
        <v>-0.19200063000000001</v>
      </c>
      <c r="F212">
        <v>-1.2482479500000001</v>
      </c>
      <c r="G212">
        <v>0</v>
      </c>
      <c r="H212">
        <v>0</v>
      </c>
      <c r="I212">
        <v>0</v>
      </c>
      <c r="K212" s="60">
        <f t="shared" ref="K212:K243" si="12">D212/H$142</f>
        <v>6.5180322749999992E-2</v>
      </c>
      <c r="L212" s="60">
        <f t="shared" ref="L212:L243" si="13">E212/I$142</f>
        <v>-4.80001575E-3</v>
      </c>
      <c r="M212" s="60">
        <f t="shared" ref="M212:M243" si="14">F212/J$142</f>
        <v>-3.1206198750000004E-2</v>
      </c>
      <c r="O212" s="60">
        <f t="shared" ref="O212:O243" si="15">K212+0.5</f>
        <v>0.56518032274999996</v>
      </c>
      <c r="P212" s="60">
        <f t="shared" ref="P212:P243" si="16">L212+0.5</f>
        <v>0.49519998425</v>
      </c>
      <c r="Q212" s="60">
        <f t="shared" ref="Q212:Q243" si="17">M212+0.5</f>
        <v>0.46879380124999998</v>
      </c>
    </row>
    <row r="213" spans="2:17" ht="15" customHeight="1" x14ac:dyDescent="0.25">
      <c r="B213">
        <v>196.966995239</v>
      </c>
      <c r="C213" t="s">
        <v>2526</v>
      </c>
      <c r="D213">
        <v>-0.80195486999999999</v>
      </c>
      <c r="E213">
        <v>-0.53233264000000002</v>
      </c>
      <c r="F213">
        <v>-3.8081244299999999</v>
      </c>
      <c r="G213">
        <v>0</v>
      </c>
      <c r="H213">
        <v>0</v>
      </c>
      <c r="I213">
        <v>0</v>
      </c>
      <c r="K213" s="60">
        <f t="shared" si="12"/>
        <v>-2.0048871749999999E-2</v>
      </c>
      <c r="L213" s="60">
        <f t="shared" si="13"/>
        <v>-1.3308316000000001E-2</v>
      </c>
      <c r="M213" s="60">
        <f t="shared" si="14"/>
        <v>-9.520311075E-2</v>
      </c>
      <c r="O213" s="60">
        <f t="shared" si="15"/>
        <v>0.47995112825000003</v>
      </c>
      <c r="P213" s="60">
        <f t="shared" si="16"/>
        <v>0.48669168400000001</v>
      </c>
      <c r="Q213" s="60">
        <f t="shared" si="17"/>
        <v>0.40479688925000001</v>
      </c>
    </row>
    <row r="214" spans="2:17" ht="15" customHeight="1" x14ac:dyDescent="0.25">
      <c r="B214">
        <v>196.966995239</v>
      </c>
      <c r="C214" t="s">
        <v>2526</v>
      </c>
      <c r="D214">
        <v>2.2927547399999999</v>
      </c>
      <c r="E214">
        <v>-2.0601351499999998</v>
      </c>
      <c r="F214">
        <v>1.87953846</v>
      </c>
      <c r="G214">
        <v>0</v>
      </c>
      <c r="H214">
        <v>0</v>
      </c>
      <c r="I214">
        <v>0</v>
      </c>
      <c r="K214" s="60">
        <f t="shared" si="12"/>
        <v>5.7318868499999995E-2</v>
      </c>
      <c r="L214" s="60">
        <f t="shared" si="13"/>
        <v>-5.1503378749999995E-2</v>
      </c>
      <c r="M214" s="60">
        <f t="shared" si="14"/>
        <v>4.6988461500000002E-2</v>
      </c>
      <c r="O214" s="60">
        <f t="shared" si="15"/>
        <v>0.55731886850000001</v>
      </c>
      <c r="P214" s="60">
        <f t="shared" si="16"/>
        <v>0.44849662125</v>
      </c>
      <c r="Q214" s="60">
        <f t="shared" si="17"/>
        <v>0.54698846150000002</v>
      </c>
    </row>
    <row r="215" spans="2:17" ht="15" customHeight="1" x14ac:dyDescent="0.25">
      <c r="B215">
        <v>196.966995239</v>
      </c>
      <c r="C215" t="s">
        <v>2526</v>
      </c>
      <c r="D215">
        <v>4.1389452100000002</v>
      </c>
      <c r="E215">
        <v>-0.25162760000000001</v>
      </c>
      <c r="F215">
        <v>-3.1742688999999999</v>
      </c>
      <c r="G215">
        <v>0</v>
      </c>
      <c r="H215">
        <v>0</v>
      </c>
      <c r="I215">
        <v>0</v>
      </c>
      <c r="K215" s="60">
        <f t="shared" si="12"/>
        <v>0.10347363025</v>
      </c>
      <c r="L215" s="60">
        <f t="shared" si="13"/>
        <v>-6.2906899999999998E-3</v>
      </c>
      <c r="M215" s="60">
        <f t="shared" si="14"/>
        <v>-7.9356722500000004E-2</v>
      </c>
      <c r="O215" s="60">
        <f t="shared" si="15"/>
        <v>0.60347363025</v>
      </c>
      <c r="P215" s="60">
        <f t="shared" si="16"/>
        <v>0.49370931000000001</v>
      </c>
      <c r="Q215" s="60">
        <f t="shared" si="17"/>
        <v>0.42064327749999997</v>
      </c>
    </row>
    <row r="216" spans="2:17" ht="15" customHeight="1" x14ac:dyDescent="0.25">
      <c r="B216">
        <v>196.966995239</v>
      </c>
      <c r="C216" t="s">
        <v>2526</v>
      </c>
      <c r="D216">
        <v>1.1164364899999999</v>
      </c>
      <c r="E216">
        <v>1.8527913300000001</v>
      </c>
      <c r="F216">
        <v>-0.81573941000000005</v>
      </c>
      <c r="G216">
        <v>0</v>
      </c>
      <c r="H216">
        <v>0</v>
      </c>
      <c r="I216">
        <v>0</v>
      </c>
      <c r="K216" s="60">
        <f t="shared" si="12"/>
        <v>2.7910912249999996E-2</v>
      </c>
      <c r="L216" s="60">
        <f t="shared" si="13"/>
        <v>4.6319783250000003E-2</v>
      </c>
      <c r="M216" s="60">
        <f t="shared" si="14"/>
        <v>-2.0393485250000003E-2</v>
      </c>
      <c r="O216" s="60">
        <f t="shared" si="15"/>
        <v>0.52791091224999998</v>
      </c>
      <c r="P216" s="60">
        <f t="shared" si="16"/>
        <v>0.54631978324999997</v>
      </c>
      <c r="Q216" s="60">
        <f t="shared" si="17"/>
        <v>0.47960651474999999</v>
      </c>
    </row>
    <row r="217" spans="2:17" ht="15" customHeight="1" x14ac:dyDescent="0.25">
      <c r="B217">
        <v>196.966995239</v>
      </c>
      <c r="C217" t="s">
        <v>2526</v>
      </c>
      <c r="D217">
        <v>-2.25320674</v>
      </c>
      <c r="E217">
        <v>4.3404117900000001</v>
      </c>
      <c r="F217">
        <v>0.36980532999999999</v>
      </c>
      <c r="G217">
        <v>0</v>
      </c>
      <c r="H217">
        <v>0</v>
      </c>
      <c r="I217">
        <v>0</v>
      </c>
      <c r="K217" s="60">
        <f t="shared" si="12"/>
        <v>-5.63301685E-2</v>
      </c>
      <c r="L217" s="60">
        <f t="shared" si="13"/>
        <v>0.10851029475</v>
      </c>
      <c r="M217" s="60">
        <f t="shared" si="14"/>
        <v>9.245133249999999E-3</v>
      </c>
      <c r="O217" s="60">
        <f t="shared" si="15"/>
        <v>0.4436698315</v>
      </c>
      <c r="P217" s="60">
        <f t="shared" si="16"/>
        <v>0.60851029474999996</v>
      </c>
      <c r="Q217" s="60">
        <f t="shared" si="17"/>
        <v>0.50924513324999998</v>
      </c>
    </row>
    <row r="218" spans="2:17" ht="15" customHeight="1" x14ac:dyDescent="0.25">
      <c r="B218">
        <v>196.966995239</v>
      </c>
      <c r="C218" t="s">
        <v>2526</v>
      </c>
      <c r="D218">
        <v>1.95706476</v>
      </c>
      <c r="E218">
        <v>-0.93217475999999999</v>
      </c>
      <c r="F218">
        <v>7.4562216299999999</v>
      </c>
      <c r="G218">
        <v>0</v>
      </c>
      <c r="H218">
        <v>0</v>
      </c>
      <c r="I218">
        <v>0</v>
      </c>
      <c r="K218" s="60">
        <f t="shared" si="12"/>
        <v>4.8926618999999998E-2</v>
      </c>
      <c r="L218" s="60">
        <f t="shared" si="13"/>
        <v>-2.3304368999999998E-2</v>
      </c>
      <c r="M218" s="60">
        <f t="shared" si="14"/>
        <v>0.18640554074999999</v>
      </c>
      <c r="O218" s="60">
        <f t="shared" si="15"/>
        <v>0.54892661899999995</v>
      </c>
      <c r="P218" s="60">
        <f t="shared" si="16"/>
        <v>0.47669563100000001</v>
      </c>
      <c r="Q218" s="60">
        <f t="shared" si="17"/>
        <v>0.68640554075000004</v>
      </c>
    </row>
    <row r="219" spans="2:17" ht="15" customHeight="1" x14ac:dyDescent="0.25">
      <c r="B219">
        <v>196.966995239</v>
      </c>
      <c r="C219" t="s">
        <v>2526</v>
      </c>
      <c r="D219">
        <v>2.5126266099999999</v>
      </c>
      <c r="E219">
        <v>-4.2233361199999999</v>
      </c>
      <c r="F219">
        <v>0.57894520999999999</v>
      </c>
      <c r="G219">
        <v>0</v>
      </c>
      <c r="H219">
        <v>0</v>
      </c>
      <c r="I219">
        <v>0</v>
      </c>
      <c r="K219" s="60">
        <f t="shared" si="12"/>
        <v>6.281566525E-2</v>
      </c>
      <c r="L219" s="60">
        <f t="shared" si="13"/>
        <v>-0.10558340299999999</v>
      </c>
      <c r="M219" s="60">
        <f t="shared" si="14"/>
        <v>1.4473630249999999E-2</v>
      </c>
      <c r="O219" s="60">
        <f t="shared" si="15"/>
        <v>0.56281566525000004</v>
      </c>
      <c r="P219" s="60">
        <f t="shared" si="16"/>
        <v>0.39441659699999998</v>
      </c>
      <c r="Q219" s="60">
        <f t="shared" si="17"/>
        <v>0.51447363025000004</v>
      </c>
    </row>
    <row r="220" spans="2:17" ht="15" customHeight="1" x14ac:dyDescent="0.25">
      <c r="B220">
        <v>196.966995239</v>
      </c>
      <c r="C220" t="s">
        <v>2526</v>
      </c>
      <c r="D220">
        <v>4.0493048299999996</v>
      </c>
      <c r="E220">
        <v>-4.2880982999999997</v>
      </c>
      <c r="F220">
        <v>-1.46629107</v>
      </c>
      <c r="G220">
        <v>0</v>
      </c>
      <c r="H220">
        <v>0</v>
      </c>
      <c r="I220">
        <v>0</v>
      </c>
      <c r="K220" s="60">
        <f t="shared" si="12"/>
        <v>0.10123262074999999</v>
      </c>
      <c r="L220" s="60">
        <f t="shared" si="13"/>
        <v>-0.10720245749999999</v>
      </c>
      <c r="M220" s="60">
        <f t="shared" si="14"/>
        <v>-3.6657276750000002E-2</v>
      </c>
      <c r="O220" s="60">
        <f t="shared" si="15"/>
        <v>0.60123262074999995</v>
      </c>
      <c r="P220" s="60">
        <f t="shared" si="16"/>
        <v>0.39279754249999999</v>
      </c>
      <c r="Q220" s="60">
        <f t="shared" si="17"/>
        <v>0.46334272324999998</v>
      </c>
    </row>
    <row r="221" spans="2:17" ht="15" customHeight="1" x14ac:dyDescent="0.25">
      <c r="B221">
        <v>196.966995239</v>
      </c>
      <c r="C221" t="s">
        <v>2526</v>
      </c>
      <c r="D221">
        <v>0.95842179999999999</v>
      </c>
      <c r="E221">
        <v>5.3141681900000002</v>
      </c>
      <c r="F221">
        <v>1.7970641999999999</v>
      </c>
      <c r="G221">
        <v>0</v>
      </c>
      <c r="H221">
        <v>0</v>
      </c>
      <c r="I221">
        <v>0</v>
      </c>
      <c r="K221" s="60">
        <f t="shared" si="12"/>
        <v>2.3960545E-2</v>
      </c>
      <c r="L221" s="60">
        <f t="shared" si="13"/>
        <v>0.13285420475000001</v>
      </c>
      <c r="M221" s="60">
        <f t="shared" si="14"/>
        <v>4.4926604999999994E-2</v>
      </c>
      <c r="O221" s="60">
        <f t="shared" si="15"/>
        <v>0.523960545</v>
      </c>
      <c r="P221" s="60">
        <f t="shared" si="16"/>
        <v>0.63285420474999998</v>
      </c>
      <c r="Q221" s="60">
        <f t="shared" si="17"/>
        <v>0.54492660500000001</v>
      </c>
    </row>
    <row r="222" spans="2:17" ht="15" customHeight="1" x14ac:dyDescent="0.25">
      <c r="B222">
        <v>196.966995239</v>
      </c>
      <c r="C222" t="s">
        <v>2526</v>
      </c>
      <c r="D222">
        <v>0.97204252999999996</v>
      </c>
      <c r="E222">
        <v>7.2017029800000003</v>
      </c>
      <c r="F222">
        <v>0.28972543000000001</v>
      </c>
      <c r="G222">
        <v>0</v>
      </c>
      <c r="H222">
        <v>0</v>
      </c>
      <c r="I222">
        <v>0</v>
      </c>
      <c r="K222" s="60">
        <f t="shared" si="12"/>
        <v>2.4301063249999998E-2</v>
      </c>
      <c r="L222" s="60">
        <f t="shared" si="13"/>
        <v>0.1800425745</v>
      </c>
      <c r="M222" s="60">
        <f t="shared" si="14"/>
        <v>7.24313575E-3</v>
      </c>
      <c r="O222" s="60">
        <f t="shared" si="15"/>
        <v>0.52430106325000003</v>
      </c>
      <c r="P222" s="60">
        <f t="shared" si="16"/>
        <v>0.68004257450000005</v>
      </c>
      <c r="Q222" s="60">
        <f t="shared" si="17"/>
        <v>0.50724313575000002</v>
      </c>
    </row>
    <row r="223" spans="2:17" ht="15" customHeight="1" x14ac:dyDescent="0.25">
      <c r="B223">
        <v>196.966995239</v>
      </c>
      <c r="C223" t="s">
        <v>2526</v>
      </c>
      <c r="D223">
        <v>-9.1250709999999999E-2</v>
      </c>
      <c r="E223">
        <v>3.18787339</v>
      </c>
      <c r="F223">
        <v>0.9459824</v>
      </c>
      <c r="G223">
        <v>0</v>
      </c>
      <c r="H223">
        <v>0</v>
      </c>
      <c r="I223">
        <v>0</v>
      </c>
      <c r="K223" s="60">
        <f t="shared" si="12"/>
        <v>-2.2812677500000001E-3</v>
      </c>
      <c r="L223" s="60">
        <f t="shared" si="13"/>
        <v>7.9696834750000001E-2</v>
      </c>
      <c r="M223" s="60">
        <f t="shared" si="14"/>
        <v>2.364956E-2</v>
      </c>
      <c r="O223" s="60">
        <f t="shared" si="15"/>
        <v>0.49771873225000002</v>
      </c>
      <c r="P223" s="60">
        <f t="shared" si="16"/>
        <v>0.57969683475</v>
      </c>
      <c r="Q223" s="60">
        <f t="shared" si="17"/>
        <v>0.52364955999999996</v>
      </c>
    </row>
    <row r="224" spans="2:17" ht="15" customHeight="1" x14ac:dyDescent="0.25">
      <c r="B224">
        <v>196.966995239</v>
      </c>
      <c r="C224" t="s">
        <v>2526</v>
      </c>
      <c r="D224">
        <v>-2.1549645100000001</v>
      </c>
      <c r="E224">
        <v>-3.6978344600000002</v>
      </c>
      <c r="F224">
        <v>6.5340749899999997</v>
      </c>
      <c r="G224">
        <v>0</v>
      </c>
      <c r="H224">
        <v>0</v>
      </c>
      <c r="I224">
        <v>0</v>
      </c>
      <c r="K224" s="60">
        <f t="shared" si="12"/>
        <v>-5.3874112750000001E-2</v>
      </c>
      <c r="L224" s="60">
        <f t="shared" si="13"/>
        <v>-9.2445861500000004E-2</v>
      </c>
      <c r="M224" s="60">
        <f t="shared" si="14"/>
        <v>0.16335187474999999</v>
      </c>
      <c r="O224" s="60">
        <f t="shared" si="15"/>
        <v>0.44612588725000002</v>
      </c>
      <c r="P224" s="60">
        <f t="shared" si="16"/>
        <v>0.4075541385</v>
      </c>
      <c r="Q224" s="60">
        <f t="shared" si="17"/>
        <v>0.66335187475000001</v>
      </c>
    </row>
    <row r="225" spans="2:17" ht="15" customHeight="1" x14ac:dyDescent="0.25">
      <c r="B225">
        <v>196.966995239</v>
      </c>
      <c r="C225" t="s">
        <v>2526</v>
      </c>
      <c r="D225">
        <v>5.2153854800000001</v>
      </c>
      <c r="E225">
        <v>-6.1059186199999997</v>
      </c>
      <c r="F225">
        <v>-0.30532998</v>
      </c>
      <c r="G225">
        <v>0</v>
      </c>
      <c r="H225">
        <v>0</v>
      </c>
      <c r="I225">
        <v>0</v>
      </c>
      <c r="K225" s="60">
        <f t="shared" si="12"/>
        <v>0.130384637</v>
      </c>
      <c r="L225" s="60">
        <f t="shared" si="13"/>
        <v>-0.15264796549999998</v>
      </c>
      <c r="M225" s="60">
        <f t="shared" si="14"/>
        <v>-7.6332494999999997E-3</v>
      </c>
      <c r="O225" s="60">
        <f t="shared" si="15"/>
        <v>0.63038463700000003</v>
      </c>
      <c r="P225" s="60">
        <f t="shared" si="16"/>
        <v>0.34735203450000002</v>
      </c>
      <c r="Q225" s="60">
        <f t="shared" si="17"/>
        <v>0.49236675050000001</v>
      </c>
    </row>
    <row r="226" spans="2:17" ht="15" customHeight="1" x14ac:dyDescent="0.25">
      <c r="B226">
        <v>196.966995239</v>
      </c>
      <c r="C226" t="s">
        <v>2526</v>
      </c>
      <c r="D226">
        <v>4.6290496000000001</v>
      </c>
      <c r="E226">
        <v>2.19735207</v>
      </c>
      <c r="F226">
        <v>2.0223373200000001</v>
      </c>
      <c r="G226">
        <v>0</v>
      </c>
      <c r="H226">
        <v>0</v>
      </c>
      <c r="I226">
        <v>0</v>
      </c>
      <c r="K226" s="60">
        <f t="shared" si="12"/>
        <v>0.11572624000000001</v>
      </c>
      <c r="L226" s="60">
        <f t="shared" si="13"/>
        <v>5.4933801749999997E-2</v>
      </c>
      <c r="M226" s="60">
        <f t="shared" si="14"/>
        <v>5.0558433E-2</v>
      </c>
      <c r="O226" s="60">
        <f t="shared" si="15"/>
        <v>0.61572623999999998</v>
      </c>
      <c r="P226" s="60">
        <f t="shared" si="16"/>
        <v>0.55493380174999996</v>
      </c>
      <c r="Q226" s="60">
        <f t="shared" si="17"/>
        <v>0.55055843299999996</v>
      </c>
    </row>
    <row r="227" spans="2:17" ht="15" customHeight="1" x14ac:dyDescent="0.25">
      <c r="B227">
        <v>196.966995239</v>
      </c>
      <c r="C227" t="s">
        <v>2526</v>
      </c>
      <c r="D227">
        <v>1.8884635999999999</v>
      </c>
      <c r="E227">
        <v>3.6104618899999998</v>
      </c>
      <c r="F227">
        <v>5.7901257099999999</v>
      </c>
      <c r="G227">
        <v>0</v>
      </c>
      <c r="H227">
        <v>0</v>
      </c>
      <c r="I227">
        <v>0</v>
      </c>
      <c r="K227" s="60">
        <f t="shared" si="12"/>
        <v>4.7211589999999998E-2</v>
      </c>
      <c r="L227" s="60">
        <f t="shared" si="13"/>
        <v>9.026154724999999E-2</v>
      </c>
      <c r="M227" s="60">
        <f t="shared" si="14"/>
        <v>0.14475314275000001</v>
      </c>
      <c r="O227" s="60">
        <f t="shared" si="15"/>
        <v>0.54721158999999997</v>
      </c>
      <c r="P227" s="60">
        <f t="shared" si="16"/>
        <v>0.59026154725000002</v>
      </c>
      <c r="Q227" s="60">
        <f t="shared" si="17"/>
        <v>0.64475314274999995</v>
      </c>
    </row>
    <row r="228" spans="2:17" ht="15" customHeight="1" x14ac:dyDescent="0.25">
      <c r="B228">
        <v>196.966995239</v>
      </c>
      <c r="C228" t="s">
        <v>2526</v>
      </c>
      <c r="D228">
        <v>-2.99118949</v>
      </c>
      <c r="E228">
        <v>-2.92512091</v>
      </c>
      <c r="F228">
        <v>-2.5721810000000001E-2</v>
      </c>
      <c r="G228">
        <v>0</v>
      </c>
      <c r="H228">
        <v>0</v>
      </c>
      <c r="I228">
        <v>0</v>
      </c>
      <c r="K228" s="60">
        <f t="shared" si="12"/>
        <v>-7.4779737250000006E-2</v>
      </c>
      <c r="L228" s="60">
        <f t="shared" si="13"/>
        <v>-7.3128022749999994E-2</v>
      </c>
      <c r="M228" s="60">
        <f t="shared" si="14"/>
        <v>-6.4304525000000005E-4</v>
      </c>
      <c r="O228" s="60">
        <f t="shared" si="15"/>
        <v>0.42522026275000002</v>
      </c>
      <c r="P228" s="60">
        <f t="shared" si="16"/>
        <v>0.42687197725000003</v>
      </c>
      <c r="Q228" s="60">
        <f t="shared" si="17"/>
        <v>0.49935695475000003</v>
      </c>
    </row>
    <row r="229" spans="2:17" ht="15" customHeight="1" x14ac:dyDescent="0.25">
      <c r="B229">
        <v>196.966995239</v>
      </c>
      <c r="C229" t="s">
        <v>2526</v>
      </c>
      <c r="D229">
        <v>-0.73525119000000005</v>
      </c>
      <c r="E229">
        <v>-3.72132467</v>
      </c>
      <c r="F229">
        <v>-0.93614182999999995</v>
      </c>
      <c r="G229">
        <v>0</v>
      </c>
      <c r="H229">
        <v>0</v>
      </c>
      <c r="I229">
        <v>0</v>
      </c>
      <c r="K229" s="60">
        <f t="shared" si="12"/>
        <v>-1.838127975E-2</v>
      </c>
      <c r="L229" s="60">
        <f t="shared" si="13"/>
        <v>-9.3033116750000006E-2</v>
      </c>
      <c r="M229" s="60">
        <f t="shared" si="14"/>
        <v>-2.3403545749999997E-2</v>
      </c>
      <c r="O229" s="60">
        <f t="shared" si="15"/>
        <v>0.48161872025000002</v>
      </c>
      <c r="P229" s="60">
        <f t="shared" si="16"/>
        <v>0.40696688324999997</v>
      </c>
      <c r="Q229" s="60">
        <f t="shared" si="17"/>
        <v>0.47659645425000002</v>
      </c>
    </row>
    <row r="230" spans="2:17" ht="15" customHeight="1" x14ac:dyDescent="0.25">
      <c r="B230">
        <v>196.966995239</v>
      </c>
      <c r="C230" t="s">
        <v>2526</v>
      </c>
      <c r="D230">
        <v>2.7992834000000002</v>
      </c>
      <c r="E230">
        <v>-6.2592596399999998</v>
      </c>
      <c r="F230">
        <v>-0.63468807000000005</v>
      </c>
      <c r="G230">
        <v>0</v>
      </c>
      <c r="H230">
        <v>0</v>
      </c>
      <c r="I230">
        <v>0</v>
      </c>
      <c r="K230" s="60">
        <f t="shared" si="12"/>
        <v>6.9982084999999999E-2</v>
      </c>
      <c r="L230" s="60">
        <f t="shared" si="13"/>
        <v>-0.156481491</v>
      </c>
      <c r="M230" s="60">
        <f t="shared" si="14"/>
        <v>-1.5867201750000001E-2</v>
      </c>
      <c r="O230" s="60">
        <f t="shared" si="15"/>
        <v>0.56998208500000003</v>
      </c>
      <c r="P230" s="60">
        <f t="shared" si="16"/>
        <v>0.34351850900000003</v>
      </c>
      <c r="Q230" s="60">
        <f t="shared" si="17"/>
        <v>0.48413279825</v>
      </c>
    </row>
    <row r="231" spans="2:17" ht="15" customHeight="1" x14ac:dyDescent="0.25">
      <c r="B231">
        <v>196.966995239</v>
      </c>
      <c r="C231" t="s">
        <v>2526</v>
      </c>
      <c r="D231">
        <v>-4.3533570000000001E-2</v>
      </c>
      <c r="E231">
        <v>5.1687160600000004</v>
      </c>
      <c r="F231">
        <v>-0.60656376999999995</v>
      </c>
      <c r="G231">
        <v>0</v>
      </c>
      <c r="H231">
        <v>0</v>
      </c>
      <c r="I231">
        <v>0</v>
      </c>
      <c r="K231" s="60">
        <f t="shared" si="12"/>
        <v>-1.0883392500000001E-3</v>
      </c>
      <c r="L231" s="60">
        <f t="shared" si="13"/>
        <v>0.12921790150000001</v>
      </c>
      <c r="M231" s="60">
        <f t="shared" si="14"/>
        <v>-1.5164094249999999E-2</v>
      </c>
      <c r="O231" s="60">
        <f t="shared" si="15"/>
        <v>0.49891166074999999</v>
      </c>
      <c r="P231" s="60">
        <f t="shared" si="16"/>
        <v>0.62921790150000001</v>
      </c>
      <c r="Q231" s="60">
        <f t="shared" si="17"/>
        <v>0.48483590575000002</v>
      </c>
    </row>
    <row r="232" spans="2:17" ht="15" customHeight="1" x14ac:dyDescent="0.25">
      <c r="B232">
        <v>196.966995239</v>
      </c>
      <c r="C232" t="s">
        <v>2526</v>
      </c>
      <c r="D232">
        <v>-3.2232349400000002</v>
      </c>
      <c r="E232">
        <v>2.14946305</v>
      </c>
      <c r="F232">
        <v>-0.3650891</v>
      </c>
      <c r="G232">
        <v>0</v>
      </c>
      <c r="H232">
        <v>0</v>
      </c>
      <c r="I232">
        <v>0</v>
      </c>
      <c r="K232" s="60">
        <f t="shared" si="12"/>
        <v>-8.0580873500000011E-2</v>
      </c>
      <c r="L232" s="60">
        <f t="shared" si="13"/>
        <v>5.3736576250000001E-2</v>
      </c>
      <c r="M232" s="60">
        <f t="shared" si="14"/>
        <v>-9.1272274999999996E-3</v>
      </c>
      <c r="O232" s="60">
        <f t="shared" si="15"/>
        <v>0.41941912650000002</v>
      </c>
      <c r="P232" s="60">
        <f t="shared" si="16"/>
        <v>0.55373657624999995</v>
      </c>
      <c r="Q232" s="60">
        <f t="shared" si="17"/>
        <v>0.4908727725</v>
      </c>
    </row>
    <row r="233" spans="2:17" ht="15" customHeight="1" x14ac:dyDescent="0.25">
      <c r="B233">
        <v>196.966995239</v>
      </c>
      <c r="C233" t="s">
        <v>2526</v>
      </c>
      <c r="D233">
        <v>1.5567360800000001</v>
      </c>
      <c r="E233">
        <v>-4.4197036399999998</v>
      </c>
      <c r="F233">
        <v>-1.7371054800000001</v>
      </c>
      <c r="G233">
        <v>0</v>
      </c>
      <c r="H233">
        <v>0</v>
      </c>
      <c r="I233">
        <v>0</v>
      </c>
      <c r="K233" s="60">
        <f t="shared" si="12"/>
        <v>3.8918402000000005E-2</v>
      </c>
      <c r="L233" s="60">
        <f t="shared" si="13"/>
        <v>-0.110492591</v>
      </c>
      <c r="M233" s="60">
        <f t="shared" si="14"/>
        <v>-4.3427637000000005E-2</v>
      </c>
      <c r="O233" s="60">
        <f t="shared" si="15"/>
        <v>0.53891840199999996</v>
      </c>
      <c r="P233" s="60">
        <f t="shared" si="16"/>
        <v>0.38950740900000003</v>
      </c>
      <c r="Q233" s="60">
        <f t="shared" si="17"/>
        <v>0.45657236299999998</v>
      </c>
    </row>
    <row r="234" spans="2:17" ht="15" customHeight="1" x14ac:dyDescent="0.25">
      <c r="B234">
        <v>196.966995239</v>
      </c>
      <c r="C234" t="s">
        <v>2526</v>
      </c>
      <c r="D234">
        <v>1.4816346600000001</v>
      </c>
      <c r="E234">
        <v>-5.5184009200000004</v>
      </c>
      <c r="F234">
        <v>2.5068743599999999</v>
      </c>
      <c r="G234">
        <v>0</v>
      </c>
      <c r="H234">
        <v>0</v>
      </c>
      <c r="I234">
        <v>0</v>
      </c>
      <c r="K234" s="60">
        <f t="shared" si="12"/>
        <v>3.7040866500000005E-2</v>
      </c>
      <c r="L234" s="60">
        <f t="shared" si="13"/>
        <v>-0.13796002300000001</v>
      </c>
      <c r="M234" s="60">
        <f t="shared" si="14"/>
        <v>6.2671858999999996E-2</v>
      </c>
      <c r="O234" s="60">
        <f t="shared" si="15"/>
        <v>0.53704086650000005</v>
      </c>
      <c r="P234" s="60">
        <f t="shared" si="16"/>
        <v>0.36203997700000001</v>
      </c>
      <c r="Q234" s="60">
        <f t="shared" si="17"/>
        <v>0.56267185899999994</v>
      </c>
    </row>
    <row r="235" spans="2:17" ht="15" customHeight="1" x14ac:dyDescent="0.25">
      <c r="B235">
        <v>196.966995239</v>
      </c>
      <c r="C235" t="s">
        <v>2526</v>
      </c>
      <c r="D235">
        <v>6.01298333</v>
      </c>
      <c r="E235">
        <v>-3.87917588</v>
      </c>
      <c r="F235">
        <v>3.3268992900000001</v>
      </c>
      <c r="G235">
        <v>0</v>
      </c>
      <c r="H235">
        <v>0</v>
      </c>
      <c r="I235">
        <v>0</v>
      </c>
      <c r="K235" s="60">
        <f t="shared" si="12"/>
        <v>0.15032458325</v>
      </c>
      <c r="L235" s="60">
        <f t="shared" si="13"/>
        <v>-9.6979396999999995E-2</v>
      </c>
      <c r="M235" s="60">
        <f t="shared" si="14"/>
        <v>8.3172482249999999E-2</v>
      </c>
      <c r="O235" s="60">
        <f t="shared" si="15"/>
        <v>0.65032458324999998</v>
      </c>
      <c r="P235" s="60">
        <f t="shared" si="16"/>
        <v>0.40302060299999998</v>
      </c>
      <c r="Q235" s="60">
        <f t="shared" si="17"/>
        <v>0.58317248224999996</v>
      </c>
    </row>
    <row r="236" spans="2:17" ht="15" customHeight="1" x14ac:dyDescent="0.25">
      <c r="B236">
        <v>196.966995239</v>
      </c>
      <c r="C236" t="s">
        <v>2526</v>
      </c>
      <c r="D236">
        <v>6.0870122000000002</v>
      </c>
      <c r="E236">
        <v>2.0991037399999999</v>
      </c>
      <c r="F236">
        <v>-2.9734420000000001E-2</v>
      </c>
      <c r="G236">
        <v>0</v>
      </c>
      <c r="H236">
        <v>0</v>
      </c>
      <c r="I236">
        <v>0</v>
      </c>
      <c r="K236" s="60">
        <f t="shared" si="12"/>
        <v>0.15217530500000001</v>
      </c>
      <c r="L236" s="60">
        <f t="shared" si="13"/>
        <v>5.2477593499999996E-2</v>
      </c>
      <c r="M236" s="60">
        <f t="shared" si="14"/>
        <v>-7.4336050000000005E-4</v>
      </c>
      <c r="O236" s="60">
        <f t="shared" si="15"/>
        <v>0.65217530499999998</v>
      </c>
      <c r="P236" s="60">
        <f t="shared" si="16"/>
        <v>0.55247759350000003</v>
      </c>
      <c r="Q236" s="60">
        <f t="shared" si="17"/>
        <v>0.49925663949999999</v>
      </c>
    </row>
    <row r="237" spans="2:17" ht="15" customHeight="1" x14ac:dyDescent="0.25">
      <c r="B237">
        <v>196.966995239</v>
      </c>
      <c r="C237" t="s">
        <v>2526</v>
      </c>
      <c r="D237">
        <v>-4.4645363700000003</v>
      </c>
      <c r="E237">
        <v>2.4213770700000001</v>
      </c>
      <c r="F237">
        <v>5.60611164</v>
      </c>
      <c r="G237">
        <v>0</v>
      </c>
      <c r="H237">
        <v>0</v>
      </c>
      <c r="I237">
        <v>0</v>
      </c>
      <c r="K237" s="60">
        <f t="shared" si="12"/>
        <v>-0.11161340925</v>
      </c>
      <c r="L237" s="60">
        <f t="shared" si="13"/>
        <v>6.0534426750000002E-2</v>
      </c>
      <c r="M237" s="60">
        <f t="shared" si="14"/>
        <v>0.140152791</v>
      </c>
      <c r="O237" s="60">
        <f t="shared" si="15"/>
        <v>0.38838659074999998</v>
      </c>
      <c r="P237" s="60">
        <f t="shared" si="16"/>
        <v>0.56053442674999998</v>
      </c>
      <c r="Q237" s="60">
        <f t="shared" si="17"/>
        <v>0.640152791</v>
      </c>
    </row>
    <row r="238" spans="2:17" ht="15" customHeight="1" x14ac:dyDescent="0.25">
      <c r="B238">
        <v>196.966995239</v>
      </c>
      <c r="C238" t="s">
        <v>2526</v>
      </c>
      <c r="D238">
        <v>0.16536681</v>
      </c>
      <c r="E238">
        <v>1.62317245</v>
      </c>
      <c r="F238">
        <v>-3.1122271600000002</v>
      </c>
      <c r="G238">
        <v>0</v>
      </c>
      <c r="H238">
        <v>0</v>
      </c>
      <c r="I238">
        <v>0</v>
      </c>
      <c r="K238" s="60">
        <f t="shared" si="12"/>
        <v>4.1341702500000002E-3</v>
      </c>
      <c r="L238" s="60">
        <f t="shared" si="13"/>
        <v>4.057931125E-2</v>
      </c>
      <c r="M238" s="60">
        <f t="shared" si="14"/>
        <v>-7.7805679000000003E-2</v>
      </c>
      <c r="O238" s="60">
        <f t="shared" si="15"/>
        <v>0.50413417024999996</v>
      </c>
      <c r="P238" s="60">
        <f t="shared" si="16"/>
        <v>0.54057931125000003</v>
      </c>
      <c r="Q238" s="60">
        <f t="shared" si="17"/>
        <v>0.42219432099999998</v>
      </c>
    </row>
    <row r="239" spans="2:17" ht="15" customHeight="1" x14ac:dyDescent="0.25">
      <c r="B239">
        <v>196.966995239</v>
      </c>
      <c r="C239" t="s">
        <v>2526</v>
      </c>
      <c r="D239">
        <v>-1.1797539399999999</v>
      </c>
      <c r="E239">
        <v>6.4317904500000003</v>
      </c>
      <c r="F239">
        <v>1.2331938200000001</v>
      </c>
      <c r="G239">
        <v>0</v>
      </c>
      <c r="H239">
        <v>0</v>
      </c>
      <c r="I239">
        <v>0</v>
      </c>
      <c r="K239" s="60">
        <f t="shared" si="12"/>
        <v>-2.9493848499999996E-2</v>
      </c>
      <c r="L239" s="60">
        <f t="shared" si="13"/>
        <v>0.16079476125</v>
      </c>
      <c r="M239" s="60">
        <f t="shared" si="14"/>
        <v>3.0829845500000001E-2</v>
      </c>
      <c r="O239" s="60">
        <f t="shared" si="15"/>
        <v>0.47050615150000002</v>
      </c>
      <c r="P239" s="60">
        <f t="shared" si="16"/>
        <v>0.66079476125000003</v>
      </c>
      <c r="Q239" s="60">
        <f t="shared" si="17"/>
        <v>0.53082984550000001</v>
      </c>
    </row>
    <row r="240" spans="2:17" ht="15" customHeight="1" x14ac:dyDescent="0.25">
      <c r="B240">
        <v>196.966995239</v>
      </c>
      <c r="C240" t="s">
        <v>2526</v>
      </c>
      <c r="D240">
        <v>-2.0607385800000002</v>
      </c>
      <c r="E240">
        <v>-2.74327386</v>
      </c>
      <c r="F240">
        <v>2.2944939299999998</v>
      </c>
      <c r="G240">
        <v>0</v>
      </c>
      <c r="H240">
        <v>0</v>
      </c>
      <c r="I240">
        <v>0</v>
      </c>
      <c r="K240" s="60">
        <f t="shared" si="12"/>
        <v>-5.1518464500000007E-2</v>
      </c>
      <c r="L240" s="60">
        <f t="shared" si="13"/>
        <v>-6.8581846500000002E-2</v>
      </c>
      <c r="M240" s="60">
        <f t="shared" si="14"/>
        <v>5.7362348249999993E-2</v>
      </c>
      <c r="O240" s="60">
        <f t="shared" si="15"/>
        <v>0.44848153549999997</v>
      </c>
      <c r="P240" s="60">
        <f t="shared" si="16"/>
        <v>0.43141815350000001</v>
      </c>
      <c r="Q240" s="60">
        <f t="shared" si="17"/>
        <v>0.55736234824999997</v>
      </c>
    </row>
    <row r="241" spans="2:17" ht="15" customHeight="1" x14ac:dyDescent="0.25">
      <c r="B241">
        <v>196.966995239</v>
      </c>
      <c r="C241" t="s">
        <v>2526</v>
      </c>
      <c r="D241">
        <v>-2.2712570799999998</v>
      </c>
      <c r="E241">
        <v>-1.18107443</v>
      </c>
      <c r="F241">
        <v>6.4968613599999996</v>
      </c>
      <c r="G241">
        <v>0</v>
      </c>
      <c r="H241">
        <v>0</v>
      </c>
      <c r="I241">
        <v>0</v>
      </c>
      <c r="K241" s="60">
        <f t="shared" si="12"/>
        <v>-5.6781426999999995E-2</v>
      </c>
      <c r="L241" s="60">
        <f t="shared" si="13"/>
        <v>-2.9526860750000002E-2</v>
      </c>
      <c r="M241" s="60">
        <f t="shared" si="14"/>
        <v>0.16242153399999998</v>
      </c>
      <c r="O241" s="60">
        <f t="shared" si="15"/>
        <v>0.443218573</v>
      </c>
      <c r="P241" s="60">
        <f t="shared" si="16"/>
        <v>0.47047313925000001</v>
      </c>
      <c r="Q241" s="60">
        <f t="shared" si="17"/>
        <v>0.66242153399999992</v>
      </c>
    </row>
    <row r="242" spans="2:17" ht="15" customHeight="1" x14ac:dyDescent="0.25">
      <c r="B242">
        <v>196.966995239</v>
      </c>
      <c r="C242" t="s">
        <v>2526</v>
      </c>
      <c r="D242">
        <v>-0.62275829999999999</v>
      </c>
      <c r="E242">
        <v>-6.7016409699999997</v>
      </c>
      <c r="F242">
        <v>2.1295790800000001</v>
      </c>
      <c r="G242">
        <v>0</v>
      </c>
      <c r="H242">
        <v>0</v>
      </c>
      <c r="I242">
        <v>0</v>
      </c>
      <c r="K242" s="60">
        <f t="shared" si="12"/>
        <v>-1.5568957499999999E-2</v>
      </c>
      <c r="L242" s="60">
        <f t="shared" si="13"/>
        <v>-0.16754102425</v>
      </c>
      <c r="M242" s="60">
        <f t="shared" si="14"/>
        <v>5.3239477E-2</v>
      </c>
      <c r="O242" s="60">
        <f t="shared" si="15"/>
        <v>0.48443104250000002</v>
      </c>
      <c r="P242" s="60">
        <f t="shared" si="16"/>
        <v>0.33245897575</v>
      </c>
      <c r="Q242" s="60">
        <f t="shared" si="17"/>
        <v>0.55323947699999998</v>
      </c>
    </row>
    <row r="243" spans="2:17" ht="15" customHeight="1" x14ac:dyDescent="0.25">
      <c r="B243">
        <v>196.966995239</v>
      </c>
      <c r="C243" t="s">
        <v>2526</v>
      </c>
      <c r="D243">
        <v>6.5023474999999999</v>
      </c>
      <c r="E243">
        <v>-4.1004973700000003</v>
      </c>
      <c r="F243">
        <v>-1.0133276499999999</v>
      </c>
      <c r="G243">
        <v>0</v>
      </c>
      <c r="H243">
        <v>0</v>
      </c>
      <c r="I243">
        <v>0</v>
      </c>
      <c r="K243" s="60">
        <f t="shared" si="12"/>
        <v>0.16255868749999999</v>
      </c>
      <c r="L243" s="60">
        <f t="shared" si="13"/>
        <v>-0.10251243425000001</v>
      </c>
      <c r="M243" s="60">
        <f t="shared" si="14"/>
        <v>-2.5333191249999998E-2</v>
      </c>
      <c r="O243" s="60">
        <f t="shared" si="15"/>
        <v>0.66255868750000002</v>
      </c>
      <c r="P243" s="60">
        <f t="shared" si="16"/>
        <v>0.39748756574999999</v>
      </c>
      <c r="Q243" s="60">
        <f t="shared" si="17"/>
        <v>0.47466680875</v>
      </c>
    </row>
    <row r="244" spans="2:17" ht="15" customHeight="1" x14ac:dyDescent="0.25">
      <c r="B244">
        <v>196.966995239</v>
      </c>
      <c r="C244" t="s">
        <v>2526</v>
      </c>
      <c r="D244">
        <v>8.66318229</v>
      </c>
      <c r="E244">
        <v>-1.8659300400000001</v>
      </c>
      <c r="F244">
        <v>0.59323210999999998</v>
      </c>
      <c r="G244">
        <v>0</v>
      </c>
      <c r="H244">
        <v>0</v>
      </c>
      <c r="I244">
        <v>0</v>
      </c>
      <c r="K244" s="60">
        <f t="shared" ref="K244:K275" si="18">D244/H$142</f>
        <v>0.21657955725</v>
      </c>
      <c r="L244" s="60">
        <f t="shared" ref="L244:L275" si="19">E244/I$142</f>
        <v>-4.6648251000000002E-2</v>
      </c>
      <c r="M244" s="60">
        <f t="shared" ref="M244:M275" si="20">F244/J$142</f>
        <v>1.483080275E-2</v>
      </c>
      <c r="O244" s="60">
        <f t="shared" ref="O244:O275" si="21">K244+0.5</f>
        <v>0.71657955725</v>
      </c>
      <c r="P244" s="60">
        <f t="shared" ref="P244:P275" si="22">L244+0.5</f>
        <v>0.45335174899999997</v>
      </c>
      <c r="Q244" s="60">
        <f t="shared" ref="Q244:Q275" si="23">M244+0.5</f>
        <v>0.51483080275000004</v>
      </c>
    </row>
    <row r="245" spans="2:17" ht="15" customHeight="1" x14ac:dyDescent="0.25">
      <c r="B245">
        <v>196.966995239</v>
      </c>
      <c r="C245" t="s">
        <v>2526</v>
      </c>
      <c r="D245">
        <v>3.6655552600000001</v>
      </c>
      <c r="E245">
        <v>3.9610042600000002</v>
      </c>
      <c r="F245">
        <v>-2.0237446299999999</v>
      </c>
      <c r="G245">
        <v>0</v>
      </c>
      <c r="H245">
        <v>0</v>
      </c>
      <c r="I245">
        <v>0</v>
      </c>
      <c r="K245" s="60">
        <f t="shared" si="18"/>
        <v>9.1638881500000005E-2</v>
      </c>
      <c r="L245" s="60">
        <f t="shared" si="19"/>
        <v>9.9025106500000001E-2</v>
      </c>
      <c r="M245" s="60">
        <f t="shared" si="20"/>
        <v>-5.0593615750000001E-2</v>
      </c>
      <c r="O245" s="60">
        <f t="shared" si="21"/>
        <v>0.59163888149999999</v>
      </c>
      <c r="P245" s="60">
        <f t="shared" si="22"/>
        <v>0.59902510649999996</v>
      </c>
      <c r="Q245" s="60">
        <f t="shared" si="23"/>
        <v>0.44940638425000001</v>
      </c>
    </row>
    <row r="246" spans="2:17" ht="15" customHeight="1" x14ac:dyDescent="0.25">
      <c r="B246">
        <v>196.966995239</v>
      </c>
      <c r="C246" t="s">
        <v>2526</v>
      </c>
      <c r="D246">
        <v>1.9272850500000001</v>
      </c>
      <c r="E246">
        <v>5.5791248299999996</v>
      </c>
      <c r="F246">
        <v>4.2040541100000004</v>
      </c>
      <c r="G246">
        <v>0</v>
      </c>
      <c r="H246">
        <v>0</v>
      </c>
      <c r="I246">
        <v>0</v>
      </c>
      <c r="K246" s="60">
        <f t="shared" si="18"/>
        <v>4.8182126249999999E-2</v>
      </c>
      <c r="L246" s="60">
        <f t="shared" si="19"/>
        <v>0.13947812074999999</v>
      </c>
      <c r="M246" s="60">
        <f t="shared" si="20"/>
        <v>0.10510135275000002</v>
      </c>
      <c r="O246" s="60">
        <f t="shared" si="21"/>
        <v>0.54818212624999996</v>
      </c>
      <c r="P246" s="60">
        <f t="shared" si="22"/>
        <v>0.63947812074999999</v>
      </c>
      <c r="Q246" s="60">
        <f t="shared" si="23"/>
        <v>0.60510135274999999</v>
      </c>
    </row>
    <row r="247" spans="2:17" ht="15" customHeight="1" x14ac:dyDescent="0.25">
      <c r="B247">
        <v>196.966995239</v>
      </c>
      <c r="C247" t="s">
        <v>2526</v>
      </c>
      <c r="D247">
        <v>-3.3064939799999999</v>
      </c>
      <c r="E247">
        <v>5.5986836699999998</v>
      </c>
      <c r="F247">
        <v>2.17945448</v>
      </c>
      <c r="G247">
        <v>0</v>
      </c>
      <c r="H247">
        <v>0</v>
      </c>
      <c r="I247">
        <v>0</v>
      </c>
      <c r="K247" s="60">
        <f t="shared" si="18"/>
        <v>-8.2662349499999996E-2</v>
      </c>
      <c r="L247" s="60">
        <f t="shared" si="19"/>
        <v>0.13996709174999999</v>
      </c>
      <c r="M247" s="60">
        <f t="shared" si="20"/>
        <v>5.4486361999999997E-2</v>
      </c>
      <c r="O247" s="60">
        <f t="shared" si="21"/>
        <v>0.41733765049999999</v>
      </c>
      <c r="P247" s="60">
        <f t="shared" si="22"/>
        <v>0.63996709174999999</v>
      </c>
      <c r="Q247" s="60">
        <f t="shared" si="23"/>
        <v>0.55448636200000001</v>
      </c>
    </row>
    <row r="248" spans="2:17" ht="15" customHeight="1" x14ac:dyDescent="0.25">
      <c r="B248">
        <v>196.966995239</v>
      </c>
      <c r="C248" t="s">
        <v>2526</v>
      </c>
      <c r="D248">
        <v>-0.21216626</v>
      </c>
      <c r="E248">
        <v>0.21455611999999999</v>
      </c>
      <c r="F248">
        <v>6.9331804699999999</v>
      </c>
      <c r="G248">
        <v>0</v>
      </c>
      <c r="H248">
        <v>0</v>
      </c>
      <c r="I248">
        <v>0</v>
      </c>
      <c r="K248" s="60">
        <f t="shared" si="18"/>
        <v>-5.3041564999999997E-3</v>
      </c>
      <c r="L248" s="60">
        <f t="shared" si="19"/>
        <v>5.3639029999999997E-3</v>
      </c>
      <c r="M248" s="60">
        <f t="shared" si="20"/>
        <v>0.17332951175</v>
      </c>
      <c r="O248" s="60">
        <f t="shared" si="21"/>
        <v>0.49469584350000001</v>
      </c>
      <c r="P248" s="60">
        <f t="shared" si="22"/>
        <v>0.505363903</v>
      </c>
      <c r="Q248" s="60">
        <f t="shared" si="23"/>
        <v>0.67332951175</v>
      </c>
    </row>
    <row r="249" spans="2:17" ht="15" customHeight="1" x14ac:dyDescent="0.25">
      <c r="B249">
        <v>196.966995239</v>
      </c>
      <c r="C249" t="s">
        <v>2526</v>
      </c>
      <c r="D249">
        <v>-5.3992634099999997</v>
      </c>
      <c r="E249">
        <v>2.2267268200000001</v>
      </c>
      <c r="F249">
        <v>3.32451403</v>
      </c>
      <c r="G249">
        <v>0</v>
      </c>
      <c r="H249">
        <v>0</v>
      </c>
      <c r="I249">
        <v>0</v>
      </c>
      <c r="K249" s="60">
        <f t="shared" si="18"/>
        <v>-0.13498158524999998</v>
      </c>
      <c r="L249" s="60">
        <f t="shared" si="19"/>
        <v>5.5668170500000003E-2</v>
      </c>
      <c r="M249" s="60">
        <f t="shared" si="20"/>
        <v>8.3112850749999995E-2</v>
      </c>
      <c r="O249" s="60">
        <f t="shared" si="21"/>
        <v>0.36501841475000002</v>
      </c>
      <c r="P249" s="60">
        <f t="shared" si="22"/>
        <v>0.55566817049999995</v>
      </c>
      <c r="Q249" s="60">
        <f t="shared" si="23"/>
        <v>0.58311285074999997</v>
      </c>
    </row>
    <row r="250" spans="2:17" ht="15" customHeight="1" x14ac:dyDescent="0.25">
      <c r="B250">
        <v>196.966995239</v>
      </c>
      <c r="C250" t="s">
        <v>2526</v>
      </c>
      <c r="D250">
        <v>-4.0324579099999998</v>
      </c>
      <c r="E250">
        <v>-4.0888090300000002</v>
      </c>
      <c r="F250">
        <v>1.95125584</v>
      </c>
      <c r="G250">
        <v>0</v>
      </c>
      <c r="H250">
        <v>0</v>
      </c>
      <c r="I250">
        <v>0</v>
      </c>
      <c r="K250" s="60">
        <f t="shared" si="18"/>
        <v>-0.10081144774999999</v>
      </c>
      <c r="L250" s="60">
        <f t="shared" si="19"/>
        <v>-0.10222022575</v>
      </c>
      <c r="M250" s="60">
        <f t="shared" si="20"/>
        <v>4.8781395999999998E-2</v>
      </c>
      <c r="O250" s="60">
        <f t="shared" si="21"/>
        <v>0.39918855224999999</v>
      </c>
      <c r="P250" s="60">
        <f t="shared" si="22"/>
        <v>0.39777977425</v>
      </c>
      <c r="Q250" s="60">
        <f t="shared" si="23"/>
        <v>0.54878139599999998</v>
      </c>
    </row>
    <row r="251" spans="2:17" ht="15" customHeight="1" x14ac:dyDescent="0.25">
      <c r="B251">
        <v>196.966995239</v>
      </c>
      <c r="C251" t="s">
        <v>2526</v>
      </c>
      <c r="D251">
        <v>7.4383117099999998</v>
      </c>
      <c r="E251">
        <v>-3.9055892000000001</v>
      </c>
      <c r="F251">
        <v>1.27129007</v>
      </c>
      <c r="G251">
        <v>0</v>
      </c>
      <c r="H251">
        <v>0</v>
      </c>
      <c r="I251">
        <v>0</v>
      </c>
      <c r="K251" s="60">
        <f t="shared" si="18"/>
        <v>0.18595779274999999</v>
      </c>
      <c r="L251" s="60">
        <f t="shared" si="19"/>
        <v>-9.7639730000000008E-2</v>
      </c>
      <c r="M251" s="60">
        <f t="shared" si="20"/>
        <v>3.1782251750000004E-2</v>
      </c>
      <c r="O251" s="60">
        <f t="shared" si="21"/>
        <v>0.68595779275000002</v>
      </c>
      <c r="P251" s="60">
        <f t="shared" si="22"/>
        <v>0.40236026999999996</v>
      </c>
      <c r="Q251" s="60">
        <f t="shared" si="23"/>
        <v>0.53178225175000005</v>
      </c>
    </row>
    <row r="252" spans="2:17" ht="15" customHeight="1" x14ac:dyDescent="0.25">
      <c r="B252">
        <v>196.966995239</v>
      </c>
      <c r="C252" t="s">
        <v>2526</v>
      </c>
      <c r="D252">
        <v>0.31182852</v>
      </c>
      <c r="E252">
        <v>-6.5070199000000004</v>
      </c>
      <c r="F252">
        <v>4.4108345199999999</v>
      </c>
      <c r="G252">
        <v>0</v>
      </c>
      <c r="H252">
        <v>0</v>
      </c>
      <c r="I252">
        <v>0</v>
      </c>
      <c r="K252" s="60">
        <f t="shared" si="18"/>
        <v>7.7957130000000001E-3</v>
      </c>
      <c r="L252" s="60">
        <f t="shared" si="19"/>
        <v>-0.16267549750000002</v>
      </c>
      <c r="M252" s="60">
        <f t="shared" si="20"/>
        <v>0.110270863</v>
      </c>
      <c r="O252" s="60">
        <f t="shared" si="21"/>
        <v>0.50779571300000004</v>
      </c>
      <c r="P252" s="60">
        <f t="shared" si="22"/>
        <v>0.33732450250000001</v>
      </c>
      <c r="Q252" s="60">
        <f t="shared" si="23"/>
        <v>0.610270863</v>
      </c>
    </row>
    <row r="253" spans="2:17" ht="15" customHeight="1" x14ac:dyDescent="0.25">
      <c r="B253">
        <v>196.966995239</v>
      </c>
      <c r="C253" t="s">
        <v>2526</v>
      </c>
      <c r="D253">
        <v>7.5370256800000002</v>
      </c>
      <c r="E253">
        <v>2.0602575000000001</v>
      </c>
      <c r="F253">
        <v>-1.96079709</v>
      </c>
      <c r="G253">
        <v>0</v>
      </c>
      <c r="H253">
        <v>0</v>
      </c>
      <c r="I253">
        <v>0</v>
      </c>
      <c r="K253" s="60">
        <f t="shared" si="18"/>
        <v>0.188425642</v>
      </c>
      <c r="L253" s="60">
        <f t="shared" si="19"/>
        <v>5.1506437500000002E-2</v>
      </c>
      <c r="M253" s="60">
        <f t="shared" si="20"/>
        <v>-4.9019927249999998E-2</v>
      </c>
      <c r="O253" s="60">
        <f t="shared" si="21"/>
        <v>0.688425642</v>
      </c>
      <c r="P253" s="60">
        <f t="shared" si="22"/>
        <v>0.55150643750000006</v>
      </c>
      <c r="Q253" s="60">
        <f t="shared" si="23"/>
        <v>0.45098007275000002</v>
      </c>
    </row>
    <row r="254" spans="2:17" ht="15" customHeight="1" x14ac:dyDescent="0.25">
      <c r="B254">
        <v>196.966995239</v>
      </c>
      <c r="C254" t="s">
        <v>2526</v>
      </c>
      <c r="D254">
        <v>7.6652207299999997</v>
      </c>
      <c r="E254">
        <v>8.9181319999999994E-2</v>
      </c>
      <c r="F254">
        <v>-0.50482336999999999</v>
      </c>
      <c r="G254">
        <v>0</v>
      </c>
      <c r="H254">
        <v>0</v>
      </c>
      <c r="I254">
        <v>0</v>
      </c>
      <c r="K254" s="60">
        <f t="shared" si="18"/>
        <v>0.19163051824999999</v>
      </c>
      <c r="L254" s="60">
        <f t="shared" si="19"/>
        <v>2.2295329999999997E-3</v>
      </c>
      <c r="M254" s="60">
        <f t="shared" si="20"/>
        <v>-1.2620584250000001E-2</v>
      </c>
      <c r="O254" s="60">
        <f t="shared" si="21"/>
        <v>0.69163051824999999</v>
      </c>
      <c r="P254" s="60">
        <f t="shared" si="22"/>
        <v>0.50222953299999995</v>
      </c>
      <c r="Q254" s="60">
        <f t="shared" si="23"/>
        <v>0.48737941574999999</v>
      </c>
    </row>
    <row r="255" spans="2:17" ht="15" customHeight="1" x14ac:dyDescent="0.25">
      <c r="B255">
        <v>196.966995239</v>
      </c>
      <c r="C255" t="s">
        <v>2526</v>
      </c>
      <c r="D255">
        <v>4.0345187300000003</v>
      </c>
      <c r="E255">
        <v>2.4288958799999998</v>
      </c>
      <c r="F255">
        <v>6.3320786599999996</v>
      </c>
      <c r="G255">
        <v>0</v>
      </c>
      <c r="H255">
        <v>0</v>
      </c>
      <c r="I255">
        <v>0</v>
      </c>
      <c r="K255" s="60">
        <f t="shared" si="18"/>
        <v>0.10086296825</v>
      </c>
      <c r="L255" s="60">
        <f t="shared" si="19"/>
        <v>6.0722396999999997E-2</v>
      </c>
      <c r="M255" s="60">
        <f t="shared" si="20"/>
        <v>0.1583019665</v>
      </c>
      <c r="O255" s="60">
        <f t="shared" si="21"/>
        <v>0.60086296824999996</v>
      </c>
      <c r="P255" s="60">
        <f t="shared" si="22"/>
        <v>0.56072239700000004</v>
      </c>
      <c r="Q255" s="60">
        <f t="shared" si="23"/>
        <v>0.65830196650000006</v>
      </c>
    </row>
    <row r="256" spans="2:17" ht="15" customHeight="1" x14ac:dyDescent="0.25">
      <c r="B256">
        <v>196.966995239</v>
      </c>
      <c r="C256" t="s">
        <v>2526</v>
      </c>
      <c r="D256">
        <v>-3.3121879999999999</v>
      </c>
      <c r="E256">
        <v>1.15429863</v>
      </c>
      <c r="F256">
        <v>3.90154303</v>
      </c>
      <c r="G256">
        <v>0</v>
      </c>
      <c r="H256">
        <v>0</v>
      </c>
      <c r="I256">
        <v>0</v>
      </c>
      <c r="K256" s="60">
        <f t="shared" si="18"/>
        <v>-8.2804699999999995E-2</v>
      </c>
      <c r="L256" s="60">
        <f t="shared" si="19"/>
        <v>2.8857465749999998E-2</v>
      </c>
      <c r="M256" s="60">
        <f t="shared" si="20"/>
        <v>9.7538575749999995E-2</v>
      </c>
      <c r="O256" s="60">
        <f t="shared" si="21"/>
        <v>0.41719529999999999</v>
      </c>
      <c r="P256" s="60">
        <f t="shared" si="22"/>
        <v>0.52885746575000003</v>
      </c>
      <c r="Q256" s="60">
        <f t="shared" si="23"/>
        <v>0.59753857575000002</v>
      </c>
    </row>
    <row r="257" spans="2:17" ht="15" customHeight="1" x14ac:dyDescent="0.25">
      <c r="B257">
        <v>196.966995239</v>
      </c>
      <c r="C257" t="s">
        <v>2526</v>
      </c>
      <c r="D257">
        <v>-4.3861275400000004</v>
      </c>
      <c r="E257">
        <v>-4.165046E-2</v>
      </c>
      <c r="F257">
        <v>5.7873493299999996</v>
      </c>
      <c r="G257">
        <v>0</v>
      </c>
      <c r="H257">
        <v>0</v>
      </c>
      <c r="I257">
        <v>0</v>
      </c>
      <c r="K257" s="60">
        <f t="shared" si="18"/>
        <v>-0.10965318850000001</v>
      </c>
      <c r="L257" s="60">
        <f t="shared" si="19"/>
        <v>-1.0412615000000001E-3</v>
      </c>
      <c r="M257" s="60">
        <f t="shared" si="20"/>
        <v>0.14468373325</v>
      </c>
      <c r="O257" s="60">
        <f t="shared" si="21"/>
        <v>0.3903468115</v>
      </c>
      <c r="P257" s="60">
        <f t="shared" si="22"/>
        <v>0.4989587385</v>
      </c>
      <c r="Q257" s="60">
        <f t="shared" si="23"/>
        <v>0.64468373324999995</v>
      </c>
    </row>
    <row r="258" spans="2:17" ht="15" customHeight="1" x14ac:dyDescent="0.25">
      <c r="B258">
        <v>196.966995239</v>
      </c>
      <c r="C258" t="s">
        <v>2526</v>
      </c>
      <c r="D258">
        <v>6.1239329900000001</v>
      </c>
      <c r="E258">
        <v>4.0498144199999997</v>
      </c>
      <c r="F258">
        <v>-1.5559453299999999</v>
      </c>
      <c r="G258">
        <v>0</v>
      </c>
      <c r="H258">
        <v>0</v>
      </c>
      <c r="I258">
        <v>0</v>
      </c>
      <c r="K258" s="60">
        <f t="shared" si="18"/>
        <v>0.15309832475000001</v>
      </c>
      <c r="L258" s="60">
        <f t="shared" si="19"/>
        <v>0.10124536049999999</v>
      </c>
      <c r="M258" s="60">
        <f t="shared" si="20"/>
        <v>-3.8898633249999995E-2</v>
      </c>
      <c r="O258" s="60">
        <f t="shared" si="21"/>
        <v>0.65309832474999996</v>
      </c>
      <c r="P258" s="60">
        <f t="shared" si="22"/>
        <v>0.60124536049999999</v>
      </c>
      <c r="Q258" s="60">
        <f t="shared" si="23"/>
        <v>0.46110136675000002</v>
      </c>
    </row>
    <row r="259" spans="2:17" ht="15" customHeight="1" x14ac:dyDescent="0.25">
      <c r="B259">
        <v>196.966995239</v>
      </c>
      <c r="C259" t="s">
        <v>2526</v>
      </c>
      <c r="D259">
        <v>-2.3717531599999999</v>
      </c>
      <c r="E259">
        <v>5.7933367599999999</v>
      </c>
      <c r="F259">
        <v>4.4610856300000004</v>
      </c>
      <c r="G259">
        <v>0</v>
      </c>
      <c r="H259">
        <v>0</v>
      </c>
      <c r="I259">
        <v>0</v>
      </c>
      <c r="K259" s="60">
        <f t="shared" si="18"/>
        <v>-5.9293828999999999E-2</v>
      </c>
      <c r="L259" s="60">
        <f t="shared" si="19"/>
        <v>0.14483341899999999</v>
      </c>
      <c r="M259" s="60">
        <f t="shared" si="20"/>
        <v>0.11152714075</v>
      </c>
      <c r="O259" s="60">
        <f t="shared" si="21"/>
        <v>0.44070617099999998</v>
      </c>
      <c r="P259" s="60">
        <f t="shared" si="22"/>
        <v>0.64483341900000002</v>
      </c>
      <c r="Q259" s="60">
        <f t="shared" si="23"/>
        <v>0.61152714075000003</v>
      </c>
    </row>
    <row r="260" spans="2:17" ht="15" customHeight="1" x14ac:dyDescent="0.25">
      <c r="B260">
        <v>196.966995239</v>
      </c>
      <c r="C260" t="s">
        <v>2526</v>
      </c>
      <c r="D260">
        <v>-2.3839228700000001</v>
      </c>
      <c r="E260">
        <v>1.3620394</v>
      </c>
      <c r="F260">
        <v>6.3276362099999997</v>
      </c>
      <c r="G260">
        <v>0</v>
      </c>
      <c r="H260">
        <v>0</v>
      </c>
      <c r="I260">
        <v>0</v>
      </c>
      <c r="K260" s="60">
        <f t="shared" si="18"/>
        <v>-5.9598071750000002E-2</v>
      </c>
      <c r="L260" s="60">
        <f t="shared" si="19"/>
        <v>3.4050984999999999E-2</v>
      </c>
      <c r="M260" s="60">
        <f t="shared" si="20"/>
        <v>0.15819090524999999</v>
      </c>
      <c r="O260" s="60">
        <f t="shared" si="21"/>
        <v>0.44040192825000002</v>
      </c>
      <c r="P260" s="60">
        <f t="shared" si="22"/>
        <v>0.53405098500000003</v>
      </c>
      <c r="Q260" s="60">
        <f t="shared" si="23"/>
        <v>0.65819090525000001</v>
      </c>
    </row>
    <row r="261" spans="2:17" ht="15" customHeight="1" x14ac:dyDescent="0.25">
      <c r="B261">
        <v>196.966995239</v>
      </c>
      <c r="C261" t="s">
        <v>2526</v>
      </c>
      <c r="D261">
        <v>0.49102876000000001</v>
      </c>
      <c r="E261">
        <v>-5.64717541</v>
      </c>
      <c r="F261">
        <v>0.17349729</v>
      </c>
      <c r="G261">
        <v>0</v>
      </c>
      <c r="H261">
        <v>0</v>
      </c>
      <c r="I261">
        <v>0</v>
      </c>
      <c r="K261" s="60">
        <f t="shared" si="18"/>
        <v>1.2275719000000001E-2</v>
      </c>
      <c r="L261" s="60">
        <f t="shared" si="19"/>
        <v>-0.14117938525000001</v>
      </c>
      <c r="M261" s="60">
        <f t="shared" si="20"/>
        <v>4.3374322500000003E-3</v>
      </c>
      <c r="O261" s="60">
        <f t="shared" si="21"/>
        <v>0.51227571900000002</v>
      </c>
      <c r="P261" s="60">
        <f t="shared" si="22"/>
        <v>0.35882061474999999</v>
      </c>
      <c r="Q261" s="60">
        <f t="shared" si="23"/>
        <v>0.50433743225000005</v>
      </c>
    </row>
    <row r="262" spans="2:17" ht="15" customHeight="1" x14ac:dyDescent="0.25">
      <c r="B262">
        <v>196.966995239</v>
      </c>
      <c r="C262" t="s">
        <v>2526</v>
      </c>
      <c r="D262">
        <v>-2.7981714900000001</v>
      </c>
      <c r="E262">
        <v>-5.9845613899999996</v>
      </c>
      <c r="F262">
        <v>2.9580479899999998</v>
      </c>
      <c r="G262">
        <v>0</v>
      </c>
      <c r="H262">
        <v>0</v>
      </c>
      <c r="I262">
        <v>0</v>
      </c>
      <c r="K262" s="60">
        <f t="shared" si="18"/>
        <v>-6.9954287249999997E-2</v>
      </c>
      <c r="L262" s="60">
        <f t="shared" si="19"/>
        <v>-0.14961403474999999</v>
      </c>
      <c r="M262" s="60">
        <f t="shared" si="20"/>
        <v>7.3951199750000002E-2</v>
      </c>
      <c r="O262" s="60">
        <f t="shared" si="21"/>
        <v>0.43004571275000003</v>
      </c>
      <c r="P262" s="60">
        <f t="shared" si="22"/>
        <v>0.35038596524999999</v>
      </c>
      <c r="Q262" s="60">
        <f t="shared" si="23"/>
        <v>0.57395119974999997</v>
      </c>
    </row>
    <row r="263" spans="2:17" ht="15" customHeight="1" x14ac:dyDescent="0.25">
      <c r="B263">
        <v>196.966995239</v>
      </c>
      <c r="C263" t="s">
        <v>2526</v>
      </c>
      <c r="D263">
        <v>5.5997309399999997</v>
      </c>
      <c r="E263">
        <v>6.1934723299999996</v>
      </c>
      <c r="F263">
        <v>1.16142827</v>
      </c>
      <c r="G263">
        <v>0</v>
      </c>
      <c r="H263">
        <v>0</v>
      </c>
      <c r="I263">
        <v>0</v>
      </c>
      <c r="K263" s="60">
        <f t="shared" si="18"/>
        <v>0.13999327349999999</v>
      </c>
      <c r="L263" s="60">
        <f t="shared" si="19"/>
        <v>0.15483680824999999</v>
      </c>
      <c r="M263" s="60">
        <f t="shared" si="20"/>
        <v>2.9035706750000001E-2</v>
      </c>
      <c r="O263" s="60">
        <f t="shared" si="21"/>
        <v>0.63999327350000002</v>
      </c>
      <c r="P263" s="60">
        <f t="shared" si="22"/>
        <v>0.65483680825000001</v>
      </c>
      <c r="Q263" s="60">
        <f t="shared" si="23"/>
        <v>0.52903570675</v>
      </c>
    </row>
    <row r="264" spans="2:17" ht="15" customHeight="1" x14ac:dyDescent="0.25">
      <c r="B264">
        <v>196.966995239</v>
      </c>
      <c r="C264" t="s">
        <v>2526</v>
      </c>
      <c r="D264">
        <v>6.6217069100000003</v>
      </c>
      <c r="E264">
        <v>-0.10768964</v>
      </c>
      <c r="F264">
        <v>-2.7503629599999999</v>
      </c>
      <c r="G264">
        <v>0</v>
      </c>
      <c r="H264">
        <v>0</v>
      </c>
      <c r="I264">
        <v>0</v>
      </c>
      <c r="K264" s="60">
        <f t="shared" si="18"/>
        <v>0.16554267275000001</v>
      </c>
      <c r="L264" s="60">
        <f t="shared" si="19"/>
        <v>-2.6922410000000002E-3</v>
      </c>
      <c r="M264" s="60">
        <f t="shared" si="20"/>
        <v>-6.8759074000000003E-2</v>
      </c>
      <c r="O264" s="60">
        <f t="shared" si="21"/>
        <v>0.66554267275000001</v>
      </c>
      <c r="P264" s="60">
        <f t="shared" si="22"/>
        <v>0.49730775900000002</v>
      </c>
      <c r="Q264" s="60">
        <f t="shared" si="23"/>
        <v>0.43124092599999997</v>
      </c>
    </row>
    <row r="265" spans="2:17" ht="15" customHeight="1" x14ac:dyDescent="0.25">
      <c r="B265">
        <v>196.966995239</v>
      </c>
      <c r="C265" t="s">
        <v>2526</v>
      </c>
      <c r="D265">
        <v>4.0830025000000001</v>
      </c>
      <c r="E265">
        <v>6.3368721600000004</v>
      </c>
      <c r="F265">
        <v>3.1214625800000002</v>
      </c>
      <c r="G265">
        <v>0</v>
      </c>
      <c r="H265">
        <v>0</v>
      </c>
      <c r="I265">
        <v>0</v>
      </c>
      <c r="K265" s="60">
        <f t="shared" si="18"/>
        <v>0.10207506250000001</v>
      </c>
      <c r="L265" s="60">
        <f t="shared" si="19"/>
        <v>0.158421804</v>
      </c>
      <c r="M265" s="60">
        <f t="shared" si="20"/>
        <v>7.8036564500000002E-2</v>
      </c>
      <c r="O265" s="60">
        <f t="shared" si="21"/>
        <v>0.60207506249999998</v>
      </c>
      <c r="P265" s="60">
        <f t="shared" si="22"/>
        <v>0.65842180400000005</v>
      </c>
      <c r="Q265" s="60">
        <f t="shared" si="23"/>
        <v>0.57803656449999996</v>
      </c>
    </row>
    <row r="266" spans="2:17" ht="15" customHeight="1" x14ac:dyDescent="0.25">
      <c r="B266">
        <v>196.966995239</v>
      </c>
      <c r="C266" t="s">
        <v>2526</v>
      </c>
      <c r="D266">
        <v>-4.3704849699999997</v>
      </c>
      <c r="E266">
        <v>3.4790493800000002</v>
      </c>
      <c r="F266">
        <v>1.44558359</v>
      </c>
      <c r="G266">
        <v>0</v>
      </c>
      <c r="H266">
        <v>0</v>
      </c>
      <c r="I266">
        <v>0</v>
      </c>
      <c r="K266" s="60">
        <f t="shared" si="18"/>
        <v>-0.10926212425</v>
      </c>
      <c r="L266" s="60">
        <f t="shared" si="19"/>
        <v>8.6976234499999999E-2</v>
      </c>
      <c r="M266" s="60">
        <f t="shared" si="20"/>
        <v>3.6139589749999999E-2</v>
      </c>
      <c r="O266" s="60">
        <f t="shared" si="21"/>
        <v>0.39073787575000002</v>
      </c>
      <c r="P266" s="60">
        <f t="shared" si="22"/>
        <v>0.58697623450000003</v>
      </c>
      <c r="Q266" s="60">
        <f t="shared" si="23"/>
        <v>0.53613958974999998</v>
      </c>
    </row>
    <row r="267" spans="2:17" ht="15" customHeight="1" x14ac:dyDescent="0.25">
      <c r="B267">
        <v>196.966995239</v>
      </c>
      <c r="C267" t="s">
        <v>2526</v>
      </c>
      <c r="D267">
        <v>-0.10189384999999999</v>
      </c>
      <c r="E267">
        <v>-2.3234457000000002</v>
      </c>
      <c r="F267">
        <v>7.0268298400000004</v>
      </c>
      <c r="G267">
        <v>0</v>
      </c>
      <c r="H267">
        <v>0</v>
      </c>
      <c r="I267">
        <v>0</v>
      </c>
      <c r="K267" s="60">
        <f t="shared" si="18"/>
        <v>-2.5473462499999997E-3</v>
      </c>
      <c r="L267" s="60">
        <f t="shared" si="19"/>
        <v>-5.8086142500000007E-2</v>
      </c>
      <c r="M267" s="60">
        <f t="shared" si="20"/>
        <v>0.17567074600000002</v>
      </c>
      <c r="O267" s="60">
        <f t="shared" si="21"/>
        <v>0.49745265374999997</v>
      </c>
      <c r="P267" s="60">
        <f t="shared" si="22"/>
        <v>0.44191385750000001</v>
      </c>
      <c r="Q267" s="60">
        <f t="shared" si="23"/>
        <v>0.67567074599999999</v>
      </c>
    </row>
    <row r="268" spans="2:17" ht="15" customHeight="1" x14ac:dyDescent="0.25">
      <c r="B268">
        <v>196.966995239</v>
      </c>
      <c r="C268" t="s">
        <v>2526</v>
      </c>
      <c r="D268">
        <v>5.1492958</v>
      </c>
      <c r="E268">
        <v>1.9264441800000001</v>
      </c>
      <c r="F268">
        <v>-2.45716454</v>
      </c>
      <c r="G268">
        <v>0</v>
      </c>
      <c r="H268">
        <v>0</v>
      </c>
      <c r="I268">
        <v>0</v>
      </c>
      <c r="K268" s="60">
        <f t="shared" si="18"/>
        <v>0.128732395</v>
      </c>
      <c r="L268" s="60">
        <f t="shared" si="19"/>
        <v>4.8161104500000003E-2</v>
      </c>
      <c r="M268" s="60">
        <f t="shared" si="20"/>
        <v>-6.14291135E-2</v>
      </c>
      <c r="O268" s="60">
        <f t="shared" si="21"/>
        <v>0.628732395</v>
      </c>
      <c r="P268" s="60">
        <f t="shared" si="22"/>
        <v>0.5481611045</v>
      </c>
      <c r="Q268" s="60">
        <f t="shared" si="23"/>
        <v>0.43857088649999998</v>
      </c>
    </row>
    <row r="269" spans="2:17" ht="15" customHeight="1" x14ac:dyDescent="0.25">
      <c r="B269">
        <v>196.966995239</v>
      </c>
      <c r="C269" t="s">
        <v>2526</v>
      </c>
      <c r="D269">
        <v>1.9068779499999999</v>
      </c>
      <c r="E269">
        <v>7.3963757000000001</v>
      </c>
      <c r="F269">
        <v>2.5715873199999999</v>
      </c>
      <c r="G269">
        <v>0</v>
      </c>
      <c r="H269">
        <v>0</v>
      </c>
      <c r="I269">
        <v>0</v>
      </c>
      <c r="K269" s="60">
        <f t="shared" si="18"/>
        <v>4.7671948749999998E-2</v>
      </c>
      <c r="L269" s="60">
        <f t="shared" si="19"/>
        <v>0.18490939249999999</v>
      </c>
      <c r="M269" s="60">
        <f t="shared" si="20"/>
        <v>6.4289683E-2</v>
      </c>
      <c r="O269" s="60">
        <f t="shared" si="21"/>
        <v>0.54767194875000003</v>
      </c>
      <c r="P269" s="60">
        <f t="shared" si="22"/>
        <v>0.68490939250000005</v>
      </c>
      <c r="Q269" s="60">
        <f t="shared" si="23"/>
        <v>0.56428968300000004</v>
      </c>
    </row>
    <row r="270" spans="2:17" ht="15" customHeight="1" x14ac:dyDescent="0.25">
      <c r="B270">
        <v>196.966995239</v>
      </c>
      <c r="C270" t="s">
        <v>2526</v>
      </c>
      <c r="D270">
        <v>2.20616696</v>
      </c>
      <c r="E270">
        <v>5.94603459</v>
      </c>
      <c r="F270">
        <v>-1.4597495899999999</v>
      </c>
      <c r="G270">
        <v>0</v>
      </c>
      <c r="H270">
        <v>0</v>
      </c>
      <c r="I270">
        <v>0</v>
      </c>
      <c r="K270" s="60">
        <f t="shared" si="18"/>
        <v>5.5154174E-2</v>
      </c>
      <c r="L270" s="60">
        <f t="shared" si="19"/>
        <v>0.14865086475</v>
      </c>
      <c r="M270" s="60">
        <f t="shared" si="20"/>
        <v>-3.6493739749999997E-2</v>
      </c>
      <c r="O270" s="60">
        <f t="shared" si="21"/>
        <v>0.555154174</v>
      </c>
      <c r="P270" s="60">
        <f t="shared" si="22"/>
        <v>0.64865086475</v>
      </c>
      <c r="Q270" s="60">
        <f t="shared" si="23"/>
        <v>0.46350626025000002</v>
      </c>
    </row>
    <row r="271" spans="2:17" ht="15" customHeight="1" x14ac:dyDescent="0.25">
      <c r="B271">
        <v>196.966995239</v>
      </c>
      <c r="C271" t="s">
        <v>2526</v>
      </c>
      <c r="D271">
        <v>5.6368419400000001</v>
      </c>
      <c r="E271">
        <v>4.3715107800000004</v>
      </c>
      <c r="F271">
        <v>2.78801576</v>
      </c>
      <c r="G271">
        <v>0</v>
      </c>
      <c r="H271">
        <v>0</v>
      </c>
      <c r="I271">
        <v>0</v>
      </c>
      <c r="K271" s="60">
        <f t="shared" si="18"/>
        <v>0.14092104850000001</v>
      </c>
      <c r="L271" s="60">
        <f t="shared" si="19"/>
        <v>0.10928776950000001</v>
      </c>
      <c r="M271" s="60">
        <f t="shared" si="20"/>
        <v>6.9700393999999999E-2</v>
      </c>
      <c r="O271" s="60">
        <f t="shared" si="21"/>
        <v>0.64092104849999998</v>
      </c>
      <c r="P271" s="60">
        <f t="shared" si="22"/>
        <v>0.60928776949999996</v>
      </c>
      <c r="Q271" s="60">
        <f t="shared" si="23"/>
        <v>0.56970039400000005</v>
      </c>
    </row>
    <row r="272" spans="2:17" ht="15" customHeight="1" x14ac:dyDescent="0.25">
      <c r="B272">
        <v>196.966995239</v>
      </c>
      <c r="C272" t="s">
        <v>2526</v>
      </c>
      <c r="D272">
        <v>-0.82783523999999997</v>
      </c>
      <c r="E272">
        <v>-4.6321637899999999</v>
      </c>
      <c r="F272">
        <v>3.37741231</v>
      </c>
      <c r="G272">
        <v>0</v>
      </c>
      <c r="H272">
        <v>0</v>
      </c>
      <c r="I272">
        <v>0</v>
      </c>
      <c r="K272" s="60">
        <f t="shared" si="18"/>
        <v>-2.0695880999999999E-2</v>
      </c>
      <c r="L272" s="60">
        <f t="shared" si="19"/>
        <v>-0.11580409475</v>
      </c>
      <c r="M272" s="60">
        <f t="shared" si="20"/>
        <v>8.4435307749999994E-2</v>
      </c>
      <c r="O272" s="60">
        <f t="shared" si="21"/>
        <v>0.47930411900000003</v>
      </c>
      <c r="P272" s="60">
        <f t="shared" si="22"/>
        <v>0.38419590525000002</v>
      </c>
      <c r="Q272" s="60">
        <f t="shared" si="23"/>
        <v>0.58443530774999997</v>
      </c>
    </row>
    <row r="273" spans="2:17" ht="15" customHeight="1" x14ac:dyDescent="0.25">
      <c r="B273">
        <v>196.966995239</v>
      </c>
      <c r="C273" t="s">
        <v>2526</v>
      </c>
      <c r="D273">
        <v>4.9869481499999999</v>
      </c>
      <c r="E273">
        <v>-4.0529027900000001</v>
      </c>
      <c r="F273">
        <v>0.94578826999999999</v>
      </c>
      <c r="G273">
        <v>0</v>
      </c>
      <c r="H273">
        <v>0</v>
      </c>
      <c r="I273">
        <v>0</v>
      </c>
      <c r="K273" s="60">
        <f t="shared" si="18"/>
        <v>0.12467370375</v>
      </c>
      <c r="L273" s="60">
        <f t="shared" si="19"/>
        <v>-0.10132256975000001</v>
      </c>
      <c r="M273" s="60">
        <f t="shared" si="20"/>
        <v>2.3644706750000001E-2</v>
      </c>
      <c r="O273" s="60">
        <f t="shared" si="21"/>
        <v>0.62467370374999998</v>
      </c>
      <c r="P273" s="60">
        <f t="shared" si="22"/>
        <v>0.39867743025000002</v>
      </c>
      <c r="Q273" s="60">
        <f t="shared" si="23"/>
        <v>0.52364470674999997</v>
      </c>
    </row>
    <row r="274" spans="2:17" ht="15" customHeight="1" x14ac:dyDescent="0.25">
      <c r="B274">
        <v>196.966995239</v>
      </c>
      <c r="C274" t="s">
        <v>2526</v>
      </c>
      <c r="D274">
        <v>8.4715868499999996</v>
      </c>
      <c r="E274">
        <v>2.2548733799999998</v>
      </c>
      <c r="F274">
        <v>0.32039541999999999</v>
      </c>
      <c r="G274">
        <v>0</v>
      </c>
      <c r="H274">
        <v>0</v>
      </c>
      <c r="I274">
        <v>0</v>
      </c>
      <c r="K274" s="60">
        <f t="shared" si="18"/>
        <v>0.21178967124999998</v>
      </c>
      <c r="L274" s="60">
        <f t="shared" si="19"/>
        <v>5.6371834499999995E-2</v>
      </c>
      <c r="M274" s="60">
        <f t="shared" si="20"/>
        <v>8.0098854999999993E-3</v>
      </c>
      <c r="O274" s="60">
        <f t="shared" si="21"/>
        <v>0.71178967125000003</v>
      </c>
      <c r="P274" s="60">
        <f t="shared" si="22"/>
        <v>0.55637183449999994</v>
      </c>
      <c r="Q274" s="60">
        <f t="shared" si="23"/>
        <v>0.50800988550000004</v>
      </c>
    </row>
    <row r="275" spans="2:17" ht="15" customHeight="1" x14ac:dyDescent="0.25">
      <c r="B275">
        <v>196.966995239</v>
      </c>
      <c r="C275" t="s">
        <v>2526</v>
      </c>
      <c r="D275">
        <v>-5.1840376900000003</v>
      </c>
      <c r="E275">
        <v>-2.6971467499999999</v>
      </c>
      <c r="F275">
        <v>3.6563533800000001</v>
      </c>
      <c r="G275">
        <v>0</v>
      </c>
      <c r="H275">
        <v>0</v>
      </c>
      <c r="I275">
        <v>0</v>
      </c>
      <c r="K275" s="60">
        <f t="shared" si="18"/>
        <v>-0.12960094225000002</v>
      </c>
      <c r="L275" s="60">
        <f t="shared" si="19"/>
        <v>-6.7428668750000004E-2</v>
      </c>
      <c r="M275" s="60">
        <f t="shared" si="20"/>
        <v>9.1408834500000008E-2</v>
      </c>
      <c r="O275" s="60">
        <f t="shared" si="21"/>
        <v>0.37039905774999998</v>
      </c>
      <c r="P275" s="60">
        <f t="shared" si="22"/>
        <v>0.43257133125000002</v>
      </c>
      <c r="Q275" s="60">
        <f t="shared" si="23"/>
        <v>0.59140883450000004</v>
      </c>
    </row>
    <row r="276" spans="2:17" ht="15" customHeight="1" x14ac:dyDescent="0.25">
      <c r="B276">
        <v>196.966995239</v>
      </c>
      <c r="C276" t="s">
        <v>2526</v>
      </c>
      <c r="D276">
        <v>-3.1989804799999999</v>
      </c>
      <c r="E276">
        <v>-1.3813103900000001</v>
      </c>
      <c r="F276">
        <v>4.0714847000000001</v>
      </c>
      <c r="G276">
        <v>0</v>
      </c>
      <c r="H276">
        <v>0</v>
      </c>
      <c r="I276">
        <v>0</v>
      </c>
      <c r="K276" s="60">
        <f t="shared" ref="K276:K291" si="24">D276/H$142</f>
        <v>-7.9974511999999998E-2</v>
      </c>
      <c r="L276" s="60">
        <f t="shared" ref="L276:L291" si="25">E276/I$142</f>
        <v>-3.4532759750000003E-2</v>
      </c>
      <c r="M276" s="60">
        <f t="shared" ref="M276:M291" si="26">F276/J$142</f>
        <v>0.1017871175</v>
      </c>
      <c r="O276" s="60">
        <f t="shared" ref="O276:O291" si="27">K276+0.5</f>
        <v>0.420025488</v>
      </c>
      <c r="P276" s="60">
        <f t="shared" ref="P276:P291" si="28">L276+0.5</f>
        <v>0.46546724024999997</v>
      </c>
      <c r="Q276" s="60">
        <f t="shared" ref="Q276:Q291" si="29">M276+0.5</f>
        <v>0.60178711750000002</v>
      </c>
    </row>
    <row r="277" spans="2:17" ht="15" customHeight="1" x14ac:dyDescent="0.25">
      <c r="B277">
        <v>196.966995239</v>
      </c>
      <c r="C277" t="s">
        <v>2526</v>
      </c>
      <c r="D277">
        <v>5.7834645199999999</v>
      </c>
      <c r="E277">
        <v>-1.7407999000000001</v>
      </c>
      <c r="F277">
        <v>4.6422027200000002</v>
      </c>
      <c r="G277">
        <v>0</v>
      </c>
      <c r="H277">
        <v>0</v>
      </c>
      <c r="I277">
        <v>0</v>
      </c>
      <c r="K277" s="60">
        <f t="shared" si="24"/>
        <v>0.144586613</v>
      </c>
      <c r="L277" s="60">
        <f t="shared" si="25"/>
        <v>-4.3519997500000004E-2</v>
      </c>
      <c r="M277" s="60">
        <f t="shared" si="26"/>
        <v>0.11605506800000001</v>
      </c>
      <c r="O277" s="60">
        <f t="shared" si="27"/>
        <v>0.64458661299999997</v>
      </c>
      <c r="P277" s="60">
        <f t="shared" si="28"/>
        <v>0.45648000249999998</v>
      </c>
      <c r="Q277" s="60">
        <f t="shared" si="29"/>
        <v>0.61605506799999998</v>
      </c>
    </row>
    <row r="278" spans="2:17" ht="15" customHeight="1" x14ac:dyDescent="0.25">
      <c r="B278">
        <v>196.966995239</v>
      </c>
      <c r="C278" t="s">
        <v>2526</v>
      </c>
      <c r="D278">
        <v>7.7287813500000002</v>
      </c>
      <c r="E278">
        <v>-2.0605126500000002</v>
      </c>
      <c r="F278">
        <v>-1.68756982</v>
      </c>
      <c r="G278">
        <v>0</v>
      </c>
      <c r="H278">
        <v>0</v>
      </c>
      <c r="I278">
        <v>0</v>
      </c>
      <c r="K278" s="60">
        <f t="shared" si="24"/>
        <v>0.19321953375000001</v>
      </c>
      <c r="L278" s="60">
        <f t="shared" si="25"/>
        <v>-5.1512816250000003E-2</v>
      </c>
      <c r="M278" s="60">
        <f t="shared" si="26"/>
        <v>-4.21892455E-2</v>
      </c>
      <c r="O278" s="60">
        <f t="shared" si="27"/>
        <v>0.69321953375000001</v>
      </c>
      <c r="P278" s="60">
        <f t="shared" si="28"/>
        <v>0.44848718375000002</v>
      </c>
      <c r="Q278" s="60">
        <f t="shared" si="29"/>
        <v>0.45781075449999997</v>
      </c>
    </row>
    <row r="279" spans="2:17" ht="15" customHeight="1" x14ac:dyDescent="0.25">
      <c r="B279">
        <v>196.966995239</v>
      </c>
      <c r="C279" t="s">
        <v>2526</v>
      </c>
      <c r="D279">
        <v>-1.2434903799999999</v>
      </c>
      <c r="E279">
        <v>4.4889662899999996</v>
      </c>
      <c r="F279">
        <v>2.7695462399999999</v>
      </c>
      <c r="G279">
        <v>0</v>
      </c>
      <c r="H279">
        <v>0</v>
      </c>
      <c r="I279">
        <v>0</v>
      </c>
      <c r="K279" s="60">
        <f t="shared" si="24"/>
        <v>-3.1087259499999999E-2</v>
      </c>
      <c r="L279" s="60">
        <f t="shared" si="25"/>
        <v>0.11222415724999998</v>
      </c>
      <c r="M279" s="60">
        <f t="shared" si="26"/>
        <v>6.9238655999999996E-2</v>
      </c>
      <c r="O279" s="60">
        <f t="shared" si="27"/>
        <v>0.46891274049999998</v>
      </c>
      <c r="P279" s="60">
        <f t="shared" si="28"/>
        <v>0.61222415725000001</v>
      </c>
      <c r="Q279" s="60">
        <f t="shared" si="29"/>
        <v>0.56923865600000001</v>
      </c>
    </row>
    <row r="280" spans="2:17" ht="15" customHeight="1" x14ac:dyDescent="0.25">
      <c r="B280">
        <v>196.966995239</v>
      </c>
      <c r="C280" t="s">
        <v>2526</v>
      </c>
      <c r="D280">
        <v>-1.3004556199999999</v>
      </c>
      <c r="E280">
        <v>2.5706058299999999</v>
      </c>
      <c r="F280">
        <v>4.3838551900000002</v>
      </c>
      <c r="G280">
        <v>0</v>
      </c>
      <c r="H280">
        <v>0</v>
      </c>
      <c r="I280">
        <v>0</v>
      </c>
      <c r="K280" s="60">
        <f t="shared" si="24"/>
        <v>-3.2511390500000001E-2</v>
      </c>
      <c r="L280" s="60">
        <f t="shared" si="25"/>
        <v>6.4265145750000002E-2</v>
      </c>
      <c r="M280" s="60">
        <f t="shared" si="26"/>
        <v>0.10959637975</v>
      </c>
      <c r="O280" s="60">
        <f t="shared" si="27"/>
        <v>0.46748860949999999</v>
      </c>
      <c r="P280" s="60">
        <f t="shared" si="28"/>
        <v>0.56426514574999997</v>
      </c>
      <c r="Q280" s="60">
        <f t="shared" si="29"/>
        <v>0.60959637975000003</v>
      </c>
    </row>
    <row r="281" spans="2:17" ht="15" customHeight="1" x14ac:dyDescent="0.25">
      <c r="B281">
        <v>196.966995239</v>
      </c>
      <c r="C281" t="s">
        <v>2526</v>
      </c>
      <c r="D281">
        <v>0.14072788</v>
      </c>
      <c r="E281">
        <v>-4.48830112</v>
      </c>
      <c r="F281">
        <v>5.7986798300000002</v>
      </c>
      <c r="G281">
        <v>0</v>
      </c>
      <c r="H281">
        <v>0</v>
      </c>
      <c r="I281">
        <v>0</v>
      </c>
      <c r="K281" s="60">
        <f t="shared" si="24"/>
        <v>3.5181969999999998E-3</v>
      </c>
      <c r="L281" s="60">
        <f t="shared" si="25"/>
        <v>-0.112207528</v>
      </c>
      <c r="M281" s="60">
        <f t="shared" si="26"/>
        <v>0.14496699574999999</v>
      </c>
      <c r="O281" s="60">
        <f t="shared" si="27"/>
        <v>0.503518197</v>
      </c>
      <c r="P281" s="60">
        <f t="shared" si="28"/>
        <v>0.387792472</v>
      </c>
      <c r="Q281" s="60">
        <f t="shared" si="29"/>
        <v>0.64496699574999994</v>
      </c>
    </row>
    <row r="282" spans="2:17" ht="15" customHeight="1" x14ac:dyDescent="0.25">
      <c r="B282">
        <v>196.966995239</v>
      </c>
      <c r="C282" t="s">
        <v>2526</v>
      </c>
      <c r="D282">
        <v>6.8980400000000002E-3</v>
      </c>
      <c r="E282">
        <v>-1.3404866</v>
      </c>
      <c r="F282">
        <v>2.75461475</v>
      </c>
      <c r="G282">
        <v>0</v>
      </c>
      <c r="H282">
        <v>0</v>
      </c>
      <c r="I282">
        <v>0</v>
      </c>
      <c r="K282" s="60">
        <f t="shared" si="24"/>
        <v>1.7245100000000001E-4</v>
      </c>
      <c r="L282" s="60">
        <f t="shared" si="25"/>
        <v>-3.3512164999999997E-2</v>
      </c>
      <c r="M282" s="60">
        <f t="shared" si="26"/>
        <v>6.8865368750000003E-2</v>
      </c>
      <c r="O282" s="60">
        <f t="shared" si="27"/>
        <v>0.50017245099999996</v>
      </c>
      <c r="P282" s="60">
        <f t="shared" si="28"/>
        <v>0.46648783500000002</v>
      </c>
      <c r="Q282" s="60">
        <f t="shared" si="29"/>
        <v>0.56886536875000004</v>
      </c>
    </row>
    <row r="283" spans="2:17" ht="15" customHeight="1" x14ac:dyDescent="0.25">
      <c r="B283">
        <v>196.966995239</v>
      </c>
      <c r="C283" t="s">
        <v>2526</v>
      </c>
      <c r="D283">
        <v>7.06151325</v>
      </c>
      <c r="E283">
        <v>4.2450590000000004</v>
      </c>
      <c r="F283">
        <v>0.73261635999999997</v>
      </c>
      <c r="G283">
        <v>0</v>
      </c>
      <c r="H283">
        <v>0</v>
      </c>
      <c r="I283">
        <v>0</v>
      </c>
      <c r="K283" s="60">
        <f t="shared" si="24"/>
        <v>0.17653783125</v>
      </c>
      <c r="L283" s="60">
        <f t="shared" si="25"/>
        <v>0.10612647500000001</v>
      </c>
      <c r="M283" s="60">
        <f t="shared" si="26"/>
        <v>1.8315408999999998E-2</v>
      </c>
      <c r="O283" s="60">
        <f t="shared" si="27"/>
        <v>0.67653783125</v>
      </c>
      <c r="P283" s="60">
        <f t="shared" si="28"/>
        <v>0.60612647500000005</v>
      </c>
      <c r="Q283" s="60">
        <f t="shared" si="29"/>
        <v>0.51831540899999995</v>
      </c>
    </row>
    <row r="284" spans="2:17" ht="15" customHeight="1" x14ac:dyDescent="0.25">
      <c r="B284">
        <v>196.966995239</v>
      </c>
      <c r="C284" t="s">
        <v>2526</v>
      </c>
      <c r="D284">
        <v>-0.24229307999999999</v>
      </c>
      <c r="E284">
        <v>6.6270098700000002</v>
      </c>
      <c r="F284">
        <v>3.5214642399999998</v>
      </c>
      <c r="G284">
        <v>0</v>
      </c>
      <c r="H284">
        <v>0</v>
      </c>
      <c r="I284">
        <v>0</v>
      </c>
      <c r="K284" s="60">
        <f t="shared" si="24"/>
        <v>-6.0573269999999995E-3</v>
      </c>
      <c r="L284" s="60">
        <f t="shared" si="25"/>
        <v>0.16567524675</v>
      </c>
      <c r="M284" s="60">
        <f t="shared" si="26"/>
        <v>8.8036605999999989E-2</v>
      </c>
      <c r="O284" s="60">
        <f t="shared" si="27"/>
        <v>0.493942673</v>
      </c>
      <c r="P284" s="60">
        <f t="shared" si="28"/>
        <v>0.66567524675</v>
      </c>
      <c r="Q284" s="60">
        <f t="shared" si="29"/>
        <v>0.58803660599999996</v>
      </c>
    </row>
    <row r="285" spans="2:17" ht="15" customHeight="1" x14ac:dyDescent="0.25">
      <c r="B285">
        <v>196.966995239</v>
      </c>
      <c r="C285" t="s">
        <v>2526</v>
      </c>
      <c r="D285">
        <v>-4.2492706</v>
      </c>
      <c r="E285">
        <v>-2.5024881899999998</v>
      </c>
      <c r="F285">
        <v>5.9380490100000003</v>
      </c>
      <c r="G285">
        <v>0</v>
      </c>
      <c r="H285">
        <v>0</v>
      </c>
      <c r="I285">
        <v>0</v>
      </c>
      <c r="K285" s="60">
        <f t="shared" si="24"/>
        <v>-0.10623176500000001</v>
      </c>
      <c r="L285" s="60">
        <f t="shared" si="25"/>
        <v>-6.2562204749999989E-2</v>
      </c>
      <c r="M285" s="60">
        <f t="shared" si="26"/>
        <v>0.14845122525000001</v>
      </c>
      <c r="O285" s="60">
        <f t="shared" si="27"/>
        <v>0.39376823500000002</v>
      </c>
      <c r="P285" s="60">
        <f t="shared" si="28"/>
        <v>0.43743779525000004</v>
      </c>
      <c r="Q285" s="60">
        <f t="shared" si="29"/>
        <v>0.64845122524999999</v>
      </c>
    </row>
    <row r="286" spans="2:17" ht="15" customHeight="1" x14ac:dyDescent="0.25">
      <c r="B286">
        <v>196.966995239</v>
      </c>
      <c r="C286" t="s">
        <v>2526</v>
      </c>
      <c r="D286">
        <v>4.8148671800000002</v>
      </c>
      <c r="E286">
        <v>-1.9273848200000001</v>
      </c>
      <c r="F286">
        <v>2.2905794899999998</v>
      </c>
      <c r="G286">
        <v>0</v>
      </c>
      <c r="H286">
        <v>0</v>
      </c>
      <c r="I286">
        <v>0</v>
      </c>
      <c r="K286" s="60">
        <f t="shared" si="24"/>
        <v>0.12037167950000001</v>
      </c>
      <c r="L286" s="60">
        <f t="shared" si="25"/>
        <v>-4.8184620500000004E-2</v>
      </c>
      <c r="M286" s="60">
        <f t="shared" si="26"/>
        <v>5.7264487249999996E-2</v>
      </c>
      <c r="O286" s="60">
        <f t="shared" si="27"/>
        <v>0.62037167950000005</v>
      </c>
      <c r="P286" s="60">
        <f t="shared" si="28"/>
        <v>0.4518153795</v>
      </c>
      <c r="Q286" s="60">
        <f t="shared" si="29"/>
        <v>0.55726448725</v>
      </c>
    </row>
    <row r="287" spans="2:17" ht="15" customHeight="1" x14ac:dyDescent="0.25">
      <c r="B287">
        <v>196.966995239</v>
      </c>
      <c r="C287" t="s">
        <v>2526</v>
      </c>
      <c r="D287">
        <v>3.09900362</v>
      </c>
      <c r="E287">
        <v>2.2656468699999999</v>
      </c>
      <c r="F287">
        <v>4.0235562900000001</v>
      </c>
      <c r="G287">
        <v>0</v>
      </c>
      <c r="H287">
        <v>0</v>
      </c>
      <c r="I287">
        <v>0</v>
      </c>
      <c r="K287" s="60">
        <f t="shared" si="24"/>
        <v>7.7475090499999996E-2</v>
      </c>
      <c r="L287" s="60">
        <f t="shared" si="25"/>
        <v>5.6641171749999997E-2</v>
      </c>
      <c r="M287" s="60">
        <f t="shared" si="26"/>
        <v>0.10058890725</v>
      </c>
      <c r="O287" s="60">
        <f t="shared" si="27"/>
        <v>0.57747509050000001</v>
      </c>
      <c r="P287" s="60">
        <f t="shared" si="28"/>
        <v>0.55664117174999994</v>
      </c>
      <c r="Q287" s="60">
        <f t="shared" si="29"/>
        <v>0.60058890725000003</v>
      </c>
    </row>
    <row r="288" spans="2:17" ht="15" customHeight="1" x14ac:dyDescent="0.25">
      <c r="B288">
        <v>196.966995239</v>
      </c>
      <c r="C288" t="s">
        <v>2526</v>
      </c>
      <c r="D288">
        <v>-0.28269706999999999</v>
      </c>
      <c r="E288">
        <v>4.7507562600000002</v>
      </c>
      <c r="F288">
        <v>5.1796695000000001</v>
      </c>
      <c r="G288">
        <v>0</v>
      </c>
      <c r="H288">
        <v>0</v>
      </c>
      <c r="I288">
        <v>0</v>
      </c>
      <c r="K288" s="60">
        <f t="shared" si="24"/>
        <v>-7.0674267499999995E-3</v>
      </c>
      <c r="L288" s="60">
        <f t="shared" si="25"/>
        <v>0.11876890650000001</v>
      </c>
      <c r="M288" s="60">
        <f t="shared" si="26"/>
        <v>0.12949173750000001</v>
      </c>
      <c r="O288" s="60">
        <f t="shared" si="27"/>
        <v>0.49293257325000001</v>
      </c>
      <c r="P288" s="60">
        <f t="shared" si="28"/>
        <v>0.61876890650000005</v>
      </c>
      <c r="Q288" s="60">
        <f t="shared" si="29"/>
        <v>0.62949173749999998</v>
      </c>
    </row>
    <row r="289" spans="2:17" ht="15" customHeight="1" x14ac:dyDescent="0.25">
      <c r="B289">
        <v>196.966995239</v>
      </c>
      <c r="C289" t="s">
        <v>2526</v>
      </c>
      <c r="D289">
        <v>-3.1769824</v>
      </c>
      <c r="E289">
        <v>-3.9581686600000001</v>
      </c>
      <c r="F289">
        <v>4.28231231</v>
      </c>
      <c r="G289">
        <v>0</v>
      </c>
      <c r="H289">
        <v>0</v>
      </c>
      <c r="I289">
        <v>0</v>
      </c>
      <c r="K289" s="60">
        <f t="shared" si="24"/>
        <v>-7.9424560000000005E-2</v>
      </c>
      <c r="L289" s="60">
        <f t="shared" si="25"/>
        <v>-9.8954216499999997E-2</v>
      </c>
      <c r="M289" s="60">
        <f t="shared" si="26"/>
        <v>0.10705780775</v>
      </c>
      <c r="O289" s="60">
        <f t="shared" si="27"/>
        <v>0.42057544000000002</v>
      </c>
      <c r="P289" s="60">
        <f t="shared" si="28"/>
        <v>0.40104578349999997</v>
      </c>
      <c r="Q289" s="60">
        <f t="shared" si="29"/>
        <v>0.60705780774999996</v>
      </c>
    </row>
    <row r="290" spans="2:17" ht="15" customHeight="1" x14ac:dyDescent="0.25">
      <c r="B290">
        <v>196.966995239</v>
      </c>
      <c r="C290" t="s">
        <v>2526</v>
      </c>
      <c r="D290">
        <v>2.1917884500000002</v>
      </c>
      <c r="E290">
        <v>-3.1117894800000001</v>
      </c>
      <c r="F290">
        <v>6.2085400000000002</v>
      </c>
      <c r="G290">
        <v>0</v>
      </c>
      <c r="H290">
        <v>0</v>
      </c>
      <c r="I290">
        <v>0</v>
      </c>
      <c r="K290" s="60">
        <f t="shared" si="24"/>
        <v>5.4794711250000003E-2</v>
      </c>
      <c r="L290" s="60">
        <f t="shared" si="25"/>
        <v>-7.7794737000000003E-2</v>
      </c>
      <c r="M290" s="60">
        <f t="shared" si="26"/>
        <v>0.1552135</v>
      </c>
      <c r="O290" s="60">
        <f t="shared" si="27"/>
        <v>0.55479471125000002</v>
      </c>
      <c r="P290" s="60">
        <f t="shared" si="28"/>
        <v>0.422205263</v>
      </c>
      <c r="Q290" s="60">
        <f t="shared" si="29"/>
        <v>0.6552135</v>
      </c>
    </row>
    <row r="291" spans="2:17" ht="15" customHeight="1" x14ac:dyDescent="0.25">
      <c r="B291">
        <v>196.966995239</v>
      </c>
      <c r="C291" t="s">
        <v>2526</v>
      </c>
      <c r="D291">
        <v>7.3094343899999998</v>
      </c>
      <c r="E291">
        <v>-1.79954825</v>
      </c>
      <c r="F291">
        <v>2.6246251599999999</v>
      </c>
      <c r="G291">
        <v>0</v>
      </c>
      <c r="H291">
        <v>0</v>
      </c>
      <c r="I291">
        <v>0</v>
      </c>
      <c r="K291" s="60">
        <f t="shared" si="24"/>
        <v>0.18273585975000001</v>
      </c>
      <c r="L291" s="60">
        <f t="shared" si="25"/>
        <v>-4.4988706249999996E-2</v>
      </c>
      <c r="M291" s="60">
        <f t="shared" si="26"/>
        <v>6.5615628999999995E-2</v>
      </c>
      <c r="O291" s="60">
        <f t="shared" si="27"/>
        <v>0.68273585974999995</v>
      </c>
      <c r="P291" s="60">
        <f t="shared" si="28"/>
        <v>0.45501129374999999</v>
      </c>
      <c r="Q291" s="60">
        <f t="shared" si="29"/>
        <v>0.56561562899999995</v>
      </c>
    </row>
    <row r="293" spans="2:17" ht="15" customHeight="1" x14ac:dyDescent="0.25">
      <c r="K293" s="60">
        <f>AVERAGE(K148:K291)</f>
        <v>3.925281485937502E-2</v>
      </c>
      <c r="L293" s="60">
        <f>AVERAGE(L148:L291)</f>
        <v>1.917716631944442E-3</v>
      </c>
      <c r="M293" s="60">
        <f>AVERAGE(M148:M291)</f>
        <v>4.9832255578125005E-2</v>
      </c>
      <c r="O293" s="60">
        <f>AVERAGE(O148:O291)</f>
        <v>0.53925281485937493</v>
      </c>
      <c r="P293" s="60">
        <f>AVERAGE(P148:P291)</f>
        <v>0.50191771663194462</v>
      </c>
      <c r="Q293" s="60">
        <f>AVERAGE(Q148:Q291)</f>
        <v>0.54983225557812465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92"/>
  <sheetViews>
    <sheetView zoomScaleNormal="100" workbookViewId="0">
      <selection activeCell="EH14" sqref="EH14"/>
    </sheetView>
  </sheetViews>
  <sheetFormatPr defaultRowHeight="15" x14ac:dyDescent="0.25"/>
  <cols>
    <col min="1" max="1025" width="10.7109375"/>
  </cols>
  <sheetData>
    <row r="1" spans="1:256" ht="15" customHeight="1" x14ac:dyDescent="0.25">
      <c r="A1" s="60" t="e">
        <v>#VALUE!</v>
      </c>
      <c r="B1" t="e">
        <f>AND('BBP complete'!A1,"AAAAAFtX/wE=")</f>
        <v>#VALUE!</v>
      </c>
      <c r="C1" t="e">
        <f>AND('BBP complete'!B1,"AAAAAFtX/wI=")</f>
        <v>#VALUE!</v>
      </c>
      <c r="D1" t="e">
        <f>AND('BBP complete'!C1,"AAAAAFtX/wM=")</f>
        <v>#VALUE!</v>
      </c>
      <c r="E1" t="e">
        <f>AND('BBP complete'!D1,"AAAAAFtX/wQ=")</f>
        <v>#VALUE!</v>
      </c>
      <c r="F1" t="e">
        <f>AND('BBP complete'!E1,"AAAAAFtX/wU=")</f>
        <v>#VALUE!</v>
      </c>
      <c r="G1" t="e">
        <f>AND('BBP complete'!F1,"AAAAAFtX/wY=")</f>
        <v>#VALUE!</v>
      </c>
      <c r="H1" t="e">
        <f>AND('BBP complete'!G1,"AAAAAFtX/wc=")</f>
        <v>#VALUE!</v>
      </c>
      <c r="I1" t="e">
        <f>AND('BBP complete'!H1,"AAAAAFtX/wg=")</f>
        <v>#VALUE!</v>
      </c>
      <c r="J1" t="e">
        <f>AND('BBP complete'!I1,"AAAAAFtX/wk=")</f>
        <v>#VALUE!</v>
      </c>
      <c r="K1" s="60" t="e">
        <v>#VALUE!</v>
      </c>
      <c r="L1" t="e">
        <f>AND('BBP complete'!A319,"AAAAAFtX/ws=")</f>
        <v>#VALUE!</v>
      </c>
      <c r="M1" t="e">
        <f>AND('BBP complete'!B319,"AAAAAFtX/ww=")</f>
        <v>#VALUE!</v>
      </c>
      <c r="N1" t="e">
        <f>AND('BBP complete'!C319,"AAAAAFtX/w0=")</f>
        <v>#VALUE!</v>
      </c>
      <c r="O1" t="e">
        <f>AND('BBP complete'!D319,"AAAAAFtX/w4=")</f>
        <v>#VALUE!</v>
      </c>
      <c r="P1" t="e">
        <f>AND('BBP complete'!E319,"AAAAAFtX/w8=")</f>
        <v>#VALUE!</v>
      </c>
      <c r="Q1" t="e">
        <f>AND('BBP complete'!F319,"AAAAAFtX/xA=")</f>
        <v>#VALUE!</v>
      </c>
      <c r="R1" t="e">
        <f>AND('BBP complete'!G319,"AAAAAFtX/xE=")</f>
        <v>#VALUE!</v>
      </c>
      <c r="S1" t="e">
        <f>AND('BBP complete'!H319,"AAAAAFtX/xI=")</f>
        <v>#VALUE!</v>
      </c>
      <c r="T1" t="e">
        <f>AND('BBP complete'!I319,"AAAAAFtX/xM=")</f>
        <v>#VALUE!</v>
      </c>
      <c r="U1" s="60" t="e">
        <v>#VALUE!</v>
      </c>
      <c r="V1" t="e">
        <f>AND('BBP complete'!A320,"AAAAAFtX/xU=")</f>
        <v>#VALUE!</v>
      </c>
      <c r="W1" t="e">
        <f>AND('BBP complete'!B320,"AAAAAFtX/xY=")</f>
        <v>#VALUE!</v>
      </c>
      <c r="X1" t="e">
        <f>AND('BBP complete'!C320,"AAAAAFtX/xc=")</f>
        <v>#VALUE!</v>
      </c>
      <c r="Y1" t="e">
        <f>AND('BBP complete'!D320,"AAAAAFtX/xg=")</f>
        <v>#VALUE!</v>
      </c>
      <c r="Z1" t="e">
        <f>AND('BBP complete'!E320,"AAAAAFtX/xk=")</f>
        <v>#VALUE!</v>
      </c>
      <c r="AA1" t="e">
        <f>AND('BBP complete'!F320,"AAAAAFtX/xo=")</f>
        <v>#VALUE!</v>
      </c>
      <c r="AB1" t="e">
        <f>AND('BBP complete'!G320,"AAAAAFtX/xs=")</f>
        <v>#VALUE!</v>
      </c>
      <c r="AC1" t="e">
        <f>AND('BBP complete'!H320,"AAAAAFtX/xw=")</f>
        <v>#VALUE!</v>
      </c>
      <c r="AD1" t="e">
        <f>AND('BBP complete'!I320,"AAAAAFtX/x0=")</f>
        <v>#VALUE!</v>
      </c>
      <c r="AE1" s="60" t="e">
        <v>#VALUE!</v>
      </c>
      <c r="AF1" t="e">
        <f>AND('BBP complete'!A321,"AAAAAFtX/x8=")</f>
        <v>#VALUE!</v>
      </c>
      <c r="AG1" t="e">
        <f>AND('BBP complete'!B321,"AAAAAFtX/yA=")</f>
        <v>#VALUE!</v>
      </c>
      <c r="AH1" t="e">
        <f>AND('BBP complete'!C321,"AAAAAFtX/yE=")</f>
        <v>#VALUE!</v>
      </c>
      <c r="AI1" t="e">
        <f>AND('BBP complete'!D321,"AAAAAFtX/yI=")</f>
        <v>#VALUE!</v>
      </c>
      <c r="AJ1" t="e">
        <f>AND('BBP complete'!E321,"AAAAAFtX/yM=")</f>
        <v>#VALUE!</v>
      </c>
      <c r="AK1" t="e">
        <f>AND('BBP complete'!F321,"AAAAAFtX/yQ=")</f>
        <v>#VALUE!</v>
      </c>
      <c r="AL1" t="e">
        <f>AND('BBP complete'!G321,"AAAAAFtX/yU=")</f>
        <v>#VALUE!</v>
      </c>
      <c r="AM1" t="e">
        <f>AND('BBP complete'!H321,"AAAAAFtX/yY=")</f>
        <v>#VALUE!</v>
      </c>
      <c r="AN1" t="e">
        <f>AND('BBP complete'!I321,"AAAAAFtX/yc=")</f>
        <v>#VALUE!</v>
      </c>
      <c r="AO1" s="60" t="e">
        <v>#VALUE!</v>
      </c>
      <c r="AP1" t="e">
        <f>AND('BBP complete'!A322,"AAAAAFtX/yk=")</f>
        <v>#VALUE!</v>
      </c>
      <c r="AQ1" t="e">
        <f>AND('BBP complete'!B322,"AAAAAFtX/yo=")</f>
        <v>#VALUE!</v>
      </c>
      <c r="AR1" t="e">
        <f>AND('BBP complete'!C322,"AAAAAFtX/ys=")</f>
        <v>#VALUE!</v>
      </c>
      <c r="AS1" t="e">
        <f>AND('BBP complete'!D322,"AAAAAFtX/yw=")</f>
        <v>#VALUE!</v>
      </c>
      <c r="AT1" t="e">
        <f>AND('BBP complete'!E322,"AAAAAFtX/y0=")</f>
        <v>#VALUE!</v>
      </c>
      <c r="AU1" t="e">
        <f>AND('BBP complete'!F322,"AAAAAFtX/y4=")</f>
        <v>#VALUE!</v>
      </c>
      <c r="AV1" t="e">
        <f>AND('BBP complete'!G322,"AAAAAFtX/y8=")</f>
        <v>#VALUE!</v>
      </c>
      <c r="AW1" t="e">
        <f>AND('BBP complete'!H322,"AAAAAFtX/zA=")</f>
        <v>#VALUE!</v>
      </c>
      <c r="AX1" t="e">
        <f>AND('BBP complete'!I322,"AAAAAFtX/zE=")</f>
        <v>#VALUE!</v>
      </c>
      <c r="AY1" s="60" t="e">
        <v>#VALUE!</v>
      </c>
      <c r="AZ1" t="e">
        <f>AND('BBP complete'!A323,"AAAAAFtX/zM=")</f>
        <v>#VALUE!</v>
      </c>
      <c r="BA1" t="e">
        <f>AND('BBP complete'!B323,"AAAAAFtX/zQ=")</f>
        <v>#VALUE!</v>
      </c>
      <c r="BB1" t="e">
        <f>AND('BBP complete'!C323,"AAAAAFtX/zU=")</f>
        <v>#VALUE!</v>
      </c>
      <c r="BC1" t="e">
        <f>AND('BBP complete'!D323,"AAAAAFtX/zY=")</f>
        <v>#VALUE!</v>
      </c>
      <c r="BD1" t="e">
        <f>AND('BBP complete'!E323,"AAAAAFtX/zc=")</f>
        <v>#VALUE!</v>
      </c>
      <c r="BE1" t="e">
        <f>AND('BBP complete'!F323,"AAAAAFtX/zg=")</f>
        <v>#VALUE!</v>
      </c>
      <c r="BF1" t="e">
        <f>AND('BBP complete'!G323,"AAAAAFtX/zk=")</f>
        <v>#VALUE!</v>
      </c>
      <c r="BG1" t="e">
        <f>AND('BBP complete'!H323,"AAAAAFtX/zo=")</f>
        <v>#VALUE!</v>
      </c>
      <c r="BH1" t="e">
        <f>AND('BBP complete'!I323,"AAAAAFtX/zs=")</f>
        <v>#VALUE!</v>
      </c>
      <c r="BI1" s="60" t="e">
        <v>#VALUE!</v>
      </c>
      <c r="BJ1" t="e">
        <f>AND('BBP complete'!A324,"AAAAAFtX/z0=")</f>
        <v>#VALUE!</v>
      </c>
      <c r="BK1" t="e">
        <f>AND('BBP complete'!B324,"AAAAAFtX/z4=")</f>
        <v>#VALUE!</v>
      </c>
      <c r="BL1" t="e">
        <f>AND('BBP complete'!C324,"AAAAAFtX/z8=")</f>
        <v>#VALUE!</v>
      </c>
      <c r="BM1" t="e">
        <f>AND('BBP complete'!D324,"AAAAAFtX/0A=")</f>
        <v>#VALUE!</v>
      </c>
      <c r="BN1" t="e">
        <f>AND('BBP complete'!E324,"AAAAAFtX/0E=")</f>
        <v>#VALUE!</v>
      </c>
      <c r="BO1" t="e">
        <f>AND('BBP complete'!F324,"AAAAAFtX/0I=")</f>
        <v>#VALUE!</v>
      </c>
      <c r="BP1" t="e">
        <f>AND('BBP complete'!G324,"AAAAAFtX/0M=")</f>
        <v>#VALUE!</v>
      </c>
      <c r="BQ1" t="e">
        <f>AND('BBP complete'!H324,"AAAAAFtX/0Q=")</f>
        <v>#VALUE!</v>
      </c>
      <c r="BR1" t="e">
        <f>AND('BBP complete'!I324,"AAAAAFtX/0U=")</f>
        <v>#VALUE!</v>
      </c>
      <c r="BS1" s="60" t="e">
        <v>#VALUE!</v>
      </c>
      <c r="BT1" t="e">
        <f>AND('BBP complete'!A325,"AAAAAFtX/0c=")</f>
        <v>#VALUE!</v>
      </c>
      <c r="BU1" t="e">
        <f>AND('BBP complete'!B325,"AAAAAFtX/0g=")</f>
        <v>#VALUE!</v>
      </c>
      <c r="BV1" t="e">
        <f>AND('BBP complete'!C325,"AAAAAFtX/0k=")</f>
        <v>#VALUE!</v>
      </c>
      <c r="BW1" t="e">
        <f>AND('BBP complete'!D325,"AAAAAFtX/0o=")</f>
        <v>#VALUE!</v>
      </c>
      <c r="BX1" t="e">
        <f>AND('BBP complete'!E325,"AAAAAFtX/0s=")</f>
        <v>#VALUE!</v>
      </c>
      <c r="BY1" t="e">
        <f>AND('BBP complete'!F325,"AAAAAFtX/0w=")</f>
        <v>#VALUE!</v>
      </c>
      <c r="BZ1" t="e">
        <f>AND('BBP complete'!G325,"AAAAAFtX/00=")</f>
        <v>#VALUE!</v>
      </c>
      <c r="CA1" t="e">
        <f>AND('BBP complete'!H325,"AAAAAFtX/04=")</f>
        <v>#VALUE!</v>
      </c>
      <c r="CB1" t="e">
        <f>AND('BBP complete'!I325,"AAAAAFtX/08=")</f>
        <v>#VALUE!</v>
      </c>
      <c r="CC1" s="60" t="e">
        <v>#VALUE!</v>
      </c>
      <c r="CD1" t="e">
        <f>AND('BBP complete'!A326,"AAAAAFtX/1E=")</f>
        <v>#VALUE!</v>
      </c>
      <c r="CE1" t="e">
        <f>AND('BBP complete'!B326,"AAAAAFtX/1I=")</f>
        <v>#VALUE!</v>
      </c>
      <c r="CF1" t="e">
        <f>AND('BBP complete'!C326,"AAAAAFtX/1M=")</f>
        <v>#VALUE!</v>
      </c>
      <c r="CG1" t="e">
        <f>AND('BBP complete'!D326,"AAAAAFtX/1Q=")</f>
        <v>#VALUE!</v>
      </c>
      <c r="CH1" t="e">
        <f>AND('BBP complete'!E326,"AAAAAFtX/1U=")</f>
        <v>#VALUE!</v>
      </c>
      <c r="CI1" t="e">
        <f>AND('BBP complete'!F326,"AAAAAFtX/1Y=")</f>
        <v>#VALUE!</v>
      </c>
      <c r="CJ1" t="e">
        <f>AND('BBP complete'!G326,"AAAAAFtX/1c=")</f>
        <v>#VALUE!</v>
      </c>
      <c r="CK1" t="e">
        <f>AND('BBP complete'!H326,"AAAAAFtX/1g=")</f>
        <v>#VALUE!</v>
      </c>
      <c r="CL1" t="e">
        <f>AND('BBP complete'!I326,"AAAAAFtX/1k=")</f>
        <v>#VALUE!</v>
      </c>
      <c r="CM1" s="60" t="e">
        <v>#VALUE!</v>
      </c>
      <c r="CN1" t="e">
        <f>AND('BBP complete'!A327,"AAAAAFtX/1s=")</f>
        <v>#VALUE!</v>
      </c>
      <c r="CO1" t="e">
        <f>AND('BBP complete'!B327,"AAAAAFtX/1w=")</f>
        <v>#VALUE!</v>
      </c>
      <c r="CP1" t="e">
        <f>AND('BBP complete'!C327,"AAAAAFtX/10=")</f>
        <v>#VALUE!</v>
      </c>
      <c r="CQ1" t="e">
        <f>AND('BBP complete'!D327,"AAAAAFtX/14=")</f>
        <v>#VALUE!</v>
      </c>
      <c r="CR1" t="e">
        <f>AND('BBP complete'!E327,"AAAAAFtX/18=")</f>
        <v>#VALUE!</v>
      </c>
      <c r="CS1" t="e">
        <f>AND('BBP complete'!F327,"AAAAAFtX/2A=")</f>
        <v>#VALUE!</v>
      </c>
      <c r="CT1" t="e">
        <f>AND('BBP complete'!G327,"AAAAAFtX/2E=")</f>
        <v>#VALUE!</v>
      </c>
      <c r="CU1" t="e">
        <f>AND('BBP complete'!H327,"AAAAAFtX/2I=")</f>
        <v>#VALUE!</v>
      </c>
      <c r="CV1" t="e">
        <f>AND('BBP complete'!I327,"AAAAAFtX/2M=")</f>
        <v>#VALUE!</v>
      </c>
      <c r="CW1" s="60" t="e">
        <v>#VALUE!</v>
      </c>
      <c r="CX1" t="e">
        <f>AND('BBP complete'!A328,"AAAAAFtX/2U=")</f>
        <v>#VALUE!</v>
      </c>
      <c r="CY1" t="e">
        <f>AND('BBP complete'!B328,"AAAAAFtX/2Y=")</f>
        <v>#VALUE!</v>
      </c>
      <c r="CZ1" t="e">
        <f>AND('BBP complete'!C328,"AAAAAFtX/2c=")</f>
        <v>#VALUE!</v>
      </c>
      <c r="DA1" t="e">
        <f>AND('BBP complete'!D328,"AAAAAFtX/2g=")</f>
        <v>#VALUE!</v>
      </c>
      <c r="DB1" t="e">
        <f>AND('BBP complete'!E328,"AAAAAFtX/2k=")</f>
        <v>#VALUE!</v>
      </c>
      <c r="DC1" t="e">
        <f>AND('BBP complete'!F328,"AAAAAFtX/2o=")</f>
        <v>#VALUE!</v>
      </c>
      <c r="DD1" t="e">
        <f>AND('BBP complete'!G328,"AAAAAFtX/2s=")</f>
        <v>#VALUE!</v>
      </c>
      <c r="DE1" t="e">
        <f>AND('BBP complete'!H328,"AAAAAFtX/2w=")</f>
        <v>#VALUE!</v>
      </c>
      <c r="DF1" t="e">
        <f>AND('BBP complete'!I328,"AAAAAFtX/20=")</f>
        <v>#VALUE!</v>
      </c>
      <c r="DG1" s="60" t="e">
        <v>#VALUE!</v>
      </c>
      <c r="DH1" t="e">
        <f>AND('BBP complete'!A329,"AAAAAFtX/28=")</f>
        <v>#VALUE!</v>
      </c>
      <c r="DI1" t="e">
        <f>AND('BBP complete'!B329,"AAAAAFtX/3A=")</f>
        <v>#VALUE!</v>
      </c>
      <c r="DJ1" t="e">
        <f>AND('BBP complete'!C329,"AAAAAFtX/3E=")</f>
        <v>#VALUE!</v>
      </c>
      <c r="DK1" t="e">
        <f>AND('BBP complete'!D329,"AAAAAFtX/3I=")</f>
        <v>#VALUE!</v>
      </c>
      <c r="DL1" t="e">
        <f>AND('BBP complete'!E329,"AAAAAFtX/3M=")</f>
        <v>#VALUE!</v>
      </c>
      <c r="DM1" t="e">
        <f>AND('BBP complete'!F329,"AAAAAFtX/3Q=")</f>
        <v>#VALUE!</v>
      </c>
      <c r="DN1" t="e">
        <f>AND('BBP complete'!G329,"AAAAAFtX/3U=")</f>
        <v>#VALUE!</v>
      </c>
      <c r="DO1" t="e">
        <f>AND('BBP complete'!H329,"AAAAAFtX/3Y=")</f>
        <v>#VALUE!</v>
      </c>
      <c r="DP1" t="e">
        <f>AND('BBP complete'!I329,"AAAAAFtX/3c=")</f>
        <v>#VALUE!</v>
      </c>
      <c r="DQ1" s="60" t="e">
        <v>#VALUE!</v>
      </c>
      <c r="DR1" t="e">
        <f>AND('BBP complete'!A330,"AAAAAFtX/3k=")</f>
        <v>#VALUE!</v>
      </c>
      <c r="DS1" t="e">
        <f>AND('BBP complete'!B330,"AAAAAFtX/3o=")</f>
        <v>#VALUE!</v>
      </c>
      <c r="DT1" t="e">
        <f>AND('BBP complete'!C330,"AAAAAFtX/3s=")</f>
        <v>#VALUE!</v>
      </c>
      <c r="DU1" t="e">
        <f>AND('BBP complete'!D330,"AAAAAFtX/3w=")</f>
        <v>#VALUE!</v>
      </c>
      <c r="DV1" t="e">
        <f>AND('BBP complete'!E330,"AAAAAFtX/30=")</f>
        <v>#VALUE!</v>
      </c>
      <c r="DW1" t="e">
        <f>AND('BBP complete'!F330,"AAAAAFtX/34=")</f>
        <v>#VALUE!</v>
      </c>
      <c r="DX1" t="e">
        <f>AND('BBP complete'!G330,"AAAAAFtX/38=")</f>
        <v>#VALUE!</v>
      </c>
      <c r="DY1" t="e">
        <f>AND('BBP complete'!H330,"AAAAAFtX/4A=")</f>
        <v>#VALUE!</v>
      </c>
      <c r="DZ1" t="e">
        <f>AND('BBP complete'!I330,"AAAAAFtX/4E=")</f>
        <v>#VALUE!</v>
      </c>
      <c r="EA1" s="60" t="e">
        <v>#VALUE!</v>
      </c>
      <c r="EB1" t="e">
        <f>AND('BBP complete'!A331,"AAAAAFtX/4M=")</f>
        <v>#VALUE!</v>
      </c>
      <c r="EC1" t="e">
        <f>AND('BBP complete'!B331,"AAAAAFtX/4Q=")</f>
        <v>#VALUE!</v>
      </c>
      <c r="ED1" t="e">
        <f>AND('BBP complete'!C331,"AAAAAFtX/4U=")</f>
        <v>#VALUE!</v>
      </c>
      <c r="EE1" t="e">
        <f>AND('BBP complete'!D331,"AAAAAFtX/4Y=")</f>
        <v>#VALUE!</v>
      </c>
      <c r="EF1" t="e">
        <f>AND('BBP complete'!E331,"AAAAAFtX/4c=")</f>
        <v>#VALUE!</v>
      </c>
      <c r="EG1" t="e">
        <f>AND('BBP complete'!F331,"AAAAAFtX/4g=")</f>
        <v>#VALUE!</v>
      </c>
      <c r="EH1" t="e">
        <f>AND('BBP complete'!G331,"AAAAAFtX/4k=")</f>
        <v>#VALUE!</v>
      </c>
      <c r="EI1" t="e">
        <f>AND('BBP complete'!H331,"AAAAAFtX/4o=")</f>
        <v>#VALUE!</v>
      </c>
      <c r="EJ1" t="e">
        <f>AND('BBP complete'!I331,"AAAAAFtX/4s=")</f>
        <v>#VALUE!</v>
      </c>
      <c r="EK1" s="60" t="e">
        <v>#VALUE!</v>
      </c>
      <c r="EL1" t="e">
        <f>AND('BBP complete'!A332,"AAAAAFtX/40=")</f>
        <v>#VALUE!</v>
      </c>
      <c r="EM1" t="e">
        <f>AND('BBP complete'!B332,"AAAAAFtX/44=")</f>
        <v>#VALUE!</v>
      </c>
      <c r="EN1" t="e">
        <f>AND('BBP complete'!C332,"AAAAAFtX/48=")</f>
        <v>#VALUE!</v>
      </c>
      <c r="EO1" t="e">
        <f>AND('BBP complete'!D332,"AAAAAFtX/5A=")</f>
        <v>#VALUE!</v>
      </c>
      <c r="EP1" t="e">
        <f>AND('BBP complete'!E332,"AAAAAFtX/5E=")</f>
        <v>#VALUE!</v>
      </c>
      <c r="EQ1" t="e">
        <f>AND('BBP complete'!F332,"AAAAAFtX/5I=")</f>
        <v>#VALUE!</v>
      </c>
      <c r="ER1" t="e">
        <f>AND('BBP complete'!G332,"AAAAAFtX/5M=")</f>
        <v>#VALUE!</v>
      </c>
      <c r="ES1" t="e">
        <f>AND('BBP complete'!H332,"AAAAAFtX/5Q=")</f>
        <v>#VALUE!</v>
      </c>
      <c r="ET1" t="e">
        <f>AND('BBP complete'!I332,"AAAAAFtX/5U=")</f>
        <v>#VALUE!</v>
      </c>
      <c r="EU1" s="60" t="e">
        <v>#VALUE!</v>
      </c>
      <c r="EV1" t="e">
        <f>AND('BBP complete'!A333,"AAAAAFtX/5c=")</f>
        <v>#VALUE!</v>
      </c>
      <c r="EW1" t="e">
        <f>AND('BBP complete'!B333,"AAAAAFtX/5g=")</f>
        <v>#VALUE!</v>
      </c>
      <c r="EX1" t="e">
        <f>AND('BBP complete'!C333,"AAAAAFtX/5k=")</f>
        <v>#VALUE!</v>
      </c>
      <c r="EY1" t="e">
        <f>AND('BBP complete'!D333,"AAAAAFtX/5o=")</f>
        <v>#VALUE!</v>
      </c>
      <c r="EZ1" t="e">
        <f>AND('BBP complete'!E333,"AAAAAFtX/5s=")</f>
        <v>#VALUE!</v>
      </c>
      <c r="FA1" t="e">
        <f>AND('BBP complete'!F333,"AAAAAFtX/5w=")</f>
        <v>#VALUE!</v>
      </c>
      <c r="FB1" t="e">
        <f>AND('BBP complete'!G333,"AAAAAFtX/50=")</f>
        <v>#VALUE!</v>
      </c>
      <c r="FC1" t="e">
        <f>AND('BBP complete'!H333,"AAAAAFtX/54=")</f>
        <v>#VALUE!</v>
      </c>
      <c r="FD1" t="e">
        <f>AND('BBP complete'!I333,"AAAAAFtX/58=")</f>
        <v>#VALUE!</v>
      </c>
      <c r="FE1" s="60" t="e">
        <v>#VALUE!</v>
      </c>
      <c r="FF1" t="e">
        <f>AND('BBP complete'!A334,"AAAAAFtX/6E=")</f>
        <v>#VALUE!</v>
      </c>
      <c r="FG1" t="e">
        <f>AND('BBP complete'!B334,"AAAAAFtX/6I=")</f>
        <v>#VALUE!</v>
      </c>
      <c r="FH1" t="e">
        <f>AND('BBP complete'!C334,"AAAAAFtX/6M=")</f>
        <v>#VALUE!</v>
      </c>
      <c r="FI1" t="e">
        <f>AND('BBP complete'!D334,"AAAAAFtX/6Q=")</f>
        <v>#VALUE!</v>
      </c>
      <c r="FJ1" t="e">
        <f>AND('BBP complete'!E334,"AAAAAFtX/6U=")</f>
        <v>#VALUE!</v>
      </c>
      <c r="FK1" t="e">
        <f>AND('BBP complete'!F334,"AAAAAFtX/6Y=")</f>
        <v>#VALUE!</v>
      </c>
      <c r="FL1" t="e">
        <f>AND('BBP complete'!G334,"AAAAAFtX/6c=")</f>
        <v>#VALUE!</v>
      </c>
      <c r="FM1" t="e">
        <f>AND('BBP complete'!H334,"AAAAAFtX/6g=")</f>
        <v>#VALUE!</v>
      </c>
      <c r="FN1" t="e">
        <f>AND('BBP complete'!I334,"AAAAAFtX/6k=")</f>
        <v>#VALUE!</v>
      </c>
      <c r="FO1" s="60" t="e">
        <v>#VALUE!</v>
      </c>
      <c r="FP1" t="e">
        <f>AND('BBP complete'!A335,"AAAAAFtX/6s=")</f>
        <v>#VALUE!</v>
      </c>
      <c r="FQ1" t="e">
        <f>AND('BBP complete'!B335,"AAAAAFtX/6w=")</f>
        <v>#VALUE!</v>
      </c>
      <c r="FR1" t="e">
        <f>AND('BBP complete'!C335,"AAAAAFtX/60=")</f>
        <v>#VALUE!</v>
      </c>
      <c r="FS1" t="e">
        <f>AND('BBP complete'!D335,"AAAAAFtX/64=")</f>
        <v>#VALUE!</v>
      </c>
      <c r="FT1" t="e">
        <f>AND('BBP complete'!E335,"AAAAAFtX/68=")</f>
        <v>#VALUE!</v>
      </c>
      <c r="FU1" t="e">
        <f>AND('BBP complete'!F335,"AAAAAFtX/7A=")</f>
        <v>#VALUE!</v>
      </c>
      <c r="FV1" t="e">
        <f>AND('BBP complete'!G335,"AAAAAFtX/7E=")</f>
        <v>#VALUE!</v>
      </c>
      <c r="FW1" t="e">
        <f>AND('BBP complete'!H335,"AAAAAFtX/7I=")</f>
        <v>#VALUE!</v>
      </c>
      <c r="FX1" t="e">
        <f>AND('BBP complete'!I335,"AAAAAFtX/7M=")</f>
        <v>#VALUE!</v>
      </c>
      <c r="FY1" s="60" t="e">
        <v>#VALUE!</v>
      </c>
      <c r="FZ1" t="e">
        <f>AND('BBP complete'!A336,"AAAAAFtX/7U=")</f>
        <v>#VALUE!</v>
      </c>
      <c r="GA1" t="e">
        <f>AND('BBP complete'!B336,"AAAAAFtX/7Y=")</f>
        <v>#VALUE!</v>
      </c>
      <c r="GB1" t="e">
        <f>AND('BBP complete'!C336,"AAAAAFtX/7c=")</f>
        <v>#VALUE!</v>
      </c>
      <c r="GC1" t="e">
        <f>AND('BBP complete'!D336,"AAAAAFtX/7g=")</f>
        <v>#VALUE!</v>
      </c>
      <c r="GD1" t="e">
        <f>AND('BBP complete'!E336,"AAAAAFtX/7k=")</f>
        <v>#VALUE!</v>
      </c>
      <c r="GE1" t="e">
        <f>AND('BBP complete'!F336,"AAAAAFtX/7o=")</f>
        <v>#VALUE!</v>
      </c>
      <c r="GF1" t="e">
        <f>AND('BBP complete'!G336,"AAAAAFtX/7s=")</f>
        <v>#VALUE!</v>
      </c>
      <c r="GG1" t="e">
        <f>AND('BBP complete'!H336,"AAAAAFtX/7w=")</f>
        <v>#VALUE!</v>
      </c>
      <c r="GH1" t="e">
        <f>AND('BBP complete'!I336,"AAAAAFtX/70=")</f>
        <v>#VALUE!</v>
      </c>
      <c r="GI1" s="60" t="e">
        <v>#VALUE!</v>
      </c>
      <c r="GJ1" t="e">
        <f>AND('BBP complete'!A337,"AAAAAFtX/78=")</f>
        <v>#VALUE!</v>
      </c>
      <c r="GK1" t="e">
        <f>AND('BBP complete'!B337,"AAAAAFtX/8A=")</f>
        <v>#VALUE!</v>
      </c>
      <c r="GL1" t="e">
        <f>AND('BBP complete'!C337,"AAAAAFtX/8E=")</f>
        <v>#VALUE!</v>
      </c>
      <c r="GM1" t="e">
        <f>AND('BBP complete'!D337,"AAAAAFtX/8I=")</f>
        <v>#VALUE!</v>
      </c>
      <c r="GN1" t="e">
        <f>AND('BBP complete'!E337,"AAAAAFtX/8M=")</f>
        <v>#VALUE!</v>
      </c>
      <c r="GO1" t="e">
        <f>AND('BBP complete'!F337,"AAAAAFtX/8Q=")</f>
        <v>#VALUE!</v>
      </c>
      <c r="GP1" t="e">
        <f>AND('BBP complete'!G337,"AAAAAFtX/8U=")</f>
        <v>#VALUE!</v>
      </c>
      <c r="GQ1" t="e">
        <f>AND('BBP complete'!H337,"AAAAAFtX/8Y=")</f>
        <v>#VALUE!</v>
      </c>
      <c r="GR1" t="e">
        <f>AND('BBP complete'!I337,"AAAAAFtX/8c=")</f>
        <v>#VALUE!</v>
      </c>
      <c r="GS1" s="60" t="e">
        <v>#VALUE!</v>
      </c>
      <c r="GT1" t="e">
        <f>AND('BBP complete'!A338,"AAAAAFtX/8k=")</f>
        <v>#VALUE!</v>
      </c>
      <c r="GU1" t="e">
        <f>AND('BBP complete'!B338,"AAAAAFtX/8o=")</f>
        <v>#VALUE!</v>
      </c>
      <c r="GV1" t="e">
        <f>AND('BBP complete'!C338,"AAAAAFtX/8s=")</f>
        <v>#VALUE!</v>
      </c>
      <c r="GW1" t="e">
        <f>AND('BBP complete'!D338,"AAAAAFtX/8w=")</f>
        <v>#VALUE!</v>
      </c>
      <c r="GX1" t="e">
        <f>AND('BBP complete'!E338,"AAAAAFtX/80=")</f>
        <v>#VALUE!</v>
      </c>
      <c r="GY1" t="e">
        <f>AND('BBP complete'!F338,"AAAAAFtX/84=")</f>
        <v>#VALUE!</v>
      </c>
      <c r="GZ1" t="e">
        <f>AND('BBP complete'!G338,"AAAAAFtX/88=")</f>
        <v>#VALUE!</v>
      </c>
      <c r="HA1" t="e">
        <f>AND('BBP complete'!H338,"AAAAAFtX/9A=")</f>
        <v>#VALUE!</v>
      </c>
      <c r="HB1" t="e">
        <f>AND('BBP complete'!I338,"AAAAAFtX/9E=")</f>
        <v>#VALUE!</v>
      </c>
      <c r="HC1" s="60" t="e">
        <v>#VALUE!</v>
      </c>
      <c r="HD1" t="e">
        <f>AND('BBP complete'!A339,"AAAAAFtX/9M=")</f>
        <v>#VALUE!</v>
      </c>
      <c r="HE1" t="e">
        <f>AND('BBP complete'!B339,"AAAAAFtX/9Q=")</f>
        <v>#VALUE!</v>
      </c>
      <c r="HF1" t="e">
        <f>AND('BBP complete'!C339,"AAAAAFtX/9U=")</f>
        <v>#VALUE!</v>
      </c>
      <c r="HG1" t="e">
        <f>AND('BBP complete'!D339,"AAAAAFtX/9Y=")</f>
        <v>#VALUE!</v>
      </c>
      <c r="HH1" t="e">
        <f>AND('BBP complete'!E339,"AAAAAFtX/9c=")</f>
        <v>#VALUE!</v>
      </c>
      <c r="HI1" t="e">
        <f>AND('BBP complete'!F339,"AAAAAFtX/9g=")</f>
        <v>#VALUE!</v>
      </c>
      <c r="HJ1" t="e">
        <f>AND('BBP complete'!G339,"AAAAAFtX/9k=")</f>
        <v>#VALUE!</v>
      </c>
      <c r="HK1" t="e">
        <f>AND('BBP complete'!H339,"AAAAAFtX/9o=")</f>
        <v>#VALUE!</v>
      </c>
      <c r="HL1" t="e">
        <f>AND('BBP complete'!I339,"AAAAAFtX/9s=")</f>
        <v>#VALUE!</v>
      </c>
      <c r="HM1" s="60" t="e">
        <v>#VALUE!</v>
      </c>
      <c r="HN1" t="e">
        <f>AND('BBP complete'!A340,"AAAAAFtX/90=")</f>
        <v>#VALUE!</v>
      </c>
      <c r="HO1" t="e">
        <f>AND('BBP complete'!B340,"AAAAAFtX/94=")</f>
        <v>#VALUE!</v>
      </c>
      <c r="HP1" t="e">
        <f>AND('BBP complete'!C340,"AAAAAFtX/98=")</f>
        <v>#VALUE!</v>
      </c>
      <c r="HQ1" t="e">
        <f>AND('BBP complete'!D340,"AAAAAFtX/+A=")</f>
        <v>#VALUE!</v>
      </c>
      <c r="HR1" t="e">
        <f>AND('BBP complete'!E340,"AAAAAFtX/+E=")</f>
        <v>#VALUE!</v>
      </c>
      <c r="HS1" t="e">
        <f>AND('BBP complete'!F340,"AAAAAFtX/+I=")</f>
        <v>#VALUE!</v>
      </c>
      <c r="HT1" t="e">
        <f>AND('BBP complete'!G340,"AAAAAFtX/+M=")</f>
        <v>#VALUE!</v>
      </c>
      <c r="HU1" t="e">
        <f>AND('BBP complete'!H340,"AAAAAFtX/+Q=")</f>
        <v>#VALUE!</v>
      </c>
      <c r="HV1" t="e">
        <f>AND('BBP complete'!I340,"AAAAAFtX/+U=")</f>
        <v>#VALUE!</v>
      </c>
      <c r="HW1" s="60" t="e">
        <v>#VALUE!</v>
      </c>
      <c r="HX1" t="e">
        <f>AND('BBP complete'!A341,"AAAAAFtX/+c=")</f>
        <v>#VALUE!</v>
      </c>
      <c r="HY1" t="e">
        <f>AND('BBP complete'!B341,"AAAAAFtX/+g=")</f>
        <v>#VALUE!</v>
      </c>
      <c r="HZ1" t="e">
        <f>AND('BBP complete'!C341,"AAAAAFtX/+k=")</f>
        <v>#VALUE!</v>
      </c>
      <c r="IA1" t="e">
        <f>AND('BBP complete'!D341,"AAAAAFtX/+o=")</f>
        <v>#VALUE!</v>
      </c>
      <c r="IB1" t="e">
        <f>AND('BBP complete'!E341,"AAAAAFtX/+s=")</f>
        <v>#VALUE!</v>
      </c>
      <c r="IC1" t="e">
        <f>AND('BBP complete'!F341,"AAAAAFtX/+w=")</f>
        <v>#VALUE!</v>
      </c>
      <c r="ID1" t="e">
        <f>AND('BBP complete'!G341,"AAAAAFtX/+0=")</f>
        <v>#VALUE!</v>
      </c>
      <c r="IE1" t="e">
        <f>AND('BBP complete'!H341,"AAAAAFtX/+4=")</f>
        <v>#VALUE!</v>
      </c>
      <c r="IF1" t="e">
        <f>AND('BBP complete'!I341,"AAAAAFtX/+8=")</f>
        <v>#VALUE!</v>
      </c>
      <c r="IG1" s="60" t="e">
        <v>#VALUE!</v>
      </c>
      <c r="IH1" t="e">
        <f>AND('BBP complete'!A342,"AAAAAFtX//E=")</f>
        <v>#VALUE!</v>
      </c>
      <c r="II1" t="e">
        <f>AND('BBP complete'!B342,"AAAAAFtX//I=")</f>
        <v>#VALUE!</v>
      </c>
      <c r="IJ1" t="e">
        <f>AND('BBP complete'!C342,"AAAAAFtX//M=")</f>
        <v>#VALUE!</v>
      </c>
      <c r="IK1" t="e">
        <f>AND('BBP complete'!D342,"AAAAAFtX//Q=")</f>
        <v>#VALUE!</v>
      </c>
      <c r="IL1" t="e">
        <f>AND('BBP complete'!E342,"AAAAAFtX//U=")</f>
        <v>#VALUE!</v>
      </c>
      <c r="IM1" t="e">
        <f>AND('BBP complete'!F342,"AAAAAFtX//Y=")</f>
        <v>#VALUE!</v>
      </c>
      <c r="IN1" t="e">
        <f>AND('BBP complete'!G342,"AAAAAFtX//c=")</f>
        <v>#VALUE!</v>
      </c>
      <c r="IO1" t="e">
        <f>AND('BBP complete'!H342,"AAAAAFtX//g=")</f>
        <v>#VALUE!</v>
      </c>
      <c r="IP1" t="e">
        <f>AND('BBP complete'!I342,"AAAAAFtX//k=")</f>
        <v>#VALUE!</v>
      </c>
      <c r="IQ1" s="60" t="e">
        <v>#VALUE!</v>
      </c>
      <c r="IR1" t="e">
        <f>AND('BBP complete'!A343,"AAAAAFtX//s=")</f>
        <v>#VALUE!</v>
      </c>
      <c r="IS1" t="e">
        <f>AND('BBP complete'!B343,"AAAAAFtX//w=")</f>
        <v>#VALUE!</v>
      </c>
      <c r="IT1" t="e">
        <f>AND('BBP complete'!C343,"AAAAAFtX//0=")</f>
        <v>#VALUE!</v>
      </c>
      <c r="IU1" t="e">
        <f>AND('BBP complete'!D343,"AAAAAFtX//4=")</f>
        <v>#VALUE!</v>
      </c>
      <c r="IV1" t="e">
        <f>AND('BBP complete'!E343,"AAAAAFtX//8=")</f>
        <v>#VALUE!</v>
      </c>
    </row>
    <row r="2" spans="1:256" ht="15" customHeight="1" x14ac:dyDescent="0.25">
      <c r="A2" t="e">
        <f>AND('BBP complete'!F343,"AAAAAG//twA=")</f>
        <v>#VALUE!</v>
      </c>
      <c r="B2" t="e">
        <f>AND('BBP complete'!G343,"AAAAAG//twE=")</f>
        <v>#VALUE!</v>
      </c>
      <c r="C2" t="e">
        <f>AND('BBP complete'!H343,"AAAAAG//twI=")</f>
        <v>#VALUE!</v>
      </c>
      <c r="D2" t="e">
        <f>AND('BBP complete'!I343,"AAAAAG//twM=")</f>
        <v>#VALUE!</v>
      </c>
      <c r="E2" s="60" t="e">
        <v>#VALUE!</v>
      </c>
      <c r="F2" t="e">
        <f>AND('BBP complete'!A344,"AAAAAG//twU=")</f>
        <v>#VALUE!</v>
      </c>
      <c r="G2" t="e">
        <f>AND('BBP complete'!B344,"AAAAAG//twY=")</f>
        <v>#VALUE!</v>
      </c>
      <c r="H2" t="e">
        <f>AND('BBP complete'!C344,"AAAAAG//twc=")</f>
        <v>#VALUE!</v>
      </c>
      <c r="I2" t="e">
        <f>AND('BBP complete'!D344,"AAAAAG//twg=")</f>
        <v>#VALUE!</v>
      </c>
      <c r="J2" t="e">
        <f>AND('BBP complete'!E344,"AAAAAG//twk=")</f>
        <v>#VALUE!</v>
      </c>
      <c r="K2" t="e">
        <f>AND('BBP complete'!F344,"AAAAAG//two=")</f>
        <v>#VALUE!</v>
      </c>
      <c r="L2" t="e">
        <f>AND('BBP complete'!G344,"AAAAAG//tws=")</f>
        <v>#VALUE!</v>
      </c>
      <c r="M2" t="e">
        <f>AND('BBP complete'!H344,"AAAAAG//tww=")</f>
        <v>#VALUE!</v>
      </c>
      <c r="N2" t="e">
        <f>AND('BBP complete'!I344,"AAAAAG//tw0=")</f>
        <v>#VALUE!</v>
      </c>
      <c r="O2" s="60" t="e">
        <v>#VALUE!</v>
      </c>
      <c r="P2" t="e">
        <f>AND('BBP complete'!A345,"AAAAAG//tw8=")</f>
        <v>#VALUE!</v>
      </c>
      <c r="Q2" t="e">
        <f>AND('BBP complete'!B345,"AAAAAG//txA=")</f>
        <v>#VALUE!</v>
      </c>
      <c r="R2" t="e">
        <f>AND('BBP complete'!C345,"AAAAAG//txE=")</f>
        <v>#VALUE!</v>
      </c>
      <c r="S2" t="e">
        <f>AND('BBP complete'!D345,"AAAAAG//txI=")</f>
        <v>#VALUE!</v>
      </c>
      <c r="T2" t="e">
        <f>AND('BBP complete'!E345,"AAAAAG//txM=")</f>
        <v>#VALUE!</v>
      </c>
      <c r="U2" t="e">
        <f>AND('BBP complete'!F345,"AAAAAG//txQ=")</f>
        <v>#VALUE!</v>
      </c>
      <c r="V2" t="e">
        <f>AND('BBP complete'!G345,"AAAAAG//txU=")</f>
        <v>#VALUE!</v>
      </c>
      <c r="W2" t="e">
        <f>AND('BBP complete'!H345,"AAAAAG//txY=")</f>
        <v>#VALUE!</v>
      </c>
      <c r="X2" t="e">
        <f>AND('BBP complete'!I345,"AAAAAG//txc=")</f>
        <v>#VALUE!</v>
      </c>
      <c r="Y2" s="60" t="e">
        <v>#VALUE!</v>
      </c>
      <c r="Z2" t="e">
        <f>AND('BBP complete'!A346,"AAAAAG//txk=")</f>
        <v>#VALUE!</v>
      </c>
      <c r="AA2" t="e">
        <f>AND('BBP complete'!B346,"AAAAAG//txo=")</f>
        <v>#VALUE!</v>
      </c>
      <c r="AB2" t="e">
        <f>AND('BBP complete'!C346,"AAAAAG//txs=")</f>
        <v>#VALUE!</v>
      </c>
      <c r="AC2" t="e">
        <f>AND('BBP complete'!D346,"AAAAAG//txw=")</f>
        <v>#VALUE!</v>
      </c>
      <c r="AD2" t="e">
        <f>AND('BBP complete'!E346,"AAAAAG//tx0=")</f>
        <v>#VALUE!</v>
      </c>
      <c r="AE2" t="e">
        <f>AND('BBP complete'!F346,"AAAAAG//tx4=")</f>
        <v>#VALUE!</v>
      </c>
      <c r="AF2" t="e">
        <f>AND('BBP complete'!G346,"AAAAAG//tx8=")</f>
        <v>#VALUE!</v>
      </c>
      <c r="AG2" t="e">
        <f>AND('BBP complete'!H346,"AAAAAG//tyA=")</f>
        <v>#VALUE!</v>
      </c>
      <c r="AH2" t="e">
        <f>AND('BBP complete'!I346,"AAAAAG//tyE=")</f>
        <v>#VALUE!</v>
      </c>
      <c r="AI2" s="60" t="e">
        <v>#VALUE!</v>
      </c>
      <c r="AJ2" t="e">
        <f>AND('BBP complete'!A347,"AAAAAG//tyM=")</f>
        <v>#VALUE!</v>
      </c>
      <c r="AK2" t="e">
        <f>AND('BBP complete'!B347,"AAAAAG//tyQ=")</f>
        <v>#VALUE!</v>
      </c>
      <c r="AL2" t="e">
        <f>AND('BBP complete'!C347,"AAAAAG//tyU=")</f>
        <v>#VALUE!</v>
      </c>
      <c r="AM2" t="e">
        <f>AND('BBP complete'!D347,"AAAAAG//tyY=")</f>
        <v>#VALUE!</v>
      </c>
      <c r="AN2" t="e">
        <f>AND('BBP complete'!E347,"AAAAAG//tyc=")</f>
        <v>#VALUE!</v>
      </c>
      <c r="AO2" t="e">
        <f>AND('BBP complete'!F347,"AAAAAG//tyg=")</f>
        <v>#VALUE!</v>
      </c>
      <c r="AP2" t="e">
        <f>AND('BBP complete'!G347,"AAAAAG//tyk=")</f>
        <v>#VALUE!</v>
      </c>
      <c r="AQ2" t="e">
        <f>AND('BBP complete'!H347,"AAAAAG//tyo=")</f>
        <v>#VALUE!</v>
      </c>
      <c r="AR2" t="e">
        <f>AND('BBP complete'!I347,"AAAAAG//tys=")</f>
        <v>#VALUE!</v>
      </c>
      <c r="AS2" s="60" t="e">
        <v>#VALUE!</v>
      </c>
      <c r="AT2" t="e">
        <f>AND('BBP complete'!A348,"AAAAAG//ty0=")</f>
        <v>#VALUE!</v>
      </c>
      <c r="AU2" t="e">
        <f>AND('BBP complete'!B348,"AAAAAG//ty4=")</f>
        <v>#VALUE!</v>
      </c>
      <c r="AV2" t="e">
        <f>AND('BBP complete'!C348,"AAAAAG//ty8=")</f>
        <v>#VALUE!</v>
      </c>
      <c r="AW2" t="e">
        <f>AND('BBP complete'!D348,"AAAAAG//tzA=")</f>
        <v>#VALUE!</v>
      </c>
      <c r="AX2" t="e">
        <f>AND('BBP complete'!E348,"AAAAAG//tzE=")</f>
        <v>#VALUE!</v>
      </c>
      <c r="AY2" t="e">
        <f>AND('BBP complete'!F348,"AAAAAG//tzI=")</f>
        <v>#VALUE!</v>
      </c>
      <c r="AZ2" t="e">
        <f>AND('BBP complete'!G348,"AAAAAG//tzM=")</f>
        <v>#VALUE!</v>
      </c>
      <c r="BA2" t="e">
        <f>AND('BBP complete'!H348,"AAAAAG//tzQ=")</f>
        <v>#VALUE!</v>
      </c>
      <c r="BB2" t="e">
        <f>AND('BBP complete'!I348,"AAAAAG//tzU=")</f>
        <v>#VALUE!</v>
      </c>
      <c r="BC2" s="60" t="e">
        <v>#VALUE!</v>
      </c>
      <c r="BD2" t="e">
        <f>AND('BBP complete'!A349,"AAAAAG//tzc=")</f>
        <v>#VALUE!</v>
      </c>
      <c r="BE2" t="e">
        <f>AND('BBP complete'!B349,"AAAAAG//tzg=")</f>
        <v>#VALUE!</v>
      </c>
      <c r="BF2" t="e">
        <f>AND('BBP complete'!C349,"AAAAAG//tzk=")</f>
        <v>#VALUE!</v>
      </c>
      <c r="BG2" t="e">
        <f>AND('BBP complete'!D349,"AAAAAG//tzo=")</f>
        <v>#VALUE!</v>
      </c>
      <c r="BH2" t="e">
        <f>AND('BBP complete'!E349,"AAAAAG//tzs=")</f>
        <v>#VALUE!</v>
      </c>
      <c r="BI2" t="e">
        <f>AND('BBP complete'!F349,"AAAAAG//tzw=")</f>
        <v>#VALUE!</v>
      </c>
      <c r="BJ2" t="e">
        <f>AND('BBP complete'!G349,"AAAAAG//tz0=")</f>
        <v>#VALUE!</v>
      </c>
      <c r="BK2" t="e">
        <f>AND('BBP complete'!H349,"AAAAAG//tz4=")</f>
        <v>#VALUE!</v>
      </c>
      <c r="BL2" t="e">
        <f>AND('BBP complete'!I349,"AAAAAG//tz8=")</f>
        <v>#VALUE!</v>
      </c>
      <c r="BM2" s="60" t="e">
        <v>#VALUE!</v>
      </c>
      <c r="BN2" t="e">
        <f>AND('BBP complete'!A350,"AAAAAG//t0E=")</f>
        <v>#VALUE!</v>
      </c>
      <c r="BO2" t="e">
        <f>AND('BBP complete'!B350,"AAAAAG//t0I=")</f>
        <v>#VALUE!</v>
      </c>
      <c r="BP2" t="e">
        <f>AND('BBP complete'!C350,"AAAAAG//t0M=")</f>
        <v>#VALUE!</v>
      </c>
      <c r="BQ2" t="e">
        <f>AND('BBP complete'!D350,"AAAAAG//t0Q=")</f>
        <v>#VALUE!</v>
      </c>
      <c r="BR2" t="e">
        <f>AND('BBP complete'!E350,"AAAAAG//t0U=")</f>
        <v>#VALUE!</v>
      </c>
      <c r="BS2" t="e">
        <f>AND('BBP complete'!F350,"AAAAAG//t0Y=")</f>
        <v>#VALUE!</v>
      </c>
      <c r="BT2" t="e">
        <f>AND('BBP complete'!G350,"AAAAAG//t0c=")</f>
        <v>#VALUE!</v>
      </c>
      <c r="BU2" t="e">
        <f>AND('BBP complete'!H350,"AAAAAG//t0g=")</f>
        <v>#VALUE!</v>
      </c>
      <c r="BV2" t="e">
        <f>AND('BBP complete'!I350,"AAAAAG//t0k=")</f>
        <v>#VALUE!</v>
      </c>
      <c r="BW2" s="60" t="e">
        <v>#VALUE!</v>
      </c>
      <c r="BX2" t="e">
        <f>AND('BBP complete'!A351,"AAAAAG//t0s=")</f>
        <v>#VALUE!</v>
      </c>
      <c r="BY2" t="e">
        <f>AND('BBP complete'!B351,"AAAAAG//t0w=")</f>
        <v>#VALUE!</v>
      </c>
      <c r="BZ2" t="e">
        <f>AND('BBP complete'!C351,"AAAAAG//t00=")</f>
        <v>#VALUE!</v>
      </c>
      <c r="CA2" t="e">
        <f>AND('BBP complete'!D351,"AAAAAG//t04=")</f>
        <v>#VALUE!</v>
      </c>
      <c r="CB2" t="e">
        <f>AND('BBP complete'!E351,"AAAAAG//t08=")</f>
        <v>#VALUE!</v>
      </c>
      <c r="CC2" t="e">
        <f>AND('BBP complete'!F351,"AAAAAG//t1A=")</f>
        <v>#VALUE!</v>
      </c>
      <c r="CD2" t="e">
        <f>AND('BBP complete'!G351,"AAAAAG//t1E=")</f>
        <v>#VALUE!</v>
      </c>
      <c r="CE2" t="e">
        <f>AND('BBP complete'!H351,"AAAAAG//t1I=")</f>
        <v>#VALUE!</v>
      </c>
      <c r="CF2" t="e">
        <f>AND('BBP complete'!I351,"AAAAAG//t1M=")</f>
        <v>#VALUE!</v>
      </c>
      <c r="CG2" s="60" t="e">
        <v>#VALUE!</v>
      </c>
      <c r="CH2" t="e">
        <f>AND('BBP complete'!A352,"AAAAAG//t1U=")</f>
        <v>#VALUE!</v>
      </c>
      <c r="CI2" t="e">
        <f>AND('BBP complete'!B352,"AAAAAG//t1Y=")</f>
        <v>#VALUE!</v>
      </c>
      <c r="CJ2" t="e">
        <f>AND('BBP complete'!C352,"AAAAAG//t1c=")</f>
        <v>#VALUE!</v>
      </c>
      <c r="CK2" t="e">
        <f>AND('BBP complete'!D352,"AAAAAG//t1g=")</f>
        <v>#VALUE!</v>
      </c>
      <c r="CL2" t="e">
        <f>AND('BBP complete'!E352,"AAAAAG//t1k=")</f>
        <v>#VALUE!</v>
      </c>
      <c r="CM2" t="e">
        <f>AND('BBP complete'!F352,"AAAAAG//t1o=")</f>
        <v>#VALUE!</v>
      </c>
      <c r="CN2" t="e">
        <f>AND('BBP complete'!G352,"AAAAAG//t1s=")</f>
        <v>#VALUE!</v>
      </c>
      <c r="CO2" t="e">
        <f>AND('BBP complete'!H352,"AAAAAG//t1w=")</f>
        <v>#VALUE!</v>
      </c>
      <c r="CP2" t="e">
        <f>AND('BBP complete'!I352,"AAAAAG//t10=")</f>
        <v>#VALUE!</v>
      </c>
      <c r="CQ2" s="60" t="e">
        <v>#VALUE!</v>
      </c>
      <c r="CR2" t="e">
        <f>AND('BBP complete'!A353,"AAAAAG//t18=")</f>
        <v>#VALUE!</v>
      </c>
      <c r="CS2" t="e">
        <f>AND('BBP complete'!B353,"AAAAAG//t2A=")</f>
        <v>#VALUE!</v>
      </c>
      <c r="CT2" t="e">
        <f>AND('BBP complete'!C353,"AAAAAG//t2E=")</f>
        <v>#VALUE!</v>
      </c>
      <c r="CU2" t="e">
        <f>AND('BBP complete'!D353,"AAAAAG//t2I=")</f>
        <v>#VALUE!</v>
      </c>
      <c r="CV2" t="e">
        <f>AND('BBP complete'!E353,"AAAAAG//t2M=")</f>
        <v>#VALUE!</v>
      </c>
      <c r="CW2" t="e">
        <f>AND('BBP complete'!F353,"AAAAAG//t2Q=")</f>
        <v>#VALUE!</v>
      </c>
      <c r="CX2" t="e">
        <f>AND('BBP complete'!G353,"AAAAAG//t2U=")</f>
        <v>#VALUE!</v>
      </c>
      <c r="CY2" t="e">
        <f>AND('BBP complete'!H353,"AAAAAG//t2Y=")</f>
        <v>#VALUE!</v>
      </c>
      <c r="CZ2" t="e">
        <f>AND('BBP complete'!I353,"AAAAAG//t2c=")</f>
        <v>#VALUE!</v>
      </c>
      <c r="DA2" s="60" t="e">
        <v>#VALUE!</v>
      </c>
      <c r="DB2" t="e">
        <f>AND('BBP complete'!A354,"AAAAAG//t2k=")</f>
        <v>#VALUE!</v>
      </c>
      <c r="DC2" t="e">
        <f>AND('BBP complete'!B354,"AAAAAG//t2o=")</f>
        <v>#VALUE!</v>
      </c>
      <c r="DD2" t="e">
        <f>AND('BBP complete'!C354,"AAAAAG//t2s=")</f>
        <v>#VALUE!</v>
      </c>
      <c r="DE2" t="e">
        <f>AND('BBP complete'!D354,"AAAAAG//t2w=")</f>
        <v>#VALUE!</v>
      </c>
      <c r="DF2" t="e">
        <f>AND('BBP complete'!E354,"AAAAAG//t20=")</f>
        <v>#VALUE!</v>
      </c>
      <c r="DG2" t="e">
        <f>AND('BBP complete'!F354,"AAAAAG//t24=")</f>
        <v>#VALUE!</v>
      </c>
      <c r="DH2" t="e">
        <f>AND('BBP complete'!G354,"AAAAAG//t28=")</f>
        <v>#VALUE!</v>
      </c>
      <c r="DI2" t="e">
        <f>AND('BBP complete'!H354,"AAAAAG//t3A=")</f>
        <v>#VALUE!</v>
      </c>
      <c r="DJ2" t="e">
        <f>AND('BBP complete'!I354,"AAAAAG//t3E=")</f>
        <v>#VALUE!</v>
      </c>
      <c r="DK2" s="60" t="e">
        <v>#VALUE!</v>
      </c>
      <c r="DL2" t="e">
        <f>AND('BBP complete'!A355,"AAAAAG//t3M=")</f>
        <v>#VALUE!</v>
      </c>
      <c r="DM2" t="e">
        <f>AND('BBP complete'!B355,"AAAAAG//t3Q=")</f>
        <v>#VALUE!</v>
      </c>
      <c r="DN2" t="e">
        <f>AND('BBP complete'!C355,"AAAAAG//t3U=")</f>
        <v>#VALUE!</v>
      </c>
      <c r="DO2" t="e">
        <f>AND('BBP complete'!D355,"AAAAAG//t3Y=")</f>
        <v>#VALUE!</v>
      </c>
      <c r="DP2" t="e">
        <f>AND('BBP complete'!E355,"AAAAAG//t3c=")</f>
        <v>#VALUE!</v>
      </c>
      <c r="DQ2" t="e">
        <f>AND('BBP complete'!F355,"AAAAAG//t3g=")</f>
        <v>#VALUE!</v>
      </c>
      <c r="DR2" t="e">
        <f>AND('BBP complete'!G355,"AAAAAG//t3k=")</f>
        <v>#VALUE!</v>
      </c>
      <c r="DS2" t="e">
        <f>AND('BBP complete'!H355,"AAAAAG//t3o=")</f>
        <v>#VALUE!</v>
      </c>
      <c r="DT2" t="e">
        <f>AND('BBP complete'!I355,"AAAAAG//t3s=")</f>
        <v>#VALUE!</v>
      </c>
      <c r="DU2" s="60" t="e">
        <v>#VALUE!</v>
      </c>
      <c r="DV2" t="e">
        <f>AND('BBP complete'!A356,"AAAAAG//t30=")</f>
        <v>#VALUE!</v>
      </c>
      <c r="DW2" t="e">
        <f>AND('BBP complete'!B356,"AAAAAG//t34=")</f>
        <v>#VALUE!</v>
      </c>
      <c r="DX2" t="e">
        <f>AND('BBP complete'!C356,"AAAAAG//t38=")</f>
        <v>#VALUE!</v>
      </c>
      <c r="DY2" t="e">
        <f>AND('BBP complete'!D356,"AAAAAG//t4A=")</f>
        <v>#VALUE!</v>
      </c>
      <c r="DZ2" t="e">
        <f>AND('BBP complete'!E356,"AAAAAG//t4E=")</f>
        <v>#VALUE!</v>
      </c>
      <c r="EA2" t="e">
        <f>AND('BBP complete'!F356,"AAAAAG//t4I=")</f>
        <v>#VALUE!</v>
      </c>
      <c r="EB2" t="e">
        <f>AND('BBP complete'!G356,"AAAAAG//t4M=")</f>
        <v>#VALUE!</v>
      </c>
      <c r="EC2" t="e">
        <f>AND('BBP complete'!H356,"AAAAAG//t4Q=")</f>
        <v>#VALUE!</v>
      </c>
      <c r="ED2" t="e">
        <f>AND('BBP complete'!I356,"AAAAAG//t4U=")</f>
        <v>#VALUE!</v>
      </c>
      <c r="EE2" s="60" t="e">
        <v>#VALUE!</v>
      </c>
      <c r="EF2" t="e">
        <f>AND('BBP complete'!A357,"AAAAAG//t4c=")</f>
        <v>#VALUE!</v>
      </c>
      <c r="EG2" t="e">
        <f>AND('BBP complete'!B357,"AAAAAG//t4g=")</f>
        <v>#VALUE!</v>
      </c>
      <c r="EH2" t="e">
        <f>AND('BBP complete'!C357,"AAAAAG//t4k=")</f>
        <v>#VALUE!</v>
      </c>
      <c r="EI2" t="e">
        <f>AND('BBP complete'!D357,"AAAAAG//t4o=")</f>
        <v>#VALUE!</v>
      </c>
      <c r="EJ2" t="e">
        <f>AND('BBP complete'!E357,"AAAAAG//t4s=")</f>
        <v>#VALUE!</v>
      </c>
      <c r="EK2" t="e">
        <f>AND('BBP complete'!F357,"AAAAAG//t4w=")</f>
        <v>#VALUE!</v>
      </c>
      <c r="EL2" t="e">
        <f>AND('BBP complete'!G357,"AAAAAG//t40=")</f>
        <v>#VALUE!</v>
      </c>
      <c r="EM2" t="e">
        <f>AND('BBP complete'!H357,"AAAAAG//t44=")</f>
        <v>#VALUE!</v>
      </c>
      <c r="EN2" t="e">
        <f>AND('BBP complete'!I357,"AAAAAG//t48=")</f>
        <v>#VALUE!</v>
      </c>
      <c r="EO2" s="60" t="e">
        <v>#VALUE!</v>
      </c>
      <c r="EP2" t="e">
        <f>AND('BBP complete'!A358,"AAAAAG//t5E=")</f>
        <v>#VALUE!</v>
      </c>
      <c r="EQ2" t="e">
        <f>AND('BBP complete'!B358,"AAAAAG//t5I=")</f>
        <v>#VALUE!</v>
      </c>
      <c r="ER2" t="e">
        <f>AND('BBP complete'!C358,"AAAAAG//t5M=")</f>
        <v>#VALUE!</v>
      </c>
      <c r="ES2" t="e">
        <f>AND('BBP complete'!D358,"AAAAAG//t5Q=")</f>
        <v>#VALUE!</v>
      </c>
      <c r="ET2" t="e">
        <f>AND('BBP complete'!E358,"AAAAAG//t5U=")</f>
        <v>#VALUE!</v>
      </c>
      <c r="EU2" t="e">
        <f>AND('BBP complete'!F358,"AAAAAG//t5Y=")</f>
        <v>#VALUE!</v>
      </c>
      <c r="EV2" t="e">
        <f>AND('BBP complete'!G358,"AAAAAG//t5c=")</f>
        <v>#VALUE!</v>
      </c>
      <c r="EW2" t="e">
        <f>AND('BBP complete'!H358,"AAAAAG//t5g=")</f>
        <v>#VALUE!</v>
      </c>
      <c r="EX2" t="e">
        <f>AND('BBP complete'!I358,"AAAAAG//t5k=")</f>
        <v>#VALUE!</v>
      </c>
      <c r="EY2" s="60" t="e">
        <v>#VALUE!</v>
      </c>
      <c r="EZ2" t="e">
        <f>AND('BBP complete'!A359,"AAAAAG//t5s=")</f>
        <v>#VALUE!</v>
      </c>
      <c r="FA2" t="e">
        <f>AND('BBP complete'!B359,"AAAAAG//t5w=")</f>
        <v>#VALUE!</v>
      </c>
      <c r="FB2" t="e">
        <f>AND('BBP complete'!C359,"AAAAAG//t50=")</f>
        <v>#VALUE!</v>
      </c>
      <c r="FC2" t="e">
        <f>AND('BBP complete'!D359,"AAAAAG//t54=")</f>
        <v>#VALUE!</v>
      </c>
      <c r="FD2" t="e">
        <f>AND('BBP complete'!E359,"AAAAAG//t58=")</f>
        <v>#VALUE!</v>
      </c>
      <c r="FE2" t="e">
        <f>AND('BBP complete'!F359,"AAAAAG//t6A=")</f>
        <v>#VALUE!</v>
      </c>
      <c r="FF2" t="e">
        <f>AND('BBP complete'!G359,"AAAAAG//t6E=")</f>
        <v>#VALUE!</v>
      </c>
      <c r="FG2" t="e">
        <f>AND('BBP complete'!H359,"AAAAAG//t6I=")</f>
        <v>#VALUE!</v>
      </c>
      <c r="FH2" t="e">
        <f>AND('BBP complete'!I359,"AAAAAG//t6M=")</f>
        <v>#VALUE!</v>
      </c>
      <c r="FI2" s="60" t="e">
        <v>#VALUE!</v>
      </c>
      <c r="FJ2" t="e">
        <f>AND('BBP complete'!A360,"AAAAAG//t6U=")</f>
        <v>#VALUE!</v>
      </c>
      <c r="FK2" t="e">
        <f>AND('BBP complete'!B360,"AAAAAG//t6Y=")</f>
        <v>#VALUE!</v>
      </c>
      <c r="FL2" t="e">
        <f>AND('BBP complete'!C360,"AAAAAG//t6c=")</f>
        <v>#VALUE!</v>
      </c>
      <c r="FM2" t="e">
        <f>AND('BBP complete'!D360,"AAAAAG//t6g=")</f>
        <v>#VALUE!</v>
      </c>
      <c r="FN2" t="e">
        <f>AND('BBP complete'!E360,"AAAAAG//t6k=")</f>
        <v>#VALUE!</v>
      </c>
      <c r="FO2" t="e">
        <f>AND('BBP complete'!F360,"AAAAAG//t6o=")</f>
        <v>#VALUE!</v>
      </c>
      <c r="FP2" t="e">
        <f>AND('BBP complete'!G360,"AAAAAG//t6s=")</f>
        <v>#VALUE!</v>
      </c>
      <c r="FQ2" t="e">
        <f>AND('BBP complete'!H360,"AAAAAG//t6w=")</f>
        <v>#VALUE!</v>
      </c>
      <c r="FR2" t="e">
        <f>AND('BBP complete'!I360,"AAAAAG//t60=")</f>
        <v>#VALUE!</v>
      </c>
      <c r="FS2" s="60" t="e">
        <v>#VALUE!</v>
      </c>
      <c r="FT2" t="e">
        <f>AND('BBP complete'!A361,"AAAAAG//t68=")</f>
        <v>#VALUE!</v>
      </c>
      <c r="FU2" t="e">
        <f>AND('BBP complete'!B361,"AAAAAG//t7A=")</f>
        <v>#VALUE!</v>
      </c>
      <c r="FV2" t="e">
        <f>AND('BBP complete'!C361,"AAAAAG//t7E=")</f>
        <v>#VALUE!</v>
      </c>
      <c r="FW2" t="e">
        <f>AND('BBP complete'!D361,"AAAAAG//t7I=")</f>
        <v>#VALUE!</v>
      </c>
      <c r="FX2" t="e">
        <f>AND('BBP complete'!E361,"AAAAAG//t7M=")</f>
        <v>#VALUE!</v>
      </c>
      <c r="FY2" t="e">
        <f>AND('BBP complete'!F361,"AAAAAG//t7Q=")</f>
        <v>#VALUE!</v>
      </c>
      <c r="FZ2" t="e">
        <f>AND('BBP complete'!G361,"AAAAAG//t7U=")</f>
        <v>#VALUE!</v>
      </c>
      <c r="GA2" t="e">
        <f>AND('BBP complete'!H361,"AAAAAG//t7Y=")</f>
        <v>#VALUE!</v>
      </c>
      <c r="GB2" t="e">
        <f>AND('BBP complete'!I361,"AAAAAG//t7c=")</f>
        <v>#VALUE!</v>
      </c>
      <c r="GC2" s="60" t="e">
        <v>#VALUE!</v>
      </c>
      <c r="GD2" t="e">
        <f>AND('BBP complete'!A362,"AAAAAG//t7k=")</f>
        <v>#VALUE!</v>
      </c>
      <c r="GE2" t="e">
        <f>AND('BBP complete'!B362,"AAAAAG//t7o=")</f>
        <v>#VALUE!</v>
      </c>
      <c r="GF2" t="e">
        <f>AND('BBP complete'!C362,"AAAAAG//t7s=")</f>
        <v>#VALUE!</v>
      </c>
      <c r="GG2" t="e">
        <f>AND('BBP complete'!D362,"AAAAAG//t7w=")</f>
        <v>#VALUE!</v>
      </c>
      <c r="GH2" t="e">
        <f>AND('BBP complete'!E362,"AAAAAG//t70=")</f>
        <v>#VALUE!</v>
      </c>
      <c r="GI2" t="e">
        <f>AND('BBP complete'!F362,"AAAAAG//t74=")</f>
        <v>#VALUE!</v>
      </c>
      <c r="GJ2" t="e">
        <f>AND('BBP complete'!G362,"AAAAAG//t78=")</f>
        <v>#VALUE!</v>
      </c>
      <c r="GK2" t="e">
        <f>AND('BBP complete'!H362,"AAAAAG//t8A=")</f>
        <v>#VALUE!</v>
      </c>
      <c r="GL2" t="e">
        <f>AND('BBP complete'!I362,"AAAAAG//t8E=")</f>
        <v>#VALUE!</v>
      </c>
      <c r="GM2" s="60" t="e">
        <v>#VALUE!</v>
      </c>
      <c r="GN2" t="e">
        <f>AND('BBP complete'!A363,"AAAAAG//t8M=")</f>
        <v>#VALUE!</v>
      </c>
      <c r="GO2" t="e">
        <f>AND('BBP complete'!B363,"AAAAAG//t8Q=")</f>
        <v>#VALUE!</v>
      </c>
      <c r="GP2" t="e">
        <f>AND('BBP complete'!C363,"AAAAAG//t8U=")</f>
        <v>#VALUE!</v>
      </c>
      <c r="GQ2" t="e">
        <f>AND('BBP complete'!D363,"AAAAAG//t8Y=")</f>
        <v>#VALUE!</v>
      </c>
      <c r="GR2" t="e">
        <f>AND('BBP complete'!E363,"AAAAAG//t8c=")</f>
        <v>#VALUE!</v>
      </c>
      <c r="GS2" t="e">
        <f>AND('BBP complete'!F363,"AAAAAG//t8g=")</f>
        <v>#VALUE!</v>
      </c>
      <c r="GT2" t="e">
        <f>AND('BBP complete'!G363,"AAAAAG//t8k=")</f>
        <v>#VALUE!</v>
      </c>
      <c r="GU2" t="e">
        <f>AND('BBP complete'!H363,"AAAAAG//t8o=")</f>
        <v>#VALUE!</v>
      </c>
      <c r="GV2" t="e">
        <f>AND('BBP complete'!I363,"AAAAAG//t8s=")</f>
        <v>#VALUE!</v>
      </c>
      <c r="GW2" s="60" t="e">
        <v>#VALUE!</v>
      </c>
      <c r="GX2" t="e">
        <f>AND('BBP complete'!A364,"AAAAAG//t80=")</f>
        <v>#VALUE!</v>
      </c>
      <c r="GY2" t="e">
        <f>AND('BBP complete'!B364,"AAAAAG//t84=")</f>
        <v>#VALUE!</v>
      </c>
      <c r="GZ2" t="e">
        <f>AND('BBP complete'!C364,"AAAAAG//t88=")</f>
        <v>#VALUE!</v>
      </c>
      <c r="HA2" t="e">
        <f>AND('BBP complete'!D364,"AAAAAG//t9A=")</f>
        <v>#VALUE!</v>
      </c>
      <c r="HB2" t="e">
        <f>AND('BBP complete'!E364,"AAAAAG//t9E=")</f>
        <v>#VALUE!</v>
      </c>
      <c r="HC2" t="e">
        <f>AND('BBP complete'!F364,"AAAAAG//t9I=")</f>
        <v>#VALUE!</v>
      </c>
      <c r="HD2" t="e">
        <f>AND('BBP complete'!G364,"AAAAAG//t9M=")</f>
        <v>#VALUE!</v>
      </c>
      <c r="HE2" t="e">
        <f>AND('BBP complete'!H364,"AAAAAG//t9Q=")</f>
        <v>#VALUE!</v>
      </c>
      <c r="HF2" t="e">
        <f>AND('BBP complete'!I364,"AAAAAG//t9U=")</f>
        <v>#VALUE!</v>
      </c>
      <c r="HG2" s="60" t="e">
        <v>#VALUE!</v>
      </c>
      <c r="HH2" t="e">
        <f>AND('BBP complete'!A365,"AAAAAG//t9c=")</f>
        <v>#VALUE!</v>
      </c>
      <c r="HI2" t="e">
        <f>AND('BBP complete'!B365,"AAAAAG//t9g=")</f>
        <v>#VALUE!</v>
      </c>
      <c r="HJ2" t="e">
        <f>AND('BBP complete'!C365,"AAAAAG//t9k=")</f>
        <v>#VALUE!</v>
      </c>
      <c r="HK2" t="e">
        <f>AND('BBP complete'!D365,"AAAAAG//t9o=")</f>
        <v>#VALUE!</v>
      </c>
      <c r="HL2" t="e">
        <f>AND('BBP complete'!E365,"AAAAAG//t9s=")</f>
        <v>#VALUE!</v>
      </c>
      <c r="HM2" t="e">
        <f>AND('BBP complete'!F365,"AAAAAG//t9w=")</f>
        <v>#VALUE!</v>
      </c>
      <c r="HN2" t="e">
        <f>AND('BBP complete'!G365,"AAAAAG//t90=")</f>
        <v>#VALUE!</v>
      </c>
      <c r="HO2" t="e">
        <f>AND('BBP complete'!H365,"AAAAAG//t94=")</f>
        <v>#VALUE!</v>
      </c>
      <c r="HP2" t="e">
        <f>AND('BBP complete'!I365,"AAAAAG//t98=")</f>
        <v>#VALUE!</v>
      </c>
      <c r="HQ2" s="60" t="e">
        <v>#VALUE!</v>
      </c>
      <c r="HR2" t="e">
        <f>AND('BBP complete'!A366,"AAAAAG//t+E=")</f>
        <v>#VALUE!</v>
      </c>
      <c r="HS2" t="e">
        <f>AND('BBP complete'!B366,"AAAAAG//t+I=")</f>
        <v>#VALUE!</v>
      </c>
      <c r="HT2" t="e">
        <f>AND('BBP complete'!C366,"AAAAAG//t+M=")</f>
        <v>#VALUE!</v>
      </c>
      <c r="HU2" t="e">
        <f>AND('BBP complete'!D366,"AAAAAG//t+Q=")</f>
        <v>#VALUE!</v>
      </c>
      <c r="HV2" t="e">
        <f>AND('BBP complete'!E366,"AAAAAG//t+U=")</f>
        <v>#VALUE!</v>
      </c>
      <c r="HW2" t="e">
        <f>AND('BBP complete'!F366,"AAAAAG//t+Y=")</f>
        <v>#VALUE!</v>
      </c>
      <c r="HX2" t="e">
        <f>AND('BBP complete'!G366,"AAAAAG//t+c=")</f>
        <v>#VALUE!</v>
      </c>
      <c r="HY2" t="e">
        <f>AND('BBP complete'!H366,"AAAAAG//t+g=")</f>
        <v>#VALUE!</v>
      </c>
      <c r="HZ2" t="e">
        <f>AND('BBP complete'!I366,"AAAAAG//t+k=")</f>
        <v>#VALUE!</v>
      </c>
      <c r="IA2" s="60" t="e">
        <v>#VALUE!</v>
      </c>
      <c r="IB2" t="e">
        <f>AND('BBP complete'!A367,"AAAAAG//t+s=")</f>
        <v>#VALUE!</v>
      </c>
      <c r="IC2" t="e">
        <f>AND('BBP complete'!B367,"AAAAAG//t+w=")</f>
        <v>#VALUE!</v>
      </c>
      <c r="ID2" t="e">
        <f>AND('BBP complete'!C367,"AAAAAG//t+0=")</f>
        <v>#VALUE!</v>
      </c>
      <c r="IE2" t="e">
        <f>AND('BBP complete'!D367,"AAAAAG//t+4=")</f>
        <v>#VALUE!</v>
      </c>
      <c r="IF2" t="e">
        <f>AND('BBP complete'!E367,"AAAAAG//t+8=")</f>
        <v>#VALUE!</v>
      </c>
      <c r="IG2" t="e">
        <f>AND('BBP complete'!F367,"AAAAAG//t/A=")</f>
        <v>#VALUE!</v>
      </c>
      <c r="IH2" t="e">
        <f>AND('BBP complete'!G367,"AAAAAG//t/E=")</f>
        <v>#VALUE!</v>
      </c>
      <c r="II2" t="e">
        <f>AND('BBP complete'!H367,"AAAAAG//t/I=")</f>
        <v>#VALUE!</v>
      </c>
      <c r="IJ2" t="e">
        <f>AND('BBP complete'!I367,"AAAAAG//t/M=")</f>
        <v>#VALUE!</v>
      </c>
      <c r="IK2" s="60" t="e">
        <v>#VALUE!</v>
      </c>
      <c r="IL2" t="e">
        <f>AND('BBP complete'!A368,"AAAAAG//t/U=")</f>
        <v>#VALUE!</v>
      </c>
      <c r="IM2" t="e">
        <f>AND('BBP complete'!B368,"AAAAAG//t/Y=")</f>
        <v>#VALUE!</v>
      </c>
      <c r="IN2" t="e">
        <f>AND('BBP complete'!C368,"AAAAAG//t/c=")</f>
        <v>#VALUE!</v>
      </c>
      <c r="IO2" t="e">
        <f>AND('BBP complete'!D368,"AAAAAG//t/g=")</f>
        <v>#VALUE!</v>
      </c>
      <c r="IP2" t="e">
        <f>AND('BBP complete'!E368,"AAAAAG//t/k=")</f>
        <v>#VALUE!</v>
      </c>
      <c r="IQ2" t="e">
        <f>AND('BBP complete'!F368,"AAAAAG//t/o=")</f>
        <v>#VALUE!</v>
      </c>
      <c r="IR2" t="e">
        <f>AND('BBP complete'!G368,"AAAAAG//t/s=")</f>
        <v>#VALUE!</v>
      </c>
      <c r="IS2" t="e">
        <f>AND('BBP complete'!H368,"AAAAAG//t/w=")</f>
        <v>#VALUE!</v>
      </c>
      <c r="IT2" t="e">
        <f>AND('BBP complete'!I368,"AAAAAG//t/0=")</f>
        <v>#VALUE!</v>
      </c>
      <c r="IU2" s="60" t="e">
        <v>#VALUE!</v>
      </c>
      <c r="IV2" t="e">
        <f>AND('BBP complete'!A369,"AAAAAG//t/8=")</f>
        <v>#VALUE!</v>
      </c>
    </row>
    <row r="3" spans="1:256" ht="15" customHeight="1" x14ac:dyDescent="0.25">
      <c r="A3" t="e">
        <f>AND('BBP complete'!B369,"AAAAAHvvuwA=")</f>
        <v>#VALUE!</v>
      </c>
      <c r="B3" t="e">
        <f>AND('BBP complete'!C369,"AAAAAHvvuwE=")</f>
        <v>#VALUE!</v>
      </c>
      <c r="C3" t="e">
        <f>AND('BBP complete'!D369,"AAAAAHvvuwI=")</f>
        <v>#VALUE!</v>
      </c>
      <c r="D3" t="e">
        <f>AND('BBP complete'!E369,"AAAAAHvvuwM=")</f>
        <v>#VALUE!</v>
      </c>
      <c r="E3" t="e">
        <f>AND('BBP complete'!F369,"AAAAAHvvuwQ=")</f>
        <v>#VALUE!</v>
      </c>
      <c r="F3" t="e">
        <f>AND('BBP complete'!G369,"AAAAAHvvuwU=")</f>
        <v>#VALUE!</v>
      </c>
      <c r="G3" t="e">
        <f>AND('BBP complete'!H369,"AAAAAHvvuwY=")</f>
        <v>#VALUE!</v>
      </c>
      <c r="H3" t="e">
        <f>AND('BBP complete'!I369,"AAAAAHvvuwc=")</f>
        <v>#VALUE!</v>
      </c>
      <c r="I3" s="60" t="e">
        <v>#VALUE!</v>
      </c>
      <c r="J3" t="e">
        <f>AND('BBP complete'!A370,"AAAAAHvvuwk=")</f>
        <v>#VALUE!</v>
      </c>
      <c r="K3" t="e">
        <f>AND('BBP complete'!B370,"AAAAAHvvuwo=")</f>
        <v>#VALUE!</v>
      </c>
      <c r="L3" t="e">
        <f>AND('BBP complete'!C370,"AAAAAHvvuws=")</f>
        <v>#VALUE!</v>
      </c>
      <c r="M3" t="e">
        <f>AND('BBP complete'!D370,"AAAAAHvvuww=")</f>
        <v>#VALUE!</v>
      </c>
      <c r="N3" t="e">
        <f>AND('BBP complete'!E370,"AAAAAHvvuw0=")</f>
        <v>#VALUE!</v>
      </c>
      <c r="O3" t="e">
        <f>AND('BBP complete'!F370,"AAAAAHvvuw4=")</f>
        <v>#VALUE!</v>
      </c>
      <c r="P3" t="e">
        <f>AND('BBP complete'!G370,"AAAAAHvvuw8=")</f>
        <v>#VALUE!</v>
      </c>
      <c r="Q3" t="e">
        <f>AND('BBP complete'!H370,"AAAAAHvvuxA=")</f>
        <v>#VALUE!</v>
      </c>
      <c r="R3" t="e">
        <f>AND('BBP complete'!I370,"AAAAAHvvuxE=")</f>
        <v>#VALUE!</v>
      </c>
      <c r="S3" s="60" t="e">
        <v>#VALUE!</v>
      </c>
      <c r="T3" t="e">
        <f>AND('BBP complete'!A371,"AAAAAHvvuxM=")</f>
        <v>#VALUE!</v>
      </c>
      <c r="U3" t="e">
        <f>AND('BBP complete'!B371,"AAAAAHvvuxQ=")</f>
        <v>#VALUE!</v>
      </c>
      <c r="V3" t="e">
        <f>AND('BBP complete'!C371,"AAAAAHvvuxU=")</f>
        <v>#VALUE!</v>
      </c>
      <c r="W3" t="e">
        <f>AND('BBP complete'!D371,"AAAAAHvvuxY=")</f>
        <v>#VALUE!</v>
      </c>
      <c r="X3" t="e">
        <f>AND('BBP complete'!E371,"AAAAAHvvuxc=")</f>
        <v>#VALUE!</v>
      </c>
      <c r="Y3" t="e">
        <f>AND('BBP complete'!F371,"AAAAAHvvuxg=")</f>
        <v>#VALUE!</v>
      </c>
      <c r="Z3" t="e">
        <f>AND('BBP complete'!G371,"AAAAAHvvuxk=")</f>
        <v>#VALUE!</v>
      </c>
      <c r="AA3" t="e">
        <f>AND('BBP complete'!H371,"AAAAAHvvuxo=")</f>
        <v>#VALUE!</v>
      </c>
      <c r="AB3" t="e">
        <f>AND('BBP complete'!I371,"AAAAAHvvuxs=")</f>
        <v>#VALUE!</v>
      </c>
      <c r="AC3" s="60" t="e">
        <v>#VALUE!</v>
      </c>
      <c r="AD3" t="e">
        <f>AND('BBP complete'!A372,"AAAAAHvvux0=")</f>
        <v>#VALUE!</v>
      </c>
      <c r="AE3" t="e">
        <f>AND('BBP complete'!B372,"AAAAAHvvux4=")</f>
        <v>#VALUE!</v>
      </c>
      <c r="AF3" t="e">
        <f>AND('BBP complete'!C372,"AAAAAHvvux8=")</f>
        <v>#VALUE!</v>
      </c>
      <c r="AG3" t="e">
        <f>AND('BBP complete'!D372,"AAAAAHvvuyA=")</f>
        <v>#VALUE!</v>
      </c>
      <c r="AH3" t="e">
        <f>AND('BBP complete'!E372,"AAAAAHvvuyE=")</f>
        <v>#VALUE!</v>
      </c>
      <c r="AI3" t="e">
        <f>AND('BBP complete'!F372,"AAAAAHvvuyI=")</f>
        <v>#VALUE!</v>
      </c>
      <c r="AJ3" t="e">
        <f>AND('BBP complete'!G372,"AAAAAHvvuyM=")</f>
        <v>#VALUE!</v>
      </c>
      <c r="AK3" t="e">
        <f>AND('BBP complete'!H372,"AAAAAHvvuyQ=")</f>
        <v>#VALUE!</v>
      </c>
      <c r="AL3" t="e">
        <f>AND('BBP complete'!I372,"AAAAAHvvuyU=")</f>
        <v>#VALUE!</v>
      </c>
      <c r="AM3" s="60" t="e">
        <v>#VALUE!</v>
      </c>
      <c r="AN3" t="e">
        <f>AND('BBP complete'!A373,"AAAAAHvvuyc=")</f>
        <v>#VALUE!</v>
      </c>
      <c r="AO3" t="e">
        <f>AND('BBP complete'!B373,"AAAAAHvvuyg=")</f>
        <v>#VALUE!</v>
      </c>
      <c r="AP3" t="e">
        <f>AND('BBP complete'!C373,"AAAAAHvvuyk=")</f>
        <v>#VALUE!</v>
      </c>
      <c r="AQ3" t="e">
        <f>AND('BBP complete'!D373,"AAAAAHvvuyo=")</f>
        <v>#VALUE!</v>
      </c>
      <c r="AR3" t="e">
        <f>AND('BBP complete'!E373,"AAAAAHvvuys=")</f>
        <v>#VALUE!</v>
      </c>
      <c r="AS3" t="e">
        <f>AND('BBP complete'!F373,"AAAAAHvvuyw=")</f>
        <v>#VALUE!</v>
      </c>
      <c r="AT3" t="e">
        <f>AND('BBP complete'!G373,"AAAAAHvvuy0=")</f>
        <v>#VALUE!</v>
      </c>
      <c r="AU3" t="e">
        <f>AND('BBP complete'!H373,"AAAAAHvvuy4=")</f>
        <v>#VALUE!</v>
      </c>
      <c r="AV3" t="e">
        <f>AND('BBP complete'!I373,"AAAAAHvvuy8=")</f>
        <v>#VALUE!</v>
      </c>
      <c r="AW3" s="60" t="e">
        <v>#VALUE!</v>
      </c>
      <c r="AX3" t="e">
        <f>AND('BBP complete'!A374,"AAAAAHvvuzE=")</f>
        <v>#VALUE!</v>
      </c>
      <c r="AY3" t="e">
        <f>AND('BBP complete'!B374,"AAAAAHvvuzI=")</f>
        <v>#VALUE!</v>
      </c>
      <c r="AZ3" t="e">
        <f>AND('BBP complete'!C374,"AAAAAHvvuzM=")</f>
        <v>#VALUE!</v>
      </c>
      <c r="BA3" t="e">
        <f>AND('BBP complete'!D374,"AAAAAHvvuzQ=")</f>
        <v>#VALUE!</v>
      </c>
      <c r="BB3" t="e">
        <f>AND('BBP complete'!E374,"AAAAAHvvuzU=")</f>
        <v>#VALUE!</v>
      </c>
      <c r="BC3" t="e">
        <f>AND('BBP complete'!F374,"AAAAAHvvuzY=")</f>
        <v>#VALUE!</v>
      </c>
      <c r="BD3" t="e">
        <f>AND('BBP complete'!G374,"AAAAAHvvuzc=")</f>
        <v>#VALUE!</v>
      </c>
      <c r="BE3" t="e">
        <f>AND('BBP complete'!H374,"AAAAAHvvuzg=")</f>
        <v>#VALUE!</v>
      </c>
      <c r="BF3" t="e">
        <f>AND('BBP complete'!I374,"AAAAAHvvuzk=")</f>
        <v>#VALUE!</v>
      </c>
      <c r="BG3" s="60" t="e">
        <v>#VALUE!</v>
      </c>
      <c r="BH3" t="e">
        <f>AND('BBP complete'!A375,"AAAAAHvvuzs=")</f>
        <v>#VALUE!</v>
      </c>
      <c r="BI3" t="e">
        <f>AND('BBP complete'!B375,"AAAAAHvvuzw=")</f>
        <v>#VALUE!</v>
      </c>
      <c r="BJ3" t="e">
        <f>AND('BBP complete'!C375,"AAAAAHvvuz0=")</f>
        <v>#VALUE!</v>
      </c>
      <c r="BK3" t="e">
        <f>AND('BBP complete'!D375,"AAAAAHvvuz4=")</f>
        <v>#VALUE!</v>
      </c>
      <c r="BL3" t="e">
        <f>AND('BBP complete'!E375,"AAAAAHvvuz8=")</f>
        <v>#VALUE!</v>
      </c>
      <c r="BM3" t="e">
        <f>AND('BBP complete'!F375,"AAAAAHvvu0A=")</f>
        <v>#VALUE!</v>
      </c>
      <c r="BN3" t="e">
        <f>AND('BBP complete'!G375,"AAAAAHvvu0E=")</f>
        <v>#VALUE!</v>
      </c>
      <c r="BO3" t="e">
        <f>AND('BBP complete'!H375,"AAAAAHvvu0I=")</f>
        <v>#VALUE!</v>
      </c>
      <c r="BP3" t="e">
        <f>AND('BBP complete'!I375,"AAAAAHvvu0M=")</f>
        <v>#VALUE!</v>
      </c>
      <c r="BQ3" s="60" t="e">
        <v>#VALUE!</v>
      </c>
      <c r="BR3" t="e">
        <f>AND('BBP complete'!A376,"AAAAAHvvu0U=")</f>
        <v>#VALUE!</v>
      </c>
      <c r="BS3" t="e">
        <f>AND('BBP complete'!B376,"AAAAAHvvu0Y=")</f>
        <v>#VALUE!</v>
      </c>
      <c r="BT3" t="e">
        <f>AND('BBP complete'!C376,"AAAAAHvvu0c=")</f>
        <v>#VALUE!</v>
      </c>
      <c r="BU3" t="e">
        <f>AND('BBP complete'!D376,"AAAAAHvvu0g=")</f>
        <v>#VALUE!</v>
      </c>
      <c r="BV3" t="e">
        <f>AND('BBP complete'!E376,"AAAAAHvvu0k=")</f>
        <v>#VALUE!</v>
      </c>
      <c r="BW3" t="e">
        <f>AND('BBP complete'!F376,"AAAAAHvvu0o=")</f>
        <v>#VALUE!</v>
      </c>
      <c r="BX3" t="e">
        <f>AND('BBP complete'!G376,"AAAAAHvvu0s=")</f>
        <v>#VALUE!</v>
      </c>
      <c r="BY3" t="e">
        <f>AND('BBP complete'!H376,"AAAAAHvvu0w=")</f>
        <v>#VALUE!</v>
      </c>
      <c r="BZ3" t="e">
        <f>AND('BBP complete'!I376,"AAAAAHvvu00=")</f>
        <v>#VALUE!</v>
      </c>
      <c r="CA3" s="60" t="e">
        <v>#VALUE!</v>
      </c>
      <c r="CB3" t="e">
        <f>AND('BBP complete'!A377,"AAAAAHvvu08=")</f>
        <v>#VALUE!</v>
      </c>
      <c r="CC3" t="e">
        <f>AND('BBP complete'!B377,"AAAAAHvvu1A=")</f>
        <v>#VALUE!</v>
      </c>
      <c r="CD3" t="e">
        <f>AND('BBP complete'!C377,"AAAAAHvvu1E=")</f>
        <v>#VALUE!</v>
      </c>
      <c r="CE3" t="e">
        <f>AND('BBP complete'!D377,"AAAAAHvvu1I=")</f>
        <v>#VALUE!</v>
      </c>
      <c r="CF3" t="e">
        <f>AND('BBP complete'!E377,"AAAAAHvvu1M=")</f>
        <v>#VALUE!</v>
      </c>
      <c r="CG3" t="e">
        <f>AND('BBP complete'!F377,"AAAAAHvvu1Q=")</f>
        <v>#VALUE!</v>
      </c>
      <c r="CH3" t="e">
        <f>AND('BBP complete'!G377,"AAAAAHvvu1U=")</f>
        <v>#VALUE!</v>
      </c>
      <c r="CI3" t="e">
        <f>AND('BBP complete'!H377,"AAAAAHvvu1Y=")</f>
        <v>#VALUE!</v>
      </c>
      <c r="CJ3" t="e">
        <f>AND('BBP complete'!I377,"AAAAAHvvu1c=")</f>
        <v>#VALUE!</v>
      </c>
      <c r="CK3" s="60" t="e">
        <v>#VALUE!</v>
      </c>
      <c r="CL3" t="e">
        <f>AND('BBP complete'!A378,"AAAAAHvvu1k=")</f>
        <v>#VALUE!</v>
      </c>
      <c r="CM3" t="e">
        <f>AND('BBP complete'!B378,"AAAAAHvvu1o=")</f>
        <v>#VALUE!</v>
      </c>
      <c r="CN3" t="e">
        <f>AND('BBP complete'!C378,"AAAAAHvvu1s=")</f>
        <v>#VALUE!</v>
      </c>
      <c r="CO3" t="e">
        <f>AND('BBP complete'!D378,"AAAAAHvvu1w=")</f>
        <v>#VALUE!</v>
      </c>
      <c r="CP3" t="e">
        <f>AND('BBP complete'!E378,"AAAAAHvvu10=")</f>
        <v>#VALUE!</v>
      </c>
      <c r="CQ3" t="e">
        <f>AND('BBP complete'!F378,"AAAAAHvvu14=")</f>
        <v>#VALUE!</v>
      </c>
      <c r="CR3" t="e">
        <f>AND('BBP complete'!G378,"AAAAAHvvu18=")</f>
        <v>#VALUE!</v>
      </c>
      <c r="CS3" t="e">
        <f>AND('BBP complete'!H378,"AAAAAHvvu2A=")</f>
        <v>#VALUE!</v>
      </c>
      <c r="CT3" t="e">
        <f>AND('BBP complete'!I378,"AAAAAHvvu2E=")</f>
        <v>#VALUE!</v>
      </c>
      <c r="CU3" s="60" t="e">
        <v>#VALUE!</v>
      </c>
      <c r="CV3" t="e">
        <f>AND('BBP complete'!A379,"AAAAAHvvu2M=")</f>
        <v>#VALUE!</v>
      </c>
      <c r="CW3" t="e">
        <f>AND('BBP complete'!B379,"AAAAAHvvu2Q=")</f>
        <v>#VALUE!</v>
      </c>
      <c r="CX3" t="e">
        <f>AND('BBP complete'!C379,"AAAAAHvvu2U=")</f>
        <v>#VALUE!</v>
      </c>
      <c r="CY3" t="e">
        <f>AND('BBP complete'!D379,"AAAAAHvvu2Y=")</f>
        <v>#VALUE!</v>
      </c>
      <c r="CZ3" t="e">
        <f>AND('BBP complete'!E379,"AAAAAHvvu2c=")</f>
        <v>#VALUE!</v>
      </c>
      <c r="DA3" t="e">
        <f>AND('BBP complete'!F379,"AAAAAHvvu2g=")</f>
        <v>#VALUE!</v>
      </c>
      <c r="DB3" t="e">
        <f>AND('BBP complete'!G379,"AAAAAHvvu2k=")</f>
        <v>#VALUE!</v>
      </c>
      <c r="DC3" t="e">
        <f>AND('BBP complete'!H379,"AAAAAHvvu2o=")</f>
        <v>#VALUE!</v>
      </c>
      <c r="DD3" t="e">
        <f>AND('BBP complete'!I379,"AAAAAHvvu2s=")</f>
        <v>#VALUE!</v>
      </c>
      <c r="DE3" s="60" t="e">
        <v>#VALUE!</v>
      </c>
      <c r="DF3" t="e">
        <f>AND('BBP complete'!A380,"AAAAAHvvu20=")</f>
        <v>#VALUE!</v>
      </c>
      <c r="DG3" t="e">
        <f>AND('BBP complete'!B380,"AAAAAHvvu24=")</f>
        <v>#VALUE!</v>
      </c>
      <c r="DH3" t="e">
        <f>AND('BBP complete'!C380,"AAAAAHvvu28=")</f>
        <v>#VALUE!</v>
      </c>
      <c r="DI3" t="e">
        <f>AND('BBP complete'!D380,"AAAAAHvvu3A=")</f>
        <v>#VALUE!</v>
      </c>
      <c r="DJ3" t="e">
        <f>AND('BBP complete'!E380,"AAAAAHvvu3E=")</f>
        <v>#VALUE!</v>
      </c>
      <c r="DK3" t="e">
        <f>AND('BBP complete'!F380,"AAAAAHvvu3I=")</f>
        <v>#VALUE!</v>
      </c>
      <c r="DL3" t="e">
        <f>AND('BBP complete'!G380,"AAAAAHvvu3M=")</f>
        <v>#VALUE!</v>
      </c>
      <c r="DM3" t="e">
        <f>AND('BBP complete'!H380,"AAAAAHvvu3Q=")</f>
        <v>#VALUE!</v>
      </c>
      <c r="DN3" t="e">
        <f>AND('BBP complete'!I380,"AAAAAHvvu3U=")</f>
        <v>#VALUE!</v>
      </c>
      <c r="DO3" s="60" t="e">
        <v>#VALUE!</v>
      </c>
      <c r="DP3" t="e">
        <f>AND('BBP complete'!A381,"AAAAAHvvu3c=")</f>
        <v>#VALUE!</v>
      </c>
      <c r="DQ3" t="e">
        <f>AND('BBP complete'!B381,"AAAAAHvvu3g=")</f>
        <v>#VALUE!</v>
      </c>
      <c r="DR3" t="e">
        <f>AND('BBP complete'!C381,"AAAAAHvvu3k=")</f>
        <v>#VALUE!</v>
      </c>
      <c r="DS3" t="e">
        <f>AND('BBP complete'!D381,"AAAAAHvvu3o=")</f>
        <v>#VALUE!</v>
      </c>
      <c r="DT3" t="e">
        <f>AND('BBP complete'!E381,"AAAAAHvvu3s=")</f>
        <v>#VALUE!</v>
      </c>
      <c r="DU3" t="e">
        <f>AND('BBP complete'!F381,"AAAAAHvvu3w=")</f>
        <v>#VALUE!</v>
      </c>
      <c r="DV3" t="e">
        <f>AND('BBP complete'!G381,"AAAAAHvvu30=")</f>
        <v>#VALUE!</v>
      </c>
      <c r="DW3" t="e">
        <f>AND('BBP complete'!H381,"AAAAAHvvu34=")</f>
        <v>#VALUE!</v>
      </c>
      <c r="DX3" t="e">
        <f>AND('BBP complete'!I381,"AAAAAHvvu38=")</f>
        <v>#VALUE!</v>
      </c>
      <c r="DY3" s="60" t="e">
        <v>#VALUE!</v>
      </c>
      <c r="DZ3" t="e">
        <f>AND('BBP complete'!A382,"AAAAAHvvu4E=")</f>
        <v>#VALUE!</v>
      </c>
      <c r="EA3" t="e">
        <f>AND('BBP complete'!B382,"AAAAAHvvu4I=")</f>
        <v>#VALUE!</v>
      </c>
      <c r="EB3" t="e">
        <f>AND('BBP complete'!C382,"AAAAAHvvu4M=")</f>
        <v>#VALUE!</v>
      </c>
      <c r="EC3" t="e">
        <f>AND('BBP complete'!D382,"AAAAAHvvu4Q=")</f>
        <v>#VALUE!</v>
      </c>
      <c r="ED3" t="e">
        <f>AND('BBP complete'!E382,"AAAAAHvvu4U=")</f>
        <v>#VALUE!</v>
      </c>
      <c r="EE3" t="e">
        <f>AND('BBP complete'!F382,"AAAAAHvvu4Y=")</f>
        <v>#VALUE!</v>
      </c>
      <c r="EF3" t="e">
        <f>AND('BBP complete'!G382,"AAAAAHvvu4c=")</f>
        <v>#VALUE!</v>
      </c>
      <c r="EG3" t="e">
        <f>AND('BBP complete'!H382,"AAAAAHvvu4g=")</f>
        <v>#VALUE!</v>
      </c>
      <c r="EH3" t="e">
        <f>AND('BBP complete'!I382,"AAAAAHvvu4k=")</f>
        <v>#VALUE!</v>
      </c>
      <c r="EI3" s="60" t="e">
        <v>#VALUE!</v>
      </c>
      <c r="EJ3" t="e">
        <f>AND('BBP complete'!A383,"AAAAAHvvu4s=")</f>
        <v>#VALUE!</v>
      </c>
      <c r="EK3" t="e">
        <f>AND('BBP complete'!B383,"AAAAAHvvu4w=")</f>
        <v>#VALUE!</v>
      </c>
      <c r="EL3" t="e">
        <f>AND('BBP complete'!C383,"AAAAAHvvu40=")</f>
        <v>#VALUE!</v>
      </c>
      <c r="EM3" t="e">
        <f>AND('BBP complete'!D383,"AAAAAHvvu44=")</f>
        <v>#VALUE!</v>
      </c>
      <c r="EN3" t="e">
        <f>AND('BBP complete'!E383,"AAAAAHvvu48=")</f>
        <v>#VALUE!</v>
      </c>
      <c r="EO3" t="e">
        <f>AND('BBP complete'!F383,"AAAAAHvvu5A=")</f>
        <v>#VALUE!</v>
      </c>
      <c r="EP3" t="e">
        <f>AND('BBP complete'!G383,"AAAAAHvvu5E=")</f>
        <v>#VALUE!</v>
      </c>
      <c r="EQ3" t="e">
        <f>AND('BBP complete'!H383,"AAAAAHvvu5I=")</f>
        <v>#VALUE!</v>
      </c>
      <c r="ER3" t="e">
        <f>AND('BBP complete'!I383,"AAAAAHvvu5M=")</f>
        <v>#VALUE!</v>
      </c>
      <c r="ES3" s="60" t="e">
        <v>#VALUE!</v>
      </c>
      <c r="ET3" t="e">
        <f>AND('BBP complete'!A384,"AAAAAHvvu5U=")</f>
        <v>#VALUE!</v>
      </c>
      <c r="EU3" t="e">
        <f>AND('BBP complete'!B384,"AAAAAHvvu5Y=")</f>
        <v>#VALUE!</v>
      </c>
      <c r="EV3" t="e">
        <f>AND('BBP complete'!C384,"AAAAAHvvu5c=")</f>
        <v>#VALUE!</v>
      </c>
      <c r="EW3" t="e">
        <f>AND('BBP complete'!D384,"AAAAAHvvu5g=")</f>
        <v>#VALUE!</v>
      </c>
      <c r="EX3" t="e">
        <f>AND('BBP complete'!E384,"AAAAAHvvu5k=")</f>
        <v>#VALUE!</v>
      </c>
      <c r="EY3" t="e">
        <f>AND('BBP complete'!F384,"AAAAAHvvu5o=")</f>
        <v>#VALUE!</v>
      </c>
      <c r="EZ3" t="e">
        <f>AND('BBP complete'!G384,"AAAAAHvvu5s=")</f>
        <v>#VALUE!</v>
      </c>
      <c r="FA3" t="e">
        <f>AND('BBP complete'!H384,"AAAAAHvvu5w=")</f>
        <v>#VALUE!</v>
      </c>
      <c r="FB3" t="e">
        <f>AND('BBP complete'!I384,"AAAAAHvvu50=")</f>
        <v>#VALUE!</v>
      </c>
      <c r="FC3" s="60" t="e">
        <v>#VALUE!</v>
      </c>
      <c r="FD3" t="e">
        <f>AND('BBP complete'!A385,"AAAAAHvvu58=")</f>
        <v>#VALUE!</v>
      </c>
      <c r="FE3" t="e">
        <f>AND('BBP complete'!B385,"AAAAAHvvu6A=")</f>
        <v>#VALUE!</v>
      </c>
      <c r="FF3" t="e">
        <f>AND('BBP complete'!C385,"AAAAAHvvu6E=")</f>
        <v>#VALUE!</v>
      </c>
      <c r="FG3" t="e">
        <f>AND('BBP complete'!D385,"AAAAAHvvu6I=")</f>
        <v>#VALUE!</v>
      </c>
      <c r="FH3" t="e">
        <f>AND('BBP complete'!E385,"AAAAAHvvu6M=")</f>
        <v>#VALUE!</v>
      </c>
      <c r="FI3" t="e">
        <f>AND('BBP complete'!F385,"AAAAAHvvu6Q=")</f>
        <v>#VALUE!</v>
      </c>
      <c r="FJ3" t="e">
        <f>AND('BBP complete'!G385,"AAAAAHvvu6U=")</f>
        <v>#VALUE!</v>
      </c>
      <c r="FK3" t="e">
        <f>AND('BBP complete'!H385,"AAAAAHvvu6Y=")</f>
        <v>#VALUE!</v>
      </c>
      <c r="FL3" t="e">
        <f>AND('BBP complete'!I385,"AAAAAHvvu6c=")</f>
        <v>#VALUE!</v>
      </c>
      <c r="FM3" s="60" t="e">
        <v>#VALUE!</v>
      </c>
      <c r="FN3" t="e">
        <f>AND('BBP complete'!A386,"AAAAAHvvu6k=")</f>
        <v>#VALUE!</v>
      </c>
      <c r="FO3" t="e">
        <f>AND('BBP complete'!B386,"AAAAAHvvu6o=")</f>
        <v>#VALUE!</v>
      </c>
      <c r="FP3" t="e">
        <f>AND('BBP complete'!C386,"AAAAAHvvu6s=")</f>
        <v>#VALUE!</v>
      </c>
      <c r="FQ3" t="e">
        <f>AND('BBP complete'!D386,"AAAAAHvvu6w=")</f>
        <v>#VALUE!</v>
      </c>
      <c r="FR3" t="e">
        <f>AND('BBP complete'!E386,"AAAAAHvvu60=")</f>
        <v>#VALUE!</v>
      </c>
      <c r="FS3" t="e">
        <f>AND('BBP complete'!F386,"AAAAAHvvu64=")</f>
        <v>#VALUE!</v>
      </c>
      <c r="FT3" t="e">
        <f>AND('BBP complete'!G386,"AAAAAHvvu68=")</f>
        <v>#VALUE!</v>
      </c>
      <c r="FU3" t="e">
        <f>AND('BBP complete'!H386,"AAAAAHvvu7A=")</f>
        <v>#VALUE!</v>
      </c>
      <c r="FV3" t="e">
        <f>AND('BBP complete'!I386,"AAAAAHvvu7E=")</f>
        <v>#VALUE!</v>
      </c>
      <c r="FW3" s="60" t="e">
        <v>#VALUE!</v>
      </c>
      <c r="FX3" t="e">
        <f>AND('BBP complete'!A387,"AAAAAHvvu7M=")</f>
        <v>#VALUE!</v>
      </c>
      <c r="FY3" t="e">
        <f>AND('BBP complete'!B387,"AAAAAHvvu7Q=")</f>
        <v>#VALUE!</v>
      </c>
      <c r="FZ3" t="e">
        <f>AND('BBP complete'!C387,"AAAAAHvvu7U=")</f>
        <v>#VALUE!</v>
      </c>
      <c r="GA3" t="e">
        <f>AND('BBP complete'!D387,"AAAAAHvvu7Y=")</f>
        <v>#VALUE!</v>
      </c>
      <c r="GB3" t="e">
        <f>AND('BBP complete'!E387,"AAAAAHvvu7c=")</f>
        <v>#VALUE!</v>
      </c>
      <c r="GC3" t="e">
        <f>AND('BBP complete'!F387,"AAAAAHvvu7g=")</f>
        <v>#VALUE!</v>
      </c>
      <c r="GD3" t="e">
        <f>AND('BBP complete'!G387,"AAAAAHvvu7k=")</f>
        <v>#VALUE!</v>
      </c>
      <c r="GE3" t="e">
        <f>AND('BBP complete'!H387,"AAAAAHvvu7o=")</f>
        <v>#VALUE!</v>
      </c>
      <c r="GF3" t="e">
        <f>AND('BBP complete'!I387,"AAAAAHvvu7s=")</f>
        <v>#VALUE!</v>
      </c>
      <c r="GG3" s="60" t="e">
        <v>#VALUE!</v>
      </c>
      <c r="GH3" t="e">
        <f>AND('BBP complete'!A388,"AAAAAHvvu70=")</f>
        <v>#VALUE!</v>
      </c>
      <c r="GI3" t="e">
        <f>AND('BBP complete'!B388,"AAAAAHvvu74=")</f>
        <v>#VALUE!</v>
      </c>
      <c r="GJ3" t="e">
        <f>AND('BBP complete'!C388,"AAAAAHvvu78=")</f>
        <v>#VALUE!</v>
      </c>
      <c r="GK3" t="e">
        <f>AND('BBP complete'!D388,"AAAAAHvvu8A=")</f>
        <v>#VALUE!</v>
      </c>
      <c r="GL3" t="e">
        <f>AND('BBP complete'!E388,"AAAAAHvvu8E=")</f>
        <v>#VALUE!</v>
      </c>
      <c r="GM3" t="e">
        <f>AND('BBP complete'!F388,"AAAAAHvvu8I=")</f>
        <v>#VALUE!</v>
      </c>
      <c r="GN3" t="e">
        <f>AND('BBP complete'!G388,"AAAAAHvvu8M=")</f>
        <v>#VALUE!</v>
      </c>
      <c r="GO3" t="e">
        <f>AND('BBP complete'!H388,"AAAAAHvvu8Q=")</f>
        <v>#VALUE!</v>
      </c>
      <c r="GP3" t="e">
        <f>AND('BBP complete'!I388,"AAAAAHvvu8U=")</f>
        <v>#VALUE!</v>
      </c>
      <c r="GQ3" s="60" t="e">
        <v>#VALUE!</v>
      </c>
      <c r="GR3" t="e">
        <f>AND('BBP complete'!A389,"AAAAAHvvu8c=")</f>
        <v>#VALUE!</v>
      </c>
      <c r="GS3" t="e">
        <f>AND('BBP complete'!B389,"AAAAAHvvu8g=")</f>
        <v>#VALUE!</v>
      </c>
      <c r="GT3" t="e">
        <f>AND('BBP complete'!C389,"AAAAAHvvu8k=")</f>
        <v>#VALUE!</v>
      </c>
      <c r="GU3" t="e">
        <f>AND('BBP complete'!D389,"AAAAAHvvu8o=")</f>
        <v>#VALUE!</v>
      </c>
      <c r="GV3" t="e">
        <f>AND('BBP complete'!E389,"AAAAAHvvu8s=")</f>
        <v>#VALUE!</v>
      </c>
      <c r="GW3" t="e">
        <f>AND('BBP complete'!F389,"AAAAAHvvu8w=")</f>
        <v>#VALUE!</v>
      </c>
      <c r="GX3" t="e">
        <f>AND('BBP complete'!G389,"AAAAAHvvu80=")</f>
        <v>#VALUE!</v>
      </c>
      <c r="GY3" t="e">
        <f>AND('BBP complete'!H389,"AAAAAHvvu84=")</f>
        <v>#VALUE!</v>
      </c>
      <c r="GZ3" t="e">
        <f>AND('BBP complete'!I389,"AAAAAHvvu88=")</f>
        <v>#VALUE!</v>
      </c>
      <c r="HA3" s="60" t="e">
        <v>#VALUE!</v>
      </c>
      <c r="HB3" t="e">
        <f>AND('BBP complete'!A390,"AAAAAHvvu9E=")</f>
        <v>#VALUE!</v>
      </c>
      <c r="HC3" t="e">
        <f>AND('BBP complete'!B390,"AAAAAHvvu9I=")</f>
        <v>#VALUE!</v>
      </c>
      <c r="HD3" t="e">
        <f>AND('BBP complete'!C390,"AAAAAHvvu9M=")</f>
        <v>#VALUE!</v>
      </c>
      <c r="HE3" t="e">
        <f>AND('BBP complete'!D390,"AAAAAHvvu9Q=")</f>
        <v>#VALUE!</v>
      </c>
      <c r="HF3" t="e">
        <f>AND('BBP complete'!E390,"AAAAAHvvu9U=")</f>
        <v>#VALUE!</v>
      </c>
      <c r="HG3" t="e">
        <f>AND('BBP complete'!F390,"AAAAAHvvu9Y=")</f>
        <v>#VALUE!</v>
      </c>
      <c r="HH3" t="e">
        <f>AND('BBP complete'!G390,"AAAAAHvvu9c=")</f>
        <v>#VALUE!</v>
      </c>
      <c r="HI3" t="e">
        <f>AND('BBP complete'!H390,"AAAAAHvvu9g=")</f>
        <v>#VALUE!</v>
      </c>
      <c r="HJ3" t="e">
        <f>AND('BBP complete'!I390,"AAAAAHvvu9k=")</f>
        <v>#VALUE!</v>
      </c>
      <c r="HK3" s="60" t="e">
        <v>#VALUE!</v>
      </c>
      <c r="HL3" t="e">
        <f>AND('BBP complete'!A391,"AAAAAHvvu9s=")</f>
        <v>#VALUE!</v>
      </c>
      <c r="HM3" t="e">
        <f>AND('BBP complete'!B391,"AAAAAHvvu9w=")</f>
        <v>#VALUE!</v>
      </c>
      <c r="HN3" t="e">
        <f>AND('BBP complete'!C391,"AAAAAHvvu90=")</f>
        <v>#VALUE!</v>
      </c>
      <c r="HO3" t="e">
        <f>AND('BBP complete'!D391,"AAAAAHvvu94=")</f>
        <v>#VALUE!</v>
      </c>
      <c r="HP3" t="e">
        <f>AND('BBP complete'!E391,"AAAAAHvvu98=")</f>
        <v>#VALUE!</v>
      </c>
      <c r="HQ3" t="e">
        <f>AND('BBP complete'!F391,"AAAAAHvvu+A=")</f>
        <v>#VALUE!</v>
      </c>
      <c r="HR3" t="e">
        <f>AND('BBP complete'!G391,"AAAAAHvvu+E=")</f>
        <v>#VALUE!</v>
      </c>
      <c r="HS3" t="e">
        <f>AND('BBP complete'!H391,"AAAAAHvvu+I=")</f>
        <v>#VALUE!</v>
      </c>
      <c r="HT3" t="e">
        <f>AND('BBP complete'!I391,"AAAAAHvvu+M=")</f>
        <v>#VALUE!</v>
      </c>
      <c r="HU3" s="60" t="e">
        <v>#VALUE!</v>
      </c>
      <c r="HV3" t="e">
        <f>AND('BBP complete'!A392,"AAAAAHvvu+U=")</f>
        <v>#VALUE!</v>
      </c>
      <c r="HW3" t="e">
        <f>AND('BBP complete'!B392,"AAAAAHvvu+Y=")</f>
        <v>#VALUE!</v>
      </c>
      <c r="HX3" t="e">
        <f>AND('BBP complete'!C392,"AAAAAHvvu+c=")</f>
        <v>#VALUE!</v>
      </c>
      <c r="HY3" t="e">
        <f>AND('BBP complete'!D392,"AAAAAHvvu+g=")</f>
        <v>#VALUE!</v>
      </c>
      <c r="HZ3" t="e">
        <f>AND('BBP complete'!E392,"AAAAAHvvu+k=")</f>
        <v>#VALUE!</v>
      </c>
      <c r="IA3" t="e">
        <f>AND('BBP complete'!F392,"AAAAAHvvu+o=")</f>
        <v>#VALUE!</v>
      </c>
      <c r="IB3" t="e">
        <f>AND('BBP complete'!G392,"AAAAAHvvu+s=")</f>
        <v>#VALUE!</v>
      </c>
      <c r="IC3" t="e">
        <f>AND('BBP complete'!H392,"AAAAAHvvu+w=")</f>
        <v>#VALUE!</v>
      </c>
      <c r="ID3" t="e">
        <f>AND('BBP complete'!I392,"AAAAAHvvu+0=")</f>
        <v>#VALUE!</v>
      </c>
      <c r="IE3" s="60" t="e">
        <v>#VALUE!</v>
      </c>
      <c r="IF3" t="e">
        <f>AND('BBP complete'!A393,"AAAAAHvvu+8=")</f>
        <v>#VALUE!</v>
      </c>
      <c r="IG3" t="e">
        <f>AND('BBP complete'!B393,"AAAAAHvvu/A=")</f>
        <v>#VALUE!</v>
      </c>
      <c r="IH3" t="e">
        <f>AND('BBP complete'!C393,"AAAAAHvvu/E=")</f>
        <v>#VALUE!</v>
      </c>
      <c r="II3" t="e">
        <f>AND('BBP complete'!D393,"AAAAAHvvu/I=")</f>
        <v>#VALUE!</v>
      </c>
      <c r="IJ3" t="e">
        <f>AND('BBP complete'!E393,"AAAAAHvvu/M=")</f>
        <v>#VALUE!</v>
      </c>
      <c r="IK3" t="e">
        <f>AND('BBP complete'!F393,"AAAAAHvvu/Q=")</f>
        <v>#VALUE!</v>
      </c>
      <c r="IL3" t="e">
        <f>AND('BBP complete'!G393,"AAAAAHvvu/U=")</f>
        <v>#VALUE!</v>
      </c>
      <c r="IM3" t="e">
        <f>AND('BBP complete'!H393,"AAAAAHvvu/Y=")</f>
        <v>#VALUE!</v>
      </c>
      <c r="IN3" t="e">
        <f>AND('BBP complete'!I393,"AAAAAHvvu/c=")</f>
        <v>#VALUE!</v>
      </c>
      <c r="IO3" s="60" t="e">
        <v>#VALUE!</v>
      </c>
      <c r="IP3" t="e">
        <f>AND('BBP complete'!A394,"AAAAAHvvu/k=")</f>
        <v>#VALUE!</v>
      </c>
      <c r="IQ3" t="e">
        <f>AND('BBP complete'!B394,"AAAAAHvvu/o=")</f>
        <v>#VALUE!</v>
      </c>
      <c r="IR3" t="e">
        <f>AND('BBP complete'!C394,"AAAAAHvvu/s=")</f>
        <v>#VALUE!</v>
      </c>
      <c r="IS3" t="e">
        <f>AND('BBP complete'!D394,"AAAAAHvvu/w=")</f>
        <v>#VALUE!</v>
      </c>
      <c r="IT3" t="e">
        <f>AND('BBP complete'!E394,"AAAAAHvvu/0=")</f>
        <v>#VALUE!</v>
      </c>
      <c r="IU3" t="e">
        <f>AND('BBP complete'!F394,"AAAAAHvvu/4=")</f>
        <v>#VALUE!</v>
      </c>
      <c r="IV3" t="e">
        <f>AND('BBP complete'!G394,"AAAAAHvvu/8=")</f>
        <v>#VALUE!</v>
      </c>
    </row>
    <row r="4" spans="1:256" ht="15" customHeight="1" x14ac:dyDescent="0.25">
      <c r="A4" t="e">
        <f>AND('BBP complete'!H394,"AAAAAEtnzwA=")</f>
        <v>#VALUE!</v>
      </c>
      <c r="B4" t="e">
        <f>AND('BBP complete'!I394,"AAAAAEtnzwE=")</f>
        <v>#VALUE!</v>
      </c>
      <c r="C4" s="60" t="e">
        <v>#VALUE!</v>
      </c>
      <c r="D4" t="e">
        <f>AND('BBP complete'!A395,"AAAAAEtnzwM=")</f>
        <v>#VALUE!</v>
      </c>
      <c r="E4" t="e">
        <f>AND('BBP complete'!B395,"AAAAAEtnzwQ=")</f>
        <v>#VALUE!</v>
      </c>
      <c r="F4" t="e">
        <f>AND('BBP complete'!C395,"AAAAAEtnzwU=")</f>
        <v>#VALUE!</v>
      </c>
      <c r="G4" t="e">
        <f>AND('BBP complete'!D395,"AAAAAEtnzwY=")</f>
        <v>#VALUE!</v>
      </c>
      <c r="H4" t="e">
        <f>AND('BBP complete'!E395,"AAAAAEtnzwc=")</f>
        <v>#VALUE!</v>
      </c>
      <c r="I4" t="e">
        <f>AND('BBP complete'!F395,"AAAAAEtnzwg=")</f>
        <v>#VALUE!</v>
      </c>
      <c r="J4" t="e">
        <f>AND('BBP complete'!G395,"AAAAAEtnzwk=")</f>
        <v>#VALUE!</v>
      </c>
      <c r="K4" t="e">
        <f>AND('BBP complete'!H395,"AAAAAEtnzwo=")</f>
        <v>#VALUE!</v>
      </c>
      <c r="L4" t="e">
        <f>AND('BBP complete'!I395,"AAAAAEtnzws=")</f>
        <v>#VALUE!</v>
      </c>
      <c r="M4" s="60" t="e">
        <v>#VALUE!</v>
      </c>
      <c r="N4" t="e">
        <f>AND('BBP complete'!A396,"AAAAAEtnzw0=")</f>
        <v>#VALUE!</v>
      </c>
      <c r="O4" t="e">
        <f>AND('BBP complete'!B396,"AAAAAEtnzw4=")</f>
        <v>#VALUE!</v>
      </c>
      <c r="P4" t="e">
        <f>AND('BBP complete'!C396,"AAAAAEtnzw8=")</f>
        <v>#VALUE!</v>
      </c>
      <c r="Q4" t="e">
        <f>AND('BBP complete'!D396,"AAAAAEtnzxA=")</f>
        <v>#VALUE!</v>
      </c>
      <c r="R4" t="e">
        <f>AND('BBP complete'!E396,"AAAAAEtnzxE=")</f>
        <v>#VALUE!</v>
      </c>
      <c r="S4" t="e">
        <f>AND('BBP complete'!F396,"AAAAAEtnzxI=")</f>
        <v>#VALUE!</v>
      </c>
      <c r="T4" t="e">
        <f>AND('BBP complete'!G396,"AAAAAEtnzxM=")</f>
        <v>#VALUE!</v>
      </c>
      <c r="U4" t="e">
        <f>AND('BBP complete'!H396,"AAAAAEtnzxQ=")</f>
        <v>#VALUE!</v>
      </c>
      <c r="V4" t="e">
        <f>AND('BBP complete'!I396,"AAAAAEtnzxU=")</f>
        <v>#VALUE!</v>
      </c>
      <c r="W4" s="60" t="e">
        <v>#VALUE!</v>
      </c>
      <c r="X4" t="e">
        <f>AND('BBP complete'!A397,"AAAAAEtnzxc=")</f>
        <v>#VALUE!</v>
      </c>
      <c r="Y4" t="e">
        <f>AND('BBP complete'!B397,"AAAAAEtnzxg=")</f>
        <v>#VALUE!</v>
      </c>
      <c r="Z4" t="e">
        <f>AND('BBP complete'!C397,"AAAAAEtnzxk=")</f>
        <v>#VALUE!</v>
      </c>
      <c r="AA4" t="e">
        <f>AND('BBP complete'!D397,"AAAAAEtnzxo=")</f>
        <v>#VALUE!</v>
      </c>
      <c r="AB4" t="e">
        <f>AND('BBP complete'!E397,"AAAAAEtnzxs=")</f>
        <v>#VALUE!</v>
      </c>
      <c r="AC4" t="e">
        <f>AND('BBP complete'!F397,"AAAAAEtnzxw=")</f>
        <v>#VALUE!</v>
      </c>
      <c r="AD4" t="e">
        <f>AND('BBP complete'!G397,"AAAAAEtnzx0=")</f>
        <v>#VALUE!</v>
      </c>
      <c r="AE4" t="e">
        <f>AND('BBP complete'!H397,"AAAAAEtnzx4=")</f>
        <v>#VALUE!</v>
      </c>
      <c r="AF4" t="e">
        <f>AND('BBP complete'!I397,"AAAAAEtnzx8=")</f>
        <v>#VALUE!</v>
      </c>
      <c r="AG4" s="60" t="e">
        <v>#VALUE!</v>
      </c>
      <c r="AH4" t="e">
        <f>AND('BBP complete'!A398,"AAAAAEtnzyE=")</f>
        <v>#VALUE!</v>
      </c>
      <c r="AI4" t="e">
        <f>AND('BBP complete'!B398,"AAAAAEtnzyI=")</f>
        <v>#VALUE!</v>
      </c>
      <c r="AJ4" t="e">
        <f>AND('BBP complete'!C398,"AAAAAEtnzyM=")</f>
        <v>#VALUE!</v>
      </c>
      <c r="AK4" t="e">
        <f>AND('BBP complete'!D398,"AAAAAEtnzyQ=")</f>
        <v>#VALUE!</v>
      </c>
      <c r="AL4" t="e">
        <f>AND('BBP complete'!E398,"AAAAAEtnzyU=")</f>
        <v>#VALUE!</v>
      </c>
      <c r="AM4" t="e">
        <f>AND('BBP complete'!F398,"AAAAAEtnzyY=")</f>
        <v>#VALUE!</v>
      </c>
      <c r="AN4" t="e">
        <f>AND('BBP complete'!G398,"AAAAAEtnzyc=")</f>
        <v>#VALUE!</v>
      </c>
      <c r="AO4" t="e">
        <f>AND('BBP complete'!H398,"AAAAAEtnzyg=")</f>
        <v>#VALUE!</v>
      </c>
      <c r="AP4" t="e">
        <f>AND('BBP complete'!I398,"AAAAAEtnzyk=")</f>
        <v>#VALUE!</v>
      </c>
      <c r="AQ4" s="60" t="e">
        <v>#VALUE!</v>
      </c>
      <c r="AR4" t="e">
        <f>AND('BBP complete'!A399,"AAAAAEtnzys=")</f>
        <v>#VALUE!</v>
      </c>
      <c r="AS4" t="e">
        <f>AND('BBP complete'!B399,"AAAAAEtnzyw=")</f>
        <v>#VALUE!</v>
      </c>
      <c r="AT4" t="e">
        <f>AND('BBP complete'!C399,"AAAAAEtnzy0=")</f>
        <v>#VALUE!</v>
      </c>
      <c r="AU4" t="e">
        <f>AND('BBP complete'!D399,"AAAAAEtnzy4=")</f>
        <v>#VALUE!</v>
      </c>
      <c r="AV4" t="e">
        <f>AND('BBP complete'!E399,"AAAAAEtnzy8=")</f>
        <v>#VALUE!</v>
      </c>
      <c r="AW4" t="e">
        <f>AND('BBP complete'!F399,"AAAAAEtnzzA=")</f>
        <v>#VALUE!</v>
      </c>
      <c r="AX4" t="e">
        <f>AND('BBP complete'!G399,"AAAAAEtnzzE=")</f>
        <v>#VALUE!</v>
      </c>
      <c r="AY4" t="e">
        <f>AND('BBP complete'!H399,"AAAAAEtnzzI=")</f>
        <v>#VALUE!</v>
      </c>
      <c r="AZ4" t="e">
        <f>AND('BBP complete'!I399,"AAAAAEtnzzM=")</f>
        <v>#VALUE!</v>
      </c>
      <c r="BA4" s="60" t="e">
        <v>#VALUE!</v>
      </c>
      <c r="BB4" t="e">
        <f>AND('BBP complete'!A400,"AAAAAEtnzzU=")</f>
        <v>#VALUE!</v>
      </c>
      <c r="BC4" t="e">
        <f>AND('BBP complete'!B400,"AAAAAEtnzzY=")</f>
        <v>#VALUE!</v>
      </c>
      <c r="BD4" t="e">
        <f>AND('BBP complete'!C400,"AAAAAEtnzzc=")</f>
        <v>#VALUE!</v>
      </c>
      <c r="BE4" t="e">
        <f>AND('BBP complete'!D400,"AAAAAEtnzzg=")</f>
        <v>#VALUE!</v>
      </c>
      <c r="BF4" t="e">
        <f>AND('BBP complete'!E400,"AAAAAEtnzzk=")</f>
        <v>#VALUE!</v>
      </c>
      <c r="BG4" t="e">
        <f>AND('BBP complete'!F400,"AAAAAEtnzzo=")</f>
        <v>#VALUE!</v>
      </c>
      <c r="BH4" t="e">
        <f>AND('BBP complete'!G400,"AAAAAEtnzzs=")</f>
        <v>#VALUE!</v>
      </c>
      <c r="BI4" t="e">
        <f>AND('BBP complete'!H400,"AAAAAEtnzzw=")</f>
        <v>#VALUE!</v>
      </c>
      <c r="BJ4" t="e">
        <f>AND('BBP complete'!I400,"AAAAAEtnzz0=")</f>
        <v>#VALUE!</v>
      </c>
      <c r="BK4" s="60" t="e">
        <v>#VALUE!</v>
      </c>
      <c r="BL4" t="e">
        <f>AND('BBP complete'!A401,"AAAAAEtnzz8=")</f>
        <v>#VALUE!</v>
      </c>
      <c r="BM4" t="e">
        <f>AND('BBP complete'!B401,"AAAAAEtnz0A=")</f>
        <v>#VALUE!</v>
      </c>
      <c r="BN4" t="e">
        <f>AND('BBP complete'!C401,"AAAAAEtnz0E=")</f>
        <v>#VALUE!</v>
      </c>
      <c r="BO4" t="e">
        <f>AND('BBP complete'!D401,"AAAAAEtnz0I=")</f>
        <v>#VALUE!</v>
      </c>
      <c r="BP4" t="e">
        <f>AND('BBP complete'!E401,"AAAAAEtnz0M=")</f>
        <v>#VALUE!</v>
      </c>
      <c r="BQ4" t="e">
        <f>AND('BBP complete'!F401,"AAAAAEtnz0Q=")</f>
        <v>#VALUE!</v>
      </c>
      <c r="BR4" t="e">
        <f>AND('BBP complete'!G401,"AAAAAEtnz0U=")</f>
        <v>#VALUE!</v>
      </c>
      <c r="BS4" t="e">
        <f>AND('BBP complete'!H401,"AAAAAEtnz0Y=")</f>
        <v>#VALUE!</v>
      </c>
      <c r="BT4" t="e">
        <f>AND('BBP complete'!I401,"AAAAAEtnz0c=")</f>
        <v>#VALUE!</v>
      </c>
      <c r="BU4" s="60" t="e">
        <v>#VALUE!</v>
      </c>
      <c r="BV4" t="e">
        <f>AND('BBP complete'!A402,"AAAAAEtnz0k=")</f>
        <v>#VALUE!</v>
      </c>
      <c r="BW4" t="e">
        <f>AND('BBP complete'!B402,"AAAAAEtnz0o=")</f>
        <v>#VALUE!</v>
      </c>
      <c r="BX4" t="e">
        <f>AND('BBP complete'!C402,"AAAAAEtnz0s=")</f>
        <v>#VALUE!</v>
      </c>
      <c r="BY4" t="e">
        <f>AND('BBP complete'!D402,"AAAAAEtnz0w=")</f>
        <v>#VALUE!</v>
      </c>
      <c r="BZ4" t="e">
        <f>AND('BBP complete'!E402,"AAAAAEtnz00=")</f>
        <v>#VALUE!</v>
      </c>
      <c r="CA4" t="e">
        <f>AND('BBP complete'!F402,"AAAAAEtnz04=")</f>
        <v>#VALUE!</v>
      </c>
      <c r="CB4" t="e">
        <f>AND('BBP complete'!G402,"AAAAAEtnz08=")</f>
        <v>#VALUE!</v>
      </c>
      <c r="CC4" t="e">
        <f>AND('BBP complete'!H402,"AAAAAEtnz1A=")</f>
        <v>#VALUE!</v>
      </c>
      <c r="CD4" t="e">
        <f>AND('BBP complete'!I402,"AAAAAEtnz1E=")</f>
        <v>#VALUE!</v>
      </c>
      <c r="CE4" s="60" t="e">
        <v>#VALUE!</v>
      </c>
      <c r="CF4" t="e">
        <f>AND('BBP complete'!A403,"AAAAAEtnz1M=")</f>
        <v>#VALUE!</v>
      </c>
      <c r="CG4" t="e">
        <f>AND('BBP complete'!B403,"AAAAAEtnz1Q=")</f>
        <v>#VALUE!</v>
      </c>
      <c r="CH4" t="e">
        <f>AND('BBP complete'!C403,"AAAAAEtnz1U=")</f>
        <v>#VALUE!</v>
      </c>
      <c r="CI4" t="e">
        <f>AND('BBP complete'!D403,"AAAAAEtnz1Y=")</f>
        <v>#VALUE!</v>
      </c>
      <c r="CJ4" t="e">
        <f>AND('BBP complete'!E403,"AAAAAEtnz1c=")</f>
        <v>#VALUE!</v>
      </c>
      <c r="CK4" t="e">
        <f>AND('BBP complete'!F403,"AAAAAEtnz1g=")</f>
        <v>#VALUE!</v>
      </c>
      <c r="CL4" t="e">
        <f>AND('BBP complete'!G403,"AAAAAEtnz1k=")</f>
        <v>#VALUE!</v>
      </c>
      <c r="CM4" t="e">
        <f>AND('BBP complete'!H403,"AAAAAEtnz1o=")</f>
        <v>#VALUE!</v>
      </c>
      <c r="CN4" t="e">
        <f>AND('BBP complete'!I403,"AAAAAEtnz1s=")</f>
        <v>#VALUE!</v>
      </c>
      <c r="CO4" s="60" t="e">
        <v>#VALUE!</v>
      </c>
      <c r="CP4" t="e">
        <f>AND('BBP complete'!A404,"AAAAAEtnz10=")</f>
        <v>#VALUE!</v>
      </c>
      <c r="CQ4" t="e">
        <f>AND('BBP complete'!B404,"AAAAAEtnz14=")</f>
        <v>#VALUE!</v>
      </c>
      <c r="CR4" t="e">
        <f>AND('BBP complete'!C404,"AAAAAEtnz18=")</f>
        <v>#VALUE!</v>
      </c>
      <c r="CS4" t="e">
        <f>AND('BBP complete'!D404,"AAAAAEtnz2A=")</f>
        <v>#VALUE!</v>
      </c>
      <c r="CT4" t="e">
        <f>AND('BBP complete'!E404,"AAAAAEtnz2E=")</f>
        <v>#VALUE!</v>
      </c>
      <c r="CU4" t="e">
        <f>AND('BBP complete'!F404,"AAAAAEtnz2I=")</f>
        <v>#VALUE!</v>
      </c>
      <c r="CV4" t="e">
        <f>AND('BBP complete'!G404,"AAAAAEtnz2M=")</f>
        <v>#VALUE!</v>
      </c>
      <c r="CW4" t="e">
        <f>AND('BBP complete'!H404,"AAAAAEtnz2Q=")</f>
        <v>#VALUE!</v>
      </c>
      <c r="CX4" t="e">
        <f>AND('BBP complete'!I404,"AAAAAEtnz2U=")</f>
        <v>#VALUE!</v>
      </c>
      <c r="CY4" s="60" t="e">
        <v>#VALUE!</v>
      </c>
      <c r="CZ4" t="e">
        <f>AND('BBP complete'!A405,"AAAAAEtnz2c=")</f>
        <v>#VALUE!</v>
      </c>
      <c r="DA4" t="e">
        <f>AND('BBP complete'!B405,"AAAAAEtnz2g=")</f>
        <v>#VALUE!</v>
      </c>
      <c r="DB4" t="e">
        <f>AND('BBP complete'!C405,"AAAAAEtnz2k=")</f>
        <v>#VALUE!</v>
      </c>
      <c r="DC4" t="e">
        <f>AND('BBP complete'!D405,"AAAAAEtnz2o=")</f>
        <v>#VALUE!</v>
      </c>
      <c r="DD4" t="e">
        <f>AND('BBP complete'!E405,"AAAAAEtnz2s=")</f>
        <v>#VALUE!</v>
      </c>
      <c r="DE4" t="e">
        <f>AND('BBP complete'!F405,"AAAAAEtnz2w=")</f>
        <v>#VALUE!</v>
      </c>
      <c r="DF4" t="e">
        <f>AND('BBP complete'!G405,"AAAAAEtnz20=")</f>
        <v>#VALUE!</v>
      </c>
      <c r="DG4" t="e">
        <f>AND('BBP complete'!H405,"AAAAAEtnz24=")</f>
        <v>#VALUE!</v>
      </c>
      <c r="DH4" t="e">
        <f>AND('BBP complete'!I405,"AAAAAEtnz28=")</f>
        <v>#VALUE!</v>
      </c>
      <c r="DI4" s="60" t="e">
        <v>#VALUE!</v>
      </c>
      <c r="DJ4" t="e">
        <f>AND('BBP complete'!A406,"AAAAAEtnz3E=")</f>
        <v>#VALUE!</v>
      </c>
      <c r="DK4" t="e">
        <f>AND('BBP complete'!B406,"AAAAAEtnz3I=")</f>
        <v>#VALUE!</v>
      </c>
      <c r="DL4" t="e">
        <f>AND('BBP complete'!C406,"AAAAAEtnz3M=")</f>
        <v>#VALUE!</v>
      </c>
      <c r="DM4" t="e">
        <f>AND('BBP complete'!D406,"AAAAAEtnz3Q=")</f>
        <v>#VALUE!</v>
      </c>
      <c r="DN4" t="e">
        <f>AND('BBP complete'!E406,"AAAAAEtnz3U=")</f>
        <v>#VALUE!</v>
      </c>
      <c r="DO4" t="e">
        <f>AND('BBP complete'!F406,"AAAAAEtnz3Y=")</f>
        <v>#VALUE!</v>
      </c>
      <c r="DP4" t="e">
        <f>AND('BBP complete'!G406,"AAAAAEtnz3c=")</f>
        <v>#VALUE!</v>
      </c>
      <c r="DQ4" t="e">
        <f>AND('BBP complete'!H406,"AAAAAEtnz3g=")</f>
        <v>#VALUE!</v>
      </c>
      <c r="DR4" t="e">
        <f>AND('BBP complete'!I406,"AAAAAEtnz3k=")</f>
        <v>#VALUE!</v>
      </c>
      <c r="DS4" s="60" t="e">
        <v>#VALUE!</v>
      </c>
      <c r="DT4" t="e">
        <f>AND('BBP complete'!A407,"AAAAAEtnz3s=")</f>
        <v>#VALUE!</v>
      </c>
      <c r="DU4" t="e">
        <f>AND('BBP complete'!B407,"AAAAAEtnz3w=")</f>
        <v>#VALUE!</v>
      </c>
      <c r="DV4" t="e">
        <f>AND('BBP complete'!C407,"AAAAAEtnz30=")</f>
        <v>#VALUE!</v>
      </c>
      <c r="DW4" t="e">
        <f>AND('BBP complete'!D407,"AAAAAEtnz34=")</f>
        <v>#VALUE!</v>
      </c>
      <c r="DX4" t="e">
        <f>AND('BBP complete'!E407,"AAAAAEtnz38=")</f>
        <v>#VALUE!</v>
      </c>
      <c r="DY4" t="e">
        <f>AND('BBP complete'!F407,"AAAAAEtnz4A=")</f>
        <v>#VALUE!</v>
      </c>
      <c r="DZ4" t="e">
        <f>AND('BBP complete'!G407,"AAAAAEtnz4E=")</f>
        <v>#VALUE!</v>
      </c>
      <c r="EA4" t="e">
        <f>AND('BBP complete'!H407,"AAAAAEtnz4I=")</f>
        <v>#VALUE!</v>
      </c>
      <c r="EB4" t="e">
        <f>AND('BBP complete'!I407,"AAAAAEtnz4M=")</f>
        <v>#VALUE!</v>
      </c>
      <c r="EC4" s="60" t="e">
        <v>#VALUE!</v>
      </c>
      <c r="ED4" t="e">
        <f>AND('BBP complete'!A408,"AAAAAEtnz4U=")</f>
        <v>#VALUE!</v>
      </c>
      <c r="EE4" t="e">
        <f>AND('BBP complete'!B408,"AAAAAEtnz4Y=")</f>
        <v>#VALUE!</v>
      </c>
      <c r="EF4" t="e">
        <f>AND('BBP complete'!C408,"AAAAAEtnz4c=")</f>
        <v>#VALUE!</v>
      </c>
      <c r="EG4" t="e">
        <f>AND('BBP complete'!D408,"AAAAAEtnz4g=")</f>
        <v>#VALUE!</v>
      </c>
      <c r="EH4" t="e">
        <f>AND('BBP complete'!E408,"AAAAAEtnz4k=")</f>
        <v>#VALUE!</v>
      </c>
      <c r="EI4" t="e">
        <f>AND('BBP complete'!F408,"AAAAAEtnz4o=")</f>
        <v>#VALUE!</v>
      </c>
      <c r="EJ4" t="e">
        <f>AND('BBP complete'!G408,"AAAAAEtnz4s=")</f>
        <v>#VALUE!</v>
      </c>
      <c r="EK4" t="e">
        <f>AND('BBP complete'!H408,"AAAAAEtnz4w=")</f>
        <v>#VALUE!</v>
      </c>
      <c r="EL4" t="e">
        <f>AND('BBP complete'!I408,"AAAAAEtnz40=")</f>
        <v>#VALUE!</v>
      </c>
      <c r="EM4" s="60" t="e">
        <v>#VALUE!</v>
      </c>
      <c r="EN4" t="e">
        <f>AND('BBP complete'!A409,"AAAAAEtnz48=")</f>
        <v>#VALUE!</v>
      </c>
      <c r="EO4" t="e">
        <f>AND('BBP complete'!B409,"AAAAAEtnz5A=")</f>
        <v>#VALUE!</v>
      </c>
      <c r="EP4" t="e">
        <f>AND('BBP complete'!C409,"AAAAAEtnz5E=")</f>
        <v>#VALUE!</v>
      </c>
      <c r="EQ4" t="e">
        <f>AND('BBP complete'!D409,"AAAAAEtnz5I=")</f>
        <v>#VALUE!</v>
      </c>
      <c r="ER4" t="e">
        <f>AND('BBP complete'!E409,"AAAAAEtnz5M=")</f>
        <v>#VALUE!</v>
      </c>
      <c r="ES4" t="e">
        <f>AND('BBP complete'!F409,"AAAAAEtnz5Q=")</f>
        <v>#VALUE!</v>
      </c>
      <c r="ET4" t="e">
        <f>AND('BBP complete'!G409,"AAAAAEtnz5U=")</f>
        <v>#VALUE!</v>
      </c>
      <c r="EU4" t="e">
        <f>AND('BBP complete'!H409,"AAAAAEtnz5Y=")</f>
        <v>#VALUE!</v>
      </c>
      <c r="EV4" t="e">
        <f>AND('BBP complete'!I409,"AAAAAEtnz5c=")</f>
        <v>#VALUE!</v>
      </c>
      <c r="EW4" s="60" t="e">
        <v>#VALUE!</v>
      </c>
      <c r="EX4" t="e">
        <f>AND('BBP complete'!A410,"AAAAAEtnz5k=")</f>
        <v>#VALUE!</v>
      </c>
      <c r="EY4" t="e">
        <f>AND('BBP complete'!B410,"AAAAAEtnz5o=")</f>
        <v>#VALUE!</v>
      </c>
      <c r="EZ4" t="e">
        <f>AND('BBP complete'!C410,"AAAAAEtnz5s=")</f>
        <v>#VALUE!</v>
      </c>
      <c r="FA4" t="e">
        <f>AND('BBP complete'!D410,"AAAAAEtnz5w=")</f>
        <v>#VALUE!</v>
      </c>
      <c r="FB4" t="e">
        <f>AND('BBP complete'!E410,"AAAAAEtnz50=")</f>
        <v>#VALUE!</v>
      </c>
      <c r="FC4" t="e">
        <f>AND('BBP complete'!F410,"AAAAAEtnz54=")</f>
        <v>#VALUE!</v>
      </c>
      <c r="FD4" t="e">
        <f>AND('BBP complete'!G410,"AAAAAEtnz58=")</f>
        <v>#VALUE!</v>
      </c>
      <c r="FE4" t="e">
        <f>AND('BBP complete'!H410,"AAAAAEtnz6A=")</f>
        <v>#VALUE!</v>
      </c>
      <c r="FF4" t="e">
        <f>AND('BBP complete'!I410,"AAAAAEtnz6E=")</f>
        <v>#VALUE!</v>
      </c>
      <c r="FG4" s="60" t="e">
        <v>#VALUE!</v>
      </c>
      <c r="FH4" t="e">
        <f>AND('BBP complete'!A411,"AAAAAEtnz6M=")</f>
        <v>#VALUE!</v>
      </c>
      <c r="FI4" t="e">
        <f>AND('BBP complete'!B411,"AAAAAEtnz6Q=")</f>
        <v>#VALUE!</v>
      </c>
      <c r="FJ4" t="e">
        <f>AND('BBP complete'!C411,"AAAAAEtnz6U=")</f>
        <v>#VALUE!</v>
      </c>
      <c r="FK4" t="e">
        <f>AND('BBP complete'!D411,"AAAAAEtnz6Y=")</f>
        <v>#VALUE!</v>
      </c>
      <c r="FL4" t="e">
        <f>AND('BBP complete'!E411,"AAAAAEtnz6c=")</f>
        <v>#VALUE!</v>
      </c>
      <c r="FM4" t="e">
        <f>AND('BBP complete'!F411,"AAAAAEtnz6g=")</f>
        <v>#VALUE!</v>
      </c>
      <c r="FN4" t="e">
        <f>AND('BBP complete'!G411,"AAAAAEtnz6k=")</f>
        <v>#VALUE!</v>
      </c>
      <c r="FO4" t="e">
        <f>AND('BBP complete'!H411,"AAAAAEtnz6o=")</f>
        <v>#VALUE!</v>
      </c>
      <c r="FP4" t="e">
        <f>AND('BBP complete'!I411,"AAAAAEtnz6s=")</f>
        <v>#VALUE!</v>
      </c>
      <c r="FQ4" s="60" t="e">
        <v>#VALUE!</v>
      </c>
      <c r="FR4" t="e">
        <f>AND('BBP complete'!A412,"AAAAAEtnz60=")</f>
        <v>#VALUE!</v>
      </c>
      <c r="FS4" t="e">
        <f>AND('BBP complete'!B412,"AAAAAEtnz64=")</f>
        <v>#VALUE!</v>
      </c>
      <c r="FT4" t="e">
        <f>AND('BBP complete'!C412,"AAAAAEtnz68=")</f>
        <v>#VALUE!</v>
      </c>
      <c r="FU4" t="e">
        <f>AND('BBP complete'!D412,"AAAAAEtnz7A=")</f>
        <v>#VALUE!</v>
      </c>
      <c r="FV4" t="e">
        <f>AND('BBP complete'!E412,"AAAAAEtnz7E=")</f>
        <v>#VALUE!</v>
      </c>
      <c r="FW4" t="e">
        <f>AND('BBP complete'!F412,"AAAAAEtnz7I=")</f>
        <v>#VALUE!</v>
      </c>
      <c r="FX4" t="e">
        <f>AND('BBP complete'!G412,"AAAAAEtnz7M=")</f>
        <v>#VALUE!</v>
      </c>
      <c r="FY4" t="e">
        <f>AND('BBP complete'!H412,"AAAAAEtnz7Q=")</f>
        <v>#VALUE!</v>
      </c>
      <c r="FZ4" t="e">
        <f>AND('BBP complete'!I412,"AAAAAEtnz7U=")</f>
        <v>#VALUE!</v>
      </c>
      <c r="GA4" s="60" t="e">
        <v>#VALUE!</v>
      </c>
      <c r="GB4" t="e">
        <f>AND('BBP complete'!A413,"AAAAAEtnz7c=")</f>
        <v>#VALUE!</v>
      </c>
      <c r="GC4" t="e">
        <f>AND('BBP complete'!B413,"AAAAAEtnz7g=")</f>
        <v>#VALUE!</v>
      </c>
      <c r="GD4" t="e">
        <f>AND('BBP complete'!C413,"AAAAAEtnz7k=")</f>
        <v>#VALUE!</v>
      </c>
      <c r="GE4" t="e">
        <f>AND('BBP complete'!D413,"AAAAAEtnz7o=")</f>
        <v>#VALUE!</v>
      </c>
      <c r="GF4" t="e">
        <f>AND('BBP complete'!E413,"AAAAAEtnz7s=")</f>
        <v>#VALUE!</v>
      </c>
      <c r="GG4" t="e">
        <f>AND('BBP complete'!F413,"AAAAAEtnz7w=")</f>
        <v>#VALUE!</v>
      </c>
      <c r="GH4" t="e">
        <f>AND('BBP complete'!G413,"AAAAAEtnz70=")</f>
        <v>#VALUE!</v>
      </c>
      <c r="GI4" t="e">
        <f>AND('BBP complete'!H413,"AAAAAEtnz74=")</f>
        <v>#VALUE!</v>
      </c>
      <c r="GJ4" t="e">
        <f>AND('BBP complete'!I413,"AAAAAEtnz78=")</f>
        <v>#VALUE!</v>
      </c>
      <c r="GK4" s="60" t="e">
        <v>#VALUE!</v>
      </c>
      <c r="GL4" t="e">
        <f>AND('BBP complete'!A414,"AAAAAEtnz8E=")</f>
        <v>#VALUE!</v>
      </c>
      <c r="GM4" t="e">
        <f>AND('BBP complete'!B414,"AAAAAEtnz8I=")</f>
        <v>#VALUE!</v>
      </c>
      <c r="GN4" t="e">
        <f>AND('BBP complete'!C414,"AAAAAEtnz8M=")</f>
        <v>#VALUE!</v>
      </c>
      <c r="GO4" t="e">
        <f>AND('BBP complete'!D414,"AAAAAEtnz8Q=")</f>
        <v>#VALUE!</v>
      </c>
      <c r="GP4" t="e">
        <f>AND('BBP complete'!E414,"AAAAAEtnz8U=")</f>
        <v>#VALUE!</v>
      </c>
      <c r="GQ4" t="e">
        <f>AND('BBP complete'!F414,"AAAAAEtnz8Y=")</f>
        <v>#VALUE!</v>
      </c>
      <c r="GR4" t="e">
        <f>AND('BBP complete'!G414,"AAAAAEtnz8c=")</f>
        <v>#VALUE!</v>
      </c>
      <c r="GS4" t="e">
        <f>AND('BBP complete'!H414,"AAAAAEtnz8g=")</f>
        <v>#VALUE!</v>
      </c>
      <c r="GT4" t="e">
        <f>AND('BBP complete'!I414,"AAAAAEtnz8k=")</f>
        <v>#VALUE!</v>
      </c>
      <c r="GU4" s="60" t="e">
        <v>#VALUE!</v>
      </c>
      <c r="GV4" t="e">
        <f>AND('BBP complete'!A415,"AAAAAEtnz8s=")</f>
        <v>#VALUE!</v>
      </c>
      <c r="GW4" t="e">
        <f>AND('BBP complete'!B415,"AAAAAEtnz8w=")</f>
        <v>#VALUE!</v>
      </c>
      <c r="GX4" t="e">
        <f>AND('BBP complete'!C415,"AAAAAEtnz80=")</f>
        <v>#VALUE!</v>
      </c>
      <c r="GY4" t="e">
        <f>AND('BBP complete'!D415,"AAAAAEtnz84=")</f>
        <v>#VALUE!</v>
      </c>
      <c r="GZ4" t="e">
        <f>AND('BBP complete'!E415,"AAAAAEtnz88=")</f>
        <v>#VALUE!</v>
      </c>
      <c r="HA4" t="e">
        <f>AND('BBP complete'!F415,"AAAAAEtnz9A=")</f>
        <v>#VALUE!</v>
      </c>
      <c r="HB4" t="e">
        <f>AND('BBP complete'!G415,"AAAAAEtnz9E=")</f>
        <v>#VALUE!</v>
      </c>
      <c r="HC4" t="e">
        <f>AND('BBP complete'!H415,"AAAAAEtnz9I=")</f>
        <v>#VALUE!</v>
      </c>
      <c r="HD4" t="e">
        <f>AND('BBP complete'!I415,"AAAAAEtnz9M=")</f>
        <v>#VALUE!</v>
      </c>
      <c r="HE4" s="60" t="e">
        <v>#VALUE!</v>
      </c>
      <c r="HF4" t="e">
        <f>AND('BBP complete'!A416,"AAAAAEtnz9U=")</f>
        <v>#VALUE!</v>
      </c>
      <c r="HG4" t="e">
        <f>AND('BBP complete'!B416,"AAAAAEtnz9Y=")</f>
        <v>#VALUE!</v>
      </c>
      <c r="HH4" t="e">
        <f>AND('BBP complete'!C416,"AAAAAEtnz9c=")</f>
        <v>#VALUE!</v>
      </c>
      <c r="HI4" t="e">
        <f>AND('BBP complete'!D416,"AAAAAEtnz9g=")</f>
        <v>#VALUE!</v>
      </c>
      <c r="HJ4" t="e">
        <f>AND('BBP complete'!E416,"AAAAAEtnz9k=")</f>
        <v>#VALUE!</v>
      </c>
      <c r="HK4" t="e">
        <f>AND('BBP complete'!F416,"AAAAAEtnz9o=")</f>
        <v>#VALUE!</v>
      </c>
      <c r="HL4" t="e">
        <f>AND('BBP complete'!G416,"AAAAAEtnz9s=")</f>
        <v>#VALUE!</v>
      </c>
      <c r="HM4" t="e">
        <f>AND('BBP complete'!H416,"AAAAAEtnz9w=")</f>
        <v>#VALUE!</v>
      </c>
      <c r="HN4" t="e">
        <f>AND('BBP complete'!I416,"AAAAAEtnz90=")</f>
        <v>#VALUE!</v>
      </c>
      <c r="HO4" s="60" t="e">
        <v>#VALUE!</v>
      </c>
      <c r="HP4" t="e">
        <f>AND('BBP complete'!A417,"AAAAAEtnz98=")</f>
        <v>#VALUE!</v>
      </c>
      <c r="HQ4" t="e">
        <f>AND('BBP complete'!B417,"AAAAAEtnz+A=")</f>
        <v>#VALUE!</v>
      </c>
      <c r="HR4" t="e">
        <f>AND('BBP complete'!C417,"AAAAAEtnz+E=")</f>
        <v>#VALUE!</v>
      </c>
      <c r="HS4" t="e">
        <f>AND('BBP complete'!D417,"AAAAAEtnz+I=")</f>
        <v>#VALUE!</v>
      </c>
      <c r="HT4" t="e">
        <f>AND('BBP complete'!E417,"AAAAAEtnz+M=")</f>
        <v>#VALUE!</v>
      </c>
      <c r="HU4" t="e">
        <f>AND('BBP complete'!F417,"AAAAAEtnz+Q=")</f>
        <v>#VALUE!</v>
      </c>
      <c r="HV4" t="e">
        <f>AND('BBP complete'!G417,"AAAAAEtnz+U=")</f>
        <v>#VALUE!</v>
      </c>
      <c r="HW4" t="e">
        <f>AND('BBP complete'!H417,"AAAAAEtnz+Y=")</f>
        <v>#VALUE!</v>
      </c>
      <c r="HX4" t="e">
        <f>AND('BBP complete'!I417,"AAAAAEtnz+c=")</f>
        <v>#VALUE!</v>
      </c>
      <c r="HY4" s="60" t="e">
        <v>#VALUE!</v>
      </c>
      <c r="HZ4" t="e">
        <f>AND('BBP complete'!A418,"AAAAAEtnz+k=")</f>
        <v>#VALUE!</v>
      </c>
      <c r="IA4" t="e">
        <f>AND('BBP complete'!B418,"AAAAAEtnz+o=")</f>
        <v>#VALUE!</v>
      </c>
      <c r="IB4" t="e">
        <f>AND('BBP complete'!C418,"AAAAAEtnz+s=")</f>
        <v>#VALUE!</v>
      </c>
      <c r="IC4" t="e">
        <f>AND('BBP complete'!D418,"AAAAAEtnz+w=")</f>
        <v>#VALUE!</v>
      </c>
      <c r="ID4" t="e">
        <f>AND('BBP complete'!E418,"AAAAAEtnz+0=")</f>
        <v>#VALUE!</v>
      </c>
      <c r="IE4" t="e">
        <f>AND('BBP complete'!F418,"AAAAAEtnz+4=")</f>
        <v>#VALUE!</v>
      </c>
      <c r="IF4" t="e">
        <f>AND('BBP complete'!G418,"AAAAAEtnz+8=")</f>
        <v>#VALUE!</v>
      </c>
      <c r="IG4" t="e">
        <f>AND('BBP complete'!H418,"AAAAAEtnz/A=")</f>
        <v>#VALUE!</v>
      </c>
      <c r="IH4" t="e">
        <f>AND('BBP complete'!I418,"AAAAAEtnz/E=")</f>
        <v>#VALUE!</v>
      </c>
      <c r="II4" s="60" t="e">
        <v>#VALUE!</v>
      </c>
      <c r="IJ4" t="e">
        <f>AND('BBP complete'!A419,"AAAAAEtnz/M=")</f>
        <v>#VALUE!</v>
      </c>
      <c r="IK4" t="e">
        <f>AND('BBP complete'!B419,"AAAAAEtnz/Q=")</f>
        <v>#VALUE!</v>
      </c>
      <c r="IL4" t="e">
        <f>AND('BBP complete'!C419,"AAAAAEtnz/U=")</f>
        <v>#VALUE!</v>
      </c>
      <c r="IM4" t="e">
        <f>AND('BBP complete'!D419,"AAAAAEtnz/Y=")</f>
        <v>#VALUE!</v>
      </c>
      <c r="IN4" t="e">
        <f>AND('BBP complete'!E419,"AAAAAEtnz/c=")</f>
        <v>#VALUE!</v>
      </c>
      <c r="IO4" t="e">
        <f>AND('BBP complete'!F419,"AAAAAEtnz/g=")</f>
        <v>#VALUE!</v>
      </c>
      <c r="IP4" t="e">
        <f>AND('BBP complete'!G419,"AAAAAEtnz/k=")</f>
        <v>#VALUE!</v>
      </c>
      <c r="IQ4" t="e">
        <f>AND('BBP complete'!H419,"AAAAAEtnz/o=")</f>
        <v>#VALUE!</v>
      </c>
      <c r="IR4" t="e">
        <f>AND('BBP complete'!I419,"AAAAAEtnz/s=")</f>
        <v>#VALUE!</v>
      </c>
      <c r="IS4" s="60" t="e">
        <v>#VALUE!</v>
      </c>
      <c r="IT4" t="e">
        <f>AND('BBP complete'!A420,"AAAAAEtnz/0=")</f>
        <v>#VALUE!</v>
      </c>
      <c r="IU4" t="e">
        <f>AND('BBP complete'!B420,"AAAAAEtnz/4=")</f>
        <v>#VALUE!</v>
      </c>
      <c r="IV4" t="e">
        <f>AND('BBP complete'!C420,"AAAAAEtnz/8=")</f>
        <v>#VALUE!</v>
      </c>
    </row>
    <row r="5" spans="1:256" ht="15" customHeight="1" x14ac:dyDescent="0.25">
      <c r="A5" t="e">
        <f>AND('BBP complete'!D420,"AAAAAGuf3wA=")</f>
        <v>#VALUE!</v>
      </c>
      <c r="B5" t="e">
        <f>AND('BBP complete'!E420,"AAAAAGuf3wE=")</f>
        <v>#VALUE!</v>
      </c>
      <c r="C5" t="e">
        <f>AND('BBP complete'!F420,"AAAAAGuf3wI=")</f>
        <v>#VALUE!</v>
      </c>
      <c r="D5" t="e">
        <f>AND('BBP complete'!G420,"AAAAAGuf3wM=")</f>
        <v>#VALUE!</v>
      </c>
      <c r="E5" t="e">
        <f>AND('BBP complete'!H420,"AAAAAGuf3wQ=")</f>
        <v>#VALUE!</v>
      </c>
      <c r="F5" t="e">
        <f>AND('BBP complete'!I420,"AAAAAGuf3wU=")</f>
        <v>#VALUE!</v>
      </c>
      <c r="G5" s="60" t="e">
        <v>#VALUE!</v>
      </c>
      <c r="H5" t="e">
        <f>AND('BBP complete'!A421,"AAAAAGuf3wc=")</f>
        <v>#VALUE!</v>
      </c>
      <c r="I5" t="e">
        <f>AND('BBP complete'!B421,"AAAAAGuf3wg=")</f>
        <v>#VALUE!</v>
      </c>
      <c r="J5" t="e">
        <f>AND('BBP complete'!C421,"AAAAAGuf3wk=")</f>
        <v>#VALUE!</v>
      </c>
      <c r="K5" t="e">
        <f>AND('BBP complete'!D421,"AAAAAGuf3wo=")</f>
        <v>#VALUE!</v>
      </c>
      <c r="L5" t="e">
        <f>AND('BBP complete'!E421,"AAAAAGuf3ws=")</f>
        <v>#VALUE!</v>
      </c>
      <c r="M5" t="e">
        <f>AND('BBP complete'!F421,"AAAAAGuf3ww=")</f>
        <v>#VALUE!</v>
      </c>
      <c r="N5" t="e">
        <f>AND('BBP complete'!G421,"AAAAAGuf3w0=")</f>
        <v>#VALUE!</v>
      </c>
      <c r="O5" t="e">
        <f>AND('BBP complete'!H421,"AAAAAGuf3w4=")</f>
        <v>#VALUE!</v>
      </c>
      <c r="P5" t="e">
        <f>AND('BBP complete'!I421,"AAAAAGuf3w8=")</f>
        <v>#VALUE!</v>
      </c>
      <c r="Q5" s="60" t="e">
        <v>#VALUE!</v>
      </c>
      <c r="R5" t="e">
        <f>AND('BBP complete'!A422,"AAAAAGuf3xE=")</f>
        <v>#VALUE!</v>
      </c>
      <c r="S5" t="e">
        <f>AND('BBP complete'!B422,"AAAAAGuf3xI=")</f>
        <v>#VALUE!</v>
      </c>
      <c r="T5" t="e">
        <f>AND('BBP complete'!C422,"AAAAAGuf3xM=")</f>
        <v>#VALUE!</v>
      </c>
      <c r="U5" t="e">
        <f>AND('BBP complete'!D422,"AAAAAGuf3xQ=")</f>
        <v>#VALUE!</v>
      </c>
      <c r="V5" t="e">
        <f>AND('BBP complete'!E422,"AAAAAGuf3xU=")</f>
        <v>#VALUE!</v>
      </c>
      <c r="W5" t="e">
        <f>AND('BBP complete'!F422,"AAAAAGuf3xY=")</f>
        <v>#VALUE!</v>
      </c>
      <c r="X5" t="e">
        <f>AND('BBP complete'!G422,"AAAAAGuf3xc=")</f>
        <v>#VALUE!</v>
      </c>
      <c r="Y5" t="e">
        <f>AND('BBP complete'!H422,"AAAAAGuf3xg=")</f>
        <v>#VALUE!</v>
      </c>
      <c r="Z5" t="e">
        <f>AND('BBP complete'!I422,"AAAAAGuf3xk=")</f>
        <v>#VALUE!</v>
      </c>
      <c r="AA5" s="60" t="e">
        <v>#VALUE!</v>
      </c>
      <c r="AB5" t="e">
        <f>AND('BBP complete'!A423,"AAAAAGuf3xs=")</f>
        <v>#VALUE!</v>
      </c>
      <c r="AC5" t="e">
        <f>AND('BBP complete'!B423,"AAAAAGuf3xw=")</f>
        <v>#VALUE!</v>
      </c>
      <c r="AD5" t="e">
        <f>AND('BBP complete'!C423,"AAAAAGuf3x0=")</f>
        <v>#VALUE!</v>
      </c>
      <c r="AE5" t="e">
        <f>AND('BBP complete'!D423,"AAAAAGuf3x4=")</f>
        <v>#VALUE!</v>
      </c>
      <c r="AF5" t="e">
        <f>AND('BBP complete'!E423,"AAAAAGuf3x8=")</f>
        <v>#VALUE!</v>
      </c>
      <c r="AG5" t="e">
        <f>AND('BBP complete'!F423,"AAAAAGuf3yA=")</f>
        <v>#VALUE!</v>
      </c>
      <c r="AH5" t="e">
        <f>AND('BBP complete'!G423,"AAAAAGuf3yE=")</f>
        <v>#VALUE!</v>
      </c>
      <c r="AI5" t="e">
        <f>AND('BBP complete'!H423,"AAAAAGuf3yI=")</f>
        <v>#VALUE!</v>
      </c>
      <c r="AJ5" t="e">
        <f>AND('BBP complete'!I423,"AAAAAGuf3yM=")</f>
        <v>#VALUE!</v>
      </c>
      <c r="AK5" s="60" t="e">
        <v>#VALUE!</v>
      </c>
      <c r="AL5" t="e">
        <f>AND('BBP complete'!A424,"AAAAAGuf3yU=")</f>
        <v>#VALUE!</v>
      </c>
      <c r="AM5" t="e">
        <f>AND('BBP complete'!B424,"AAAAAGuf3yY=")</f>
        <v>#VALUE!</v>
      </c>
      <c r="AN5" t="e">
        <f>AND('BBP complete'!C424,"AAAAAGuf3yc=")</f>
        <v>#VALUE!</v>
      </c>
      <c r="AO5" t="e">
        <f>AND('BBP complete'!D424,"AAAAAGuf3yg=")</f>
        <v>#VALUE!</v>
      </c>
      <c r="AP5" t="e">
        <f>AND('BBP complete'!E424,"AAAAAGuf3yk=")</f>
        <v>#VALUE!</v>
      </c>
      <c r="AQ5" t="e">
        <f>AND('BBP complete'!F424,"AAAAAGuf3yo=")</f>
        <v>#VALUE!</v>
      </c>
      <c r="AR5" t="e">
        <f>AND('BBP complete'!G424,"AAAAAGuf3ys=")</f>
        <v>#VALUE!</v>
      </c>
      <c r="AS5" t="e">
        <f>AND('BBP complete'!H424,"AAAAAGuf3yw=")</f>
        <v>#VALUE!</v>
      </c>
      <c r="AT5" t="e">
        <f>AND('BBP complete'!I424,"AAAAAGuf3y0=")</f>
        <v>#VALUE!</v>
      </c>
      <c r="AU5" s="60" t="e">
        <v>#VALUE!</v>
      </c>
      <c r="AV5" t="e">
        <f>AND('BBP complete'!A425,"AAAAAGuf3y8=")</f>
        <v>#VALUE!</v>
      </c>
      <c r="AW5" t="e">
        <f>AND('BBP complete'!B425,"AAAAAGuf3zA=")</f>
        <v>#VALUE!</v>
      </c>
      <c r="AX5" t="e">
        <f>AND('BBP complete'!C425,"AAAAAGuf3zE=")</f>
        <v>#VALUE!</v>
      </c>
      <c r="AY5" t="e">
        <f>AND('BBP complete'!D425,"AAAAAGuf3zI=")</f>
        <v>#VALUE!</v>
      </c>
      <c r="AZ5" t="e">
        <f>AND('BBP complete'!E425,"AAAAAGuf3zM=")</f>
        <v>#VALUE!</v>
      </c>
      <c r="BA5" t="e">
        <f>AND('BBP complete'!F425,"AAAAAGuf3zQ=")</f>
        <v>#VALUE!</v>
      </c>
      <c r="BB5" t="e">
        <f>AND('BBP complete'!G425,"AAAAAGuf3zU=")</f>
        <v>#VALUE!</v>
      </c>
      <c r="BC5" t="e">
        <f>AND('BBP complete'!H425,"AAAAAGuf3zY=")</f>
        <v>#VALUE!</v>
      </c>
      <c r="BD5" t="e">
        <f>AND('BBP complete'!I425,"AAAAAGuf3zc=")</f>
        <v>#VALUE!</v>
      </c>
      <c r="BE5" s="60" t="e">
        <v>#VALUE!</v>
      </c>
      <c r="BF5" t="e">
        <f>AND('BBP complete'!A426,"AAAAAGuf3zk=")</f>
        <v>#VALUE!</v>
      </c>
      <c r="BG5" t="e">
        <f>AND('BBP complete'!B426,"AAAAAGuf3zo=")</f>
        <v>#VALUE!</v>
      </c>
      <c r="BH5" t="e">
        <f>AND('BBP complete'!C426,"AAAAAGuf3zs=")</f>
        <v>#VALUE!</v>
      </c>
      <c r="BI5" t="e">
        <f>AND('BBP complete'!D426,"AAAAAGuf3zw=")</f>
        <v>#VALUE!</v>
      </c>
      <c r="BJ5" t="e">
        <f>AND('BBP complete'!E426,"AAAAAGuf3z0=")</f>
        <v>#VALUE!</v>
      </c>
      <c r="BK5" t="e">
        <f>AND('BBP complete'!F426,"AAAAAGuf3z4=")</f>
        <v>#VALUE!</v>
      </c>
      <c r="BL5" t="e">
        <f>AND('BBP complete'!G426,"AAAAAGuf3z8=")</f>
        <v>#VALUE!</v>
      </c>
      <c r="BM5" t="e">
        <f>AND('BBP complete'!H426,"AAAAAGuf30A=")</f>
        <v>#VALUE!</v>
      </c>
      <c r="BN5" t="e">
        <f>AND('BBP complete'!I426,"AAAAAGuf30E=")</f>
        <v>#VALUE!</v>
      </c>
      <c r="BO5" s="60" t="e">
        <v>#VALUE!</v>
      </c>
      <c r="BP5" t="e">
        <f>AND('BBP complete'!A427,"AAAAAGuf30M=")</f>
        <v>#VALUE!</v>
      </c>
      <c r="BQ5" t="e">
        <f>AND('BBP complete'!B427,"AAAAAGuf30Q=")</f>
        <v>#VALUE!</v>
      </c>
      <c r="BR5" t="e">
        <f>AND('BBP complete'!C427,"AAAAAGuf30U=")</f>
        <v>#VALUE!</v>
      </c>
      <c r="BS5" t="e">
        <f>AND('BBP complete'!D427,"AAAAAGuf30Y=")</f>
        <v>#VALUE!</v>
      </c>
      <c r="BT5" t="e">
        <f>AND('BBP complete'!E427,"AAAAAGuf30c=")</f>
        <v>#VALUE!</v>
      </c>
      <c r="BU5" t="e">
        <f>AND('BBP complete'!F427,"AAAAAGuf30g=")</f>
        <v>#VALUE!</v>
      </c>
      <c r="BV5" t="e">
        <f>AND('BBP complete'!G427,"AAAAAGuf30k=")</f>
        <v>#VALUE!</v>
      </c>
      <c r="BW5" t="e">
        <f>AND('BBP complete'!H427,"AAAAAGuf30o=")</f>
        <v>#VALUE!</v>
      </c>
      <c r="BX5" t="e">
        <f>AND('BBP complete'!I427,"AAAAAGuf30s=")</f>
        <v>#VALUE!</v>
      </c>
      <c r="BY5" s="60" t="e">
        <v>#VALUE!</v>
      </c>
      <c r="BZ5" t="e">
        <f>AND('BBP complete'!A428,"AAAAAGuf300=")</f>
        <v>#VALUE!</v>
      </c>
      <c r="CA5" t="e">
        <f>AND('BBP complete'!B428,"AAAAAGuf304=")</f>
        <v>#VALUE!</v>
      </c>
      <c r="CB5" t="e">
        <f>AND('BBP complete'!C428,"AAAAAGuf308=")</f>
        <v>#VALUE!</v>
      </c>
      <c r="CC5" t="e">
        <f>AND('BBP complete'!D428,"AAAAAGuf31A=")</f>
        <v>#VALUE!</v>
      </c>
      <c r="CD5" t="e">
        <f>AND('BBP complete'!E428,"AAAAAGuf31E=")</f>
        <v>#VALUE!</v>
      </c>
      <c r="CE5" t="e">
        <f>AND('BBP complete'!F428,"AAAAAGuf31I=")</f>
        <v>#VALUE!</v>
      </c>
      <c r="CF5" t="e">
        <f>AND('BBP complete'!G428,"AAAAAGuf31M=")</f>
        <v>#VALUE!</v>
      </c>
      <c r="CG5" t="e">
        <f>AND('BBP complete'!H428,"AAAAAGuf31Q=")</f>
        <v>#VALUE!</v>
      </c>
      <c r="CH5" t="e">
        <f>AND('BBP complete'!I428,"AAAAAGuf31U=")</f>
        <v>#VALUE!</v>
      </c>
      <c r="CI5" s="60" t="e">
        <v>#VALUE!</v>
      </c>
      <c r="CJ5" t="e">
        <f>AND('BBP complete'!A429,"AAAAAGuf31c=")</f>
        <v>#VALUE!</v>
      </c>
      <c r="CK5" t="e">
        <f>AND('BBP complete'!B429,"AAAAAGuf31g=")</f>
        <v>#VALUE!</v>
      </c>
      <c r="CL5" t="e">
        <f>AND('BBP complete'!C429,"AAAAAGuf31k=")</f>
        <v>#VALUE!</v>
      </c>
      <c r="CM5" t="e">
        <f>AND('BBP complete'!D429,"AAAAAGuf31o=")</f>
        <v>#VALUE!</v>
      </c>
      <c r="CN5" t="e">
        <f>AND('BBP complete'!E429,"AAAAAGuf31s=")</f>
        <v>#VALUE!</v>
      </c>
      <c r="CO5" t="e">
        <f>AND('BBP complete'!F429,"AAAAAGuf31w=")</f>
        <v>#VALUE!</v>
      </c>
      <c r="CP5" t="e">
        <f>AND('BBP complete'!G429,"AAAAAGuf310=")</f>
        <v>#VALUE!</v>
      </c>
      <c r="CQ5" t="e">
        <f>AND('BBP complete'!H429,"AAAAAGuf314=")</f>
        <v>#VALUE!</v>
      </c>
      <c r="CR5" t="e">
        <f>AND('BBP complete'!I429,"AAAAAGuf318=")</f>
        <v>#VALUE!</v>
      </c>
      <c r="CS5" s="60" t="e">
        <v>#VALUE!</v>
      </c>
      <c r="CT5" t="e">
        <f>AND('BBP complete'!A430,"AAAAAGuf32E=")</f>
        <v>#VALUE!</v>
      </c>
      <c r="CU5" t="e">
        <f>AND('BBP complete'!B430,"AAAAAGuf32I=")</f>
        <v>#VALUE!</v>
      </c>
      <c r="CV5" t="e">
        <f>AND('BBP complete'!C430,"AAAAAGuf32M=")</f>
        <v>#VALUE!</v>
      </c>
      <c r="CW5" t="e">
        <f>AND('BBP complete'!D430,"AAAAAGuf32Q=")</f>
        <v>#VALUE!</v>
      </c>
      <c r="CX5" t="e">
        <f>AND('BBP complete'!E430,"AAAAAGuf32U=")</f>
        <v>#VALUE!</v>
      </c>
      <c r="CY5" t="e">
        <f>AND('BBP complete'!F430,"AAAAAGuf32Y=")</f>
        <v>#VALUE!</v>
      </c>
      <c r="CZ5" t="e">
        <f>AND('BBP complete'!G430,"AAAAAGuf32c=")</f>
        <v>#VALUE!</v>
      </c>
      <c r="DA5" t="e">
        <f>AND('BBP complete'!H430,"AAAAAGuf32g=")</f>
        <v>#VALUE!</v>
      </c>
      <c r="DB5" t="e">
        <f>AND('BBP complete'!I430,"AAAAAGuf32k=")</f>
        <v>#VALUE!</v>
      </c>
      <c r="DC5" s="60" t="e">
        <v>#VALUE!</v>
      </c>
      <c r="DD5" t="e">
        <f>AND('BBP complete'!A431,"AAAAAGuf32s=")</f>
        <v>#VALUE!</v>
      </c>
      <c r="DE5" t="e">
        <f>AND('BBP complete'!B431,"AAAAAGuf32w=")</f>
        <v>#VALUE!</v>
      </c>
      <c r="DF5" t="e">
        <f>AND('BBP complete'!C431,"AAAAAGuf320=")</f>
        <v>#VALUE!</v>
      </c>
      <c r="DG5" t="e">
        <f>AND('BBP complete'!D431,"AAAAAGuf324=")</f>
        <v>#VALUE!</v>
      </c>
      <c r="DH5" t="e">
        <f>AND('BBP complete'!E431,"AAAAAGuf328=")</f>
        <v>#VALUE!</v>
      </c>
      <c r="DI5" t="e">
        <f>AND('BBP complete'!F431,"AAAAAGuf33A=")</f>
        <v>#VALUE!</v>
      </c>
      <c r="DJ5" t="e">
        <f>AND('BBP complete'!G431,"AAAAAGuf33E=")</f>
        <v>#VALUE!</v>
      </c>
      <c r="DK5" t="e">
        <f>AND('BBP complete'!H431,"AAAAAGuf33I=")</f>
        <v>#VALUE!</v>
      </c>
      <c r="DL5" t="e">
        <f>AND('BBP complete'!I431,"AAAAAGuf33M=")</f>
        <v>#VALUE!</v>
      </c>
      <c r="DM5" s="60" t="e">
        <v>#VALUE!</v>
      </c>
      <c r="DN5" t="e">
        <f>AND('BBP complete'!A432,"AAAAAGuf33U=")</f>
        <v>#VALUE!</v>
      </c>
      <c r="DO5" t="e">
        <f>AND('BBP complete'!B432,"AAAAAGuf33Y=")</f>
        <v>#VALUE!</v>
      </c>
      <c r="DP5" t="e">
        <f>AND('BBP complete'!C432,"AAAAAGuf33c=")</f>
        <v>#VALUE!</v>
      </c>
      <c r="DQ5" t="e">
        <f>AND('BBP complete'!D432,"AAAAAGuf33g=")</f>
        <v>#VALUE!</v>
      </c>
      <c r="DR5" t="e">
        <f>AND('BBP complete'!E432,"AAAAAGuf33k=")</f>
        <v>#VALUE!</v>
      </c>
      <c r="DS5" t="e">
        <f>AND('BBP complete'!F432,"AAAAAGuf33o=")</f>
        <v>#VALUE!</v>
      </c>
      <c r="DT5" t="e">
        <f>AND('BBP complete'!G432,"AAAAAGuf33s=")</f>
        <v>#VALUE!</v>
      </c>
      <c r="DU5" t="e">
        <f>AND('BBP complete'!H432,"AAAAAGuf33w=")</f>
        <v>#VALUE!</v>
      </c>
      <c r="DV5" t="e">
        <f>AND('BBP complete'!I432,"AAAAAGuf330=")</f>
        <v>#VALUE!</v>
      </c>
      <c r="DW5" s="60" t="e">
        <v>#VALUE!</v>
      </c>
      <c r="DX5" t="e">
        <f>AND('BBP complete'!A433,"AAAAAGuf338=")</f>
        <v>#VALUE!</v>
      </c>
      <c r="DY5" t="e">
        <f>AND('BBP complete'!B433,"AAAAAGuf34A=")</f>
        <v>#VALUE!</v>
      </c>
      <c r="DZ5" t="e">
        <f>AND('BBP complete'!C433,"AAAAAGuf34E=")</f>
        <v>#VALUE!</v>
      </c>
      <c r="EA5" t="e">
        <f>AND('BBP complete'!D433,"AAAAAGuf34I=")</f>
        <v>#VALUE!</v>
      </c>
      <c r="EB5" t="e">
        <f>AND('BBP complete'!E433,"AAAAAGuf34M=")</f>
        <v>#VALUE!</v>
      </c>
      <c r="EC5" t="e">
        <f>AND('BBP complete'!F433,"AAAAAGuf34Q=")</f>
        <v>#VALUE!</v>
      </c>
      <c r="ED5" t="e">
        <f>AND('BBP complete'!G433,"AAAAAGuf34U=")</f>
        <v>#VALUE!</v>
      </c>
      <c r="EE5" t="e">
        <f>AND('BBP complete'!H433,"AAAAAGuf34Y=")</f>
        <v>#VALUE!</v>
      </c>
      <c r="EF5" t="e">
        <f>AND('BBP complete'!I433,"AAAAAGuf34c=")</f>
        <v>#VALUE!</v>
      </c>
      <c r="EG5" s="60" t="e">
        <v>#VALUE!</v>
      </c>
      <c r="EH5" t="e">
        <f>AND('BBP complete'!A434,"AAAAAGuf34k=")</f>
        <v>#VALUE!</v>
      </c>
      <c r="EI5" t="e">
        <f>AND('BBP complete'!B434,"AAAAAGuf34o=")</f>
        <v>#VALUE!</v>
      </c>
      <c r="EJ5" t="e">
        <f>AND('BBP complete'!C434,"AAAAAGuf34s=")</f>
        <v>#VALUE!</v>
      </c>
      <c r="EK5" t="e">
        <f>AND('BBP complete'!D434,"AAAAAGuf34w=")</f>
        <v>#VALUE!</v>
      </c>
      <c r="EL5" t="e">
        <f>AND('BBP complete'!E434,"AAAAAGuf340=")</f>
        <v>#VALUE!</v>
      </c>
      <c r="EM5" t="e">
        <f>AND('BBP complete'!F434,"AAAAAGuf344=")</f>
        <v>#VALUE!</v>
      </c>
      <c r="EN5" t="e">
        <f>AND('BBP complete'!G434,"AAAAAGuf348=")</f>
        <v>#VALUE!</v>
      </c>
      <c r="EO5" t="e">
        <f>AND('BBP complete'!H434,"AAAAAGuf35A=")</f>
        <v>#VALUE!</v>
      </c>
      <c r="EP5" t="e">
        <f>AND('BBP complete'!I434,"AAAAAGuf35E=")</f>
        <v>#VALUE!</v>
      </c>
      <c r="EQ5" s="60" t="e">
        <v>#VALUE!</v>
      </c>
      <c r="ER5" t="e">
        <f>AND('BBP complete'!A435,"AAAAAGuf35M=")</f>
        <v>#VALUE!</v>
      </c>
      <c r="ES5" t="e">
        <f>AND('BBP complete'!B435,"AAAAAGuf35Q=")</f>
        <v>#VALUE!</v>
      </c>
      <c r="ET5" t="e">
        <f>AND('BBP complete'!C435,"AAAAAGuf35U=")</f>
        <v>#VALUE!</v>
      </c>
      <c r="EU5" t="e">
        <f>AND('BBP complete'!D435,"AAAAAGuf35Y=")</f>
        <v>#VALUE!</v>
      </c>
      <c r="EV5" t="e">
        <f>AND('BBP complete'!E435,"AAAAAGuf35c=")</f>
        <v>#VALUE!</v>
      </c>
      <c r="EW5" t="e">
        <f>AND('BBP complete'!F435,"AAAAAGuf35g=")</f>
        <v>#VALUE!</v>
      </c>
      <c r="EX5" t="e">
        <f>AND('BBP complete'!G435,"AAAAAGuf35k=")</f>
        <v>#VALUE!</v>
      </c>
      <c r="EY5" t="e">
        <f>AND('BBP complete'!H435,"AAAAAGuf35o=")</f>
        <v>#VALUE!</v>
      </c>
      <c r="EZ5" t="e">
        <f>AND('BBP complete'!I435,"AAAAAGuf35s=")</f>
        <v>#VALUE!</v>
      </c>
      <c r="FA5" s="60" t="e">
        <v>#VALUE!</v>
      </c>
      <c r="FB5" t="e">
        <f>AND('BBP complete'!A436,"AAAAAGuf350=")</f>
        <v>#VALUE!</v>
      </c>
      <c r="FC5" t="e">
        <f>AND('BBP complete'!B436,"AAAAAGuf354=")</f>
        <v>#VALUE!</v>
      </c>
      <c r="FD5" t="e">
        <f>AND('BBP complete'!C436,"AAAAAGuf358=")</f>
        <v>#VALUE!</v>
      </c>
      <c r="FE5" t="e">
        <f>AND('BBP complete'!D436,"AAAAAGuf36A=")</f>
        <v>#VALUE!</v>
      </c>
      <c r="FF5" t="e">
        <f>AND('BBP complete'!E436,"AAAAAGuf36E=")</f>
        <v>#VALUE!</v>
      </c>
      <c r="FG5" t="e">
        <f>AND('BBP complete'!F436,"AAAAAGuf36I=")</f>
        <v>#VALUE!</v>
      </c>
      <c r="FH5" t="e">
        <f>AND('BBP complete'!G436,"AAAAAGuf36M=")</f>
        <v>#VALUE!</v>
      </c>
      <c r="FI5" t="e">
        <f>AND('BBP complete'!H436,"AAAAAGuf36Q=")</f>
        <v>#VALUE!</v>
      </c>
      <c r="FJ5" t="e">
        <f>AND('BBP complete'!I436,"AAAAAGuf36U=")</f>
        <v>#VALUE!</v>
      </c>
      <c r="FK5" s="60" t="e">
        <v>#VALUE!</v>
      </c>
      <c r="FL5" t="e">
        <f>AND('BBP complete'!A437,"AAAAAGuf36c=")</f>
        <v>#VALUE!</v>
      </c>
      <c r="FM5" t="e">
        <f>AND('BBP complete'!B437,"AAAAAGuf36g=")</f>
        <v>#VALUE!</v>
      </c>
      <c r="FN5" t="e">
        <f>AND('BBP complete'!C437,"AAAAAGuf36k=")</f>
        <v>#VALUE!</v>
      </c>
      <c r="FO5" t="e">
        <f>AND('BBP complete'!D437,"AAAAAGuf36o=")</f>
        <v>#VALUE!</v>
      </c>
      <c r="FP5" t="e">
        <f>AND('BBP complete'!E437,"AAAAAGuf36s=")</f>
        <v>#VALUE!</v>
      </c>
      <c r="FQ5" t="e">
        <f>AND('BBP complete'!F437,"AAAAAGuf36w=")</f>
        <v>#VALUE!</v>
      </c>
      <c r="FR5" t="e">
        <f>AND('BBP complete'!G437,"AAAAAGuf360=")</f>
        <v>#VALUE!</v>
      </c>
      <c r="FS5" t="e">
        <f>AND('BBP complete'!H437,"AAAAAGuf364=")</f>
        <v>#VALUE!</v>
      </c>
      <c r="FT5" t="e">
        <f>AND('BBP complete'!I437,"AAAAAGuf368=")</f>
        <v>#VALUE!</v>
      </c>
      <c r="FU5" s="60" t="e">
        <v>#VALUE!</v>
      </c>
      <c r="FV5" t="e">
        <f>AND('BBP complete'!A438,"AAAAAGuf37E=")</f>
        <v>#VALUE!</v>
      </c>
      <c r="FW5" t="e">
        <f>AND('BBP complete'!B438,"AAAAAGuf37I=")</f>
        <v>#VALUE!</v>
      </c>
      <c r="FX5" t="e">
        <f>AND('BBP complete'!C438,"AAAAAGuf37M=")</f>
        <v>#VALUE!</v>
      </c>
      <c r="FY5" t="e">
        <f>AND('BBP complete'!D438,"AAAAAGuf37Q=")</f>
        <v>#VALUE!</v>
      </c>
      <c r="FZ5" t="e">
        <f>AND('BBP complete'!E438,"AAAAAGuf37U=")</f>
        <v>#VALUE!</v>
      </c>
      <c r="GA5" t="e">
        <f>AND('BBP complete'!F438,"AAAAAGuf37Y=")</f>
        <v>#VALUE!</v>
      </c>
      <c r="GB5" t="e">
        <f>AND('BBP complete'!G438,"AAAAAGuf37c=")</f>
        <v>#VALUE!</v>
      </c>
      <c r="GC5" t="e">
        <f>AND('BBP complete'!H438,"AAAAAGuf37g=")</f>
        <v>#VALUE!</v>
      </c>
      <c r="GD5" t="e">
        <f>AND('BBP complete'!I438,"AAAAAGuf37k=")</f>
        <v>#VALUE!</v>
      </c>
      <c r="GE5" s="60" t="e">
        <v>#VALUE!</v>
      </c>
      <c r="GF5" t="e">
        <f>AND('BBP complete'!A439,"AAAAAGuf37s=")</f>
        <v>#VALUE!</v>
      </c>
      <c r="GG5" t="e">
        <f>AND('BBP complete'!B439,"AAAAAGuf37w=")</f>
        <v>#VALUE!</v>
      </c>
      <c r="GH5" t="e">
        <f>AND('BBP complete'!C439,"AAAAAGuf370=")</f>
        <v>#VALUE!</v>
      </c>
      <c r="GI5" t="e">
        <f>AND('BBP complete'!D439,"AAAAAGuf374=")</f>
        <v>#VALUE!</v>
      </c>
      <c r="GJ5" t="e">
        <f>AND('BBP complete'!E439,"AAAAAGuf378=")</f>
        <v>#VALUE!</v>
      </c>
      <c r="GK5" t="e">
        <f>AND('BBP complete'!F439,"AAAAAGuf38A=")</f>
        <v>#VALUE!</v>
      </c>
      <c r="GL5" t="e">
        <f>AND('BBP complete'!G439,"AAAAAGuf38E=")</f>
        <v>#VALUE!</v>
      </c>
      <c r="GM5" t="e">
        <f>AND('BBP complete'!H439,"AAAAAGuf38I=")</f>
        <v>#VALUE!</v>
      </c>
      <c r="GN5" t="e">
        <f>AND('BBP complete'!I439,"AAAAAGuf38M=")</f>
        <v>#VALUE!</v>
      </c>
      <c r="GO5" s="60" t="e">
        <v>#VALUE!</v>
      </c>
      <c r="GP5" t="e">
        <f>AND('BBP complete'!A440,"AAAAAGuf38U=")</f>
        <v>#VALUE!</v>
      </c>
      <c r="GQ5" t="e">
        <f>AND('BBP complete'!B440,"AAAAAGuf38Y=")</f>
        <v>#VALUE!</v>
      </c>
      <c r="GR5" t="e">
        <f>AND('BBP complete'!C440,"AAAAAGuf38c=")</f>
        <v>#VALUE!</v>
      </c>
      <c r="GS5" t="e">
        <f>AND('BBP complete'!D440,"AAAAAGuf38g=")</f>
        <v>#VALUE!</v>
      </c>
      <c r="GT5" t="e">
        <f>AND('BBP complete'!E440,"AAAAAGuf38k=")</f>
        <v>#VALUE!</v>
      </c>
      <c r="GU5" t="e">
        <f>AND('BBP complete'!F440,"AAAAAGuf38o=")</f>
        <v>#VALUE!</v>
      </c>
      <c r="GV5" t="e">
        <f>AND('BBP complete'!G440,"AAAAAGuf38s=")</f>
        <v>#VALUE!</v>
      </c>
      <c r="GW5" t="e">
        <f>AND('BBP complete'!H440,"AAAAAGuf38w=")</f>
        <v>#VALUE!</v>
      </c>
      <c r="GX5" t="e">
        <f>AND('BBP complete'!I440,"AAAAAGuf380=")</f>
        <v>#VALUE!</v>
      </c>
      <c r="GY5" s="60" t="e">
        <v>#VALUE!</v>
      </c>
      <c r="GZ5" t="e">
        <f>AND('BBP complete'!A441,"AAAAAGuf388=")</f>
        <v>#VALUE!</v>
      </c>
      <c r="HA5" t="e">
        <f>AND('BBP complete'!B441,"AAAAAGuf39A=")</f>
        <v>#VALUE!</v>
      </c>
      <c r="HB5" t="e">
        <f>AND('BBP complete'!C441,"AAAAAGuf39E=")</f>
        <v>#VALUE!</v>
      </c>
      <c r="HC5" t="e">
        <f>AND('BBP complete'!D441,"AAAAAGuf39I=")</f>
        <v>#VALUE!</v>
      </c>
      <c r="HD5" t="e">
        <f>AND('BBP complete'!E441,"AAAAAGuf39M=")</f>
        <v>#VALUE!</v>
      </c>
      <c r="HE5" t="e">
        <f>AND('BBP complete'!F441,"AAAAAGuf39Q=")</f>
        <v>#VALUE!</v>
      </c>
      <c r="HF5" t="e">
        <f>AND('BBP complete'!G441,"AAAAAGuf39U=")</f>
        <v>#VALUE!</v>
      </c>
      <c r="HG5" t="e">
        <f>AND('BBP complete'!H441,"AAAAAGuf39Y=")</f>
        <v>#VALUE!</v>
      </c>
      <c r="HH5" t="e">
        <f>AND('BBP complete'!I441,"AAAAAGuf39c=")</f>
        <v>#VALUE!</v>
      </c>
      <c r="HI5" s="60" t="e">
        <v>#VALUE!</v>
      </c>
      <c r="HJ5" t="e">
        <f>AND('BBP complete'!A442,"AAAAAGuf39k=")</f>
        <v>#VALUE!</v>
      </c>
      <c r="HK5" t="e">
        <f>AND('BBP complete'!B442,"AAAAAGuf39o=")</f>
        <v>#VALUE!</v>
      </c>
      <c r="HL5" t="e">
        <f>AND('BBP complete'!C442,"AAAAAGuf39s=")</f>
        <v>#VALUE!</v>
      </c>
      <c r="HM5" t="e">
        <f>AND('BBP complete'!D442,"AAAAAGuf39w=")</f>
        <v>#VALUE!</v>
      </c>
      <c r="HN5" t="e">
        <f>AND('BBP complete'!E442,"AAAAAGuf390=")</f>
        <v>#VALUE!</v>
      </c>
      <c r="HO5" t="e">
        <f>AND('BBP complete'!F442,"AAAAAGuf394=")</f>
        <v>#VALUE!</v>
      </c>
      <c r="HP5" t="e">
        <f>AND('BBP complete'!G442,"AAAAAGuf398=")</f>
        <v>#VALUE!</v>
      </c>
      <c r="HQ5" t="e">
        <f>AND('BBP complete'!H442,"AAAAAGuf3+A=")</f>
        <v>#VALUE!</v>
      </c>
      <c r="HR5" t="e">
        <f>AND('BBP complete'!I442,"AAAAAGuf3+E=")</f>
        <v>#VALUE!</v>
      </c>
      <c r="HS5" s="60" t="e">
        <v>#VALUE!</v>
      </c>
      <c r="HT5" t="e">
        <f>AND('BBP complete'!A443,"AAAAAGuf3+M=")</f>
        <v>#VALUE!</v>
      </c>
      <c r="HU5" t="e">
        <f>AND('BBP complete'!B443,"AAAAAGuf3+Q=")</f>
        <v>#VALUE!</v>
      </c>
      <c r="HV5" t="e">
        <f>AND('BBP complete'!C443,"AAAAAGuf3+U=")</f>
        <v>#VALUE!</v>
      </c>
      <c r="HW5" t="e">
        <f>AND('BBP complete'!D443,"AAAAAGuf3+Y=")</f>
        <v>#VALUE!</v>
      </c>
      <c r="HX5" t="e">
        <f>AND('BBP complete'!E443,"AAAAAGuf3+c=")</f>
        <v>#VALUE!</v>
      </c>
      <c r="HY5" t="e">
        <f>AND('BBP complete'!F443,"AAAAAGuf3+g=")</f>
        <v>#VALUE!</v>
      </c>
      <c r="HZ5" t="e">
        <f>AND('BBP complete'!G443,"AAAAAGuf3+k=")</f>
        <v>#VALUE!</v>
      </c>
      <c r="IA5" t="e">
        <f>AND('BBP complete'!H443,"AAAAAGuf3+o=")</f>
        <v>#VALUE!</v>
      </c>
      <c r="IB5" t="e">
        <f>AND('BBP complete'!I443,"AAAAAGuf3+s=")</f>
        <v>#VALUE!</v>
      </c>
      <c r="IC5" s="60" t="e">
        <v>#VALUE!</v>
      </c>
      <c r="ID5" t="e">
        <f>AND('BBP complete'!A444,"AAAAAGuf3+0=")</f>
        <v>#VALUE!</v>
      </c>
      <c r="IE5" t="e">
        <f>AND('BBP complete'!B444,"AAAAAGuf3+4=")</f>
        <v>#VALUE!</v>
      </c>
      <c r="IF5" t="e">
        <f>AND('BBP complete'!C444,"AAAAAGuf3+8=")</f>
        <v>#VALUE!</v>
      </c>
      <c r="IG5" t="e">
        <f>AND('BBP complete'!D444,"AAAAAGuf3/A=")</f>
        <v>#VALUE!</v>
      </c>
      <c r="IH5" t="e">
        <f>AND('BBP complete'!E444,"AAAAAGuf3/E=")</f>
        <v>#VALUE!</v>
      </c>
      <c r="II5" t="e">
        <f>AND('BBP complete'!F444,"AAAAAGuf3/I=")</f>
        <v>#VALUE!</v>
      </c>
      <c r="IJ5" t="e">
        <f>AND('BBP complete'!G444,"AAAAAGuf3/M=")</f>
        <v>#VALUE!</v>
      </c>
      <c r="IK5" t="e">
        <f>AND('BBP complete'!H444,"AAAAAGuf3/Q=")</f>
        <v>#VALUE!</v>
      </c>
      <c r="IL5" t="e">
        <f>AND('BBP complete'!I444,"AAAAAGuf3/U=")</f>
        <v>#VALUE!</v>
      </c>
      <c r="IM5" s="60" t="e">
        <v>#VALUE!</v>
      </c>
      <c r="IN5" t="e">
        <f>AND('BBP complete'!A445,"AAAAAGuf3/c=")</f>
        <v>#VALUE!</v>
      </c>
      <c r="IO5" t="e">
        <f>AND('BBP complete'!B445,"AAAAAGuf3/g=")</f>
        <v>#VALUE!</v>
      </c>
      <c r="IP5" t="e">
        <f>AND('BBP complete'!C445,"AAAAAGuf3/k=")</f>
        <v>#VALUE!</v>
      </c>
      <c r="IQ5" t="e">
        <f>AND('BBP complete'!D445,"AAAAAGuf3/o=")</f>
        <v>#VALUE!</v>
      </c>
      <c r="IR5" t="e">
        <f>AND('BBP complete'!E445,"AAAAAGuf3/s=")</f>
        <v>#VALUE!</v>
      </c>
      <c r="IS5" t="e">
        <f>AND('BBP complete'!F445,"AAAAAGuf3/w=")</f>
        <v>#VALUE!</v>
      </c>
      <c r="IT5" t="e">
        <f>AND('BBP complete'!G445,"AAAAAGuf3/0=")</f>
        <v>#VALUE!</v>
      </c>
      <c r="IU5" t="e">
        <f>AND('BBP complete'!H445,"AAAAAGuf3/4=")</f>
        <v>#VALUE!</v>
      </c>
      <c r="IV5" t="e">
        <f>AND('BBP complete'!I445,"AAAAAGuf3/8=")</f>
        <v>#VALUE!</v>
      </c>
    </row>
    <row r="6" spans="1:256" ht="15" customHeight="1" x14ac:dyDescent="0.25">
      <c r="A6" s="60" t="e">
        <v>#VALUE!</v>
      </c>
      <c r="B6" t="e">
        <f>AND('BBP complete'!A446,"AAAAABrJlgE=")</f>
        <v>#VALUE!</v>
      </c>
      <c r="C6" t="e">
        <f>AND('BBP complete'!B446,"AAAAABrJlgI=")</f>
        <v>#VALUE!</v>
      </c>
      <c r="D6" t="e">
        <f>AND('BBP complete'!C446,"AAAAABrJlgM=")</f>
        <v>#VALUE!</v>
      </c>
      <c r="E6" t="e">
        <f>AND('BBP complete'!D446,"AAAAABrJlgQ=")</f>
        <v>#VALUE!</v>
      </c>
      <c r="F6" t="e">
        <f>AND('BBP complete'!E446,"AAAAABrJlgU=")</f>
        <v>#VALUE!</v>
      </c>
      <c r="G6" t="e">
        <f>AND('BBP complete'!F446,"AAAAABrJlgY=")</f>
        <v>#VALUE!</v>
      </c>
      <c r="H6" t="e">
        <f>AND('BBP complete'!G446,"AAAAABrJlgc=")</f>
        <v>#VALUE!</v>
      </c>
      <c r="I6" t="e">
        <f>AND('BBP complete'!H446,"AAAAABrJlgg=")</f>
        <v>#VALUE!</v>
      </c>
      <c r="J6" t="e">
        <f>AND('BBP complete'!I446,"AAAAABrJlgk=")</f>
        <v>#VALUE!</v>
      </c>
      <c r="K6" s="60" t="e">
        <v>#VALUE!</v>
      </c>
      <c r="L6" t="e">
        <f>AND('BBP complete'!A447,"AAAAABrJlgs=")</f>
        <v>#VALUE!</v>
      </c>
      <c r="M6" t="e">
        <f>AND('BBP complete'!B447,"AAAAABrJlgw=")</f>
        <v>#VALUE!</v>
      </c>
      <c r="N6" t="e">
        <f>AND('BBP complete'!C447,"AAAAABrJlg0=")</f>
        <v>#VALUE!</v>
      </c>
      <c r="O6" t="e">
        <f>AND('BBP complete'!D447,"AAAAABrJlg4=")</f>
        <v>#VALUE!</v>
      </c>
      <c r="P6" t="e">
        <f>AND('BBP complete'!E447,"AAAAABrJlg8=")</f>
        <v>#VALUE!</v>
      </c>
      <c r="Q6" t="e">
        <f>AND('BBP complete'!F447,"AAAAABrJlhA=")</f>
        <v>#VALUE!</v>
      </c>
      <c r="R6" t="e">
        <f>AND('BBP complete'!G447,"AAAAABrJlhE=")</f>
        <v>#VALUE!</v>
      </c>
      <c r="S6" t="e">
        <f>AND('BBP complete'!H447,"AAAAABrJlhI=")</f>
        <v>#VALUE!</v>
      </c>
      <c r="T6" t="e">
        <f>AND('BBP complete'!I447,"AAAAABrJlhM=")</f>
        <v>#VALUE!</v>
      </c>
      <c r="U6" s="60" t="e">
        <v>#VALUE!</v>
      </c>
      <c r="V6" t="e">
        <f>AND('BBP complete'!A448,"AAAAABrJlhU=")</f>
        <v>#VALUE!</v>
      </c>
      <c r="W6" t="e">
        <f>AND('BBP complete'!B448,"AAAAABrJlhY=")</f>
        <v>#VALUE!</v>
      </c>
      <c r="X6" t="e">
        <f>AND('BBP complete'!C448,"AAAAABrJlhc=")</f>
        <v>#VALUE!</v>
      </c>
      <c r="Y6" t="e">
        <f>AND('BBP complete'!D448,"AAAAABrJlhg=")</f>
        <v>#VALUE!</v>
      </c>
      <c r="Z6" t="e">
        <f>AND('BBP complete'!E448,"AAAAABrJlhk=")</f>
        <v>#VALUE!</v>
      </c>
      <c r="AA6" t="e">
        <f>AND('BBP complete'!F448,"AAAAABrJlho=")</f>
        <v>#VALUE!</v>
      </c>
      <c r="AB6" t="e">
        <f>AND('BBP complete'!G448,"AAAAABrJlhs=")</f>
        <v>#VALUE!</v>
      </c>
      <c r="AC6" t="e">
        <f>AND('BBP complete'!H448,"AAAAABrJlhw=")</f>
        <v>#VALUE!</v>
      </c>
      <c r="AD6" t="e">
        <f>AND('BBP complete'!I448,"AAAAABrJlh0=")</f>
        <v>#VALUE!</v>
      </c>
      <c r="AE6" s="60" t="e">
        <v>#VALUE!</v>
      </c>
      <c r="AF6" t="e">
        <f>AND('BBP complete'!A449,"AAAAABrJlh8=")</f>
        <v>#VALUE!</v>
      </c>
      <c r="AG6" t="e">
        <f>AND('BBP complete'!B449,"AAAAABrJliA=")</f>
        <v>#VALUE!</v>
      </c>
      <c r="AH6" t="e">
        <f>AND('BBP complete'!C449,"AAAAABrJliE=")</f>
        <v>#VALUE!</v>
      </c>
      <c r="AI6" t="e">
        <f>AND('BBP complete'!D449,"AAAAABrJliI=")</f>
        <v>#VALUE!</v>
      </c>
      <c r="AJ6" t="e">
        <f>AND('BBP complete'!E449,"AAAAABrJliM=")</f>
        <v>#VALUE!</v>
      </c>
      <c r="AK6" t="e">
        <f>AND('BBP complete'!F449,"AAAAABrJliQ=")</f>
        <v>#VALUE!</v>
      </c>
      <c r="AL6" t="e">
        <f>AND('BBP complete'!G449,"AAAAABrJliU=")</f>
        <v>#VALUE!</v>
      </c>
      <c r="AM6" t="e">
        <f>AND('BBP complete'!H449,"AAAAABrJliY=")</f>
        <v>#VALUE!</v>
      </c>
      <c r="AN6" t="e">
        <f>AND('BBP complete'!I449,"AAAAABrJlic=")</f>
        <v>#VALUE!</v>
      </c>
      <c r="AO6" s="60" t="e">
        <v>#VALUE!</v>
      </c>
      <c r="AP6" t="e">
        <f>AND('BBP complete'!A450,"AAAAABrJlik=")</f>
        <v>#VALUE!</v>
      </c>
      <c r="AQ6" t="e">
        <f>AND('BBP complete'!B450,"AAAAABrJlio=")</f>
        <v>#VALUE!</v>
      </c>
      <c r="AR6" t="e">
        <f>AND('BBP complete'!C450,"AAAAABrJlis=")</f>
        <v>#VALUE!</v>
      </c>
      <c r="AS6" t="e">
        <f>AND('BBP complete'!D450,"AAAAABrJliw=")</f>
        <v>#VALUE!</v>
      </c>
      <c r="AT6" t="e">
        <f>AND('BBP complete'!E450,"AAAAABrJli0=")</f>
        <v>#VALUE!</v>
      </c>
      <c r="AU6" t="e">
        <f>AND('BBP complete'!F450,"AAAAABrJli4=")</f>
        <v>#VALUE!</v>
      </c>
      <c r="AV6" t="e">
        <f>AND('BBP complete'!G450,"AAAAABrJli8=")</f>
        <v>#VALUE!</v>
      </c>
      <c r="AW6" t="e">
        <f>AND('BBP complete'!H450,"AAAAABrJljA=")</f>
        <v>#VALUE!</v>
      </c>
      <c r="AX6" t="e">
        <f>AND('BBP complete'!I450,"AAAAABrJljE=")</f>
        <v>#VALUE!</v>
      </c>
      <c r="AY6" s="60" t="e">
        <v>#VALUE!</v>
      </c>
      <c r="AZ6" t="e">
        <f>AND('BBP complete'!A451,"AAAAABrJljM=")</f>
        <v>#VALUE!</v>
      </c>
      <c r="BA6" t="e">
        <f>AND('BBP complete'!B451,"AAAAABrJljQ=")</f>
        <v>#VALUE!</v>
      </c>
      <c r="BB6" t="e">
        <f>AND('BBP complete'!C451,"AAAAABrJljU=")</f>
        <v>#VALUE!</v>
      </c>
      <c r="BC6" t="e">
        <f>AND('BBP complete'!D451,"AAAAABrJljY=")</f>
        <v>#VALUE!</v>
      </c>
      <c r="BD6" t="e">
        <f>AND('BBP complete'!E451,"AAAAABrJljc=")</f>
        <v>#VALUE!</v>
      </c>
      <c r="BE6" t="e">
        <f>AND('BBP complete'!F451,"AAAAABrJljg=")</f>
        <v>#VALUE!</v>
      </c>
      <c r="BF6" t="e">
        <f>AND('BBP complete'!G451,"AAAAABrJljk=")</f>
        <v>#VALUE!</v>
      </c>
      <c r="BG6" t="e">
        <f>AND('BBP complete'!H451,"AAAAABrJljo=")</f>
        <v>#VALUE!</v>
      </c>
      <c r="BH6" t="e">
        <f>AND('BBP complete'!I451,"AAAAABrJljs=")</f>
        <v>#VALUE!</v>
      </c>
      <c r="BI6" s="60" t="e">
        <v>#VALUE!</v>
      </c>
      <c r="BJ6" t="e">
        <f>AND('BBP complete'!A452,"AAAAABrJlj0=")</f>
        <v>#VALUE!</v>
      </c>
      <c r="BK6" t="e">
        <f>AND('BBP complete'!B452,"AAAAABrJlj4=")</f>
        <v>#VALUE!</v>
      </c>
      <c r="BL6" t="e">
        <f>AND('BBP complete'!C452,"AAAAABrJlj8=")</f>
        <v>#VALUE!</v>
      </c>
      <c r="BM6" t="e">
        <f>AND('BBP complete'!D452,"AAAAABrJlkA=")</f>
        <v>#VALUE!</v>
      </c>
      <c r="BN6" t="e">
        <f>AND('BBP complete'!E452,"AAAAABrJlkE=")</f>
        <v>#VALUE!</v>
      </c>
      <c r="BO6" t="e">
        <f>AND('BBP complete'!F452,"AAAAABrJlkI=")</f>
        <v>#VALUE!</v>
      </c>
      <c r="BP6" t="e">
        <f>AND('BBP complete'!G452,"AAAAABrJlkM=")</f>
        <v>#VALUE!</v>
      </c>
      <c r="BQ6" t="e">
        <f>AND('BBP complete'!H452,"AAAAABrJlkQ=")</f>
        <v>#VALUE!</v>
      </c>
      <c r="BR6" t="e">
        <f>AND('BBP complete'!I452,"AAAAABrJlkU=")</f>
        <v>#VALUE!</v>
      </c>
      <c r="BS6" s="60" t="e">
        <v>#VALUE!</v>
      </c>
      <c r="BT6" t="e">
        <f>AND('BBP complete'!A453,"AAAAABrJlkc=")</f>
        <v>#VALUE!</v>
      </c>
      <c r="BU6" t="e">
        <f>AND('BBP complete'!B453,"AAAAABrJlkg=")</f>
        <v>#VALUE!</v>
      </c>
      <c r="BV6" t="e">
        <f>AND('BBP complete'!C453,"AAAAABrJlkk=")</f>
        <v>#VALUE!</v>
      </c>
      <c r="BW6" t="e">
        <f>AND('BBP complete'!D453,"AAAAABrJlko=")</f>
        <v>#VALUE!</v>
      </c>
      <c r="BX6" t="e">
        <f>AND('BBP complete'!E453,"AAAAABrJlks=")</f>
        <v>#VALUE!</v>
      </c>
      <c r="BY6" t="e">
        <f>AND('BBP complete'!F453,"AAAAABrJlkw=")</f>
        <v>#VALUE!</v>
      </c>
      <c r="BZ6" t="e">
        <f>AND('BBP complete'!G453,"AAAAABrJlk0=")</f>
        <v>#VALUE!</v>
      </c>
      <c r="CA6" t="e">
        <f>AND('BBP complete'!H453,"AAAAABrJlk4=")</f>
        <v>#VALUE!</v>
      </c>
      <c r="CB6" t="e">
        <f>AND('BBP complete'!I453,"AAAAABrJlk8=")</f>
        <v>#VALUE!</v>
      </c>
      <c r="CC6" s="60" t="e">
        <v>#VALUE!</v>
      </c>
      <c r="CD6" t="e">
        <f>AND('BBP complete'!A454,"AAAAABrJllE=")</f>
        <v>#VALUE!</v>
      </c>
      <c r="CE6" t="e">
        <f>AND('BBP complete'!B454,"AAAAABrJllI=")</f>
        <v>#VALUE!</v>
      </c>
      <c r="CF6" t="e">
        <f>AND('BBP complete'!C454,"AAAAABrJllM=")</f>
        <v>#VALUE!</v>
      </c>
      <c r="CG6" t="e">
        <f>AND('BBP complete'!D454,"AAAAABrJllQ=")</f>
        <v>#VALUE!</v>
      </c>
      <c r="CH6" t="e">
        <f>AND('BBP complete'!E454,"AAAAABrJllU=")</f>
        <v>#VALUE!</v>
      </c>
      <c r="CI6" t="e">
        <f>AND('BBP complete'!F454,"AAAAABrJllY=")</f>
        <v>#VALUE!</v>
      </c>
      <c r="CJ6" t="e">
        <f>AND('BBP complete'!G454,"AAAAABrJllc=")</f>
        <v>#VALUE!</v>
      </c>
      <c r="CK6" t="e">
        <f>AND('BBP complete'!H454,"AAAAABrJllg=")</f>
        <v>#VALUE!</v>
      </c>
      <c r="CL6" t="e">
        <f>AND('BBP complete'!I454,"AAAAABrJllk=")</f>
        <v>#VALUE!</v>
      </c>
      <c r="CM6" s="60" t="e">
        <v>#VALUE!</v>
      </c>
      <c r="CN6" t="e">
        <f>AND('BBP complete'!A455,"AAAAABrJlls=")</f>
        <v>#VALUE!</v>
      </c>
      <c r="CO6" t="e">
        <f>AND('BBP complete'!B455,"AAAAABrJllw=")</f>
        <v>#VALUE!</v>
      </c>
      <c r="CP6" t="e">
        <f>AND('BBP complete'!C455,"AAAAABrJll0=")</f>
        <v>#VALUE!</v>
      </c>
      <c r="CQ6" t="e">
        <f>AND('BBP complete'!D455,"AAAAABrJll4=")</f>
        <v>#VALUE!</v>
      </c>
      <c r="CR6" t="e">
        <f>AND('BBP complete'!E455,"AAAAABrJll8=")</f>
        <v>#VALUE!</v>
      </c>
      <c r="CS6" t="e">
        <f>AND('BBP complete'!F455,"AAAAABrJlmA=")</f>
        <v>#VALUE!</v>
      </c>
      <c r="CT6" t="e">
        <f>AND('BBP complete'!G455,"AAAAABrJlmE=")</f>
        <v>#VALUE!</v>
      </c>
      <c r="CU6" t="e">
        <f>AND('BBP complete'!H455,"AAAAABrJlmI=")</f>
        <v>#VALUE!</v>
      </c>
      <c r="CV6" t="e">
        <f>AND('BBP complete'!I455,"AAAAABrJlmM=")</f>
        <v>#VALUE!</v>
      </c>
      <c r="CW6" s="60" t="e">
        <v>#VALUE!</v>
      </c>
      <c r="CX6" t="e">
        <f>AND('BBP complete'!A456,"AAAAABrJlmU=")</f>
        <v>#VALUE!</v>
      </c>
      <c r="CY6" t="e">
        <f>AND('BBP complete'!B456,"AAAAABrJlmY=")</f>
        <v>#VALUE!</v>
      </c>
      <c r="CZ6" t="e">
        <f>AND('BBP complete'!C456,"AAAAABrJlmc=")</f>
        <v>#VALUE!</v>
      </c>
      <c r="DA6" t="e">
        <f>AND('BBP complete'!D456,"AAAAABrJlmg=")</f>
        <v>#VALUE!</v>
      </c>
      <c r="DB6" t="e">
        <f>AND('BBP complete'!E456,"AAAAABrJlmk=")</f>
        <v>#VALUE!</v>
      </c>
      <c r="DC6" t="e">
        <f>AND('BBP complete'!F456,"AAAAABrJlmo=")</f>
        <v>#VALUE!</v>
      </c>
      <c r="DD6" t="e">
        <f>AND('BBP complete'!G456,"AAAAABrJlms=")</f>
        <v>#VALUE!</v>
      </c>
      <c r="DE6" t="e">
        <f>AND('BBP complete'!H456,"AAAAABrJlmw=")</f>
        <v>#VALUE!</v>
      </c>
      <c r="DF6" t="e">
        <f>AND('BBP complete'!I456,"AAAAABrJlm0=")</f>
        <v>#VALUE!</v>
      </c>
      <c r="DG6" s="60" t="e">
        <v>#VALUE!</v>
      </c>
      <c r="DH6" t="e">
        <f>AND('BBP complete'!A457,"AAAAABrJlm8=")</f>
        <v>#VALUE!</v>
      </c>
      <c r="DI6" t="e">
        <f>AND('BBP complete'!B457,"AAAAABrJlnA=")</f>
        <v>#VALUE!</v>
      </c>
      <c r="DJ6" t="e">
        <f>AND('BBP complete'!C457,"AAAAABrJlnE=")</f>
        <v>#VALUE!</v>
      </c>
      <c r="DK6" t="e">
        <f>AND('BBP complete'!D457,"AAAAABrJlnI=")</f>
        <v>#VALUE!</v>
      </c>
      <c r="DL6" t="e">
        <f>AND('BBP complete'!E457,"AAAAABrJlnM=")</f>
        <v>#VALUE!</v>
      </c>
      <c r="DM6" t="e">
        <f>AND('BBP complete'!F457,"AAAAABrJlnQ=")</f>
        <v>#VALUE!</v>
      </c>
      <c r="DN6" t="e">
        <f>AND('BBP complete'!G457,"AAAAABrJlnU=")</f>
        <v>#VALUE!</v>
      </c>
      <c r="DO6" t="e">
        <f>AND('BBP complete'!H457,"AAAAABrJlnY=")</f>
        <v>#VALUE!</v>
      </c>
      <c r="DP6" t="e">
        <f>AND('BBP complete'!I457,"AAAAABrJlnc=")</f>
        <v>#VALUE!</v>
      </c>
      <c r="DQ6" s="60" t="e">
        <v>#VALUE!</v>
      </c>
      <c r="DR6" t="e">
        <f>AND('BBP complete'!A458,"AAAAABrJlnk=")</f>
        <v>#VALUE!</v>
      </c>
      <c r="DS6" t="e">
        <f>AND('BBP complete'!B458,"AAAAABrJlno=")</f>
        <v>#VALUE!</v>
      </c>
      <c r="DT6" t="e">
        <f>AND('BBP complete'!C458,"AAAAABrJlns=")</f>
        <v>#VALUE!</v>
      </c>
      <c r="DU6" t="e">
        <f>AND('BBP complete'!D458,"AAAAABrJlnw=")</f>
        <v>#VALUE!</v>
      </c>
      <c r="DV6" t="e">
        <f>AND('BBP complete'!E458,"AAAAABrJln0=")</f>
        <v>#VALUE!</v>
      </c>
      <c r="DW6" t="e">
        <f>AND('BBP complete'!F458,"AAAAABrJln4=")</f>
        <v>#VALUE!</v>
      </c>
      <c r="DX6" t="e">
        <f>AND('BBP complete'!G458,"AAAAABrJln8=")</f>
        <v>#VALUE!</v>
      </c>
      <c r="DY6" t="e">
        <f>AND('BBP complete'!H458,"AAAAABrJloA=")</f>
        <v>#VALUE!</v>
      </c>
      <c r="DZ6" t="e">
        <f>AND('BBP complete'!I458,"AAAAABrJloE=")</f>
        <v>#VALUE!</v>
      </c>
      <c r="EA6" s="60" t="e">
        <v>#VALUE!</v>
      </c>
      <c r="EB6" t="e">
        <f>AND('BBP complete'!A459,"AAAAABrJloM=")</f>
        <v>#VALUE!</v>
      </c>
      <c r="EC6" t="e">
        <f>AND('BBP complete'!B459,"AAAAABrJloQ=")</f>
        <v>#VALUE!</v>
      </c>
      <c r="ED6" t="e">
        <f>AND('BBP complete'!C459,"AAAAABrJloU=")</f>
        <v>#VALUE!</v>
      </c>
      <c r="EE6" t="e">
        <f>AND('BBP complete'!D459,"AAAAABrJloY=")</f>
        <v>#VALUE!</v>
      </c>
      <c r="EF6" t="e">
        <f>AND('BBP complete'!E459,"AAAAABrJloc=")</f>
        <v>#VALUE!</v>
      </c>
      <c r="EG6" t="e">
        <f>AND('BBP complete'!F459,"AAAAABrJlog=")</f>
        <v>#VALUE!</v>
      </c>
      <c r="EH6" t="e">
        <f>AND('BBP complete'!G459,"AAAAABrJlok=")</f>
        <v>#VALUE!</v>
      </c>
      <c r="EI6" t="e">
        <f>AND('BBP complete'!H459,"AAAAABrJloo=")</f>
        <v>#VALUE!</v>
      </c>
      <c r="EJ6" t="e">
        <f>AND('BBP complete'!I459,"AAAAABrJlos=")</f>
        <v>#VALUE!</v>
      </c>
      <c r="EK6" s="60" t="e">
        <v>#VALUE!</v>
      </c>
      <c r="EL6" t="e">
        <f>AND('BBP complete'!A460,"AAAAABrJlo0=")</f>
        <v>#VALUE!</v>
      </c>
      <c r="EM6" t="e">
        <f>AND('BBP complete'!B460,"AAAAABrJlo4=")</f>
        <v>#VALUE!</v>
      </c>
      <c r="EN6" t="e">
        <f>AND('BBP complete'!C460,"AAAAABrJlo8=")</f>
        <v>#VALUE!</v>
      </c>
      <c r="EO6" t="e">
        <f>AND('BBP complete'!D460,"AAAAABrJlpA=")</f>
        <v>#VALUE!</v>
      </c>
      <c r="EP6" t="e">
        <f>AND('BBP complete'!E460,"AAAAABrJlpE=")</f>
        <v>#VALUE!</v>
      </c>
      <c r="EQ6" t="e">
        <f>AND('BBP complete'!F460,"AAAAABrJlpI=")</f>
        <v>#VALUE!</v>
      </c>
      <c r="ER6" t="e">
        <f>AND('BBP complete'!G460,"AAAAABrJlpM=")</f>
        <v>#VALUE!</v>
      </c>
      <c r="ES6" t="e">
        <f>AND('BBP complete'!H460,"AAAAABrJlpQ=")</f>
        <v>#VALUE!</v>
      </c>
      <c r="ET6" t="e">
        <f>AND('BBP complete'!I460,"AAAAABrJlpU=")</f>
        <v>#VALUE!</v>
      </c>
      <c r="EU6" s="60" t="e">
        <v>#VALUE!</v>
      </c>
      <c r="EV6" t="e">
        <f>AND('BBP complete'!A461,"AAAAABrJlpc=")</f>
        <v>#VALUE!</v>
      </c>
      <c r="EW6" t="e">
        <f>AND('BBP complete'!B461,"AAAAABrJlpg=")</f>
        <v>#VALUE!</v>
      </c>
      <c r="EX6" t="e">
        <f>AND('BBP complete'!C461,"AAAAABrJlpk=")</f>
        <v>#VALUE!</v>
      </c>
      <c r="EY6" t="e">
        <f>AND('BBP complete'!D461,"AAAAABrJlpo=")</f>
        <v>#VALUE!</v>
      </c>
      <c r="EZ6" t="e">
        <f>AND('BBP complete'!E461,"AAAAABrJlps=")</f>
        <v>#VALUE!</v>
      </c>
      <c r="FA6" t="e">
        <f>AND('BBP complete'!F461,"AAAAABrJlpw=")</f>
        <v>#VALUE!</v>
      </c>
      <c r="FB6" t="e">
        <f>AND('BBP complete'!G461,"AAAAABrJlp0=")</f>
        <v>#VALUE!</v>
      </c>
      <c r="FC6" t="e">
        <f>AND('BBP complete'!H461,"AAAAABrJlp4=")</f>
        <v>#VALUE!</v>
      </c>
      <c r="FD6" t="e">
        <f>AND('BBP complete'!I461,"AAAAABrJlp8=")</f>
        <v>#VALUE!</v>
      </c>
      <c r="FE6" s="60" t="e">
        <v>#VALUE!</v>
      </c>
      <c r="FF6" t="e">
        <f>AND('BBP complete'!A462,"AAAAABrJlqE=")</f>
        <v>#VALUE!</v>
      </c>
      <c r="FG6" t="e">
        <f>AND('BBP complete'!B462,"AAAAABrJlqI=")</f>
        <v>#VALUE!</v>
      </c>
      <c r="FH6" t="e">
        <f>AND('BBP complete'!C462,"AAAAABrJlqM=")</f>
        <v>#VALUE!</v>
      </c>
      <c r="FI6" t="e">
        <f>AND('BBP complete'!D462,"AAAAABrJlqQ=")</f>
        <v>#VALUE!</v>
      </c>
      <c r="FJ6" t="e">
        <f>AND('BBP complete'!E462,"AAAAABrJlqU=")</f>
        <v>#VALUE!</v>
      </c>
      <c r="FK6" t="e">
        <f>AND('BBP complete'!F462,"AAAAABrJlqY=")</f>
        <v>#VALUE!</v>
      </c>
      <c r="FL6" t="e">
        <f>AND('BBP complete'!G462,"AAAAABrJlqc=")</f>
        <v>#VALUE!</v>
      </c>
      <c r="FM6" t="e">
        <f>AND('BBP complete'!H462,"AAAAABrJlqg=")</f>
        <v>#VALUE!</v>
      </c>
      <c r="FN6" t="e">
        <f>AND('BBP complete'!I462,"AAAAABrJlqk=")</f>
        <v>#VALUE!</v>
      </c>
      <c r="FO6" s="60" t="e">
        <v>#VALUE!</v>
      </c>
      <c r="FP6" t="e">
        <f>AND('BBP complete'!A463,"AAAAABrJlqs=")</f>
        <v>#VALUE!</v>
      </c>
      <c r="FQ6" t="e">
        <f>AND('BBP complete'!B463,"AAAAABrJlqw=")</f>
        <v>#VALUE!</v>
      </c>
      <c r="FR6" t="e">
        <f>AND('BBP complete'!C463,"AAAAABrJlq0=")</f>
        <v>#VALUE!</v>
      </c>
      <c r="FS6" t="e">
        <f>AND('BBP complete'!D463,"AAAAABrJlq4=")</f>
        <v>#VALUE!</v>
      </c>
      <c r="FT6" t="e">
        <f>AND('BBP complete'!E463,"AAAAABrJlq8=")</f>
        <v>#VALUE!</v>
      </c>
      <c r="FU6" t="e">
        <f>AND('BBP complete'!F463,"AAAAABrJlrA=")</f>
        <v>#VALUE!</v>
      </c>
      <c r="FV6" t="e">
        <f>AND('BBP complete'!G463,"AAAAABrJlrE=")</f>
        <v>#VALUE!</v>
      </c>
      <c r="FW6" t="e">
        <f>AND('BBP complete'!H463,"AAAAABrJlrI=")</f>
        <v>#VALUE!</v>
      </c>
      <c r="FX6" t="e">
        <f>AND('BBP complete'!I463,"AAAAABrJlrM=")</f>
        <v>#VALUE!</v>
      </c>
      <c r="FY6" s="60" t="e">
        <v>#VALUE!</v>
      </c>
      <c r="FZ6" t="e">
        <f>AND('BBP complete'!A464,"AAAAABrJlrU=")</f>
        <v>#VALUE!</v>
      </c>
      <c r="GA6" t="e">
        <f>AND('BBP complete'!B464,"AAAAABrJlrY=")</f>
        <v>#VALUE!</v>
      </c>
      <c r="GB6" t="e">
        <f>AND('BBP complete'!C464,"AAAAABrJlrc=")</f>
        <v>#VALUE!</v>
      </c>
      <c r="GC6" t="e">
        <f>AND('BBP complete'!D464,"AAAAABrJlrg=")</f>
        <v>#VALUE!</v>
      </c>
      <c r="GD6" t="e">
        <f>AND('BBP complete'!E464,"AAAAABrJlrk=")</f>
        <v>#VALUE!</v>
      </c>
      <c r="GE6" t="e">
        <f>AND('BBP complete'!F464,"AAAAABrJlro=")</f>
        <v>#VALUE!</v>
      </c>
      <c r="GF6" t="e">
        <f>AND('BBP complete'!G464,"AAAAABrJlrs=")</f>
        <v>#VALUE!</v>
      </c>
      <c r="GG6" t="e">
        <f>AND('BBP complete'!H464,"AAAAABrJlrw=")</f>
        <v>#VALUE!</v>
      </c>
      <c r="GH6" t="e">
        <f>AND('BBP complete'!I464,"AAAAABrJlr0=")</f>
        <v>#VALUE!</v>
      </c>
      <c r="GI6" s="60" t="e">
        <v>#VALUE!</v>
      </c>
      <c r="GJ6" t="e">
        <f>AND('BBP complete'!A465,"AAAAABrJlr8=")</f>
        <v>#VALUE!</v>
      </c>
      <c r="GK6" t="e">
        <f>AND('BBP complete'!B465,"AAAAABrJlsA=")</f>
        <v>#VALUE!</v>
      </c>
      <c r="GL6" t="e">
        <f>AND('BBP complete'!C465,"AAAAABrJlsE=")</f>
        <v>#VALUE!</v>
      </c>
      <c r="GM6" t="e">
        <f>AND('BBP complete'!D465,"AAAAABrJlsI=")</f>
        <v>#VALUE!</v>
      </c>
      <c r="GN6" t="e">
        <f>AND('BBP complete'!E465,"AAAAABrJlsM=")</f>
        <v>#VALUE!</v>
      </c>
      <c r="GO6" t="e">
        <f>AND('BBP complete'!F465,"AAAAABrJlsQ=")</f>
        <v>#VALUE!</v>
      </c>
      <c r="GP6" t="e">
        <f>AND('BBP complete'!G465,"AAAAABrJlsU=")</f>
        <v>#VALUE!</v>
      </c>
      <c r="GQ6" t="e">
        <f>AND('BBP complete'!H465,"AAAAABrJlsY=")</f>
        <v>#VALUE!</v>
      </c>
      <c r="GR6" t="e">
        <f>AND('BBP complete'!I465,"AAAAABrJlsc=")</f>
        <v>#VALUE!</v>
      </c>
      <c r="GS6" s="60" t="e">
        <v>#VALUE!</v>
      </c>
      <c r="GT6" t="e">
        <f>AND('BBP complete'!A466,"AAAAABrJlsk=")</f>
        <v>#VALUE!</v>
      </c>
      <c r="GU6" t="e">
        <f>AND('BBP complete'!B466,"AAAAABrJlso=")</f>
        <v>#VALUE!</v>
      </c>
      <c r="GV6" t="e">
        <f>AND('BBP complete'!C466,"AAAAABrJlss=")</f>
        <v>#VALUE!</v>
      </c>
      <c r="GW6" t="e">
        <f>AND('BBP complete'!D466,"AAAAABrJlsw=")</f>
        <v>#VALUE!</v>
      </c>
      <c r="GX6" t="e">
        <f>AND('BBP complete'!E466,"AAAAABrJls0=")</f>
        <v>#VALUE!</v>
      </c>
      <c r="GY6" t="e">
        <f>AND('BBP complete'!F466,"AAAAABrJls4=")</f>
        <v>#VALUE!</v>
      </c>
      <c r="GZ6" t="e">
        <f>AND('BBP complete'!G466,"AAAAABrJls8=")</f>
        <v>#VALUE!</v>
      </c>
      <c r="HA6" t="e">
        <f>AND('BBP complete'!H466,"AAAAABrJltA=")</f>
        <v>#VALUE!</v>
      </c>
      <c r="HB6" t="e">
        <f>AND('BBP complete'!I466,"AAAAABrJltE=")</f>
        <v>#VALUE!</v>
      </c>
      <c r="HC6" s="60" t="e">
        <v>#VALUE!</v>
      </c>
      <c r="HD6" t="e">
        <f>AND('BBP complete'!A467,"AAAAABrJltM=")</f>
        <v>#VALUE!</v>
      </c>
      <c r="HE6" t="e">
        <f>AND('BBP complete'!B467,"AAAAABrJltQ=")</f>
        <v>#VALUE!</v>
      </c>
      <c r="HF6" t="e">
        <f>AND('BBP complete'!C467,"AAAAABrJltU=")</f>
        <v>#VALUE!</v>
      </c>
      <c r="HG6" t="e">
        <f>AND('BBP complete'!D467,"AAAAABrJltY=")</f>
        <v>#VALUE!</v>
      </c>
      <c r="HH6" t="e">
        <f>AND('BBP complete'!E467,"AAAAABrJltc=")</f>
        <v>#VALUE!</v>
      </c>
      <c r="HI6" t="e">
        <f>AND('BBP complete'!F467,"AAAAABrJltg=")</f>
        <v>#VALUE!</v>
      </c>
      <c r="HJ6" t="e">
        <f>AND('BBP complete'!G467,"AAAAABrJltk=")</f>
        <v>#VALUE!</v>
      </c>
      <c r="HK6" t="e">
        <f>AND('BBP complete'!H467,"AAAAABrJlto=")</f>
        <v>#VALUE!</v>
      </c>
      <c r="HL6" t="e">
        <f>AND('BBP complete'!I467,"AAAAABrJlts=")</f>
        <v>#VALUE!</v>
      </c>
      <c r="HM6" s="60" t="e">
        <v>#VALUE!</v>
      </c>
      <c r="HN6" t="e">
        <f>AND('BBP complete'!A468,"AAAAABrJlt0=")</f>
        <v>#VALUE!</v>
      </c>
      <c r="HO6" t="e">
        <f>AND('BBP complete'!B468,"AAAAABrJlt4=")</f>
        <v>#VALUE!</v>
      </c>
      <c r="HP6" t="e">
        <f>AND('BBP complete'!C468,"AAAAABrJlt8=")</f>
        <v>#VALUE!</v>
      </c>
      <c r="HQ6" t="e">
        <f>AND('BBP complete'!D468,"AAAAABrJluA=")</f>
        <v>#VALUE!</v>
      </c>
      <c r="HR6" t="e">
        <f>AND('BBP complete'!E468,"AAAAABrJluE=")</f>
        <v>#VALUE!</v>
      </c>
      <c r="HS6" t="e">
        <f>AND('BBP complete'!F468,"AAAAABrJluI=")</f>
        <v>#VALUE!</v>
      </c>
      <c r="HT6" t="e">
        <f>AND('BBP complete'!G468,"AAAAABrJluM=")</f>
        <v>#VALUE!</v>
      </c>
      <c r="HU6" t="e">
        <f>AND('BBP complete'!H468,"AAAAABrJluQ=")</f>
        <v>#VALUE!</v>
      </c>
      <c r="HV6" t="e">
        <f>AND('BBP complete'!I468,"AAAAABrJluU=")</f>
        <v>#VALUE!</v>
      </c>
      <c r="HW6" s="60" t="e">
        <v>#VALUE!</v>
      </c>
      <c r="HX6" t="e">
        <f>AND('BBP complete'!A469,"AAAAABrJluc=")</f>
        <v>#VALUE!</v>
      </c>
      <c r="HY6" t="e">
        <f>AND('BBP complete'!B469,"AAAAABrJlug=")</f>
        <v>#VALUE!</v>
      </c>
      <c r="HZ6" t="e">
        <f>AND('BBP complete'!C469,"AAAAABrJluk=")</f>
        <v>#VALUE!</v>
      </c>
      <c r="IA6" t="e">
        <f>AND('BBP complete'!D469,"AAAAABrJluo=")</f>
        <v>#VALUE!</v>
      </c>
      <c r="IB6" t="e">
        <f>AND('BBP complete'!E469,"AAAAABrJlus=")</f>
        <v>#VALUE!</v>
      </c>
      <c r="IC6" t="e">
        <f>AND('BBP complete'!F469,"AAAAABrJluw=")</f>
        <v>#VALUE!</v>
      </c>
      <c r="ID6" t="e">
        <f>AND('BBP complete'!G469,"AAAAABrJlu0=")</f>
        <v>#VALUE!</v>
      </c>
      <c r="IE6" t="e">
        <f>AND('BBP complete'!H469,"AAAAABrJlu4=")</f>
        <v>#VALUE!</v>
      </c>
      <c r="IF6" t="e">
        <f>AND('BBP complete'!I469,"AAAAABrJlu8=")</f>
        <v>#VALUE!</v>
      </c>
      <c r="IG6" s="60" t="e">
        <v>#VALUE!</v>
      </c>
      <c r="IH6" t="e">
        <f>AND('BBP complete'!A470,"AAAAABrJlvE=")</f>
        <v>#VALUE!</v>
      </c>
      <c r="II6" t="e">
        <f>AND('BBP complete'!B470,"AAAAABrJlvI=")</f>
        <v>#VALUE!</v>
      </c>
      <c r="IJ6" t="e">
        <f>AND('BBP complete'!C470,"AAAAABrJlvM=")</f>
        <v>#VALUE!</v>
      </c>
      <c r="IK6" t="e">
        <f>AND('BBP complete'!D470,"AAAAABrJlvQ=")</f>
        <v>#VALUE!</v>
      </c>
      <c r="IL6" t="e">
        <f>AND('BBP complete'!E470,"AAAAABrJlvU=")</f>
        <v>#VALUE!</v>
      </c>
      <c r="IM6" t="e">
        <f>AND('BBP complete'!F470,"AAAAABrJlvY=")</f>
        <v>#VALUE!</v>
      </c>
      <c r="IN6" t="e">
        <f>AND('BBP complete'!G470,"AAAAABrJlvc=")</f>
        <v>#VALUE!</v>
      </c>
      <c r="IO6" t="e">
        <f>AND('BBP complete'!H470,"AAAAABrJlvg=")</f>
        <v>#VALUE!</v>
      </c>
      <c r="IP6" t="e">
        <f>AND('BBP complete'!I470,"AAAAABrJlvk=")</f>
        <v>#VALUE!</v>
      </c>
      <c r="IQ6" s="60" t="e">
        <v>#VALUE!</v>
      </c>
      <c r="IR6" t="e">
        <f>AND('BBP complete'!A471,"AAAAABrJlvs=")</f>
        <v>#VALUE!</v>
      </c>
      <c r="IS6" t="e">
        <f>AND('BBP complete'!B471,"AAAAABrJlvw=")</f>
        <v>#VALUE!</v>
      </c>
      <c r="IT6" t="e">
        <f>AND('BBP complete'!C471,"AAAAABrJlv0=")</f>
        <v>#VALUE!</v>
      </c>
      <c r="IU6" t="e">
        <f>AND('BBP complete'!D471,"AAAAABrJlv4=")</f>
        <v>#VALUE!</v>
      </c>
      <c r="IV6" t="e">
        <f>AND('BBP complete'!E471,"AAAAABrJlv8=")</f>
        <v>#VALUE!</v>
      </c>
    </row>
    <row r="7" spans="1:256" ht="15" customHeight="1" x14ac:dyDescent="0.25">
      <c r="A7" t="e">
        <f>AND('BBP complete'!F471,"AAAAADr73gA=")</f>
        <v>#VALUE!</v>
      </c>
      <c r="B7" t="e">
        <f>AND('BBP complete'!G471,"AAAAADr73gE=")</f>
        <v>#VALUE!</v>
      </c>
      <c r="C7" t="e">
        <f>AND('BBP complete'!H471,"AAAAADr73gI=")</f>
        <v>#VALUE!</v>
      </c>
      <c r="D7" t="e">
        <f>AND('BBP complete'!I471,"AAAAADr73gM=")</f>
        <v>#VALUE!</v>
      </c>
      <c r="E7" s="60" t="e">
        <v>#VALUE!</v>
      </c>
      <c r="F7" t="e">
        <f>AND('BBP complete'!A472,"AAAAADr73gU=")</f>
        <v>#VALUE!</v>
      </c>
      <c r="G7" t="e">
        <f>AND('BBP complete'!B472,"AAAAADr73gY=")</f>
        <v>#VALUE!</v>
      </c>
      <c r="H7" t="e">
        <f>AND('BBP complete'!C472,"AAAAADr73gc=")</f>
        <v>#VALUE!</v>
      </c>
      <c r="I7" t="e">
        <f>AND('BBP complete'!D472,"AAAAADr73gg=")</f>
        <v>#VALUE!</v>
      </c>
      <c r="J7" t="e">
        <f>AND('BBP complete'!E472,"AAAAADr73gk=")</f>
        <v>#VALUE!</v>
      </c>
      <c r="K7" t="e">
        <f>AND('BBP complete'!F472,"AAAAADr73go=")</f>
        <v>#VALUE!</v>
      </c>
      <c r="L7" t="e">
        <f>AND('BBP complete'!G472,"AAAAADr73gs=")</f>
        <v>#VALUE!</v>
      </c>
      <c r="M7" t="e">
        <f>AND('BBP complete'!H472,"AAAAADr73gw=")</f>
        <v>#VALUE!</v>
      </c>
      <c r="N7" t="e">
        <f>AND('BBP complete'!I472,"AAAAADr73g0=")</f>
        <v>#VALUE!</v>
      </c>
      <c r="O7" s="60" t="e">
        <v>#VALUE!</v>
      </c>
      <c r="P7" t="e">
        <f>AND('BBP complete'!A473,"AAAAADr73g8=")</f>
        <v>#VALUE!</v>
      </c>
      <c r="Q7" t="e">
        <f>AND('BBP complete'!B473,"AAAAADr73hA=")</f>
        <v>#VALUE!</v>
      </c>
      <c r="R7" t="e">
        <f>AND('BBP complete'!C473,"AAAAADr73hE=")</f>
        <v>#VALUE!</v>
      </c>
      <c r="S7" t="e">
        <f>AND('BBP complete'!D473,"AAAAADr73hI=")</f>
        <v>#VALUE!</v>
      </c>
      <c r="T7" t="e">
        <f>AND('BBP complete'!E473,"AAAAADr73hM=")</f>
        <v>#VALUE!</v>
      </c>
      <c r="U7" t="e">
        <f>AND('BBP complete'!F473,"AAAAADr73hQ=")</f>
        <v>#VALUE!</v>
      </c>
      <c r="V7" t="e">
        <f>AND('BBP complete'!G473,"AAAAADr73hU=")</f>
        <v>#VALUE!</v>
      </c>
      <c r="W7" t="e">
        <f>AND('BBP complete'!H473,"AAAAADr73hY=")</f>
        <v>#VALUE!</v>
      </c>
      <c r="X7" t="e">
        <f>AND('BBP complete'!I473,"AAAAADr73hc=")</f>
        <v>#VALUE!</v>
      </c>
      <c r="Y7" s="60" t="e">
        <v>#VALUE!</v>
      </c>
      <c r="Z7" t="e">
        <f>AND('BBP complete'!A474,"AAAAADr73hk=")</f>
        <v>#VALUE!</v>
      </c>
      <c r="AA7" t="e">
        <f>AND('BBP complete'!B474,"AAAAADr73ho=")</f>
        <v>#VALUE!</v>
      </c>
      <c r="AB7" t="e">
        <f>AND('BBP complete'!C474,"AAAAADr73hs=")</f>
        <v>#VALUE!</v>
      </c>
      <c r="AC7" t="e">
        <f>AND('BBP complete'!D474,"AAAAADr73hw=")</f>
        <v>#VALUE!</v>
      </c>
      <c r="AD7" t="e">
        <f>AND('BBP complete'!E474,"AAAAADr73h0=")</f>
        <v>#VALUE!</v>
      </c>
      <c r="AE7" t="e">
        <f>AND('BBP complete'!F474,"AAAAADr73h4=")</f>
        <v>#VALUE!</v>
      </c>
      <c r="AF7" t="e">
        <f>AND('BBP complete'!G474,"AAAAADr73h8=")</f>
        <v>#VALUE!</v>
      </c>
      <c r="AG7" t="e">
        <f>AND('BBP complete'!H474,"AAAAADr73iA=")</f>
        <v>#VALUE!</v>
      </c>
      <c r="AH7" t="e">
        <f>AND('BBP complete'!I474,"AAAAADr73iE=")</f>
        <v>#VALUE!</v>
      </c>
      <c r="AI7" s="60" t="e">
        <v>#VALUE!</v>
      </c>
      <c r="AJ7" t="e">
        <f>AND('BBP complete'!A475,"AAAAADr73iM=")</f>
        <v>#VALUE!</v>
      </c>
      <c r="AK7" t="e">
        <f>AND('BBP complete'!B475,"AAAAADr73iQ=")</f>
        <v>#VALUE!</v>
      </c>
      <c r="AL7" t="e">
        <f>AND('BBP complete'!C475,"AAAAADr73iU=")</f>
        <v>#VALUE!</v>
      </c>
      <c r="AM7" t="e">
        <f>AND('BBP complete'!D475,"AAAAADr73iY=")</f>
        <v>#VALUE!</v>
      </c>
      <c r="AN7" t="e">
        <f>AND('BBP complete'!E475,"AAAAADr73ic=")</f>
        <v>#VALUE!</v>
      </c>
      <c r="AO7" t="e">
        <f>AND('BBP complete'!F475,"AAAAADr73ig=")</f>
        <v>#VALUE!</v>
      </c>
      <c r="AP7" t="e">
        <f>AND('BBP complete'!G475,"AAAAADr73ik=")</f>
        <v>#VALUE!</v>
      </c>
      <c r="AQ7" t="e">
        <f>AND('BBP complete'!H475,"AAAAADr73io=")</f>
        <v>#VALUE!</v>
      </c>
      <c r="AR7" t="e">
        <f>AND('BBP complete'!I475,"AAAAADr73is=")</f>
        <v>#VALUE!</v>
      </c>
      <c r="AS7" s="60" t="e">
        <v>#VALUE!</v>
      </c>
      <c r="AT7" t="e">
        <f>AND('BBP complete'!A476,"AAAAADr73i0=")</f>
        <v>#VALUE!</v>
      </c>
      <c r="AU7" t="e">
        <f>AND('BBP complete'!B476,"AAAAADr73i4=")</f>
        <v>#VALUE!</v>
      </c>
      <c r="AV7" t="e">
        <f>AND('BBP complete'!C476,"AAAAADr73i8=")</f>
        <v>#VALUE!</v>
      </c>
      <c r="AW7" t="e">
        <f>AND('BBP complete'!D476,"AAAAADr73jA=")</f>
        <v>#VALUE!</v>
      </c>
      <c r="AX7" t="e">
        <f>AND('BBP complete'!E476,"AAAAADr73jE=")</f>
        <v>#VALUE!</v>
      </c>
      <c r="AY7" t="e">
        <f>AND('BBP complete'!F476,"AAAAADr73jI=")</f>
        <v>#VALUE!</v>
      </c>
      <c r="AZ7" t="e">
        <f>AND('BBP complete'!G476,"AAAAADr73jM=")</f>
        <v>#VALUE!</v>
      </c>
      <c r="BA7" t="e">
        <f>AND('BBP complete'!H476,"AAAAADr73jQ=")</f>
        <v>#VALUE!</v>
      </c>
      <c r="BB7" t="e">
        <f>AND('BBP complete'!I476,"AAAAADr73jU=")</f>
        <v>#VALUE!</v>
      </c>
      <c r="BC7" s="60" t="e">
        <v>#VALUE!</v>
      </c>
      <c r="BD7" t="e">
        <f>AND('BBP complete'!A477,"AAAAADr73jc=")</f>
        <v>#VALUE!</v>
      </c>
      <c r="BE7" t="e">
        <f>AND('BBP complete'!B477,"AAAAADr73jg=")</f>
        <v>#VALUE!</v>
      </c>
      <c r="BF7" t="e">
        <f>AND('BBP complete'!C477,"AAAAADr73jk=")</f>
        <v>#VALUE!</v>
      </c>
      <c r="BG7" t="e">
        <f>AND('BBP complete'!D477,"AAAAADr73jo=")</f>
        <v>#VALUE!</v>
      </c>
      <c r="BH7" t="e">
        <f>AND('BBP complete'!E477,"AAAAADr73js=")</f>
        <v>#VALUE!</v>
      </c>
      <c r="BI7" t="e">
        <f>AND('BBP complete'!F477,"AAAAADr73jw=")</f>
        <v>#VALUE!</v>
      </c>
      <c r="BJ7" t="e">
        <f>AND('BBP complete'!G477,"AAAAADr73j0=")</f>
        <v>#VALUE!</v>
      </c>
      <c r="BK7" t="e">
        <f>AND('BBP complete'!H477,"AAAAADr73j4=")</f>
        <v>#VALUE!</v>
      </c>
      <c r="BL7" t="e">
        <f>AND('BBP complete'!I477,"AAAAADr73j8=")</f>
        <v>#VALUE!</v>
      </c>
      <c r="BM7" s="60" t="e">
        <v>#VALUE!</v>
      </c>
      <c r="BN7" t="e">
        <f>AND('BBP complete'!A478,"AAAAADr73kE=")</f>
        <v>#VALUE!</v>
      </c>
      <c r="BO7" t="e">
        <f>AND('BBP complete'!B478,"AAAAADr73kI=")</f>
        <v>#VALUE!</v>
      </c>
      <c r="BP7" t="e">
        <f>AND('BBP complete'!C478,"AAAAADr73kM=")</f>
        <v>#VALUE!</v>
      </c>
      <c r="BQ7" t="e">
        <f>AND('BBP complete'!D478,"AAAAADr73kQ=")</f>
        <v>#VALUE!</v>
      </c>
      <c r="BR7" t="e">
        <f>AND('BBP complete'!E478,"AAAAADr73kU=")</f>
        <v>#VALUE!</v>
      </c>
      <c r="BS7" t="e">
        <f>AND('BBP complete'!F478,"AAAAADr73kY=")</f>
        <v>#VALUE!</v>
      </c>
      <c r="BT7" t="e">
        <f>AND('BBP complete'!G478,"AAAAADr73kc=")</f>
        <v>#VALUE!</v>
      </c>
      <c r="BU7" t="e">
        <f>AND('BBP complete'!H478,"AAAAADr73kg=")</f>
        <v>#VALUE!</v>
      </c>
      <c r="BV7" t="e">
        <f>AND('BBP complete'!I478,"AAAAADr73kk=")</f>
        <v>#VALUE!</v>
      </c>
      <c r="BW7" s="60" t="e">
        <v>#VALUE!</v>
      </c>
      <c r="BX7" t="e">
        <f>AND('BBP complete'!A479,"AAAAADr73ks=")</f>
        <v>#VALUE!</v>
      </c>
      <c r="BY7" t="e">
        <f>AND('BBP complete'!B479,"AAAAADr73kw=")</f>
        <v>#VALUE!</v>
      </c>
      <c r="BZ7" t="e">
        <f>AND('BBP complete'!C479,"AAAAADr73k0=")</f>
        <v>#VALUE!</v>
      </c>
      <c r="CA7" t="e">
        <f>AND('BBP complete'!D479,"AAAAADr73k4=")</f>
        <v>#VALUE!</v>
      </c>
      <c r="CB7" t="e">
        <f>AND('BBP complete'!E479,"AAAAADr73k8=")</f>
        <v>#VALUE!</v>
      </c>
      <c r="CC7" t="e">
        <f>AND('BBP complete'!F479,"AAAAADr73lA=")</f>
        <v>#VALUE!</v>
      </c>
      <c r="CD7" t="e">
        <f>AND('BBP complete'!G479,"AAAAADr73lE=")</f>
        <v>#VALUE!</v>
      </c>
      <c r="CE7" t="e">
        <f>AND('BBP complete'!H479,"AAAAADr73lI=")</f>
        <v>#VALUE!</v>
      </c>
      <c r="CF7" t="e">
        <f>AND('BBP complete'!I479,"AAAAADr73lM=")</f>
        <v>#VALUE!</v>
      </c>
      <c r="CG7" s="60" t="e">
        <v>#VALUE!</v>
      </c>
      <c r="CH7" t="e">
        <f>AND('BBP complete'!A480,"AAAAADr73lU=")</f>
        <v>#VALUE!</v>
      </c>
      <c r="CI7" t="e">
        <f>AND('BBP complete'!B480,"AAAAADr73lY=")</f>
        <v>#VALUE!</v>
      </c>
      <c r="CJ7" t="e">
        <f>AND('BBP complete'!C480,"AAAAADr73lc=")</f>
        <v>#VALUE!</v>
      </c>
      <c r="CK7" t="e">
        <f>AND('BBP complete'!D480,"AAAAADr73lg=")</f>
        <v>#VALUE!</v>
      </c>
      <c r="CL7" t="e">
        <f>AND('BBP complete'!E480,"AAAAADr73lk=")</f>
        <v>#VALUE!</v>
      </c>
      <c r="CM7" t="e">
        <f>AND('BBP complete'!F480,"AAAAADr73lo=")</f>
        <v>#VALUE!</v>
      </c>
      <c r="CN7" t="e">
        <f>AND('BBP complete'!G480,"AAAAADr73ls=")</f>
        <v>#VALUE!</v>
      </c>
      <c r="CO7" t="e">
        <f>AND('BBP complete'!H480,"AAAAADr73lw=")</f>
        <v>#VALUE!</v>
      </c>
      <c r="CP7" t="e">
        <f>AND('BBP complete'!I480,"AAAAADr73l0=")</f>
        <v>#VALUE!</v>
      </c>
      <c r="CQ7" s="60" t="e">
        <v>#VALUE!</v>
      </c>
      <c r="CR7" t="e">
        <f>AND('BBP complete'!A481,"AAAAADr73l8=")</f>
        <v>#VALUE!</v>
      </c>
      <c r="CS7" t="e">
        <f>AND('BBP complete'!B481,"AAAAADr73mA=")</f>
        <v>#VALUE!</v>
      </c>
      <c r="CT7" t="e">
        <f>AND('BBP complete'!C481,"AAAAADr73mE=")</f>
        <v>#VALUE!</v>
      </c>
      <c r="CU7" t="e">
        <f>AND('BBP complete'!D481,"AAAAADr73mI=")</f>
        <v>#VALUE!</v>
      </c>
      <c r="CV7" t="e">
        <f>AND('BBP complete'!E481,"AAAAADr73mM=")</f>
        <v>#VALUE!</v>
      </c>
      <c r="CW7" t="e">
        <f>AND('BBP complete'!F481,"AAAAADr73mQ=")</f>
        <v>#VALUE!</v>
      </c>
      <c r="CX7" t="e">
        <f>AND('BBP complete'!G481,"AAAAADr73mU=")</f>
        <v>#VALUE!</v>
      </c>
      <c r="CY7" t="e">
        <f>AND('BBP complete'!H481,"AAAAADr73mY=")</f>
        <v>#VALUE!</v>
      </c>
      <c r="CZ7" t="e">
        <f>AND('BBP complete'!I481,"AAAAADr73mc=")</f>
        <v>#VALUE!</v>
      </c>
      <c r="DA7" s="60" t="e">
        <v>#VALUE!</v>
      </c>
      <c r="DB7" t="e">
        <f>AND('BBP complete'!A482,"AAAAADr73mk=")</f>
        <v>#VALUE!</v>
      </c>
      <c r="DC7" t="e">
        <f>AND('BBP complete'!B482,"AAAAADr73mo=")</f>
        <v>#VALUE!</v>
      </c>
      <c r="DD7" t="e">
        <f>AND('BBP complete'!C482,"AAAAADr73ms=")</f>
        <v>#VALUE!</v>
      </c>
      <c r="DE7" t="e">
        <f>AND('BBP complete'!D482,"AAAAADr73mw=")</f>
        <v>#VALUE!</v>
      </c>
      <c r="DF7" t="e">
        <f>AND('BBP complete'!E482,"AAAAADr73m0=")</f>
        <v>#VALUE!</v>
      </c>
      <c r="DG7" t="e">
        <f>AND('BBP complete'!F482,"AAAAADr73m4=")</f>
        <v>#VALUE!</v>
      </c>
      <c r="DH7" t="e">
        <f>AND('BBP complete'!G482,"AAAAADr73m8=")</f>
        <v>#VALUE!</v>
      </c>
      <c r="DI7" t="e">
        <f>AND('BBP complete'!H482,"AAAAADr73nA=")</f>
        <v>#VALUE!</v>
      </c>
      <c r="DJ7" t="e">
        <f>AND('BBP complete'!I482,"AAAAADr73nE=")</f>
        <v>#VALUE!</v>
      </c>
      <c r="DK7" s="60" t="e">
        <v>#VALUE!</v>
      </c>
      <c r="DL7" t="e">
        <f>AND('BBP complete'!A483,"AAAAADr73nM=")</f>
        <v>#VALUE!</v>
      </c>
      <c r="DM7" t="e">
        <f>AND('BBP complete'!B483,"AAAAADr73nQ=")</f>
        <v>#VALUE!</v>
      </c>
      <c r="DN7" t="e">
        <f>AND('BBP complete'!C483,"AAAAADr73nU=")</f>
        <v>#VALUE!</v>
      </c>
      <c r="DO7" t="e">
        <f>AND('BBP complete'!D483,"AAAAADr73nY=")</f>
        <v>#VALUE!</v>
      </c>
      <c r="DP7" t="e">
        <f>AND('BBP complete'!E483,"AAAAADr73nc=")</f>
        <v>#VALUE!</v>
      </c>
      <c r="DQ7" t="e">
        <f>AND('BBP complete'!F483,"AAAAADr73ng=")</f>
        <v>#VALUE!</v>
      </c>
      <c r="DR7" t="e">
        <f>AND('BBP complete'!G483,"AAAAADr73nk=")</f>
        <v>#VALUE!</v>
      </c>
      <c r="DS7" t="e">
        <f>AND('BBP complete'!H483,"AAAAADr73no=")</f>
        <v>#VALUE!</v>
      </c>
      <c r="DT7" t="e">
        <f>AND('BBP complete'!I483,"AAAAADr73ns=")</f>
        <v>#VALUE!</v>
      </c>
      <c r="DU7" s="60" t="e">
        <v>#VALUE!</v>
      </c>
      <c r="DV7" t="e">
        <f>AND('BBP complete'!A484,"AAAAADr73n0=")</f>
        <v>#VALUE!</v>
      </c>
      <c r="DW7" t="e">
        <f>AND('BBP complete'!B484,"AAAAADr73n4=")</f>
        <v>#VALUE!</v>
      </c>
      <c r="DX7" t="e">
        <f>AND('BBP complete'!C484,"AAAAADr73n8=")</f>
        <v>#VALUE!</v>
      </c>
      <c r="DY7" t="e">
        <f>AND('BBP complete'!D484,"AAAAADr73oA=")</f>
        <v>#VALUE!</v>
      </c>
      <c r="DZ7" t="e">
        <f>AND('BBP complete'!E484,"AAAAADr73oE=")</f>
        <v>#VALUE!</v>
      </c>
      <c r="EA7" t="e">
        <f>AND('BBP complete'!F484,"AAAAADr73oI=")</f>
        <v>#VALUE!</v>
      </c>
      <c r="EB7" t="e">
        <f>AND('BBP complete'!G484,"AAAAADr73oM=")</f>
        <v>#VALUE!</v>
      </c>
      <c r="EC7" t="e">
        <f>AND('BBP complete'!H484,"AAAAADr73oQ=")</f>
        <v>#VALUE!</v>
      </c>
      <c r="ED7" t="e">
        <f>AND('BBP complete'!I484,"AAAAADr73oU=")</f>
        <v>#VALUE!</v>
      </c>
      <c r="EE7" s="60" t="e">
        <v>#VALUE!</v>
      </c>
      <c r="EF7" t="e">
        <f>AND('BBP complete'!A485,"AAAAADr73oc=")</f>
        <v>#VALUE!</v>
      </c>
      <c r="EG7" t="e">
        <f>AND('BBP complete'!B485,"AAAAADr73og=")</f>
        <v>#VALUE!</v>
      </c>
      <c r="EH7" t="e">
        <f>AND('BBP complete'!C485,"AAAAADr73ok=")</f>
        <v>#VALUE!</v>
      </c>
      <c r="EI7" t="e">
        <f>AND('BBP complete'!D485,"AAAAADr73oo=")</f>
        <v>#VALUE!</v>
      </c>
      <c r="EJ7" t="e">
        <f>AND('BBP complete'!E485,"AAAAADr73os=")</f>
        <v>#VALUE!</v>
      </c>
      <c r="EK7" t="e">
        <f>AND('BBP complete'!F485,"AAAAADr73ow=")</f>
        <v>#VALUE!</v>
      </c>
      <c r="EL7" t="e">
        <f>AND('BBP complete'!G485,"AAAAADr73o0=")</f>
        <v>#VALUE!</v>
      </c>
      <c r="EM7" t="e">
        <f>AND('BBP complete'!H485,"AAAAADr73o4=")</f>
        <v>#VALUE!</v>
      </c>
      <c r="EN7" t="e">
        <f>AND('BBP complete'!I485,"AAAAADr73o8=")</f>
        <v>#VALUE!</v>
      </c>
      <c r="EO7" s="60" t="e">
        <v>#VALUE!</v>
      </c>
      <c r="EP7" t="e">
        <f>AND('BBP complete'!A486,"AAAAADr73pE=")</f>
        <v>#VALUE!</v>
      </c>
      <c r="EQ7" t="e">
        <f>AND('BBP complete'!B486,"AAAAADr73pI=")</f>
        <v>#VALUE!</v>
      </c>
      <c r="ER7" t="e">
        <f>AND('BBP complete'!C486,"AAAAADr73pM=")</f>
        <v>#VALUE!</v>
      </c>
      <c r="ES7" t="e">
        <f>AND('BBP complete'!D486,"AAAAADr73pQ=")</f>
        <v>#VALUE!</v>
      </c>
      <c r="ET7" t="e">
        <f>AND('BBP complete'!E486,"AAAAADr73pU=")</f>
        <v>#VALUE!</v>
      </c>
      <c r="EU7" t="e">
        <f>AND('BBP complete'!F486,"AAAAADr73pY=")</f>
        <v>#VALUE!</v>
      </c>
      <c r="EV7" t="e">
        <f>AND('BBP complete'!G486,"AAAAADr73pc=")</f>
        <v>#VALUE!</v>
      </c>
      <c r="EW7" t="e">
        <f>AND('BBP complete'!H486,"AAAAADr73pg=")</f>
        <v>#VALUE!</v>
      </c>
      <c r="EX7" t="e">
        <f>AND('BBP complete'!I486,"AAAAADr73pk=")</f>
        <v>#VALUE!</v>
      </c>
      <c r="EY7" s="60" t="e">
        <v>#VALUE!</v>
      </c>
      <c r="EZ7" t="e">
        <f>AND('BBP complete'!A487,"AAAAADr73ps=")</f>
        <v>#VALUE!</v>
      </c>
      <c r="FA7" t="e">
        <f>AND('BBP complete'!B487,"AAAAADr73pw=")</f>
        <v>#VALUE!</v>
      </c>
      <c r="FB7" t="e">
        <f>AND('BBP complete'!C487,"AAAAADr73p0=")</f>
        <v>#VALUE!</v>
      </c>
      <c r="FC7" t="e">
        <f>AND('BBP complete'!D487,"AAAAADr73p4=")</f>
        <v>#VALUE!</v>
      </c>
      <c r="FD7" t="e">
        <f>AND('BBP complete'!E487,"AAAAADr73p8=")</f>
        <v>#VALUE!</v>
      </c>
      <c r="FE7" t="e">
        <f>AND('BBP complete'!F487,"AAAAADr73qA=")</f>
        <v>#VALUE!</v>
      </c>
      <c r="FF7" t="e">
        <f>AND('BBP complete'!G487,"AAAAADr73qE=")</f>
        <v>#VALUE!</v>
      </c>
      <c r="FG7" t="e">
        <f>AND('BBP complete'!H487,"AAAAADr73qI=")</f>
        <v>#VALUE!</v>
      </c>
      <c r="FH7" t="e">
        <f>AND('BBP complete'!I487,"AAAAADr73qM=")</f>
        <v>#VALUE!</v>
      </c>
      <c r="FI7" s="60" t="e">
        <v>#VALUE!</v>
      </c>
      <c r="FJ7" t="e">
        <f>AND('BBP complete'!A488,"AAAAADr73qU=")</f>
        <v>#VALUE!</v>
      </c>
      <c r="FK7" t="e">
        <f>AND('BBP complete'!B488,"AAAAADr73qY=")</f>
        <v>#VALUE!</v>
      </c>
      <c r="FL7" t="e">
        <f>AND('BBP complete'!C488,"AAAAADr73qc=")</f>
        <v>#VALUE!</v>
      </c>
      <c r="FM7" t="e">
        <f>AND('BBP complete'!D488,"AAAAADr73qg=")</f>
        <v>#VALUE!</v>
      </c>
      <c r="FN7" t="e">
        <f>AND('BBP complete'!E488,"AAAAADr73qk=")</f>
        <v>#VALUE!</v>
      </c>
      <c r="FO7" t="e">
        <f>AND('BBP complete'!F488,"AAAAADr73qo=")</f>
        <v>#VALUE!</v>
      </c>
      <c r="FP7" t="e">
        <f>AND('BBP complete'!G488,"AAAAADr73qs=")</f>
        <v>#VALUE!</v>
      </c>
      <c r="FQ7" t="e">
        <f>AND('BBP complete'!H488,"AAAAADr73qw=")</f>
        <v>#VALUE!</v>
      </c>
      <c r="FR7" t="e">
        <f>AND('BBP complete'!I488,"AAAAADr73q0=")</f>
        <v>#VALUE!</v>
      </c>
      <c r="FS7" s="60" t="e">
        <v>#VALUE!</v>
      </c>
      <c r="FT7" t="e">
        <f>AND('BBP complete'!A489,"AAAAADr73q8=")</f>
        <v>#VALUE!</v>
      </c>
      <c r="FU7" t="e">
        <f>AND('BBP complete'!B489,"AAAAADr73rA=")</f>
        <v>#VALUE!</v>
      </c>
      <c r="FV7" t="e">
        <f>AND('BBP complete'!C489,"AAAAADr73rE=")</f>
        <v>#VALUE!</v>
      </c>
      <c r="FW7" t="e">
        <f>AND('BBP complete'!D489,"AAAAADr73rI=")</f>
        <v>#VALUE!</v>
      </c>
      <c r="FX7" t="e">
        <f>AND('BBP complete'!E489,"AAAAADr73rM=")</f>
        <v>#VALUE!</v>
      </c>
      <c r="FY7" t="e">
        <f>AND('BBP complete'!F489,"AAAAADr73rQ=")</f>
        <v>#VALUE!</v>
      </c>
      <c r="FZ7" t="e">
        <f>AND('BBP complete'!G489,"AAAAADr73rU=")</f>
        <v>#VALUE!</v>
      </c>
      <c r="GA7" t="e">
        <f>AND('BBP complete'!H489,"AAAAADr73rY=")</f>
        <v>#VALUE!</v>
      </c>
      <c r="GB7" t="e">
        <f>AND('BBP complete'!I489,"AAAAADr73rc=")</f>
        <v>#VALUE!</v>
      </c>
      <c r="GC7" s="60" t="e">
        <v>#VALUE!</v>
      </c>
      <c r="GD7" t="e">
        <f>AND('BBP complete'!A490,"AAAAADr73rk=")</f>
        <v>#VALUE!</v>
      </c>
      <c r="GE7" t="e">
        <f>AND('BBP complete'!B490,"AAAAADr73ro=")</f>
        <v>#VALUE!</v>
      </c>
      <c r="GF7" t="e">
        <f>AND('BBP complete'!C490,"AAAAADr73rs=")</f>
        <v>#VALUE!</v>
      </c>
      <c r="GG7" t="e">
        <f>AND('BBP complete'!D490,"AAAAADr73rw=")</f>
        <v>#VALUE!</v>
      </c>
      <c r="GH7" t="e">
        <f>AND('BBP complete'!E490,"AAAAADr73r0=")</f>
        <v>#VALUE!</v>
      </c>
      <c r="GI7" t="e">
        <f>AND('BBP complete'!F490,"AAAAADr73r4=")</f>
        <v>#VALUE!</v>
      </c>
      <c r="GJ7" t="e">
        <f>AND('BBP complete'!G490,"AAAAADr73r8=")</f>
        <v>#VALUE!</v>
      </c>
      <c r="GK7" t="e">
        <f>AND('BBP complete'!H490,"AAAAADr73sA=")</f>
        <v>#VALUE!</v>
      </c>
      <c r="GL7" t="e">
        <f>AND('BBP complete'!I490,"AAAAADr73sE=")</f>
        <v>#VALUE!</v>
      </c>
      <c r="GM7" s="60" t="e">
        <v>#VALUE!</v>
      </c>
      <c r="GN7" t="e">
        <f>AND('BBP complete'!A491,"AAAAADr73sM=")</f>
        <v>#VALUE!</v>
      </c>
      <c r="GO7" t="e">
        <f>AND('BBP complete'!B491,"AAAAADr73sQ=")</f>
        <v>#VALUE!</v>
      </c>
      <c r="GP7" t="e">
        <f>AND('BBP complete'!C491,"AAAAADr73sU=")</f>
        <v>#VALUE!</v>
      </c>
      <c r="GQ7" t="e">
        <f>AND('BBP complete'!D491,"AAAAADr73sY=")</f>
        <v>#VALUE!</v>
      </c>
      <c r="GR7" t="e">
        <f>AND('BBP complete'!E491,"AAAAADr73sc=")</f>
        <v>#VALUE!</v>
      </c>
      <c r="GS7" t="e">
        <f>AND('BBP complete'!F491,"AAAAADr73sg=")</f>
        <v>#VALUE!</v>
      </c>
      <c r="GT7" t="e">
        <f>AND('BBP complete'!G491,"AAAAADr73sk=")</f>
        <v>#VALUE!</v>
      </c>
      <c r="GU7" t="e">
        <f>AND('BBP complete'!H491,"AAAAADr73so=")</f>
        <v>#VALUE!</v>
      </c>
      <c r="GV7" t="e">
        <f>AND('BBP complete'!I491,"AAAAADr73ss=")</f>
        <v>#VALUE!</v>
      </c>
      <c r="GW7" s="60" t="e">
        <v>#VALUE!</v>
      </c>
      <c r="GX7" t="e">
        <f>AND('BBP complete'!A492,"AAAAADr73s0=")</f>
        <v>#VALUE!</v>
      </c>
      <c r="GY7" t="e">
        <f>AND('BBP complete'!B492,"AAAAADr73s4=")</f>
        <v>#VALUE!</v>
      </c>
      <c r="GZ7" t="e">
        <f>AND('BBP complete'!C492,"AAAAADr73s8=")</f>
        <v>#VALUE!</v>
      </c>
      <c r="HA7" t="e">
        <f>AND('BBP complete'!D492,"AAAAADr73tA=")</f>
        <v>#VALUE!</v>
      </c>
      <c r="HB7" t="e">
        <f>AND('BBP complete'!E492,"AAAAADr73tE=")</f>
        <v>#VALUE!</v>
      </c>
      <c r="HC7" t="e">
        <f>AND('BBP complete'!F492,"AAAAADr73tI=")</f>
        <v>#VALUE!</v>
      </c>
      <c r="HD7" t="e">
        <f>AND('BBP complete'!G492,"AAAAADr73tM=")</f>
        <v>#VALUE!</v>
      </c>
      <c r="HE7" t="e">
        <f>AND('BBP complete'!H492,"AAAAADr73tQ=")</f>
        <v>#VALUE!</v>
      </c>
      <c r="HF7" t="e">
        <f>AND('BBP complete'!I492,"AAAAADr73tU=")</f>
        <v>#VALUE!</v>
      </c>
      <c r="HG7" s="60" t="e">
        <v>#VALUE!</v>
      </c>
      <c r="HH7" t="e">
        <f>AND('BBP complete'!A493,"AAAAADr73tc=")</f>
        <v>#VALUE!</v>
      </c>
      <c r="HI7" t="e">
        <f>AND('BBP complete'!B493,"AAAAADr73tg=")</f>
        <v>#VALUE!</v>
      </c>
      <c r="HJ7" t="e">
        <f>AND('BBP complete'!C493,"AAAAADr73tk=")</f>
        <v>#VALUE!</v>
      </c>
      <c r="HK7" t="e">
        <f>AND('BBP complete'!D493,"AAAAADr73to=")</f>
        <v>#VALUE!</v>
      </c>
      <c r="HL7" t="e">
        <f>AND('BBP complete'!E493,"AAAAADr73ts=")</f>
        <v>#VALUE!</v>
      </c>
      <c r="HM7" t="e">
        <f>AND('BBP complete'!F493,"AAAAADr73tw=")</f>
        <v>#VALUE!</v>
      </c>
      <c r="HN7" t="e">
        <f>AND('BBP complete'!G493,"AAAAADr73t0=")</f>
        <v>#VALUE!</v>
      </c>
      <c r="HO7" t="e">
        <f>AND('BBP complete'!H493,"AAAAADr73t4=")</f>
        <v>#VALUE!</v>
      </c>
      <c r="HP7" t="e">
        <f>AND('BBP complete'!I493,"AAAAADr73t8=")</f>
        <v>#VALUE!</v>
      </c>
      <c r="HQ7" s="60" t="e">
        <v>#VALUE!</v>
      </c>
      <c r="HR7" t="e">
        <f>AND('BBP complete'!A494,"AAAAADr73uE=")</f>
        <v>#VALUE!</v>
      </c>
      <c r="HS7" t="e">
        <f>AND('BBP complete'!B494,"AAAAADr73uI=")</f>
        <v>#VALUE!</v>
      </c>
      <c r="HT7" t="e">
        <f>AND('BBP complete'!C494,"AAAAADr73uM=")</f>
        <v>#VALUE!</v>
      </c>
      <c r="HU7" t="e">
        <f>AND('BBP complete'!D494,"AAAAADr73uQ=")</f>
        <v>#VALUE!</v>
      </c>
      <c r="HV7" t="e">
        <f>AND('BBP complete'!E494,"AAAAADr73uU=")</f>
        <v>#VALUE!</v>
      </c>
      <c r="HW7" t="e">
        <f>AND('BBP complete'!F494,"AAAAADr73uY=")</f>
        <v>#VALUE!</v>
      </c>
      <c r="HX7" t="e">
        <f>AND('BBP complete'!G494,"AAAAADr73uc=")</f>
        <v>#VALUE!</v>
      </c>
      <c r="HY7" t="e">
        <f>AND('BBP complete'!H494,"AAAAADr73ug=")</f>
        <v>#VALUE!</v>
      </c>
      <c r="HZ7" t="e">
        <f>AND('BBP complete'!I494,"AAAAADr73uk=")</f>
        <v>#VALUE!</v>
      </c>
      <c r="IA7" s="60" t="e">
        <v>#VALUE!</v>
      </c>
      <c r="IB7" t="e">
        <f>AND('BBP complete'!A495,"AAAAADr73us=")</f>
        <v>#VALUE!</v>
      </c>
      <c r="IC7" t="e">
        <f>AND('BBP complete'!B495,"AAAAADr73uw=")</f>
        <v>#VALUE!</v>
      </c>
      <c r="ID7" t="e">
        <f>AND('BBP complete'!C495,"AAAAADr73u0=")</f>
        <v>#VALUE!</v>
      </c>
      <c r="IE7" t="e">
        <f>AND('BBP complete'!D495,"AAAAADr73u4=")</f>
        <v>#VALUE!</v>
      </c>
      <c r="IF7" t="e">
        <f>AND('BBP complete'!E495,"AAAAADr73u8=")</f>
        <v>#VALUE!</v>
      </c>
      <c r="IG7" t="e">
        <f>AND('BBP complete'!F495,"AAAAADr73vA=")</f>
        <v>#VALUE!</v>
      </c>
      <c r="IH7" t="e">
        <f>AND('BBP complete'!G495,"AAAAADr73vE=")</f>
        <v>#VALUE!</v>
      </c>
      <c r="II7" t="e">
        <f>AND('BBP complete'!H495,"AAAAADr73vI=")</f>
        <v>#VALUE!</v>
      </c>
      <c r="IJ7" t="e">
        <f>AND('BBP complete'!I495,"AAAAADr73vM=")</f>
        <v>#VALUE!</v>
      </c>
      <c r="IK7" s="60" t="e">
        <v>#VALUE!</v>
      </c>
      <c r="IL7" t="e">
        <f>AND('BBP complete'!A496,"AAAAADr73vU=")</f>
        <v>#VALUE!</v>
      </c>
      <c r="IM7" t="e">
        <f>AND('BBP complete'!B496,"AAAAADr73vY=")</f>
        <v>#VALUE!</v>
      </c>
      <c r="IN7" t="e">
        <f>AND('BBP complete'!C496,"AAAAADr73vc=")</f>
        <v>#VALUE!</v>
      </c>
      <c r="IO7" t="e">
        <f>AND('BBP complete'!D496,"AAAAADr73vg=")</f>
        <v>#VALUE!</v>
      </c>
      <c r="IP7" t="e">
        <f>AND('BBP complete'!E496,"AAAAADr73vk=")</f>
        <v>#VALUE!</v>
      </c>
      <c r="IQ7" t="e">
        <f>AND('BBP complete'!F496,"AAAAADr73vo=")</f>
        <v>#VALUE!</v>
      </c>
      <c r="IR7" t="e">
        <f>AND('BBP complete'!G496,"AAAAADr73vs=")</f>
        <v>#VALUE!</v>
      </c>
      <c r="IS7" t="e">
        <f>AND('BBP complete'!H496,"AAAAADr73vw=")</f>
        <v>#VALUE!</v>
      </c>
      <c r="IT7" t="e">
        <f>AND('BBP complete'!I496,"AAAAADr73v0=")</f>
        <v>#VALUE!</v>
      </c>
      <c r="IU7" s="60" t="e">
        <v>#VALUE!</v>
      </c>
      <c r="IV7" t="e">
        <f>AND('BBP complete'!A497,"AAAAADr73v8=")</f>
        <v>#VALUE!</v>
      </c>
    </row>
    <row r="8" spans="1:256" ht="15" customHeight="1" x14ac:dyDescent="0.25">
      <c r="A8" t="e">
        <f>AND('BBP complete'!B497,"AAAAAG6/dwA=")</f>
        <v>#VALUE!</v>
      </c>
      <c r="B8" t="e">
        <f>AND('BBP complete'!C497,"AAAAAG6/dwE=")</f>
        <v>#VALUE!</v>
      </c>
      <c r="C8" t="e">
        <f>AND('BBP complete'!D497,"AAAAAG6/dwI=")</f>
        <v>#VALUE!</v>
      </c>
      <c r="D8" t="e">
        <f>AND('BBP complete'!E497,"AAAAAG6/dwM=")</f>
        <v>#VALUE!</v>
      </c>
      <c r="E8" t="e">
        <f>AND('BBP complete'!F497,"AAAAAG6/dwQ=")</f>
        <v>#VALUE!</v>
      </c>
      <c r="F8" t="e">
        <f>AND('BBP complete'!G497,"AAAAAG6/dwU=")</f>
        <v>#VALUE!</v>
      </c>
      <c r="G8" t="e">
        <f>AND('BBP complete'!H497,"AAAAAG6/dwY=")</f>
        <v>#VALUE!</v>
      </c>
      <c r="H8" t="e">
        <f>AND('BBP complete'!I497,"AAAAAG6/dwc=")</f>
        <v>#VALUE!</v>
      </c>
      <c r="I8" s="60" t="e">
        <v>#VALUE!</v>
      </c>
      <c r="J8" t="e">
        <f>AND('BBP complete'!A498,"AAAAAG6/dwk=")</f>
        <v>#VALUE!</v>
      </c>
      <c r="K8" t="e">
        <f>AND('BBP complete'!B498,"AAAAAG6/dwo=")</f>
        <v>#VALUE!</v>
      </c>
      <c r="L8" t="e">
        <f>AND('BBP complete'!C498,"AAAAAG6/dws=")</f>
        <v>#VALUE!</v>
      </c>
      <c r="M8" t="e">
        <f>AND('BBP complete'!D498,"AAAAAG6/dww=")</f>
        <v>#VALUE!</v>
      </c>
      <c r="N8" t="e">
        <f>AND('BBP complete'!E498,"AAAAAG6/dw0=")</f>
        <v>#VALUE!</v>
      </c>
      <c r="O8" t="e">
        <f>AND('BBP complete'!F498,"AAAAAG6/dw4=")</f>
        <v>#VALUE!</v>
      </c>
      <c r="P8" t="e">
        <f>AND('BBP complete'!G498,"AAAAAG6/dw8=")</f>
        <v>#VALUE!</v>
      </c>
      <c r="Q8" t="e">
        <f>AND('BBP complete'!H498,"AAAAAG6/dxA=")</f>
        <v>#VALUE!</v>
      </c>
      <c r="R8" t="e">
        <f>AND('BBP complete'!I498,"AAAAAG6/dxE=")</f>
        <v>#VALUE!</v>
      </c>
      <c r="S8" s="60" t="e">
        <v>#VALUE!</v>
      </c>
      <c r="T8" t="e">
        <f>AND('BBP complete'!A499,"AAAAAG6/dxM=")</f>
        <v>#VALUE!</v>
      </c>
      <c r="U8" t="e">
        <f>AND('BBP complete'!B499,"AAAAAG6/dxQ=")</f>
        <v>#VALUE!</v>
      </c>
      <c r="V8" t="e">
        <f>AND('BBP complete'!C499,"AAAAAG6/dxU=")</f>
        <v>#VALUE!</v>
      </c>
      <c r="W8" t="e">
        <f>AND('BBP complete'!D499,"AAAAAG6/dxY=")</f>
        <v>#VALUE!</v>
      </c>
      <c r="X8" t="e">
        <f>AND('BBP complete'!E499,"AAAAAG6/dxc=")</f>
        <v>#VALUE!</v>
      </c>
      <c r="Y8" t="e">
        <f>AND('BBP complete'!F499,"AAAAAG6/dxg=")</f>
        <v>#VALUE!</v>
      </c>
      <c r="Z8" t="e">
        <f>AND('BBP complete'!G499,"AAAAAG6/dxk=")</f>
        <v>#VALUE!</v>
      </c>
      <c r="AA8" t="e">
        <f>AND('BBP complete'!H499,"AAAAAG6/dxo=")</f>
        <v>#VALUE!</v>
      </c>
      <c r="AB8" t="e">
        <f>AND('BBP complete'!I499,"AAAAAG6/dxs=")</f>
        <v>#VALUE!</v>
      </c>
      <c r="AC8" s="60" t="e">
        <v>#VALUE!</v>
      </c>
      <c r="AD8" t="e">
        <f>AND('BBP complete'!A500,"AAAAAG6/dx0=")</f>
        <v>#VALUE!</v>
      </c>
      <c r="AE8" t="e">
        <f>AND('BBP complete'!B500,"AAAAAG6/dx4=")</f>
        <v>#VALUE!</v>
      </c>
      <c r="AF8" t="e">
        <f>AND('BBP complete'!C500,"AAAAAG6/dx8=")</f>
        <v>#VALUE!</v>
      </c>
      <c r="AG8" t="e">
        <f>AND('BBP complete'!D500,"AAAAAG6/dyA=")</f>
        <v>#VALUE!</v>
      </c>
      <c r="AH8" t="e">
        <f>AND('BBP complete'!E500,"AAAAAG6/dyE=")</f>
        <v>#VALUE!</v>
      </c>
      <c r="AI8" t="e">
        <f>AND('BBP complete'!F500,"AAAAAG6/dyI=")</f>
        <v>#VALUE!</v>
      </c>
      <c r="AJ8" t="e">
        <f>AND('BBP complete'!G500,"AAAAAG6/dyM=")</f>
        <v>#VALUE!</v>
      </c>
      <c r="AK8" t="e">
        <f>AND('BBP complete'!H500,"AAAAAG6/dyQ=")</f>
        <v>#VALUE!</v>
      </c>
      <c r="AL8" t="e">
        <f>AND('BBP complete'!I500,"AAAAAG6/dyU=")</f>
        <v>#VALUE!</v>
      </c>
      <c r="AM8" s="60" t="e">
        <v>#VALUE!</v>
      </c>
      <c r="AN8" t="e">
        <f>AND('BBP complete'!A501,"AAAAAG6/dyc=")</f>
        <v>#VALUE!</v>
      </c>
      <c r="AO8" t="e">
        <f>AND('BBP complete'!B501,"AAAAAG6/dyg=")</f>
        <v>#VALUE!</v>
      </c>
      <c r="AP8" t="e">
        <f>AND('BBP complete'!C501,"AAAAAG6/dyk=")</f>
        <v>#VALUE!</v>
      </c>
      <c r="AQ8" t="e">
        <f>AND('BBP complete'!D501,"AAAAAG6/dyo=")</f>
        <v>#VALUE!</v>
      </c>
      <c r="AR8" t="e">
        <f>AND('BBP complete'!E501,"AAAAAG6/dys=")</f>
        <v>#VALUE!</v>
      </c>
      <c r="AS8" t="e">
        <f>AND('BBP complete'!F501,"AAAAAG6/dyw=")</f>
        <v>#VALUE!</v>
      </c>
      <c r="AT8" t="e">
        <f>AND('BBP complete'!G501,"AAAAAG6/dy0=")</f>
        <v>#VALUE!</v>
      </c>
      <c r="AU8" t="e">
        <f>AND('BBP complete'!H501,"AAAAAG6/dy4=")</f>
        <v>#VALUE!</v>
      </c>
      <c r="AV8" t="e">
        <f>AND('BBP complete'!I501,"AAAAAG6/dy8=")</f>
        <v>#VALUE!</v>
      </c>
      <c r="AW8" s="60" t="e">
        <v>#VALUE!</v>
      </c>
      <c r="AX8" t="e">
        <f>AND('BBP complete'!A502,"AAAAAG6/dzE=")</f>
        <v>#VALUE!</v>
      </c>
      <c r="AY8" t="e">
        <f>AND('BBP complete'!B502,"AAAAAG6/dzI=")</f>
        <v>#VALUE!</v>
      </c>
      <c r="AZ8" t="e">
        <f>AND('BBP complete'!C502,"AAAAAG6/dzM=")</f>
        <v>#VALUE!</v>
      </c>
      <c r="BA8" t="e">
        <f>AND('BBP complete'!D502,"AAAAAG6/dzQ=")</f>
        <v>#VALUE!</v>
      </c>
      <c r="BB8" t="e">
        <f>AND('BBP complete'!E502,"AAAAAG6/dzU=")</f>
        <v>#VALUE!</v>
      </c>
      <c r="BC8" t="e">
        <f>AND('BBP complete'!F502,"AAAAAG6/dzY=")</f>
        <v>#VALUE!</v>
      </c>
      <c r="BD8" t="e">
        <f>AND('BBP complete'!G502,"AAAAAG6/dzc=")</f>
        <v>#VALUE!</v>
      </c>
      <c r="BE8" t="e">
        <f>AND('BBP complete'!H502,"AAAAAG6/dzg=")</f>
        <v>#VALUE!</v>
      </c>
      <c r="BF8" t="e">
        <f>AND('BBP complete'!I502,"AAAAAG6/dzk=")</f>
        <v>#VALUE!</v>
      </c>
      <c r="BG8" s="60" t="e">
        <v>#VALUE!</v>
      </c>
      <c r="BH8" t="e">
        <f>AND('BBP complete'!A503,"AAAAAG6/dzs=")</f>
        <v>#VALUE!</v>
      </c>
      <c r="BI8" t="e">
        <f>AND('BBP complete'!B503,"AAAAAG6/dzw=")</f>
        <v>#VALUE!</v>
      </c>
      <c r="BJ8" t="e">
        <f>AND('BBP complete'!C503,"AAAAAG6/dz0=")</f>
        <v>#VALUE!</v>
      </c>
      <c r="BK8" t="e">
        <f>AND('BBP complete'!D503,"AAAAAG6/dz4=")</f>
        <v>#VALUE!</v>
      </c>
      <c r="BL8" t="e">
        <f>AND('BBP complete'!E503,"AAAAAG6/dz8=")</f>
        <v>#VALUE!</v>
      </c>
      <c r="BM8" t="e">
        <f>AND('BBP complete'!F503,"AAAAAG6/d0A=")</f>
        <v>#VALUE!</v>
      </c>
      <c r="BN8" t="e">
        <f>AND('BBP complete'!G503,"AAAAAG6/d0E=")</f>
        <v>#VALUE!</v>
      </c>
      <c r="BO8" t="e">
        <f>AND('BBP complete'!H503,"AAAAAG6/d0I=")</f>
        <v>#VALUE!</v>
      </c>
      <c r="BP8" t="e">
        <f>AND('BBP complete'!I503,"AAAAAG6/d0M=")</f>
        <v>#VALUE!</v>
      </c>
      <c r="BQ8" s="60" t="e">
        <v>#VALUE!</v>
      </c>
      <c r="BR8" t="e">
        <f>AND('BBP complete'!A504,"AAAAAG6/d0U=")</f>
        <v>#VALUE!</v>
      </c>
      <c r="BS8" t="e">
        <f>AND('BBP complete'!B504,"AAAAAG6/d0Y=")</f>
        <v>#VALUE!</v>
      </c>
      <c r="BT8" t="e">
        <f>AND('BBP complete'!C504,"AAAAAG6/d0c=")</f>
        <v>#VALUE!</v>
      </c>
      <c r="BU8" t="e">
        <f>AND('BBP complete'!D504,"AAAAAG6/d0g=")</f>
        <v>#VALUE!</v>
      </c>
      <c r="BV8" t="e">
        <f>AND('BBP complete'!E504,"AAAAAG6/d0k=")</f>
        <v>#VALUE!</v>
      </c>
      <c r="BW8" t="e">
        <f>AND('BBP complete'!F504,"AAAAAG6/d0o=")</f>
        <v>#VALUE!</v>
      </c>
      <c r="BX8" t="e">
        <f>AND('BBP complete'!G504,"AAAAAG6/d0s=")</f>
        <v>#VALUE!</v>
      </c>
      <c r="BY8" t="e">
        <f>AND('BBP complete'!H504,"AAAAAG6/d0w=")</f>
        <v>#VALUE!</v>
      </c>
      <c r="BZ8" t="e">
        <f>AND('BBP complete'!I504,"AAAAAG6/d00=")</f>
        <v>#VALUE!</v>
      </c>
      <c r="CA8" s="60" t="e">
        <v>#VALUE!</v>
      </c>
      <c r="CB8" t="e">
        <f>AND('BBP complete'!A505,"AAAAAG6/d08=")</f>
        <v>#VALUE!</v>
      </c>
      <c r="CC8" t="e">
        <f>AND('BBP complete'!B505,"AAAAAG6/d1A=")</f>
        <v>#VALUE!</v>
      </c>
      <c r="CD8" t="e">
        <f>AND('BBP complete'!C505,"AAAAAG6/d1E=")</f>
        <v>#VALUE!</v>
      </c>
      <c r="CE8" t="e">
        <f>AND('BBP complete'!D505,"AAAAAG6/d1I=")</f>
        <v>#VALUE!</v>
      </c>
      <c r="CF8" t="e">
        <f>AND('BBP complete'!E505,"AAAAAG6/d1M=")</f>
        <v>#VALUE!</v>
      </c>
      <c r="CG8" t="e">
        <f>AND('BBP complete'!F505,"AAAAAG6/d1Q=")</f>
        <v>#VALUE!</v>
      </c>
      <c r="CH8" t="e">
        <f>AND('BBP complete'!G505,"AAAAAG6/d1U=")</f>
        <v>#VALUE!</v>
      </c>
      <c r="CI8" t="e">
        <f>AND('BBP complete'!H505,"AAAAAG6/d1Y=")</f>
        <v>#VALUE!</v>
      </c>
      <c r="CJ8" t="e">
        <f>AND('BBP complete'!I505,"AAAAAG6/d1c=")</f>
        <v>#VALUE!</v>
      </c>
      <c r="CK8" s="60" t="e">
        <v>#VALUE!</v>
      </c>
      <c r="CL8" t="e">
        <f>AND('BBP complete'!A506,"AAAAAG6/d1k=")</f>
        <v>#VALUE!</v>
      </c>
      <c r="CM8" t="e">
        <f>AND('BBP complete'!B506,"AAAAAG6/d1o=")</f>
        <v>#VALUE!</v>
      </c>
      <c r="CN8" t="e">
        <f>AND('BBP complete'!C506,"AAAAAG6/d1s=")</f>
        <v>#VALUE!</v>
      </c>
      <c r="CO8" t="e">
        <f>AND('BBP complete'!D506,"AAAAAG6/d1w=")</f>
        <v>#VALUE!</v>
      </c>
      <c r="CP8" t="e">
        <f>AND('BBP complete'!E506,"AAAAAG6/d10=")</f>
        <v>#VALUE!</v>
      </c>
      <c r="CQ8" t="e">
        <f>AND('BBP complete'!F506,"AAAAAG6/d14=")</f>
        <v>#VALUE!</v>
      </c>
      <c r="CR8" t="e">
        <f>AND('BBP complete'!G506,"AAAAAG6/d18=")</f>
        <v>#VALUE!</v>
      </c>
      <c r="CS8" t="e">
        <f>AND('BBP complete'!H506,"AAAAAG6/d2A=")</f>
        <v>#VALUE!</v>
      </c>
      <c r="CT8" t="e">
        <f>AND('BBP complete'!I506,"AAAAAG6/d2E=")</f>
        <v>#VALUE!</v>
      </c>
      <c r="CU8" s="60" t="e">
        <v>#VALUE!</v>
      </c>
      <c r="CV8" t="e">
        <f>AND('BBP complete'!A507,"AAAAAG6/d2M=")</f>
        <v>#VALUE!</v>
      </c>
      <c r="CW8" t="e">
        <f>AND('BBP complete'!B507,"AAAAAG6/d2Q=")</f>
        <v>#VALUE!</v>
      </c>
      <c r="CX8" t="e">
        <f>AND('BBP complete'!C507,"AAAAAG6/d2U=")</f>
        <v>#VALUE!</v>
      </c>
      <c r="CY8" t="e">
        <f>AND('BBP complete'!D507,"AAAAAG6/d2Y=")</f>
        <v>#VALUE!</v>
      </c>
      <c r="CZ8" t="e">
        <f>AND('BBP complete'!E507,"AAAAAG6/d2c=")</f>
        <v>#VALUE!</v>
      </c>
      <c r="DA8" t="e">
        <f>AND('BBP complete'!F507,"AAAAAG6/d2g=")</f>
        <v>#VALUE!</v>
      </c>
      <c r="DB8" t="e">
        <f>AND('BBP complete'!G507,"AAAAAG6/d2k=")</f>
        <v>#VALUE!</v>
      </c>
      <c r="DC8" t="e">
        <f>AND('BBP complete'!H507,"AAAAAG6/d2o=")</f>
        <v>#VALUE!</v>
      </c>
      <c r="DD8" t="e">
        <f>AND('BBP complete'!I507,"AAAAAG6/d2s=")</f>
        <v>#VALUE!</v>
      </c>
      <c r="DE8" s="60" t="e">
        <v>#VALUE!</v>
      </c>
      <c r="DF8" t="e">
        <f>AND('BBP complete'!A508,"AAAAAG6/d20=")</f>
        <v>#VALUE!</v>
      </c>
      <c r="DG8" t="e">
        <f>AND('BBP complete'!B508,"AAAAAG6/d24=")</f>
        <v>#VALUE!</v>
      </c>
      <c r="DH8" t="e">
        <f>AND('BBP complete'!C508,"AAAAAG6/d28=")</f>
        <v>#VALUE!</v>
      </c>
      <c r="DI8" t="e">
        <f>AND('BBP complete'!D508,"AAAAAG6/d3A=")</f>
        <v>#VALUE!</v>
      </c>
      <c r="DJ8" t="e">
        <f>AND('BBP complete'!E508,"AAAAAG6/d3E=")</f>
        <v>#VALUE!</v>
      </c>
      <c r="DK8" t="e">
        <f>AND('BBP complete'!F508,"AAAAAG6/d3I=")</f>
        <v>#VALUE!</v>
      </c>
      <c r="DL8" t="e">
        <f>AND('BBP complete'!G508,"AAAAAG6/d3M=")</f>
        <v>#VALUE!</v>
      </c>
      <c r="DM8" t="e">
        <f>AND('BBP complete'!H508,"AAAAAG6/d3Q=")</f>
        <v>#VALUE!</v>
      </c>
      <c r="DN8" t="e">
        <f>AND('BBP complete'!I508,"AAAAAG6/d3U=")</f>
        <v>#VALUE!</v>
      </c>
      <c r="DO8" s="60" t="e">
        <v>#VALUE!</v>
      </c>
      <c r="DP8" t="e">
        <f>AND('BBP complete'!A509,"AAAAAG6/d3c=")</f>
        <v>#VALUE!</v>
      </c>
      <c r="DQ8" t="e">
        <f>AND('BBP complete'!B509,"AAAAAG6/d3g=")</f>
        <v>#VALUE!</v>
      </c>
      <c r="DR8" t="e">
        <f>AND('BBP complete'!C509,"AAAAAG6/d3k=")</f>
        <v>#VALUE!</v>
      </c>
      <c r="DS8" t="e">
        <f>AND('BBP complete'!D509,"AAAAAG6/d3o=")</f>
        <v>#VALUE!</v>
      </c>
      <c r="DT8" t="e">
        <f>AND('BBP complete'!E509,"AAAAAG6/d3s=")</f>
        <v>#VALUE!</v>
      </c>
      <c r="DU8" t="e">
        <f>AND('BBP complete'!F509,"AAAAAG6/d3w=")</f>
        <v>#VALUE!</v>
      </c>
      <c r="DV8" t="e">
        <f>AND('BBP complete'!G509,"AAAAAG6/d30=")</f>
        <v>#VALUE!</v>
      </c>
      <c r="DW8" t="e">
        <f>AND('BBP complete'!H509,"AAAAAG6/d34=")</f>
        <v>#VALUE!</v>
      </c>
      <c r="DX8" t="e">
        <f>AND('BBP complete'!I509,"AAAAAG6/d38=")</f>
        <v>#VALUE!</v>
      </c>
      <c r="DY8" s="60" t="e">
        <v>#VALUE!</v>
      </c>
      <c r="DZ8" t="e">
        <f>AND('BBP complete'!A510,"AAAAAG6/d4E=")</f>
        <v>#VALUE!</v>
      </c>
      <c r="EA8" t="e">
        <f>AND('BBP complete'!B510,"AAAAAG6/d4I=")</f>
        <v>#VALUE!</v>
      </c>
      <c r="EB8" t="e">
        <f>AND('BBP complete'!C510,"AAAAAG6/d4M=")</f>
        <v>#VALUE!</v>
      </c>
      <c r="EC8" t="e">
        <f>AND('BBP complete'!D510,"AAAAAG6/d4Q=")</f>
        <v>#VALUE!</v>
      </c>
      <c r="ED8" t="e">
        <f>AND('BBP complete'!E510,"AAAAAG6/d4U=")</f>
        <v>#VALUE!</v>
      </c>
      <c r="EE8" t="e">
        <f>AND('BBP complete'!F510,"AAAAAG6/d4Y=")</f>
        <v>#VALUE!</v>
      </c>
      <c r="EF8" t="e">
        <f>AND('BBP complete'!G510,"AAAAAG6/d4c=")</f>
        <v>#VALUE!</v>
      </c>
      <c r="EG8" t="e">
        <f>AND('BBP complete'!H510,"AAAAAG6/d4g=")</f>
        <v>#VALUE!</v>
      </c>
      <c r="EH8" t="e">
        <f>AND('BBP complete'!I510,"AAAAAG6/d4k=")</f>
        <v>#VALUE!</v>
      </c>
      <c r="EI8" s="60" t="e">
        <v>#VALUE!</v>
      </c>
      <c r="EJ8" t="e">
        <f>AND('BBP complete'!A511,"AAAAAG6/d4s=")</f>
        <v>#VALUE!</v>
      </c>
      <c r="EK8" t="e">
        <f>AND('BBP complete'!B511,"AAAAAG6/d4w=")</f>
        <v>#VALUE!</v>
      </c>
      <c r="EL8" t="e">
        <f>AND('BBP complete'!C511,"AAAAAG6/d40=")</f>
        <v>#VALUE!</v>
      </c>
      <c r="EM8" t="e">
        <f>AND('BBP complete'!D511,"AAAAAG6/d44=")</f>
        <v>#VALUE!</v>
      </c>
      <c r="EN8" t="e">
        <f>AND('BBP complete'!E511,"AAAAAG6/d48=")</f>
        <v>#VALUE!</v>
      </c>
      <c r="EO8" t="e">
        <f>AND('BBP complete'!F511,"AAAAAG6/d5A=")</f>
        <v>#VALUE!</v>
      </c>
      <c r="EP8" t="e">
        <f>AND('BBP complete'!G511,"AAAAAG6/d5E=")</f>
        <v>#VALUE!</v>
      </c>
      <c r="EQ8" t="e">
        <f>AND('BBP complete'!H511,"AAAAAG6/d5I=")</f>
        <v>#VALUE!</v>
      </c>
      <c r="ER8" t="e">
        <f>AND('BBP complete'!I511,"AAAAAG6/d5M=")</f>
        <v>#VALUE!</v>
      </c>
      <c r="ES8" s="60" t="e">
        <v>#VALUE!</v>
      </c>
      <c r="ET8" t="e">
        <f>AND('BBP complete'!A512,"AAAAAG6/d5U=")</f>
        <v>#VALUE!</v>
      </c>
      <c r="EU8" t="e">
        <f>AND('BBP complete'!B512,"AAAAAG6/d5Y=")</f>
        <v>#VALUE!</v>
      </c>
      <c r="EV8" t="e">
        <f>AND('BBP complete'!C512,"AAAAAG6/d5c=")</f>
        <v>#VALUE!</v>
      </c>
      <c r="EW8" t="e">
        <f>AND('BBP complete'!D512,"AAAAAG6/d5g=")</f>
        <v>#VALUE!</v>
      </c>
      <c r="EX8" t="e">
        <f>AND('BBP complete'!E512,"AAAAAG6/d5k=")</f>
        <v>#VALUE!</v>
      </c>
      <c r="EY8" t="e">
        <f>AND('BBP complete'!F512,"AAAAAG6/d5o=")</f>
        <v>#VALUE!</v>
      </c>
      <c r="EZ8" t="e">
        <f>AND('BBP complete'!G512,"AAAAAG6/d5s=")</f>
        <v>#VALUE!</v>
      </c>
      <c r="FA8" t="e">
        <f>AND('BBP complete'!H512,"AAAAAG6/d5w=")</f>
        <v>#VALUE!</v>
      </c>
      <c r="FB8" t="e">
        <f>AND('BBP complete'!I512,"AAAAAG6/d50=")</f>
        <v>#VALUE!</v>
      </c>
      <c r="FC8" s="60" t="e">
        <v>#VALUE!</v>
      </c>
      <c r="FD8" t="e">
        <f>AND('BBP complete'!A513,"AAAAAG6/d58=")</f>
        <v>#VALUE!</v>
      </c>
      <c r="FE8" t="e">
        <f>AND('BBP complete'!B513,"AAAAAG6/d6A=")</f>
        <v>#VALUE!</v>
      </c>
      <c r="FF8" t="e">
        <f>AND('BBP complete'!C513,"AAAAAG6/d6E=")</f>
        <v>#VALUE!</v>
      </c>
      <c r="FG8" t="e">
        <f>AND('BBP complete'!D513,"AAAAAG6/d6I=")</f>
        <v>#VALUE!</v>
      </c>
      <c r="FH8" t="e">
        <f>AND('BBP complete'!E513,"AAAAAG6/d6M=")</f>
        <v>#VALUE!</v>
      </c>
      <c r="FI8" t="e">
        <f>AND('BBP complete'!F513,"AAAAAG6/d6Q=")</f>
        <v>#VALUE!</v>
      </c>
      <c r="FJ8" t="e">
        <f>AND('BBP complete'!G513,"AAAAAG6/d6U=")</f>
        <v>#VALUE!</v>
      </c>
      <c r="FK8" t="e">
        <f>AND('BBP complete'!H513,"AAAAAG6/d6Y=")</f>
        <v>#VALUE!</v>
      </c>
      <c r="FL8" t="e">
        <f>AND('BBP complete'!I513,"AAAAAG6/d6c=")</f>
        <v>#VALUE!</v>
      </c>
      <c r="FM8" s="60" t="e">
        <v>#VALUE!</v>
      </c>
      <c r="FN8" t="e">
        <f>AND('BBP complete'!A514,"AAAAAG6/d6k=")</f>
        <v>#VALUE!</v>
      </c>
      <c r="FO8" t="e">
        <f>AND('BBP complete'!B514,"AAAAAG6/d6o=")</f>
        <v>#VALUE!</v>
      </c>
      <c r="FP8" t="e">
        <f>AND('BBP complete'!C514,"AAAAAG6/d6s=")</f>
        <v>#VALUE!</v>
      </c>
      <c r="FQ8" t="e">
        <f>AND('BBP complete'!D514,"AAAAAG6/d6w=")</f>
        <v>#VALUE!</v>
      </c>
      <c r="FR8" t="e">
        <f>AND('BBP complete'!E514,"AAAAAG6/d60=")</f>
        <v>#VALUE!</v>
      </c>
      <c r="FS8" t="e">
        <f>AND('BBP complete'!F514,"AAAAAG6/d64=")</f>
        <v>#VALUE!</v>
      </c>
      <c r="FT8" t="e">
        <f>AND('BBP complete'!G514,"AAAAAG6/d68=")</f>
        <v>#VALUE!</v>
      </c>
      <c r="FU8" t="e">
        <f>AND('BBP complete'!H514,"AAAAAG6/d7A=")</f>
        <v>#VALUE!</v>
      </c>
      <c r="FV8" t="e">
        <f>AND('BBP complete'!I514,"AAAAAG6/d7E=")</f>
        <v>#VALUE!</v>
      </c>
      <c r="FW8" s="60" t="e">
        <v>#VALUE!</v>
      </c>
      <c r="FX8" t="e">
        <f>AND('BBP complete'!A515,"AAAAAG6/d7M=")</f>
        <v>#VALUE!</v>
      </c>
      <c r="FY8" t="e">
        <f>AND('BBP complete'!B515,"AAAAAG6/d7Q=")</f>
        <v>#VALUE!</v>
      </c>
      <c r="FZ8" t="e">
        <f>AND('BBP complete'!C515,"AAAAAG6/d7U=")</f>
        <v>#VALUE!</v>
      </c>
      <c r="GA8" t="e">
        <f>AND('BBP complete'!D515,"AAAAAG6/d7Y=")</f>
        <v>#VALUE!</v>
      </c>
      <c r="GB8" t="e">
        <f>AND('BBP complete'!E515,"AAAAAG6/d7c=")</f>
        <v>#VALUE!</v>
      </c>
      <c r="GC8" t="e">
        <f>AND('BBP complete'!F515,"AAAAAG6/d7g=")</f>
        <v>#VALUE!</v>
      </c>
      <c r="GD8" t="e">
        <f>AND('BBP complete'!G515,"AAAAAG6/d7k=")</f>
        <v>#VALUE!</v>
      </c>
      <c r="GE8" t="e">
        <f>AND('BBP complete'!H515,"AAAAAG6/d7o=")</f>
        <v>#VALUE!</v>
      </c>
      <c r="GF8" t="e">
        <f>AND('BBP complete'!I515,"AAAAAG6/d7s=")</f>
        <v>#VALUE!</v>
      </c>
      <c r="GG8" s="60" t="e">
        <v>#VALUE!</v>
      </c>
      <c r="GH8" t="e">
        <f>AND('BBP complete'!A516,"AAAAAG6/d70=")</f>
        <v>#VALUE!</v>
      </c>
      <c r="GI8" t="e">
        <f>AND('BBP complete'!B516,"AAAAAG6/d74=")</f>
        <v>#VALUE!</v>
      </c>
      <c r="GJ8" t="e">
        <f>AND('BBP complete'!C516,"AAAAAG6/d78=")</f>
        <v>#VALUE!</v>
      </c>
      <c r="GK8" t="e">
        <f>AND('BBP complete'!D516,"AAAAAG6/d8A=")</f>
        <v>#VALUE!</v>
      </c>
      <c r="GL8" t="e">
        <f>AND('BBP complete'!E516,"AAAAAG6/d8E=")</f>
        <v>#VALUE!</v>
      </c>
      <c r="GM8" t="e">
        <f>AND('BBP complete'!F516,"AAAAAG6/d8I=")</f>
        <v>#VALUE!</v>
      </c>
      <c r="GN8" t="e">
        <f>AND('BBP complete'!G516,"AAAAAG6/d8M=")</f>
        <v>#VALUE!</v>
      </c>
      <c r="GO8" t="e">
        <f>AND('BBP complete'!H516,"AAAAAG6/d8Q=")</f>
        <v>#VALUE!</v>
      </c>
      <c r="GP8" t="e">
        <f>AND('BBP complete'!I516,"AAAAAG6/d8U=")</f>
        <v>#VALUE!</v>
      </c>
      <c r="GQ8" s="60" t="e">
        <v>#VALUE!</v>
      </c>
      <c r="GR8" t="e">
        <f>AND('BBP complete'!A517,"AAAAAG6/d8c=")</f>
        <v>#VALUE!</v>
      </c>
      <c r="GS8" t="e">
        <f>AND('BBP complete'!B517,"AAAAAG6/d8g=")</f>
        <v>#VALUE!</v>
      </c>
      <c r="GT8" t="e">
        <f>AND('BBP complete'!C517,"AAAAAG6/d8k=")</f>
        <v>#VALUE!</v>
      </c>
      <c r="GU8" t="e">
        <f>AND('BBP complete'!D517,"AAAAAG6/d8o=")</f>
        <v>#VALUE!</v>
      </c>
      <c r="GV8" t="e">
        <f>AND('BBP complete'!E517,"AAAAAG6/d8s=")</f>
        <v>#VALUE!</v>
      </c>
      <c r="GW8" t="e">
        <f>AND('BBP complete'!F517,"AAAAAG6/d8w=")</f>
        <v>#VALUE!</v>
      </c>
      <c r="GX8" t="e">
        <f>AND('BBP complete'!G517,"AAAAAG6/d80=")</f>
        <v>#VALUE!</v>
      </c>
      <c r="GY8" t="e">
        <f>AND('BBP complete'!H517,"AAAAAG6/d84=")</f>
        <v>#VALUE!</v>
      </c>
      <c r="GZ8" t="e">
        <f>AND('BBP complete'!I517,"AAAAAG6/d88=")</f>
        <v>#VALUE!</v>
      </c>
      <c r="HA8" s="60" t="e">
        <v>#VALUE!</v>
      </c>
      <c r="HB8" t="e">
        <f>AND('BBP complete'!A518,"AAAAAG6/d9E=")</f>
        <v>#VALUE!</v>
      </c>
      <c r="HC8" t="e">
        <f>AND('BBP complete'!B518,"AAAAAG6/d9I=")</f>
        <v>#VALUE!</v>
      </c>
      <c r="HD8" t="e">
        <f>AND('BBP complete'!C518,"AAAAAG6/d9M=")</f>
        <v>#VALUE!</v>
      </c>
      <c r="HE8" t="e">
        <f>AND('BBP complete'!D518,"AAAAAG6/d9Q=")</f>
        <v>#VALUE!</v>
      </c>
      <c r="HF8" t="e">
        <f>AND('BBP complete'!E518,"AAAAAG6/d9U=")</f>
        <v>#VALUE!</v>
      </c>
      <c r="HG8" t="e">
        <f>AND('BBP complete'!F518,"AAAAAG6/d9Y=")</f>
        <v>#VALUE!</v>
      </c>
      <c r="HH8" t="e">
        <f>AND('BBP complete'!G518,"AAAAAG6/d9c=")</f>
        <v>#VALUE!</v>
      </c>
      <c r="HI8" t="e">
        <f>AND('BBP complete'!H518,"AAAAAG6/d9g=")</f>
        <v>#VALUE!</v>
      </c>
      <c r="HJ8" t="e">
        <f>AND('BBP complete'!I518,"AAAAAG6/d9k=")</f>
        <v>#VALUE!</v>
      </c>
      <c r="HK8" s="60" t="e">
        <v>#VALUE!</v>
      </c>
      <c r="HL8" t="e">
        <f>AND('BBP complete'!A519,"AAAAAG6/d9s=")</f>
        <v>#VALUE!</v>
      </c>
      <c r="HM8" t="e">
        <f>AND('BBP complete'!B519,"AAAAAG6/d9w=")</f>
        <v>#VALUE!</v>
      </c>
      <c r="HN8" t="e">
        <f>AND('BBP complete'!C519,"AAAAAG6/d90=")</f>
        <v>#VALUE!</v>
      </c>
      <c r="HO8" t="e">
        <f>AND('BBP complete'!D519,"AAAAAG6/d94=")</f>
        <v>#VALUE!</v>
      </c>
      <c r="HP8" t="e">
        <f>AND('BBP complete'!E519,"AAAAAG6/d98=")</f>
        <v>#VALUE!</v>
      </c>
      <c r="HQ8" t="e">
        <f>AND('BBP complete'!F519,"AAAAAG6/d+A=")</f>
        <v>#VALUE!</v>
      </c>
      <c r="HR8" t="e">
        <f>AND('BBP complete'!G519,"AAAAAG6/d+E=")</f>
        <v>#VALUE!</v>
      </c>
      <c r="HS8" t="e">
        <f>AND('BBP complete'!H519,"AAAAAG6/d+I=")</f>
        <v>#VALUE!</v>
      </c>
      <c r="HT8" t="e">
        <f>AND('BBP complete'!I519,"AAAAAG6/d+M=")</f>
        <v>#VALUE!</v>
      </c>
      <c r="HU8" s="60" t="e">
        <v>#VALUE!</v>
      </c>
      <c r="HV8" t="e">
        <f>AND('BBP complete'!A520,"AAAAAG6/d+U=")</f>
        <v>#VALUE!</v>
      </c>
      <c r="HW8" t="e">
        <f>AND('BBP complete'!B520,"AAAAAG6/d+Y=")</f>
        <v>#VALUE!</v>
      </c>
      <c r="HX8" t="e">
        <f>AND('BBP complete'!C520,"AAAAAG6/d+c=")</f>
        <v>#VALUE!</v>
      </c>
      <c r="HY8" t="e">
        <f>AND('BBP complete'!D520,"AAAAAG6/d+g=")</f>
        <v>#VALUE!</v>
      </c>
      <c r="HZ8" t="e">
        <f>AND('BBP complete'!E520,"AAAAAG6/d+k=")</f>
        <v>#VALUE!</v>
      </c>
      <c r="IA8" t="e">
        <f>AND('BBP complete'!F520,"AAAAAG6/d+o=")</f>
        <v>#VALUE!</v>
      </c>
      <c r="IB8" t="e">
        <f>AND('BBP complete'!G520,"AAAAAG6/d+s=")</f>
        <v>#VALUE!</v>
      </c>
      <c r="IC8" t="e">
        <f>AND('BBP complete'!H520,"AAAAAG6/d+w=")</f>
        <v>#VALUE!</v>
      </c>
      <c r="ID8" t="e">
        <f>AND('BBP complete'!I520,"AAAAAG6/d+0=")</f>
        <v>#VALUE!</v>
      </c>
      <c r="IE8" s="60" t="e">
        <v>#VALUE!</v>
      </c>
      <c r="IF8" t="e">
        <f>AND('BBP complete'!A521,"AAAAAG6/d+8=")</f>
        <v>#VALUE!</v>
      </c>
      <c r="IG8" t="e">
        <f>AND('BBP complete'!B521,"AAAAAG6/d/A=")</f>
        <v>#VALUE!</v>
      </c>
      <c r="IH8" t="e">
        <f>AND('BBP complete'!C521,"AAAAAG6/d/E=")</f>
        <v>#VALUE!</v>
      </c>
      <c r="II8" t="e">
        <f>AND('BBP complete'!D521,"AAAAAG6/d/I=")</f>
        <v>#VALUE!</v>
      </c>
      <c r="IJ8" t="e">
        <f>AND('BBP complete'!E521,"AAAAAG6/d/M=")</f>
        <v>#VALUE!</v>
      </c>
      <c r="IK8" t="e">
        <f>AND('BBP complete'!F521,"AAAAAG6/d/Q=")</f>
        <v>#VALUE!</v>
      </c>
      <c r="IL8" t="e">
        <f>AND('BBP complete'!G521,"AAAAAG6/d/U=")</f>
        <v>#VALUE!</v>
      </c>
      <c r="IM8" t="e">
        <f>AND('BBP complete'!H521,"AAAAAG6/d/Y=")</f>
        <v>#VALUE!</v>
      </c>
      <c r="IN8" t="e">
        <f>AND('BBP complete'!I521,"AAAAAG6/d/c=")</f>
        <v>#VALUE!</v>
      </c>
      <c r="IO8" s="60" t="e">
        <v>#VALUE!</v>
      </c>
      <c r="IP8" t="e">
        <f>AND('BBP complete'!A522,"AAAAAG6/d/k=")</f>
        <v>#VALUE!</v>
      </c>
      <c r="IQ8" t="e">
        <f>AND('BBP complete'!B522,"AAAAAG6/d/o=")</f>
        <v>#VALUE!</v>
      </c>
      <c r="IR8" t="e">
        <f>AND('BBP complete'!C522,"AAAAAG6/d/s=")</f>
        <v>#VALUE!</v>
      </c>
      <c r="IS8" t="e">
        <f>AND('BBP complete'!D522,"AAAAAG6/d/w=")</f>
        <v>#VALUE!</v>
      </c>
      <c r="IT8" t="e">
        <f>AND('BBP complete'!E522,"AAAAAG6/d/0=")</f>
        <v>#VALUE!</v>
      </c>
      <c r="IU8" t="e">
        <f>AND('BBP complete'!F522,"AAAAAG6/d/4=")</f>
        <v>#VALUE!</v>
      </c>
      <c r="IV8" t="e">
        <f>AND('BBP complete'!G522,"AAAAAG6/d/8=")</f>
        <v>#VALUE!</v>
      </c>
    </row>
    <row r="9" spans="1:256" ht="15" customHeight="1" x14ac:dyDescent="0.25">
      <c r="A9" t="e">
        <f>AND('BBP complete'!H522,"AAAAACf/rwA=")</f>
        <v>#VALUE!</v>
      </c>
      <c r="B9" t="e">
        <f>AND('BBP complete'!I522,"AAAAACf/rwE=")</f>
        <v>#VALUE!</v>
      </c>
      <c r="C9" s="60" t="e">
        <v>#VALUE!</v>
      </c>
      <c r="D9" t="e">
        <f>AND('BBP complete'!A523,"AAAAACf/rwM=")</f>
        <v>#VALUE!</v>
      </c>
      <c r="E9" t="e">
        <f>AND('BBP complete'!B523,"AAAAACf/rwQ=")</f>
        <v>#VALUE!</v>
      </c>
      <c r="F9" t="e">
        <f>AND('BBP complete'!C523,"AAAAACf/rwU=")</f>
        <v>#VALUE!</v>
      </c>
      <c r="G9" t="e">
        <f>AND('BBP complete'!D523,"AAAAACf/rwY=")</f>
        <v>#VALUE!</v>
      </c>
      <c r="H9" t="e">
        <f>AND('BBP complete'!E523,"AAAAACf/rwc=")</f>
        <v>#VALUE!</v>
      </c>
      <c r="I9" t="e">
        <f>AND('BBP complete'!F523,"AAAAACf/rwg=")</f>
        <v>#VALUE!</v>
      </c>
      <c r="J9" t="e">
        <f>AND('BBP complete'!G523,"AAAAACf/rwk=")</f>
        <v>#VALUE!</v>
      </c>
      <c r="K9" t="e">
        <f>AND('BBP complete'!H523,"AAAAACf/rwo=")</f>
        <v>#VALUE!</v>
      </c>
      <c r="L9" t="e">
        <f>AND('BBP complete'!I523,"AAAAACf/rws=")</f>
        <v>#VALUE!</v>
      </c>
      <c r="M9" s="60" t="e">
        <v>#VALUE!</v>
      </c>
      <c r="N9" t="e">
        <f>AND('BBP complete'!A524,"AAAAACf/rw0=")</f>
        <v>#VALUE!</v>
      </c>
      <c r="O9" t="e">
        <f>AND('BBP complete'!B524,"AAAAACf/rw4=")</f>
        <v>#VALUE!</v>
      </c>
      <c r="P9" t="e">
        <f>AND('BBP complete'!C524,"AAAAACf/rw8=")</f>
        <v>#VALUE!</v>
      </c>
      <c r="Q9" t="e">
        <f>AND('BBP complete'!D524,"AAAAACf/rxA=")</f>
        <v>#VALUE!</v>
      </c>
      <c r="R9" t="e">
        <f>AND('BBP complete'!E524,"AAAAACf/rxE=")</f>
        <v>#VALUE!</v>
      </c>
      <c r="S9" t="e">
        <f>AND('BBP complete'!F524,"AAAAACf/rxI=")</f>
        <v>#VALUE!</v>
      </c>
      <c r="T9" t="e">
        <f>AND('BBP complete'!G524,"AAAAACf/rxM=")</f>
        <v>#VALUE!</v>
      </c>
      <c r="U9" t="e">
        <f>AND('BBP complete'!H524,"AAAAACf/rxQ=")</f>
        <v>#VALUE!</v>
      </c>
      <c r="V9" t="e">
        <f>AND('BBP complete'!I524,"AAAAACf/rxU=")</f>
        <v>#VALUE!</v>
      </c>
      <c r="W9" s="60" t="e">
        <v>#VALUE!</v>
      </c>
      <c r="X9" t="e">
        <f>AND('BBP complete'!A525,"AAAAACf/rxc=")</f>
        <v>#VALUE!</v>
      </c>
      <c r="Y9" t="e">
        <f>AND('BBP complete'!B525,"AAAAACf/rxg=")</f>
        <v>#VALUE!</v>
      </c>
      <c r="Z9" t="e">
        <f>AND('BBP complete'!C525,"AAAAACf/rxk=")</f>
        <v>#VALUE!</v>
      </c>
      <c r="AA9" t="e">
        <f>AND('BBP complete'!D525,"AAAAACf/rxo=")</f>
        <v>#VALUE!</v>
      </c>
      <c r="AB9" t="e">
        <f>AND('BBP complete'!E525,"AAAAACf/rxs=")</f>
        <v>#VALUE!</v>
      </c>
      <c r="AC9" t="e">
        <f>AND('BBP complete'!F525,"AAAAACf/rxw=")</f>
        <v>#VALUE!</v>
      </c>
      <c r="AD9" t="e">
        <f>AND('BBP complete'!G525,"AAAAACf/rx0=")</f>
        <v>#VALUE!</v>
      </c>
      <c r="AE9" t="e">
        <f>AND('BBP complete'!H525,"AAAAACf/rx4=")</f>
        <v>#VALUE!</v>
      </c>
      <c r="AF9" t="e">
        <f>AND('BBP complete'!I525,"AAAAACf/rx8=")</f>
        <v>#VALUE!</v>
      </c>
      <c r="AG9" s="60" t="e">
        <v>#VALUE!</v>
      </c>
      <c r="AH9" t="e">
        <f>AND('BBP complete'!A526,"AAAAACf/ryE=")</f>
        <v>#VALUE!</v>
      </c>
      <c r="AI9" t="e">
        <f>AND('BBP complete'!B526,"AAAAACf/ryI=")</f>
        <v>#VALUE!</v>
      </c>
      <c r="AJ9" t="e">
        <f>AND('BBP complete'!C526,"AAAAACf/ryM=")</f>
        <v>#VALUE!</v>
      </c>
      <c r="AK9" t="e">
        <f>AND('BBP complete'!D526,"AAAAACf/ryQ=")</f>
        <v>#VALUE!</v>
      </c>
      <c r="AL9" t="e">
        <f>AND('BBP complete'!E526,"AAAAACf/ryU=")</f>
        <v>#VALUE!</v>
      </c>
      <c r="AM9" t="e">
        <f>AND('BBP complete'!F526,"AAAAACf/ryY=")</f>
        <v>#VALUE!</v>
      </c>
      <c r="AN9" t="e">
        <f>AND('BBP complete'!G526,"AAAAACf/ryc=")</f>
        <v>#VALUE!</v>
      </c>
      <c r="AO9" t="e">
        <f>AND('BBP complete'!H526,"AAAAACf/ryg=")</f>
        <v>#VALUE!</v>
      </c>
      <c r="AP9" t="e">
        <f>AND('BBP complete'!I526,"AAAAACf/ryk=")</f>
        <v>#VALUE!</v>
      </c>
      <c r="AQ9" s="60" t="e">
        <v>#VALUE!</v>
      </c>
      <c r="AR9" t="e">
        <f>AND('BBP complete'!A527,"AAAAACf/rys=")</f>
        <v>#VALUE!</v>
      </c>
      <c r="AS9" t="e">
        <f>AND('BBP complete'!B527,"AAAAACf/ryw=")</f>
        <v>#VALUE!</v>
      </c>
      <c r="AT9" t="e">
        <f>AND('BBP complete'!C527,"AAAAACf/ry0=")</f>
        <v>#VALUE!</v>
      </c>
      <c r="AU9" t="e">
        <f>AND('BBP complete'!D527,"AAAAACf/ry4=")</f>
        <v>#VALUE!</v>
      </c>
      <c r="AV9" t="e">
        <f>AND('BBP complete'!E527,"AAAAACf/ry8=")</f>
        <v>#VALUE!</v>
      </c>
      <c r="AW9" t="e">
        <f>AND('BBP complete'!F527,"AAAAACf/rzA=")</f>
        <v>#VALUE!</v>
      </c>
      <c r="AX9" t="e">
        <f>AND('BBP complete'!G527,"AAAAACf/rzE=")</f>
        <v>#VALUE!</v>
      </c>
      <c r="AY9" t="e">
        <f>AND('BBP complete'!H527,"AAAAACf/rzI=")</f>
        <v>#VALUE!</v>
      </c>
      <c r="AZ9" t="e">
        <f>AND('BBP complete'!I527,"AAAAACf/rzM=")</f>
        <v>#VALUE!</v>
      </c>
      <c r="BA9" s="60" t="e">
        <v>#VALUE!</v>
      </c>
      <c r="BB9" t="e">
        <f>AND('BBP complete'!A528,"AAAAACf/rzU=")</f>
        <v>#VALUE!</v>
      </c>
      <c r="BC9" t="e">
        <f>AND('BBP complete'!B528,"AAAAACf/rzY=")</f>
        <v>#VALUE!</v>
      </c>
      <c r="BD9" t="e">
        <f>AND('BBP complete'!C528,"AAAAACf/rzc=")</f>
        <v>#VALUE!</v>
      </c>
      <c r="BE9" t="e">
        <f>AND('BBP complete'!D528,"AAAAACf/rzg=")</f>
        <v>#VALUE!</v>
      </c>
      <c r="BF9" t="e">
        <f>AND('BBP complete'!E528,"AAAAACf/rzk=")</f>
        <v>#VALUE!</v>
      </c>
      <c r="BG9" t="e">
        <f>AND('BBP complete'!F528,"AAAAACf/rzo=")</f>
        <v>#VALUE!</v>
      </c>
      <c r="BH9" t="e">
        <f>AND('BBP complete'!G528,"AAAAACf/rzs=")</f>
        <v>#VALUE!</v>
      </c>
      <c r="BI9" t="e">
        <f>AND('BBP complete'!H528,"AAAAACf/rzw=")</f>
        <v>#VALUE!</v>
      </c>
      <c r="BJ9" t="e">
        <f>AND('BBP complete'!I528,"AAAAACf/rz0=")</f>
        <v>#VALUE!</v>
      </c>
      <c r="BK9" s="60" t="e">
        <v>#VALUE!</v>
      </c>
      <c r="BL9" t="e">
        <f>AND('BBP complete'!A529,"AAAAACf/rz8=")</f>
        <v>#VALUE!</v>
      </c>
      <c r="BM9" t="e">
        <f>AND('BBP complete'!B529,"AAAAACf/r0A=")</f>
        <v>#VALUE!</v>
      </c>
      <c r="BN9" t="e">
        <f>AND('BBP complete'!C529,"AAAAACf/r0E=")</f>
        <v>#VALUE!</v>
      </c>
      <c r="BO9" t="e">
        <f>AND('BBP complete'!D529,"AAAAACf/r0I=")</f>
        <v>#VALUE!</v>
      </c>
      <c r="BP9" t="e">
        <f>AND('BBP complete'!E529,"AAAAACf/r0M=")</f>
        <v>#VALUE!</v>
      </c>
      <c r="BQ9" t="e">
        <f>AND('BBP complete'!F529,"AAAAACf/r0Q=")</f>
        <v>#VALUE!</v>
      </c>
      <c r="BR9" t="e">
        <f>AND('BBP complete'!G529,"AAAAACf/r0U=")</f>
        <v>#VALUE!</v>
      </c>
      <c r="BS9" t="e">
        <f>AND('BBP complete'!H529,"AAAAACf/r0Y=")</f>
        <v>#VALUE!</v>
      </c>
      <c r="BT9" t="e">
        <f>AND('BBP complete'!I529,"AAAAACf/r0c=")</f>
        <v>#VALUE!</v>
      </c>
      <c r="BU9" s="60" t="e">
        <v>#VALUE!</v>
      </c>
      <c r="BV9" t="e">
        <f>AND('BBP complete'!A530,"AAAAACf/r0k=")</f>
        <v>#VALUE!</v>
      </c>
      <c r="BW9" t="e">
        <f>AND('BBP complete'!B530,"AAAAACf/r0o=")</f>
        <v>#VALUE!</v>
      </c>
      <c r="BX9" t="e">
        <f>AND('BBP complete'!C530,"AAAAACf/r0s=")</f>
        <v>#VALUE!</v>
      </c>
      <c r="BY9" t="e">
        <f>AND('BBP complete'!D530,"AAAAACf/r0w=")</f>
        <v>#VALUE!</v>
      </c>
      <c r="BZ9" t="e">
        <f>AND('BBP complete'!E530,"AAAAACf/r00=")</f>
        <v>#VALUE!</v>
      </c>
      <c r="CA9" t="e">
        <f>AND('BBP complete'!F530,"AAAAACf/r04=")</f>
        <v>#VALUE!</v>
      </c>
      <c r="CB9" t="e">
        <f>AND('BBP complete'!G530,"AAAAACf/r08=")</f>
        <v>#VALUE!</v>
      </c>
      <c r="CC9" t="e">
        <f>AND('BBP complete'!H530,"AAAAACf/r1A=")</f>
        <v>#VALUE!</v>
      </c>
      <c r="CD9" t="e">
        <f>AND('BBP complete'!I530,"AAAAACf/r1E=")</f>
        <v>#VALUE!</v>
      </c>
      <c r="CE9" s="60" t="e">
        <v>#VALUE!</v>
      </c>
      <c r="CF9" t="e">
        <f>AND('BBP complete'!A531,"AAAAACf/r1M=")</f>
        <v>#VALUE!</v>
      </c>
      <c r="CG9" t="e">
        <f>AND('BBP complete'!B531,"AAAAACf/r1Q=")</f>
        <v>#VALUE!</v>
      </c>
      <c r="CH9" t="e">
        <f>AND('BBP complete'!C531,"AAAAACf/r1U=")</f>
        <v>#VALUE!</v>
      </c>
      <c r="CI9" t="e">
        <f>AND('BBP complete'!D531,"AAAAACf/r1Y=")</f>
        <v>#VALUE!</v>
      </c>
      <c r="CJ9" t="e">
        <f>AND('BBP complete'!E531,"AAAAACf/r1c=")</f>
        <v>#VALUE!</v>
      </c>
      <c r="CK9" t="e">
        <f>AND('BBP complete'!F531,"AAAAACf/r1g=")</f>
        <v>#VALUE!</v>
      </c>
      <c r="CL9" t="e">
        <f>AND('BBP complete'!G531,"AAAAACf/r1k=")</f>
        <v>#VALUE!</v>
      </c>
      <c r="CM9" t="e">
        <f>AND('BBP complete'!H531,"AAAAACf/r1o=")</f>
        <v>#VALUE!</v>
      </c>
      <c r="CN9" t="e">
        <f>AND('BBP complete'!I531,"AAAAACf/r1s=")</f>
        <v>#VALUE!</v>
      </c>
      <c r="CO9" s="60" t="e">
        <v>#VALUE!</v>
      </c>
      <c r="CP9" t="e">
        <f>AND('BBP complete'!A532,"AAAAACf/r10=")</f>
        <v>#VALUE!</v>
      </c>
      <c r="CQ9" t="e">
        <f>AND('BBP complete'!B532,"AAAAACf/r14=")</f>
        <v>#VALUE!</v>
      </c>
      <c r="CR9" t="e">
        <f>AND('BBP complete'!C532,"AAAAACf/r18=")</f>
        <v>#VALUE!</v>
      </c>
      <c r="CS9" t="e">
        <f>AND('BBP complete'!D532,"AAAAACf/r2A=")</f>
        <v>#VALUE!</v>
      </c>
      <c r="CT9" t="e">
        <f>AND('BBP complete'!E532,"AAAAACf/r2E=")</f>
        <v>#VALUE!</v>
      </c>
      <c r="CU9" t="e">
        <f>AND('BBP complete'!F532,"AAAAACf/r2I=")</f>
        <v>#VALUE!</v>
      </c>
      <c r="CV9" t="e">
        <f>AND('BBP complete'!G532,"AAAAACf/r2M=")</f>
        <v>#VALUE!</v>
      </c>
      <c r="CW9" t="e">
        <f>AND('BBP complete'!H532,"AAAAACf/r2Q=")</f>
        <v>#VALUE!</v>
      </c>
      <c r="CX9" t="e">
        <f>AND('BBP complete'!I532,"AAAAACf/r2U=")</f>
        <v>#VALUE!</v>
      </c>
      <c r="CY9" s="60" t="e">
        <v>#VALUE!</v>
      </c>
      <c r="CZ9" t="e">
        <f>AND('BBP complete'!A533,"AAAAACf/r2c=")</f>
        <v>#VALUE!</v>
      </c>
      <c r="DA9" t="e">
        <f>AND('BBP complete'!B533,"AAAAACf/r2g=")</f>
        <v>#VALUE!</v>
      </c>
      <c r="DB9" t="e">
        <f>AND('BBP complete'!C533,"AAAAACf/r2k=")</f>
        <v>#VALUE!</v>
      </c>
      <c r="DC9" t="e">
        <f>AND('BBP complete'!D533,"AAAAACf/r2o=")</f>
        <v>#VALUE!</v>
      </c>
      <c r="DD9" t="e">
        <f>AND('BBP complete'!E533,"AAAAACf/r2s=")</f>
        <v>#VALUE!</v>
      </c>
      <c r="DE9" t="e">
        <f>AND('BBP complete'!F533,"AAAAACf/r2w=")</f>
        <v>#VALUE!</v>
      </c>
      <c r="DF9" t="e">
        <f>AND('BBP complete'!G533,"AAAAACf/r20=")</f>
        <v>#VALUE!</v>
      </c>
      <c r="DG9" t="e">
        <f>AND('BBP complete'!H533,"AAAAACf/r24=")</f>
        <v>#VALUE!</v>
      </c>
      <c r="DH9" t="e">
        <f>AND('BBP complete'!I533,"AAAAACf/r28=")</f>
        <v>#VALUE!</v>
      </c>
      <c r="DI9" s="60" t="e">
        <v>#VALUE!</v>
      </c>
      <c r="DJ9" t="e">
        <f>AND('BBP complete'!A534,"AAAAACf/r3E=")</f>
        <v>#VALUE!</v>
      </c>
      <c r="DK9" t="e">
        <f>AND('BBP complete'!B534,"AAAAACf/r3I=")</f>
        <v>#VALUE!</v>
      </c>
      <c r="DL9" t="e">
        <f>AND('BBP complete'!C534,"AAAAACf/r3M=")</f>
        <v>#VALUE!</v>
      </c>
      <c r="DM9" t="e">
        <f>AND('BBP complete'!D534,"AAAAACf/r3Q=")</f>
        <v>#VALUE!</v>
      </c>
      <c r="DN9" t="e">
        <f>AND('BBP complete'!E534,"AAAAACf/r3U=")</f>
        <v>#VALUE!</v>
      </c>
      <c r="DO9" t="e">
        <f>AND('BBP complete'!F534,"AAAAACf/r3Y=")</f>
        <v>#VALUE!</v>
      </c>
      <c r="DP9" t="e">
        <f>AND('BBP complete'!G534,"AAAAACf/r3c=")</f>
        <v>#VALUE!</v>
      </c>
      <c r="DQ9" t="e">
        <f>AND('BBP complete'!H534,"AAAAACf/r3g=")</f>
        <v>#VALUE!</v>
      </c>
      <c r="DR9" t="e">
        <f>AND('BBP complete'!I534,"AAAAACf/r3k=")</f>
        <v>#VALUE!</v>
      </c>
      <c r="DS9" s="60" t="e">
        <v>#VALUE!</v>
      </c>
      <c r="DT9" t="e">
        <f>AND('BBP complete'!A535,"AAAAACf/r3s=")</f>
        <v>#VALUE!</v>
      </c>
      <c r="DU9" t="e">
        <f>AND('BBP complete'!B535,"AAAAACf/r3w=")</f>
        <v>#VALUE!</v>
      </c>
      <c r="DV9" t="e">
        <f>AND('BBP complete'!C535,"AAAAACf/r30=")</f>
        <v>#VALUE!</v>
      </c>
      <c r="DW9" t="e">
        <f>AND('BBP complete'!D535,"AAAAACf/r34=")</f>
        <v>#VALUE!</v>
      </c>
      <c r="DX9" t="e">
        <f>AND('BBP complete'!E535,"AAAAACf/r38=")</f>
        <v>#VALUE!</v>
      </c>
      <c r="DY9" t="e">
        <f>AND('BBP complete'!F535,"AAAAACf/r4A=")</f>
        <v>#VALUE!</v>
      </c>
      <c r="DZ9" t="e">
        <f>AND('BBP complete'!G535,"AAAAACf/r4E=")</f>
        <v>#VALUE!</v>
      </c>
      <c r="EA9" t="e">
        <f>AND('BBP complete'!H535,"AAAAACf/r4I=")</f>
        <v>#VALUE!</v>
      </c>
      <c r="EB9" t="e">
        <f>AND('BBP complete'!I535,"AAAAACf/r4M=")</f>
        <v>#VALUE!</v>
      </c>
      <c r="EC9" s="60" t="e">
        <v>#VALUE!</v>
      </c>
      <c r="ED9" t="e">
        <f>AND('BBP complete'!A536,"AAAAACf/r4U=")</f>
        <v>#VALUE!</v>
      </c>
      <c r="EE9" t="e">
        <f>AND('BBP complete'!B536,"AAAAACf/r4Y=")</f>
        <v>#VALUE!</v>
      </c>
      <c r="EF9" t="e">
        <f>AND('BBP complete'!C536,"AAAAACf/r4c=")</f>
        <v>#VALUE!</v>
      </c>
      <c r="EG9" t="e">
        <f>AND('BBP complete'!D536,"AAAAACf/r4g=")</f>
        <v>#VALUE!</v>
      </c>
      <c r="EH9" t="e">
        <f>AND('BBP complete'!E536,"AAAAACf/r4k=")</f>
        <v>#VALUE!</v>
      </c>
      <c r="EI9" t="e">
        <f>AND('BBP complete'!F536,"AAAAACf/r4o=")</f>
        <v>#VALUE!</v>
      </c>
      <c r="EJ9" t="e">
        <f>AND('BBP complete'!G536,"AAAAACf/r4s=")</f>
        <v>#VALUE!</v>
      </c>
      <c r="EK9" t="e">
        <f>AND('BBP complete'!H536,"AAAAACf/r4w=")</f>
        <v>#VALUE!</v>
      </c>
      <c r="EL9" t="e">
        <f>AND('BBP complete'!I536,"AAAAACf/r40=")</f>
        <v>#VALUE!</v>
      </c>
      <c r="EM9" s="60" t="e">
        <v>#VALUE!</v>
      </c>
      <c r="EN9" t="e">
        <f>AND('BBP complete'!A537,"AAAAACf/r48=")</f>
        <v>#VALUE!</v>
      </c>
      <c r="EO9" t="e">
        <f>AND('BBP complete'!B537,"AAAAACf/r5A=")</f>
        <v>#VALUE!</v>
      </c>
      <c r="EP9" t="e">
        <f>AND('BBP complete'!C537,"AAAAACf/r5E=")</f>
        <v>#VALUE!</v>
      </c>
      <c r="EQ9" t="e">
        <f>AND('BBP complete'!D537,"AAAAACf/r5I=")</f>
        <v>#VALUE!</v>
      </c>
      <c r="ER9" t="e">
        <f>AND('BBP complete'!E537,"AAAAACf/r5M=")</f>
        <v>#VALUE!</v>
      </c>
      <c r="ES9" t="e">
        <f>AND('BBP complete'!F537,"AAAAACf/r5Q=")</f>
        <v>#VALUE!</v>
      </c>
      <c r="ET9" t="e">
        <f>AND('BBP complete'!G537,"AAAAACf/r5U=")</f>
        <v>#VALUE!</v>
      </c>
      <c r="EU9" t="e">
        <f>AND('BBP complete'!H537,"AAAAACf/r5Y=")</f>
        <v>#VALUE!</v>
      </c>
      <c r="EV9" t="e">
        <f>AND('BBP complete'!I537,"AAAAACf/r5c=")</f>
        <v>#VALUE!</v>
      </c>
      <c r="EW9" s="60" t="e">
        <v>#VALUE!</v>
      </c>
      <c r="EX9" t="e">
        <f>AND('BBP complete'!A538,"AAAAACf/r5k=")</f>
        <v>#VALUE!</v>
      </c>
      <c r="EY9" t="e">
        <f>AND('BBP complete'!B538,"AAAAACf/r5o=")</f>
        <v>#VALUE!</v>
      </c>
      <c r="EZ9" t="e">
        <f>AND('BBP complete'!C538,"AAAAACf/r5s=")</f>
        <v>#VALUE!</v>
      </c>
      <c r="FA9" t="e">
        <f>AND('BBP complete'!D538,"AAAAACf/r5w=")</f>
        <v>#VALUE!</v>
      </c>
      <c r="FB9" t="e">
        <f>AND('BBP complete'!E538,"AAAAACf/r50=")</f>
        <v>#VALUE!</v>
      </c>
      <c r="FC9" t="e">
        <f>AND('BBP complete'!F538,"AAAAACf/r54=")</f>
        <v>#VALUE!</v>
      </c>
      <c r="FD9" t="e">
        <f>AND('BBP complete'!G538,"AAAAACf/r58=")</f>
        <v>#VALUE!</v>
      </c>
      <c r="FE9" t="e">
        <f>AND('BBP complete'!H538,"AAAAACf/r6A=")</f>
        <v>#VALUE!</v>
      </c>
      <c r="FF9" t="e">
        <f>AND('BBP complete'!I538,"AAAAACf/r6E=")</f>
        <v>#VALUE!</v>
      </c>
      <c r="FG9" s="60" t="e">
        <v>#VALUE!</v>
      </c>
      <c r="FH9" t="e">
        <f>AND('BBP complete'!A539,"AAAAACf/r6M=")</f>
        <v>#VALUE!</v>
      </c>
      <c r="FI9" t="e">
        <f>AND('BBP complete'!B539,"AAAAACf/r6Q=")</f>
        <v>#VALUE!</v>
      </c>
      <c r="FJ9" t="e">
        <f>AND('BBP complete'!C539,"AAAAACf/r6U=")</f>
        <v>#VALUE!</v>
      </c>
      <c r="FK9" t="e">
        <f>AND('BBP complete'!D539,"AAAAACf/r6Y=")</f>
        <v>#VALUE!</v>
      </c>
      <c r="FL9" t="e">
        <f>AND('BBP complete'!E539,"AAAAACf/r6c=")</f>
        <v>#VALUE!</v>
      </c>
      <c r="FM9" t="e">
        <f>AND('BBP complete'!F539,"AAAAACf/r6g=")</f>
        <v>#VALUE!</v>
      </c>
      <c r="FN9" t="e">
        <f>AND('BBP complete'!G539,"AAAAACf/r6k=")</f>
        <v>#VALUE!</v>
      </c>
      <c r="FO9" t="e">
        <f>AND('BBP complete'!H539,"AAAAACf/r6o=")</f>
        <v>#VALUE!</v>
      </c>
      <c r="FP9" t="e">
        <f>AND('BBP complete'!I539,"AAAAACf/r6s=")</f>
        <v>#VALUE!</v>
      </c>
      <c r="FQ9" s="60" t="e">
        <v>#VALUE!</v>
      </c>
      <c r="FR9" t="e">
        <f>AND('BBP complete'!A540,"AAAAACf/r60=")</f>
        <v>#VALUE!</v>
      </c>
      <c r="FS9" t="e">
        <f>AND('BBP complete'!B540,"AAAAACf/r64=")</f>
        <v>#VALUE!</v>
      </c>
      <c r="FT9" t="e">
        <f>AND('BBP complete'!C540,"AAAAACf/r68=")</f>
        <v>#VALUE!</v>
      </c>
      <c r="FU9" t="e">
        <f>AND('BBP complete'!D540,"AAAAACf/r7A=")</f>
        <v>#VALUE!</v>
      </c>
      <c r="FV9" t="e">
        <f>AND('BBP complete'!E540,"AAAAACf/r7E=")</f>
        <v>#VALUE!</v>
      </c>
      <c r="FW9" t="e">
        <f>AND('BBP complete'!F540,"AAAAACf/r7I=")</f>
        <v>#VALUE!</v>
      </c>
      <c r="FX9" t="e">
        <f>AND('BBP complete'!G540,"AAAAACf/r7M=")</f>
        <v>#VALUE!</v>
      </c>
      <c r="FY9" t="e">
        <f>AND('BBP complete'!H540,"AAAAACf/r7Q=")</f>
        <v>#VALUE!</v>
      </c>
      <c r="FZ9" t="e">
        <f>AND('BBP complete'!I540,"AAAAACf/r7U=")</f>
        <v>#VALUE!</v>
      </c>
      <c r="GA9" s="60" t="e">
        <v>#VALUE!</v>
      </c>
      <c r="GB9" t="e">
        <f>AND('BBP complete'!A541,"AAAAACf/r7c=")</f>
        <v>#VALUE!</v>
      </c>
      <c r="GC9" t="e">
        <f>AND('BBP complete'!B541,"AAAAACf/r7g=")</f>
        <v>#VALUE!</v>
      </c>
      <c r="GD9" t="e">
        <f>AND('BBP complete'!C541,"AAAAACf/r7k=")</f>
        <v>#VALUE!</v>
      </c>
      <c r="GE9" t="e">
        <f>AND('BBP complete'!D541,"AAAAACf/r7o=")</f>
        <v>#VALUE!</v>
      </c>
      <c r="GF9" t="e">
        <f>AND('BBP complete'!E541,"AAAAACf/r7s=")</f>
        <v>#VALUE!</v>
      </c>
      <c r="GG9" t="e">
        <f>AND('BBP complete'!F541,"AAAAACf/r7w=")</f>
        <v>#VALUE!</v>
      </c>
      <c r="GH9" t="e">
        <f>AND('BBP complete'!G541,"AAAAACf/r70=")</f>
        <v>#VALUE!</v>
      </c>
      <c r="GI9" t="e">
        <f>AND('BBP complete'!H541,"AAAAACf/r74=")</f>
        <v>#VALUE!</v>
      </c>
      <c r="GJ9" t="e">
        <f>AND('BBP complete'!I541,"AAAAACf/r78=")</f>
        <v>#VALUE!</v>
      </c>
      <c r="GK9" s="60" t="e">
        <v>#VALUE!</v>
      </c>
      <c r="GL9" t="e">
        <f>AND('BBP complete'!A542,"AAAAACf/r8E=")</f>
        <v>#VALUE!</v>
      </c>
      <c r="GM9" t="e">
        <f>AND('BBP complete'!B542,"AAAAACf/r8I=")</f>
        <v>#VALUE!</v>
      </c>
      <c r="GN9" t="e">
        <f>AND('BBP complete'!C542,"AAAAACf/r8M=")</f>
        <v>#VALUE!</v>
      </c>
      <c r="GO9" t="e">
        <f>AND('BBP complete'!D542,"AAAAACf/r8Q=")</f>
        <v>#VALUE!</v>
      </c>
      <c r="GP9" t="e">
        <f>AND('BBP complete'!E542,"AAAAACf/r8U=")</f>
        <v>#VALUE!</v>
      </c>
      <c r="GQ9" t="e">
        <f>AND('BBP complete'!F542,"AAAAACf/r8Y=")</f>
        <v>#VALUE!</v>
      </c>
      <c r="GR9" t="e">
        <f>AND('BBP complete'!G542,"AAAAACf/r8c=")</f>
        <v>#VALUE!</v>
      </c>
      <c r="GS9" t="e">
        <f>AND('BBP complete'!H542,"AAAAACf/r8g=")</f>
        <v>#VALUE!</v>
      </c>
      <c r="GT9" t="e">
        <f>AND('BBP complete'!I542,"AAAAACf/r8k=")</f>
        <v>#VALUE!</v>
      </c>
      <c r="GU9" s="60" t="e">
        <v>#VALUE!</v>
      </c>
      <c r="GV9" t="e">
        <f>AND('BBP complete'!A543,"AAAAACf/r8s=")</f>
        <v>#VALUE!</v>
      </c>
      <c r="GW9" t="e">
        <f>AND('BBP complete'!B543,"AAAAACf/r8w=")</f>
        <v>#VALUE!</v>
      </c>
      <c r="GX9" t="e">
        <f>AND('BBP complete'!C543,"AAAAACf/r80=")</f>
        <v>#VALUE!</v>
      </c>
      <c r="GY9" t="e">
        <f>AND('BBP complete'!D543,"AAAAACf/r84=")</f>
        <v>#VALUE!</v>
      </c>
      <c r="GZ9" t="e">
        <f>AND('BBP complete'!E543,"AAAAACf/r88=")</f>
        <v>#VALUE!</v>
      </c>
      <c r="HA9" t="e">
        <f>AND('BBP complete'!F543,"AAAAACf/r9A=")</f>
        <v>#VALUE!</v>
      </c>
      <c r="HB9" t="e">
        <f>AND('BBP complete'!G543,"AAAAACf/r9E=")</f>
        <v>#VALUE!</v>
      </c>
      <c r="HC9" t="e">
        <f>AND('BBP complete'!H543,"AAAAACf/r9I=")</f>
        <v>#VALUE!</v>
      </c>
      <c r="HD9" t="e">
        <f>AND('BBP complete'!I543,"AAAAACf/r9M=")</f>
        <v>#VALUE!</v>
      </c>
      <c r="HE9" s="60" t="e">
        <v>#VALUE!</v>
      </c>
      <c r="HF9" t="e">
        <f>AND('BBP complete'!A544,"AAAAACf/r9U=")</f>
        <v>#VALUE!</v>
      </c>
      <c r="HG9" t="e">
        <f>AND('BBP complete'!B544,"AAAAACf/r9Y=")</f>
        <v>#VALUE!</v>
      </c>
      <c r="HH9" t="e">
        <f>AND('BBP complete'!C544,"AAAAACf/r9c=")</f>
        <v>#VALUE!</v>
      </c>
      <c r="HI9" t="e">
        <f>AND('BBP complete'!D544,"AAAAACf/r9g=")</f>
        <v>#VALUE!</v>
      </c>
      <c r="HJ9" t="e">
        <f>AND('BBP complete'!E544,"AAAAACf/r9k=")</f>
        <v>#VALUE!</v>
      </c>
      <c r="HK9" t="e">
        <f>AND('BBP complete'!F544,"AAAAACf/r9o=")</f>
        <v>#VALUE!</v>
      </c>
      <c r="HL9" t="e">
        <f>AND('BBP complete'!G544,"AAAAACf/r9s=")</f>
        <v>#VALUE!</v>
      </c>
      <c r="HM9" t="e">
        <f>AND('BBP complete'!H544,"AAAAACf/r9w=")</f>
        <v>#VALUE!</v>
      </c>
      <c r="HN9" t="e">
        <f>AND('BBP complete'!I544,"AAAAACf/r90=")</f>
        <v>#VALUE!</v>
      </c>
      <c r="HO9" s="60" t="e">
        <v>#VALUE!</v>
      </c>
      <c r="HP9" t="e">
        <f>AND('BBP complete'!A545,"AAAAACf/r98=")</f>
        <v>#VALUE!</v>
      </c>
      <c r="HQ9" t="e">
        <f>AND('BBP complete'!B545,"AAAAACf/r+A=")</f>
        <v>#VALUE!</v>
      </c>
      <c r="HR9" t="e">
        <f>AND('BBP complete'!C545,"AAAAACf/r+E=")</f>
        <v>#VALUE!</v>
      </c>
      <c r="HS9" t="e">
        <f>AND('BBP complete'!D545,"AAAAACf/r+I=")</f>
        <v>#VALUE!</v>
      </c>
      <c r="HT9" t="e">
        <f>AND('BBP complete'!E545,"AAAAACf/r+M=")</f>
        <v>#VALUE!</v>
      </c>
      <c r="HU9" t="e">
        <f>AND('BBP complete'!F545,"AAAAACf/r+Q=")</f>
        <v>#VALUE!</v>
      </c>
      <c r="HV9" t="e">
        <f>AND('BBP complete'!G545,"AAAAACf/r+U=")</f>
        <v>#VALUE!</v>
      </c>
      <c r="HW9" t="e">
        <f>AND('BBP complete'!H545,"AAAAACf/r+Y=")</f>
        <v>#VALUE!</v>
      </c>
      <c r="HX9" t="e">
        <f>AND('BBP complete'!I545,"AAAAACf/r+c=")</f>
        <v>#VALUE!</v>
      </c>
      <c r="HY9" s="60" t="e">
        <v>#VALUE!</v>
      </c>
      <c r="HZ9" t="e">
        <f>AND('BBP complete'!A546,"AAAAACf/r+k=")</f>
        <v>#VALUE!</v>
      </c>
      <c r="IA9" t="e">
        <f>AND('BBP complete'!B546,"AAAAACf/r+o=")</f>
        <v>#VALUE!</v>
      </c>
      <c r="IB9" t="e">
        <f>AND('BBP complete'!C546,"AAAAACf/r+s=")</f>
        <v>#VALUE!</v>
      </c>
      <c r="IC9" t="e">
        <f>AND('BBP complete'!D546,"AAAAACf/r+w=")</f>
        <v>#VALUE!</v>
      </c>
      <c r="ID9" t="e">
        <f>AND('BBP complete'!E546,"AAAAACf/r+0=")</f>
        <v>#VALUE!</v>
      </c>
      <c r="IE9" t="e">
        <f>AND('BBP complete'!F546,"AAAAACf/r+4=")</f>
        <v>#VALUE!</v>
      </c>
      <c r="IF9" t="e">
        <f>AND('BBP complete'!G546,"AAAAACf/r+8=")</f>
        <v>#VALUE!</v>
      </c>
      <c r="IG9" t="e">
        <f>AND('BBP complete'!H546,"AAAAACf/r/A=")</f>
        <v>#VALUE!</v>
      </c>
      <c r="IH9" t="e">
        <f>AND('BBP complete'!I546,"AAAAACf/r/E=")</f>
        <v>#VALUE!</v>
      </c>
      <c r="II9" s="60" t="e">
        <v>#VALUE!</v>
      </c>
      <c r="IJ9" t="e">
        <f>AND('BBP complete'!A547,"AAAAACf/r/M=")</f>
        <v>#VALUE!</v>
      </c>
      <c r="IK9" t="e">
        <f>AND('BBP complete'!B547,"AAAAACf/r/Q=")</f>
        <v>#VALUE!</v>
      </c>
      <c r="IL9" t="e">
        <f>AND('BBP complete'!C547,"AAAAACf/r/U=")</f>
        <v>#VALUE!</v>
      </c>
      <c r="IM9" t="e">
        <f>AND('BBP complete'!D547,"AAAAACf/r/Y=")</f>
        <v>#VALUE!</v>
      </c>
      <c r="IN9" t="e">
        <f>AND('BBP complete'!E547,"AAAAACf/r/c=")</f>
        <v>#VALUE!</v>
      </c>
      <c r="IO9" t="e">
        <f>AND('BBP complete'!F547,"AAAAACf/r/g=")</f>
        <v>#VALUE!</v>
      </c>
      <c r="IP9" t="e">
        <f>AND('BBP complete'!G547,"AAAAACf/r/k=")</f>
        <v>#VALUE!</v>
      </c>
      <c r="IQ9" t="e">
        <f>AND('BBP complete'!H547,"AAAAACf/r/o=")</f>
        <v>#VALUE!</v>
      </c>
      <c r="IR9" t="e">
        <f>AND('BBP complete'!I547,"AAAAACf/r/s=")</f>
        <v>#VALUE!</v>
      </c>
      <c r="IS9" s="60" t="e">
        <v>#VALUE!</v>
      </c>
      <c r="IT9" t="e">
        <f>AND('BBP complete'!A548,"AAAAACf/r/0=")</f>
        <v>#VALUE!</v>
      </c>
      <c r="IU9" t="e">
        <f>AND('BBP complete'!B548,"AAAAACf/r/4=")</f>
        <v>#VALUE!</v>
      </c>
      <c r="IV9" t="e">
        <f>AND('BBP complete'!C548,"AAAAACf/r/8=")</f>
        <v>#VALUE!</v>
      </c>
    </row>
    <row r="10" spans="1:256" ht="15" customHeight="1" x14ac:dyDescent="0.25">
      <c r="A10" t="e">
        <f>AND('BBP complete'!D548,"AAAAAD/+7AA=")</f>
        <v>#VALUE!</v>
      </c>
      <c r="B10" t="e">
        <f>AND('BBP complete'!E548,"AAAAAD/+7AE=")</f>
        <v>#VALUE!</v>
      </c>
      <c r="C10" t="e">
        <f>AND('BBP complete'!F548,"AAAAAD/+7AI=")</f>
        <v>#VALUE!</v>
      </c>
      <c r="D10" t="e">
        <f>AND('BBP complete'!G548,"AAAAAD/+7AM=")</f>
        <v>#VALUE!</v>
      </c>
      <c r="E10" t="e">
        <f>AND('BBP complete'!H548,"AAAAAD/+7AQ=")</f>
        <v>#VALUE!</v>
      </c>
      <c r="F10" t="e">
        <f>AND('BBP complete'!I548,"AAAAAD/+7AU=")</f>
        <v>#VALUE!</v>
      </c>
      <c r="G10" s="60" t="e">
        <v>#VALUE!</v>
      </c>
      <c r="H10" t="e">
        <f>AND('BBP complete'!A549,"AAAAAD/+7Ac=")</f>
        <v>#VALUE!</v>
      </c>
      <c r="I10" t="e">
        <f>AND('BBP complete'!B549,"AAAAAD/+7Ag=")</f>
        <v>#VALUE!</v>
      </c>
      <c r="J10" t="e">
        <f>AND('BBP complete'!C549,"AAAAAD/+7Ak=")</f>
        <v>#VALUE!</v>
      </c>
      <c r="K10" t="e">
        <f>AND('BBP complete'!D549,"AAAAAD/+7Ao=")</f>
        <v>#VALUE!</v>
      </c>
      <c r="L10" t="e">
        <f>AND('BBP complete'!E549,"AAAAAD/+7As=")</f>
        <v>#VALUE!</v>
      </c>
      <c r="M10" t="e">
        <f>AND('BBP complete'!F549,"AAAAAD/+7Aw=")</f>
        <v>#VALUE!</v>
      </c>
      <c r="N10" t="e">
        <f>AND('BBP complete'!G549,"AAAAAD/+7A0=")</f>
        <v>#VALUE!</v>
      </c>
      <c r="O10" t="e">
        <f>AND('BBP complete'!H549,"AAAAAD/+7A4=")</f>
        <v>#VALUE!</v>
      </c>
      <c r="P10" t="e">
        <f>AND('BBP complete'!I549,"AAAAAD/+7A8=")</f>
        <v>#VALUE!</v>
      </c>
      <c r="Q10" s="60" t="e">
        <v>#VALUE!</v>
      </c>
      <c r="R10" t="e">
        <f>AND('BBP complete'!A550,"AAAAAD/+7BE=")</f>
        <v>#VALUE!</v>
      </c>
      <c r="S10" t="e">
        <f>AND('BBP complete'!B550,"AAAAAD/+7BI=")</f>
        <v>#VALUE!</v>
      </c>
      <c r="T10" t="e">
        <f>AND('BBP complete'!C550,"AAAAAD/+7BM=")</f>
        <v>#VALUE!</v>
      </c>
      <c r="U10" t="e">
        <f>AND('BBP complete'!D550,"AAAAAD/+7BQ=")</f>
        <v>#VALUE!</v>
      </c>
      <c r="V10" t="e">
        <f>AND('BBP complete'!E550,"AAAAAD/+7BU=")</f>
        <v>#VALUE!</v>
      </c>
      <c r="W10" t="e">
        <f>AND('BBP complete'!F550,"AAAAAD/+7BY=")</f>
        <v>#VALUE!</v>
      </c>
      <c r="X10" t="e">
        <f>AND('BBP complete'!G550,"AAAAAD/+7Bc=")</f>
        <v>#VALUE!</v>
      </c>
      <c r="Y10" t="e">
        <f>AND('BBP complete'!H550,"AAAAAD/+7Bg=")</f>
        <v>#VALUE!</v>
      </c>
      <c r="Z10" t="e">
        <f>AND('BBP complete'!I550,"AAAAAD/+7Bk=")</f>
        <v>#VALUE!</v>
      </c>
      <c r="AA10" s="60" t="e">
        <v>#VALUE!</v>
      </c>
      <c r="AB10" t="e">
        <f>AND('BBP complete'!A551,"AAAAAD/+7Bs=")</f>
        <v>#VALUE!</v>
      </c>
      <c r="AC10" t="e">
        <f>AND('BBP complete'!B551,"AAAAAD/+7Bw=")</f>
        <v>#VALUE!</v>
      </c>
      <c r="AD10" t="e">
        <f>AND('BBP complete'!C551,"AAAAAD/+7B0=")</f>
        <v>#VALUE!</v>
      </c>
      <c r="AE10" t="e">
        <f>AND('BBP complete'!D551,"AAAAAD/+7B4=")</f>
        <v>#VALUE!</v>
      </c>
      <c r="AF10" t="e">
        <f>AND('BBP complete'!E551,"AAAAAD/+7B8=")</f>
        <v>#VALUE!</v>
      </c>
      <c r="AG10" t="e">
        <f>AND('BBP complete'!F551,"AAAAAD/+7CA=")</f>
        <v>#VALUE!</v>
      </c>
      <c r="AH10" t="e">
        <f>AND('BBP complete'!G551,"AAAAAD/+7CE=")</f>
        <v>#VALUE!</v>
      </c>
      <c r="AI10" t="e">
        <f>AND('BBP complete'!H551,"AAAAAD/+7CI=")</f>
        <v>#VALUE!</v>
      </c>
      <c r="AJ10" t="e">
        <f>AND('BBP complete'!I551,"AAAAAD/+7CM=")</f>
        <v>#VALUE!</v>
      </c>
      <c r="AK10" s="60" t="e">
        <v>#VALUE!</v>
      </c>
      <c r="AL10" t="e">
        <f>AND('BBP complete'!A552,"AAAAAD/+7CU=")</f>
        <v>#VALUE!</v>
      </c>
      <c r="AM10" t="e">
        <f>AND('BBP complete'!B552,"AAAAAD/+7CY=")</f>
        <v>#VALUE!</v>
      </c>
      <c r="AN10" t="e">
        <f>AND('BBP complete'!C552,"AAAAAD/+7Cc=")</f>
        <v>#VALUE!</v>
      </c>
      <c r="AO10" t="e">
        <f>AND('BBP complete'!D552,"AAAAAD/+7Cg=")</f>
        <v>#VALUE!</v>
      </c>
      <c r="AP10" t="e">
        <f>AND('BBP complete'!E552,"AAAAAD/+7Ck=")</f>
        <v>#VALUE!</v>
      </c>
      <c r="AQ10" t="e">
        <f>AND('BBP complete'!F552,"AAAAAD/+7Co=")</f>
        <v>#VALUE!</v>
      </c>
      <c r="AR10" t="e">
        <f>AND('BBP complete'!G552,"AAAAAD/+7Cs=")</f>
        <v>#VALUE!</v>
      </c>
      <c r="AS10" t="e">
        <f>AND('BBP complete'!H552,"AAAAAD/+7Cw=")</f>
        <v>#VALUE!</v>
      </c>
      <c r="AT10" t="e">
        <f>AND('BBP complete'!I552,"AAAAAD/+7C0=")</f>
        <v>#VALUE!</v>
      </c>
      <c r="AU10" s="60" t="e">
        <v>#VALUE!</v>
      </c>
      <c r="AV10" t="e">
        <f>AND('BBP complete'!A553,"AAAAAD/+7C8=")</f>
        <v>#VALUE!</v>
      </c>
      <c r="AW10" t="e">
        <f>AND('BBP complete'!B553,"AAAAAD/+7DA=")</f>
        <v>#VALUE!</v>
      </c>
      <c r="AX10" t="e">
        <f>AND('BBP complete'!C553,"AAAAAD/+7DE=")</f>
        <v>#VALUE!</v>
      </c>
      <c r="AY10" t="e">
        <f>AND('BBP complete'!D553,"AAAAAD/+7DI=")</f>
        <v>#VALUE!</v>
      </c>
      <c r="AZ10" t="e">
        <f>AND('BBP complete'!E553,"AAAAAD/+7DM=")</f>
        <v>#VALUE!</v>
      </c>
      <c r="BA10" t="e">
        <f>AND('BBP complete'!F553,"AAAAAD/+7DQ=")</f>
        <v>#VALUE!</v>
      </c>
      <c r="BB10" t="e">
        <f>AND('BBP complete'!G553,"AAAAAD/+7DU=")</f>
        <v>#VALUE!</v>
      </c>
      <c r="BC10" t="e">
        <f>AND('BBP complete'!H553,"AAAAAD/+7DY=")</f>
        <v>#VALUE!</v>
      </c>
      <c r="BD10" t="e">
        <f>AND('BBP complete'!I553,"AAAAAD/+7Dc=")</f>
        <v>#VALUE!</v>
      </c>
      <c r="BE10" s="60" t="e">
        <v>#VALUE!</v>
      </c>
      <c r="BF10" t="e">
        <f>AND('BBP complete'!A554,"AAAAAD/+7Dk=")</f>
        <v>#VALUE!</v>
      </c>
      <c r="BG10" t="e">
        <f>AND('BBP complete'!B554,"AAAAAD/+7Do=")</f>
        <v>#VALUE!</v>
      </c>
      <c r="BH10" t="e">
        <f>AND('BBP complete'!C554,"AAAAAD/+7Ds=")</f>
        <v>#VALUE!</v>
      </c>
      <c r="BI10" t="e">
        <f>AND('BBP complete'!D554,"AAAAAD/+7Dw=")</f>
        <v>#VALUE!</v>
      </c>
      <c r="BJ10" t="e">
        <f>AND('BBP complete'!E554,"AAAAAD/+7D0=")</f>
        <v>#VALUE!</v>
      </c>
      <c r="BK10" t="e">
        <f>AND('BBP complete'!F554,"AAAAAD/+7D4=")</f>
        <v>#VALUE!</v>
      </c>
      <c r="BL10" t="e">
        <f>AND('BBP complete'!G554,"AAAAAD/+7D8=")</f>
        <v>#VALUE!</v>
      </c>
      <c r="BM10" t="e">
        <f>AND('BBP complete'!H554,"AAAAAD/+7EA=")</f>
        <v>#VALUE!</v>
      </c>
      <c r="BN10" t="e">
        <f>AND('BBP complete'!I554,"AAAAAD/+7EE=")</f>
        <v>#VALUE!</v>
      </c>
      <c r="BO10" s="60" t="e">
        <v>#VALUE!</v>
      </c>
      <c r="BP10" t="e">
        <f>AND('BBP complete'!A555,"AAAAAD/+7EM=")</f>
        <v>#VALUE!</v>
      </c>
      <c r="BQ10" t="e">
        <f>AND('BBP complete'!B555,"AAAAAD/+7EQ=")</f>
        <v>#VALUE!</v>
      </c>
      <c r="BR10" t="e">
        <f>AND('BBP complete'!C555,"AAAAAD/+7EU=")</f>
        <v>#VALUE!</v>
      </c>
      <c r="BS10" t="e">
        <f>AND('BBP complete'!D555,"AAAAAD/+7EY=")</f>
        <v>#VALUE!</v>
      </c>
      <c r="BT10" t="e">
        <f>AND('BBP complete'!E555,"AAAAAD/+7Ec=")</f>
        <v>#VALUE!</v>
      </c>
      <c r="BU10" t="e">
        <f>AND('BBP complete'!F555,"AAAAAD/+7Eg=")</f>
        <v>#VALUE!</v>
      </c>
      <c r="BV10" t="e">
        <f>AND('BBP complete'!G555,"AAAAAD/+7Ek=")</f>
        <v>#VALUE!</v>
      </c>
      <c r="BW10" t="e">
        <f>AND('BBP complete'!H555,"AAAAAD/+7Eo=")</f>
        <v>#VALUE!</v>
      </c>
      <c r="BX10" t="e">
        <f>AND('BBP complete'!I555,"AAAAAD/+7Es=")</f>
        <v>#VALUE!</v>
      </c>
      <c r="BY10" s="60" t="e">
        <v>#VALUE!</v>
      </c>
      <c r="BZ10" t="e">
        <f>AND('BBP complete'!A556,"AAAAAD/+7E0=")</f>
        <v>#VALUE!</v>
      </c>
      <c r="CA10" t="e">
        <f>AND('BBP complete'!B556,"AAAAAD/+7E4=")</f>
        <v>#VALUE!</v>
      </c>
      <c r="CB10" t="e">
        <f>AND('BBP complete'!C556,"AAAAAD/+7E8=")</f>
        <v>#VALUE!</v>
      </c>
      <c r="CC10" t="e">
        <f>AND('BBP complete'!D556,"AAAAAD/+7FA=")</f>
        <v>#VALUE!</v>
      </c>
      <c r="CD10" t="e">
        <f>AND('BBP complete'!E556,"AAAAAD/+7FE=")</f>
        <v>#VALUE!</v>
      </c>
      <c r="CE10" t="e">
        <f>AND('BBP complete'!F556,"AAAAAD/+7FI=")</f>
        <v>#VALUE!</v>
      </c>
      <c r="CF10" t="e">
        <f>AND('BBP complete'!G556,"AAAAAD/+7FM=")</f>
        <v>#VALUE!</v>
      </c>
      <c r="CG10" t="e">
        <f>AND('BBP complete'!H556,"AAAAAD/+7FQ=")</f>
        <v>#VALUE!</v>
      </c>
      <c r="CH10" t="e">
        <f>AND('BBP complete'!I556,"AAAAAD/+7FU=")</f>
        <v>#VALUE!</v>
      </c>
      <c r="CI10" s="60" t="e">
        <v>#VALUE!</v>
      </c>
      <c r="CJ10" t="e">
        <f>AND('BBP complete'!A557,"AAAAAD/+7Fc=")</f>
        <v>#VALUE!</v>
      </c>
      <c r="CK10" t="e">
        <f>AND('BBP complete'!B557,"AAAAAD/+7Fg=")</f>
        <v>#VALUE!</v>
      </c>
      <c r="CL10" t="e">
        <f>AND('BBP complete'!C557,"AAAAAD/+7Fk=")</f>
        <v>#VALUE!</v>
      </c>
      <c r="CM10" t="e">
        <f>AND('BBP complete'!D557,"AAAAAD/+7Fo=")</f>
        <v>#VALUE!</v>
      </c>
      <c r="CN10" t="e">
        <f>AND('BBP complete'!E557,"AAAAAD/+7Fs=")</f>
        <v>#VALUE!</v>
      </c>
      <c r="CO10" t="e">
        <f>AND('BBP complete'!F557,"AAAAAD/+7Fw=")</f>
        <v>#VALUE!</v>
      </c>
      <c r="CP10" t="e">
        <f>AND('BBP complete'!G557,"AAAAAD/+7F0=")</f>
        <v>#VALUE!</v>
      </c>
      <c r="CQ10" t="e">
        <f>AND('BBP complete'!H557,"AAAAAD/+7F4=")</f>
        <v>#VALUE!</v>
      </c>
      <c r="CR10" t="e">
        <f>AND('BBP complete'!I557,"AAAAAD/+7F8=")</f>
        <v>#VALUE!</v>
      </c>
      <c r="CS10" s="60" t="e">
        <v>#VALUE!</v>
      </c>
      <c r="CT10" t="e">
        <f>AND('BBP complete'!A558,"AAAAAD/+7GE=")</f>
        <v>#VALUE!</v>
      </c>
      <c r="CU10" t="e">
        <f>AND('BBP complete'!B558,"AAAAAD/+7GI=")</f>
        <v>#VALUE!</v>
      </c>
      <c r="CV10" t="e">
        <f>AND('BBP complete'!C558,"AAAAAD/+7GM=")</f>
        <v>#VALUE!</v>
      </c>
      <c r="CW10" t="e">
        <f>AND('BBP complete'!D558,"AAAAAD/+7GQ=")</f>
        <v>#VALUE!</v>
      </c>
      <c r="CX10" t="e">
        <f>AND('BBP complete'!E558,"AAAAAD/+7GU=")</f>
        <v>#VALUE!</v>
      </c>
      <c r="CY10" t="e">
        <f>AND('BBP complete'!F558,"AAAAAD/+7GY=")</f>
        <v>#VALUE!</v>
      </c>
      <c r="CZ10" t="e">
        <f>AND('BBP complete'!G558,"AAAAAD/+7Gc=")</f>
        <v>#VALUE!</v>
      </c>
      <c r="DA10" t="e">
        <f>AND('BBP complete'!H558,"AAAAAD/+7Gg=")</f>
        <v>#VALUE!</v>
      </c>
      <c r="DB10" t="e">
        <f>AND('BBP complete'!I558,"AAAAAD/+7Gk=")</f>
        <v>#VALUE!</v>
      </c>
      <c r="DC10" s="60" t="e">
        <v>#VALUE!</v>
      </c>
      <c r="DD10" t="e">
        <f>AND('BBP complete'!A559,"AAAAAD/+7Gs=")</f>
        <v>#VALUE!</v>
      </c>
      <c r="DE10" t="e">
        <f>AND('BBP complete'!B559,"AAAAAD/+7Gw=")</f>
        <v>#VALUE!</v>
      </c>
      <c r="DF10" t="e">
        <f>AND('BBP complete'!C559,"AAAAAD/+7G0=")</f>
        <v>#VALUE!</v>
      </c>
      <c r="DG10" t="e">
        <f>AND('BBP complete'!D559,"AAAAAD/+7G4=")</f>
        <v>#VALUE!</v>
      </c>
      <c r="DH10" t="e">
        <f>AND('BBP complete'!E559,"AAAAAD/+7G8=")</f>
        <v>#VALUE!</v>
      </c>
      <c r="DI10" t="e">
        <f>AND('BBP complete'!F559,"AAAAAD/+7HA=")</f>
        <v>#VALUE!</v>
      </c>
      <c r="DJ10" t="e">
        <f>AND('BBP complete'!G559,"AAAAAD/+7HE=")</f>
        <v>#VALUE!</v>
      </c>
      <c r="DK10" t="e">
        <f>AND('BBP complete'!H559,"AAAAAD/+7HI=")</f>
        <v>#VALUE!</v>
      </c>
      <c r="DL10" t="e">
        <f>AND('BBP complete'!I559,"AAAAAD/+7HM=")</f>
        <v>#VALUE!</v>
      </c>
      <c r="DM10" s="60" t="e">
        <v>#VALUE!</v>
      </c>
      <c r="DN10" t="e">
        <f>AND('BBP complete'!A560,"AAAAAD/+7HU=")</f>
        <v>#VALUE!</v>
      </c>
      <c r="DO10" t="e">
        <f>AND('BBP complete'!B560,"AAAAAD/+7HY=")</f>
        <v>#VALUE!</v>
      </c>
      <c r="DP10" t="e">
        <f>AND('BBP complete'!C560,"AAAAAD/+7Hc=")</f>
        <v>#VALUE!</v>
      </c>
      <c r="DQ10" t="e">
        <f>AND('BBP complete'!D560,"AAAAAD/+7Hg=")</f>
        <v>#VALUE!</v>
      </c>
      <c r="DR10" t="e">
        <f>AND('BBP complete'!E560,"AAAAAD/+7Hk=")</f>
        <v>#VALUE!</v>
      </c>
      <c r="DS10" t="e">
        <f>AND('BBP complete'!F560,"AAAAAD/+7Ho=")</f>
        <v>#VALUE!</v>
      </c>
      <c r="DT10" t="e">
        <f>AND('BBP complete'!G560,"AAAAAD/+7Hs=")</f>
        <v>#VALUE!</v>
      </c>
      <c r="DU10" t="e">
        <f>AND('BBP complete'!H560,"AAAAAD/+7Hw=")</f>
        <v>#VALUE!</v>
      </c>
      <c r="DV10" t="e">
        <f>AND('BBP complete'!I560,"AAAAAD/+7H0=")</f>
        <v>#VALUE!</v>
      </c>
      <c r="DW10" s="60" t="e">
        <v>#VALUE!</v>
      </c>
      <c r="DX10" t="e">
        <f>AND('BBP complete'!A561,"AAAAAD/+7H8=")</f>
        <v>#VALUE!</v>
      </c>
      <c r="DY10" t="e">
        <f>AND('BBP complete'!B561,"AAAAAD/+7IA=")</f>
        <v>#VALUE!</v>
      </c>
      <c r="DZ10" t="e">
        <f>AND('BBP complete'!C561,"AAAAAD/+7IE=")</f>
        <v>#VALUE!</v>
      </c>
      <c r="EA10" t="e">
        <f>AND('BBP complete'!D561,"AAAAAD/+7II=")</f>
        <v>#VALUE!</v>
      </c>
      <c r="EB10" t="e">
        <f>AND('BBP complete'!E561,"AAAAAD/+7IM=")</f>
        <v>#VALUE!</v>
      </c>
      <c r="EC10" t="e">
        <f>AND('BBP complete'!F561,"AAAAAD/+7IQ=")</f>
        <v>#VALUE!</v>
      </c>
      <c r="ED10" t="e">
        <f>AND('BBP complete'!G561,"AAAAAD/+7IU=")</f>
        <v>#VALUE!</v>
      </c>
      <c r="EE10" t="e">
        <f>AND('BBP complete'!H561,"AAAAAD/+7IY=")</f>
        <v>#VALUE!</v>
      </c>
      <c r="EF10" t="e">
        <f>AND('BBP complete'!I561,"AAAAAD/+7Ic=")</f>
        <v>#VALUE!</v>
      </c>
      <c r="EG10" s="60" t="e">
        <v>#VALUE!</v>
      </c>
      <c r="EH10" t="e">
        <f>AND('BBP complete'!A562,"AAAAAD/+7Ik=")</f>
        <v>#VALUE!</v>
      </c>
      <c r="EI10" t="e">
        <f>AND('BBP complete'!B562,"AAAAAD/+7Io=")</f>
        <v>#VALUE!</v>
      </c>
      <c r="EJ10" t="e">
        <f>AND('BBP complete'!C562,"AAAAAD/+7Is=")</f>
        <v>#VALUE!</v>
      </c>
      <c r="EK10" t="e">
        <f>AND('BBP complete'!D562,"AAAAAD/+7Iw=")</f>
        <v>#VALUE!</v>
      </c>
      <c r="EL10" t="e">
        <f>AND('BBP complete'!E562,"AAAAAD/+7I0=")</f>
        <v>#VALUE!</v>
      </c>
      <c r="EM10" t="e">
        <f>AND('BBP complete'!F562,"AAAAAD/+7I4=")</f>
        <v>#VALUE!</v>
      </c>
      <c r="EN10" t="e">
        <f>AND('BBP complete'!G562,"AAAAAD/+7I8=")</f>
        <v>#VALUE!</v>
      </c>
      <c r="EO10" t="e">
        <f>AND('BBP complete'!H562,"AAAAAD/+7JA=")</f>
        <v>#VALUE!</v>
      </c>
      <c r="EP10" t="e">
        <f>AND('BBP complete'!I562,"AAAAAD/+7JE=")</f>
        <v>#VALUE!</v>
      </c>
      <c r="EQ10" s="60" t="e">
        <v>#VALUE!</v>
      </c>
      <c r="ER10" t="e">
        <f>AND('BBP complete'!A563,"AAAAAD/+7JM=")</f>
        <v>#VALUE!</v>
      </c>
      <c r="ES10" t="e">
        <f>AND('BBP complete'!B563,"AAAAAD/+7JQ=")</f>
        <v>#VALUE!</v>
      </c>
      <c r="ET10" t="e">
        <f>AND('BBP complete'!C563,"AAAAAD/+7JU=")</f>
        <v>#VALUE!</v>
      </c>
      <c r="EU10" t="e">
        <f>AND('BBP complete'!D563,"AAAAAD/+7JY=")</f>
        <v>#VALUE!</v>
      </c>
      <c r="EV10" t="e">
        <f>AND('BBP complete'!E563,"AAAAAD/+7Jc=")</f>
        <v>#VALUE!</v>
      </c>
      <c r="EW10" t="e">
        <f>AND('BBP complete'!F563,"AAAAAD/+7Jg=")</f>
        <v>#VALUE!</v>
      </c>
      <c r="EX10" t="e">
        <f>AND('BBP complete'!G563,"AAAAAD/+7Jk=")</f>
        <v>#VALUE!</v>
      </c>
      <c r="EY10" t="e">
        <f>AND('BBP complete'!H563,"AAAAAD/+7Jo=")</f>
        <v>#VALUE!</v>
      </c>
      <c r="EZ10" t="e">
        <f>AND('BBP complete'!I563,"AAAAAD/+7Js=")</f>
        <v>#VALUE!</v>
      </c>
      <c r="FA10" s="60" t="e">
        <v>#VALUE!</v>
      </c>
      <c r="FB10" t="e">
        <f>AND('BBP complete'!A564,"AAAAAD/+7J0=")</f>
        <v>#VALUE!</v>
      </c>
      <c r="FC10" t="e">
        <f>AND('BBP complete'!B564,"AAAAAD/+7J4=")</f>
        <v>#VALUE!</v>
      </c>
      <c r="FD10" t="e">
        <f>AND('BBP complete'!C564,"AAAAAD/+7J8=")</f>
        <v>#VALUE!</v>
      </c>
      <c r="FE10" t="e">
        <f>AND('BBP complete'!D564,"AAAAAD/+7KA=")</f>
        <v>#VALUE!</v>
      </c>
      <c r="FF10" t="e">
        <f>AND('BBP complete'!E564,"AAAAAD/+7KE=")</f>
        <v>#VALUE!</v>
      </c>
      <c r="FG10" t="e">
        <f>AND('BBP complete'!F564,"AAAAAD/+7KI=")</f>
        <v>#VALUE!</v>
      </c>
      <c r="FH10" t="e">
        <f>AND('BBP complete'!G564,"AAAAAD/+7KM=")</f>
        <v>#VALUE!</v>
      </c>
      <c r="FI10" t="e">
        <f>AND('BBP complete'!H564,"AAAAAD/+7KQ=")</f>
        <v>#VALUE!</v>
      </c>
      <c r="FJ10" t="e">
        <f>AND('BBP complete'!I564,"AAAAAD/+7KU=")</f>
        <v>#VALUE!</v>
      </c>
      <c r="FK10" s="60" t="e">
        <v>#VALUE!</v>
      </c>
      <c r="FL10" t="e">
        <f>AND('BBP complete'!A565,"AAAAAD/+7Kc=")</f>
        <v>#VALUE!</v>
      </c>
      <c r="FM10" t="e">
        <f>AND('BBP complete'!B565,"AAAAAD/+7Kg=")</f>
        <v>#VALUE!</v>
      </c>
      <c r="FN10" t="e">
        <f>AND('BBP complete'!C565,"AAAAAD/+7Kk=")</f>
        <v>#VALUE!</v>
      </c>
      <c r="FO10" t="e">
        <f>AND('BBP complete'!D565,"AAAAAD/+7Ko=")</f>
        <v>#VALUE!</v>
      </c>
      <c r="FP10" t="e">
        <f>AND('BBP complete'!E565,"AAAAAD/+7Ks=")</f>
        <v>#VALUE!</v>
      </c>
      <c r="FQ10" t="e">
        <f>AND('BBP complete'!F565,"AAAAAD/+7Kw=")</f>
        <v>#VALUE!</v>
      </c>
      <c r="FR10" t="e">
        <f>AND('BBP complete'!G565,"AAAAAD/+7K0=")</f>
        <v>#VALUE!</v>
      </c>
      <c r="FS10" t="e">
        <f>AND('BBP complete'!H565,"AAAAAD/+7K4=")</f>
        <v>#VALUE!</v>
      </c>
      <c r="FT10" t="e">
        <f>AND('BBP complete'!I565,"AAAAAD/+7K8=")</f>
        <v>#VALUE!</v>
      </c>
      <c r="FU10" s="60" t="e">
        <v>#VALUE!</v>
      </c>
      <c r="FV10" t="e">
        <f>AND('BBP complete'!A566,"AAAAAD/+7LE=")</f>
        <v>#VALUE!</v>
      </c>
      <c r="FW10" t="e">
        <f>AND('BBP complete'!B566,"AAAAAD/+7LI=")</f>
        <v>#VALUE!</v>
      </c>
      <c r="FX10" t="e">
        <f>AND('BBP complete'!C566,"AAAAAD/+7LM=")</f>
        <v>#VALUE!</v>
      </c>
      <c r="FY10" t="e">
        <f>AND('BBP complete'!D566,"AAAAAD/+7LQ=")</f>
        <v>#VALUE!</v>
      </c>
      <c r="FZ10" t="e">
        <f>AND('BBP complete'!E566,"AAAAAD/+7LU=")</f>
        <v>#VALUE!</v>
      </c>
      <c r="GA10" t="e">
        <f>AND('BBP complete'!F566,"AAAAAD/+7LY=")</f>
        <v>#VALUE!</v>
      </c>
      <c r="GB10" t="e">
        <f>AND('BBP complete'!G566,"AAAAAD/+7Lc=")</f>
        <v>#VALUE!</v>
      </c>
      <c r="GC10" t="e">
        <f>AND('BBP complete'!H566,"AAAAAD/+7Lg=")</f>
        <v>#VALUE!</v>
      </c>
      <c r="GD10" t="e">
        <f>AND('BBP complete'!I566,"AAAAAD/+7Lk=")</f>
        <v>#VALUE!</v>
      </c>
      <c r="GE10" s="60" t="e">
        <v>#VALUE!</v>
      </c>
      <c r="GF10" t="e">
        <f>AND('BBP complete'!A567,"AAAAAD/+7Ls=")</f>
        <v>#VALUE!</v>
      </c>
      <c r="GG10" t="e">
        <f>AND('BBP complete'!B567,"AAAAAD/+7Lw=")</f>
        <v>#VALUE!</v>
      </c>
      <c r="GH10" t="e">
        <f>AND('BBP complete'!C567,"AAAAAD/+7L0=")</f>
        <v>#VALUE!</v>
      </c>
      <c r="GI10" t="e">
        <f>AND('BBP complete'!D567,"AAAAAD/+7L4=")</f>
        <v>#VALUE!</v>
      </c>
      <c r="GJ10" t="e">
        <f>AND('BBP complete'!E567,"AAAAAD/+7L8=")</f>
        <v>#VALUE!</v>
      </c>
      <c r="GK10" t="e">
        <f>AND('BBP complete'!F567,"AAAAAD/+7MA=")</f>
        <v>#VALUE!</v>
      </c>
      <c r="GL10" t="e">
        <f>AND('BBP complete'!G567,"AAAAAD/+7ME=")</f>
        <v>#VALUE!</v>
      </c>
      <c r="GM10" t="e">
        <f>AND('BBP complete'!H567,"AAAAAD/+7MI=")</f>
        <v>#VALUE!</v>
      </c>
      <c r="GN10" t="e">
        <f>AND('BBP complete'!I567,"AAAAAD/+7MM=")</f>
        <v>#VALUE!</v>
      </c>
      <c r="GO10" s="60" t="e">
        <v>#VALUE!</v>
      </c>
      <c r="GP10" t="e">
        <f>AND('BBP complete'!A568,"AAAAAD/+7MU=")</f>
        <v>#VALUE!</v>
      </c>
      <c r="GQ10" t="e">
        <f>AND('BBP complete'!B568,"AAAAAD/+7MY=")</f>
        <v>#VALUE!</v>
      </c>
      <c r="GR10" t="e">
        <f>AND('BBP complete'!C568,"AAAAAD/+7Mc=")</f>
        <v>#VALUE!</v>
      </c>
      <c r="GS10" t="e">
        <f>AND('BBP complete'!D568,"AAAAAD/+7Mg=")</f>
        <v>#VALUE!</v>
      </c>
      <c r="GT10" t="e">
        <f>AND('BBP complete'!E568,"AAAAAD/+7Mk=")</f>
        <v>#VALUE!</v>
      </c>
      <c r="GU10" t="e">
        <f>AND('BBP complete'!F568,"AAAAAD/+7Mo=")</f>
        <v>#VALUE!</v>
      </c>
      <c r="GV10" t="e">
        <f>AND('BBP complete'!G568,"AAAAAD/+7Ms=")</f>
        <v>#VALUE!</v>
      </c>
      <c r="GW10" t="e">
        <f>AND('BBP complete'!H568,"AAAAAD/+7Mw=")</f>
        <v>#VALUE!</v>
      </c>
      <c r="GX10" t="e">
        <f>AND('BBP complete'!I568,"AAAAAD/+7M0=")</f>
        <v>#VALUE!</v>
      </c>
      <c r="GY10" s="60" t="e">
        <v>#VALUE!</v>
      </c>
      <c r="GZ10" t="e">
        <f>AND('BBP complete'!A569,"AAAAAD/+7M8=")</f>
        <v>#VALUE!</v>
      </c>
      <c r="HA10" t="e">
        <f>AND('BBP complete'!B569,"AAAAAD/+7NA=")</f>
        <v>#VALUE!</v>
      </c>
      <c r="HB10" t="e">
        <f>AND('BBP complete'!C569,"AAAAAD/+7NE=")</f>
        <v>#VALUE!</v>
      </c>
      <c r="HC10" t="e">
        <f>AND('BBP complete'!D569,"AAAAAD/+7NI=")</f>
        <v>#VALUE!</v>
      </c>
      <c r="HD10" t="e">
        <f>AND('BBP complete'!E569,"AAAAAD/+7NM=")</f>
        <v>#VALUE!</v>
      </c>
      <c r="HE10" t="e">
        <f>AND('BBP complete'!F569,"AAAAAD/+7NQ=")</f>
        <v>#VALUE!</v>
      </c>
      <c r="HF10" t="e">
        <f>AND('BBP complete'!G569,"AAAAAD/+7NU=")</f>
        <v>#VALUE!</v>
      </c>
      <c r="HG10" t="e">
        <f>AND('BBP complete'!H569,"AAAAAD/+7NY=")</f>
        <v>#VALUE!</v>
      </c>
      <c r="HH10" t="e">
        <f>AND('BBP complete'!I569,"AAAAAD/+7Nc=")</f>
        <v>#VALUE!</v>
      </c>
      <c r="HI10" s="60" t="e">
        <v>#VALUE!</v>
      </c>
      <c r="HJ10" t="e">
        <f>AND('BBP complete'!A570,"AAAAAD/+7Nk=")</f>
        <v>#VALUE!</v>
      </c>
      <c r="HK10" t="e">
        <f>AND('BBP complete'!B570,"AAAAAD/+7No=")</f>
        <v>#VALUE!</v>
      </c>
      <c r="HL10" t="e">
        <f>AND('BBP complete'!C570,"AAAAAD/+7Ns=")</f>
        <v>#VALUE!</v>
      </c>
      <c r="HM10" t="e">
        <f>AND('BBP complete'!D570,"AAAAAD/+7Nw=")</f>
        <v>#VALUE!</v>
      </c>
      <c r="HN10" t="e">
        <f>AND('BBP complete'!E570,"AAAAAD/+7N0=")</f>
        <v>#VALUE!</v>
      </c>
      <c r="HO10" t="e">
        <f>AND('BBP complete'!F570,"AAAAAD/+7N4=")</f>
        <v>#VALUE!</v>
      </c>
      <c r="HP10" t="e">
        <f>AND('BBP complete'!G570,"AAAAAD/+7N8=")</f>
        <v>#VALUE!</v>
      </c>
      <c r="HQ10" t="e">
        <f>AND('BBP complete'!H570,"AAAAAD/+7OA=")</f>
        <v>#VALUE!</v>
      </c>
      <c r="HR10" t="e">
        <f>AND('BBP complete'!I570,"AAAAAD/+7OE=")</f>
        <v>#VALUE!</v>
      </c>
      <c r="HS10" s="60" t="e">
        <v>#VALUE!</v>
      </c>
      <c r="HT10" t="e">
        <f>AND('BBP complete'!A571,"AAAAAD/+7OM=")</f>
        <v>#VALUE!</v>
      </c>
      <c r="HU10" t="e">
        <f>AND('BBP complete'!B571,"AAAAAD/+7OQ=")</f>
        <v>#VALUE!</v>
      </c>
      <c r="HV10" t="e">
        <f>AND('BBP complete'!C571,"AAAAAD/+7OU=")</f>
        <v>#VALUE!</v>
      </c>
      <c r="HW10" t="e">
        <f>AND('BBP complete'!D571,"AAAAAD/+7OY=")</f>
        <v>#VALUE!</v>
      </c>
      <c r="HX10" t="e">
        <f>AND('BBP complete'!E571,"AAAAAD/+7Oc=")</f>
        <v>#VALUE!</v>
      </c>
      <c r="HY10" t="e">
        <f>AND('BBP complete'!F571,"AAAAAD/+7Og=")</f>
        <v>#VALUE!</v>
      </c>
      <c r="HZ10" t="e">
        <f>AND('BBP complete'!G571,"AAAAAD/+7Ok=")</f>
        <v>#VALUE!</v>
      </c>
      <c r="IA10" t="e">
        <f>AND('BBP complete'!H571,"AAAAAD/+7Oo=")</f>
        <v>#VALUE!</v>
      </c>
      <c r="IB10" t="e">
        <f>AND('BBP complete'!I571,"AAAAAD/+7Os=")</f>
        <v>#VALUE!</v>
      </c>
      <c r="IC10" s="60" t="e">
        <v>#VALUE!</v>
      </c>
      <c r="ID10" t="e">
        <f>AND('BBP complete'!A572,"AAAAAD/+7O0=")</f>
        <v>#VALUE!</v>
      </c>
      <c r="IE10" t="e">
        <f>AND('BBP complete'!B572,"AAAAAD/+7O4=")</f>
        <v>#VALUE!</v>
      </c>
      <c r="IF10" t="e">
        <f>AND('BBP complete'!C572,"AAAAAD/+7O8=")</f>
        <v>#VALUE!</v>
      </c>
      <c r="IG10" t="e">
        <f>AND('BBP complete'!D572,"AAAAAD/+7PA=")</f>
        <v>#VALUE!</v>
      </c>
      <c r="IH10" t="e">
        <f>AND('BBP complete'!E572,"AAAAAD/+7PE=")</f>
        <v>#VALUE!</v>
      </c>
      <c r="II10" t="e">
        <f>AND('BBP complete'!F572,"AAAAAD/+7PI=")</f>
        <v>#VALUE!</v>
      </c>
      <c r="IJ10" t="e">
        <f>AND('BBP complete'!G572,"AAAAAD/+7PM=")</f>
        <v>#VALUE!</v>
      </c>
      <c r="IK10" t="e">
        <f>AND('BBP complete'!H572,"AAAAAD/+7PQ=")</f>
        <v>#VALUE!</v>
      </c>
      <c r="IL10" t="e">
        <f>AND('BBP complete'!I572,"AAAAAD/+7PU=")</f>
        <v>#VALUE!</v>
      </c>
      <c r="IM10" s="60" t="e">
        <v>#VALUE!</v>
      </c>
      <c r="IN10" t="e">
        <f>AND('BBP complete'!A573,"AAAAAD/+7Pc=")</f>
        <v>#VALUE!</v>
      </c>
      <c r="IO10" t="e">
        <f>AND('BBP complete'!B573,"AAAAAD/+7Pg=")</f>
        <v>#VALUE!</v>
      </c>
      <c r="IP10" t="e">
        <f>AND('BBP complete'!C573,"AAAAAD/+7Pk=")</f>
        <v>#VALUE!</v>
      </c>
      <c r="IQ10" t="e">
        <f>AND('BBP complete'!D573,"AAAAAD/+7Po=")</f>
        <v>#VALUE!</v>
      </c>
      <c r="IR10" t="e">
        <f>AND('BBP complete'!E573,"AAAAAD/+7Ps=")</f>
        <v>#VALUE!</v>
      </c>
      <c r="IS10" t="e">
        <f>AND('BBP complete'!F573,"AAAAAD/+7Pw=")</f>
        <v>#VALUE!</v>
      </c>
      <c r="IT10" t="e">
        <f>AND('BBP complete'!G573,"AAAAAD/+7P0=")</f>
        <v>#VALUE!</v>
      </c>
      <c r="IU10" t="e">
        <f>AND('BBP complete'!H573,"AAAAAD/+7P4=")</f>
        <v>#VALUE!</v>
      </c>
      <c r="IV10" t="e">
        <f>AND('BBP complete'!I573,"AAAAAD/+7P8=")</f>
        <v>#VALUE!</v>
      </c>
    </row>
    <row r="11" spans="1:256" ht="15" customHeight="1" x14ac:dyDescent="0.25">
      <c r="A11" s="60" t="e">
        <v>#VALUE!</v>
      </c>
      <c r="B11" t="e">
        <f>AND('BBP complete'!A574,"AAAAAFz9zwE=")</f>
        <v>#VALUE!</v>
      </c>
      <c r="C11" t="e">
        <f>AND('BBP complete'!B574,"AAAAAFz9zwI=")</f>
        <v>#VALUE!</v>
      </c>
      <c r="D11" t="e">
        <f>AND('BBP complete'!C574,"AAAAAFz9zwM=")</f>
        <v>#VALUE!</v>
      </c>
      <c r="E11" t="e">
        <f>AND('BBP complete'!D574,"AAAAAFz9zwQ=")</f>
        <v>#VALUE!</v>
      </c>
      <c r="F11" t="e">
        <f>AND('BBP complete'!E574,"AAAAAFz9zwU=")</f>
        <v>#VALUE!</v>
      </c>
      <c r="G11" t="e">
        <f>AND('BBP complete'!F574,"AAAAAFz9zwY=")</f>
        <v>#VALUE!</v>
      </c>
      <c r="H11" t="e">
        <f>AND('BBP complete'!G574,"AAAAAFz9zwc=")</f>
        <v>#VALUE!</v>
      </c>
      <c r="I11" t="e">
        <f>AND('BBP complete'!H574,"AAAAAFz9zwg=")</f>
        <v>#VALUE!</v>
      </c>
      <c r="J11" t="e">
        <f>AND('BBP complete'!I574,"AAAAAFz9zwk=")</f>
        <v>#VALUE!</v>
      </c>
      <c r="K11" s="60" t="e">
        <v>#VALUE!</v>
      </c>
      <c r="L11" t="e">
        <f>AND('BBP complete'!A575,"AAAAAFz9zws=")</f>
        <v>#VALUE!</v>
      </c>
      <c r="M11" t="e">
        <f>AND('BBP complete'!B575,"AAAAAFz9zww=")</f>
        <v>#VALUE!</v>
      </c>
      <c r="N11" t="e">
        <f>AND('BBP complete'!C575,"AAAAAFz9zw0=")</f>
        <v>#VALUE!</v>
      </c>
      <c r="O11" t="e">
        <f>AND('BBP complete'!D575,"AAAAAFz9zw4=")</f>
        <v>#VALUE!</v>
      </c>
      <c r="P11" t="e">
        <f>AND('BBP complete'!E575,"AAAAAFz9zw8=")</f>
        <v>#VALUE!</v>
      </c>
      <c r="Q11" t="e">
        <f>AND('BBP complete'!F575,"AAAAAFz9zxA=")</f>
        <v>#VALUE!</v>
      </c>
      <c r="R11" t="e">
        <f>AND('BBP complete'!G575,"AAAAAFz9zxE=")</f>
        <v>#VALUE!</v>
      </c>
      <c r="S11" t="e">
        <f>AND('BBP complete'!H575,"AAAAAFz9zxI=")</f>
        <v>#VALUE!</v>
      </c>
      <c r="T11" t="e">
        <f>AND('BBP complete'!I575,"AAAAAFz9zxM=")</f>
        <v>#VALUE!</v>
      </c>
      <c r="U11" s="60" t="e">
        <v>#VALUE!</v>
      </c>
      <c r="V11" t="e">
        <f>AND('BBP complete'!A576,"AAAAAFz9zxU=")</f>
        <v>#VALUE!</v>
      </c>
      <c r="W11" t="e">
        <f>AND('BBP complete'!B576,"AAAAAFz9zxY=")</f>
        <v>#VALUE!</v>
      </c>
      <c r="X11" t="e">
        <f>AND('BBP complete'!C576,"AAAAAFz9zxc=")</f>
        <v>#VALUE!</v>
      </c>
      <c r="Y11" t="e">
        <f>AND('BBP complete'!D576,"AAAAAFz9zxg=")</f>
        <v>#VALUE!</v>
      </c>
      <c r="Z11" t="e">
        <f>AND('BBP complete'!E576,"AAAAAFz9zxk=")</f>
        <v>#VALUE!</v>
      </c>
      <c r="AA11" t="e">
        <f>AND('BBP complete'!F576,"AAAAAFz9zxo=")</f>
        <v>#VALUE!</v>
      </c>
      <c r="AB11" t="e">
        <f>AND('BBP complete'!G576,"AAAAAFz9zxs=")</f>
        <v>#VALUE!</v>
      </c>
      <c r="AC11" t="e">
        <f>AND('BBP complete'!H576,"AAAAAFz9zxw=")</f>
        <v>#VALUE!</v>
      </c>
      <c r="AD11" t="e">
        <f>AND('BBP complete'!I576,"AAAAAFz9zx0=")</f>
        <v>#VALUE!</v>
      </c>
      <c r="AE11" s="60" t="e">
        <v>#VALUE!</v>
      </c>
      <c r="AF11" t="e">
        <f>AND('BBP complete'!A577,"AAAAAFz9zx8=")</f>
        <v>#VALUE!</v>
      </c>
      <c r="AG11" t="e">
        <f>AND('BBP complete'!B577,"AAAAAFz9zyA=")</f>
        <v>#VALUE!</v>
      </c>
      <c r="AH11" t="e">
        <f>AND('BBP complete'!C577,"AAAAAFz9zyE=")</f>
        <v>#VALUE!</v>
      </c>
      <c r="AI11" t="e">
        <f>AND('BBP complete'!D577,"AAAAAFz9zyI=")</f>
        <v>#VALUE!</v>
      </c>
      <c r="AJ11" t="e">
        <f>AND('BBP complete'!E577,"AAAAAFz9zyM=")</f>
        <v>#VALUE!</v>
      </c>
      <c r="AK11" t="e">
        <f>AND('BBP complete'!F577,"AAAAAFz9zyQ=")</f>
        <v>#VALUE!</v>
      </c>
      <c r="AL11" t="e">
        <f>AND('BBP complete'!G577,"AAAAAFz9zyU=")</f>
        <v>#VALUE!</v>
      </c>
      <c r="AM11" t="e">
        <f>AND('BBP complete'!H577,"AAAAAFz9zyY=")</f>
        <v>#VALUE!</v>
      </c>
      <c r="AN11" t="e">
        <f>AND('BBP complete'!I577,"AAAAAFz9zyc=")</f>
        <v>#VALUE!</v>
      </c>
      <c r="AO11" s="60" t="e">
        <v>#VALUE!</v>
      </c>
      <c r="AP11" t="e">
        <f>AND('BBP complete'!A578,"AAAAAFz9zyk=")</f>
        <v>#VALUE!</v>
      </c>
      <c r="AQ11" t="e">
        <f>AND('BBP complete'!B578,"AAAAAFz9zyo=")</f>
        <v>#VALUE!</v>
      </c>
      <c r="AR11" t="e">
        <f>AND('BBP complete'!C578,"AAAAAFz9zys=")</f>
        <v>#VALUE!</v>
      </c>
      <c r="AS11" t="e">
        <f>AND('BBP complete'!D578,"AAAAAFz9zyw=")</f>
        <v>#VALUE!</v>
      </c>
      <c r="AT11" t="e">
        <f>AND('BBP complete'!E578,"AAAAAFz9zy0=")</f>
        <v>#VALUE!</v>
      </c>
      <c r="AU11" t="e">
        <f>AND('BBP complete'!F578,"AAAAAFz9zy4=")</f>
        <v>#VALUE!</v>
      </c>
      <c r="AV11" t="e">
        <f>AND('BBP complete'!G578,"AAAAAFz9zy8=")</f>
        <v>#VALUE!</v>
      </c>
      <c r="AW11" t="e">
        <f>AND('BBP complete'!H578,"AAAAAFz9zzA=")</f>
        <v>#VALUE!</v>
      </c>
      <c r="AX11" t="e">
        <f>AND('BBP complete'!I578,"AAAAAFz9zzE=")</f>
        <v>#VALUE!</v>
      </c>
      <c r="AY11" s="60" t="e">
        <v>#VALUE!</v>
      </c>
      <c r="AZ11" t="e">
        <f>AND('BBP complete'!A579,"AAAAAFz9zzM=")</f>
        <v>#VALUE!</v>
      </c>
      <c r="BA11" t="e">
        <f>AND('BBP complete'!B579,"AAAAAFz9zzQ=")</f>
        <v>#VALUE!</v>
      </c>
      <c r="BB11" t="e">
        <f>AND('BBP complete'!C579,"AAAAAFz9zzU=")</f>
        <v>#VALUE!</v>
      </c>
      <c r="BC11" t="e">
        <f>AND('BBP complete'!D579,"AAAAAFz9zzY=")</f>
        <v>#VALUE!</v>
      </c>
      <c r="BD11" t="e">
        <f>AND('BBP complete'!E579,"AAAAAFz9zzc=")</f>
        <v>#VALUE!</v>
      </c>
      <c r="BE11" t="e">
        <f>AND('BBP complete'!F579,"AAAAAFz9zzg=")</f>
        <v>#VALUE!</v>
      </c>
      <c r="BF11" t="e">
        <f>AND('BBP complete'!G579,"AAAAAFz9zzk=")</f>
        <v>#VALUE!</v>
      </c>
      <c r="BG11" t="e">
        <f>AND('BBP complete'!H579,"AAAAAFz9zzo=")</f>
        <v>#VALUE!</v>
      </c>
      <c r="BH11" t="e">
        <f>AND('BBP complete'!I579,"AAAAAFz9zzs=")</f>
        <v>#VALUE!</v>
      </c>
      <c r="BI11" s="60" t="e">
        <v>#VALUE!</v>
      </c>
      <c r="BJ11" t="e">
        <f>AND('BBP complete'!A580,"AAAAAFz9zz0=")</f>
        <v>#VALUE!</v>
      </c>
      <c r="BK11" t="e">
        <f>AND('BBP complete'!B580,"AAAAAFz9zz4=")</f>
        <v>#VALUE!</v>
      </c>
      <c r="BL11" t="e">
        <f>AND('BBP complete'!C580,"AAAAAFz9zz8=")</f>
        <v>#VALUE!</v>
      </c>
      <c r="BM11" t="e">
        <f>AND('BBP complete'!D580,"AAAAAFz9z0A=")</f>
        <v>#VALUE!</v>
      </c>
      <c r="BN11" t="e">
        <f>AND('BBP complete'!E580,"AAAAAFz9z0E=")</f>
        <v>#VALUE!</v>
      </c>
      <c r="BO11" t="e">
        <f>AND('BBP complete'!F580,"AAAAAFz9z0I=")</f>
        <v>#VALUE!</v>
      </c>
      <c r="BP11" t="e">
        <f>AND('BBP complete'!G580,"AAAAAFz9z0M=")</f>
        <v>#VALUE!</v>
      </c>
      <c r="BQ11" t="e">
        <f>AND('BBP complete'!H580,"AAAAAFz9z0Q=")</f>
        <v>#VALUE!</v>
      </c>
      <c r="BR11" t="e">
        <f>AND('BBP complete'!I580,"AAAAAFz9z0U=")</f>
        <v>#VALUE!</v>
      </c>
      <c r="BS11" s="60" t="e">
        <v>#VALUE!</v>
      </c>
      <c r="BT11" t="e">
        <f>AND('BBP complete'!A581,"AAAAAFz9z0c=")</f>
        <v>#VALUE!</v>
      </c>
      <c r="BU11" t="e">
        <f>AND('BBP complete'!B581,"AAAAAFz9z0g=")</f>
        <v>#VALUE!</v>
      </c>
      <c r="BV11" t="e">
        <f>AND('BBP complete'!C581,"AAAAAFz9z0k=")</f>
        <v>#VALUE!</v>
      </c>
      <c r="BW11" t="e">
        <f>AND('BBP complete'!D581,"AAAAAFz9z0o=")</f>
        <v>#VALUE!</v>
      </c>
      <c r="BX11" t="e">
        <f>AND('BBP complete'!E581,"AAAAAFz9z0s=")</f>
        <v>#VALUE!</v>
      </c>
      <c r="BY11" t="e">
        <f>AND('BBP complete'!F581,"AAAAAFz9z0w=")</f>
        <v>#VALUE!</v>
      </c>
      <c r="BZ11" t="e">
        <f>AND('BBP complete'!G581,"AAAAAFz9z00=")</f>
        <v>#VALUE!</v>
      </c>
      <c r="CA11" t="e">
        <f>AND('BBP complete'!H581,"AAAAAFz9z04=")</f>
        <v>#VALUE!</v>
      </c>
      <c r="CB11" t="e">
        <f>AND('BBP complete'!I581,"AAAAAFz9z08=")</f>
        <v>#VALUE!</v>
      </c>
      <c r="CC11" s="60" t="e">
        <v>#VALUE!</v>
      </c>
      <c r="CD11" t="e">
        <f>AND('BBP complete'!A582,"AAAAAFz9z1E=")</f>
        <v>#VALUE!</v>
      </c>
      <c r="CE11" t="e">
        <f>AND('BBP complete'!B582,"AAAAAFz9z1I=")</f>
        <v>#VALUE!</v>
      </c>
      <c r="CF11" t="e">
        <f>AND('BBP complete'!C582,"AAAAAFz9z1M=")</f>
        <v>#VALUE!</v>
      </c>
      <c r="CG11" t="e">
        <f>AND('BBP complete'!D582,"AAAAAFz9z1Q=")</f>
        <v>#VALUE!</v>
      </c>
      <c r="CH11" t="e">
        <f>AND('BBP complete'!E582,"AAAAAFz9z1U=")</f>
        <v>#VALUE!</v>
      </c>
      <c r="CI11" t="e">
        <f>AND('BBP complete'!F582,"AAAAAFz9z1Y=")</f>
        <v>#VALUE!</v>
      </c>
      <c r="CJ11" t="e">
        <f>AND('BBP complete'!G582,"AAAAAFz9z1c=")</f>
        <v>#VALUE!</v>
      </c>
      <c r="CK11" t="e">
        <f>AND('BBP complete'!H582,"AAAAAFz9z1g=")</f>
        <v>#VALUE!</v>
      </c>
      <c r="CL11" t="e">
        <f>AND('BBP complete'!I582,"AAAAAFz9z1k=")</f>
        <v>#VALUE!</v>
      </c>
      <c r="CM11" s="60" t="e">
        <v>#VALUE!</v>
      </c>
      <c r="CN11" t="e">
        <f>AND('BBP complete'!A583,"AAAAAFz9z1s=")</f>
        <v>#VALUE!</v>
      </c>
      <c r="CO11" t="e">
        <f>AND('BBP complete'!B583,"AAAAAFz9z1w=")</f>
        <v>#VALUE!</v>
      </c>
      <c r="CP11" t="e">
        <f>AND('BBP complete'!C583,"AAAAAFz9z10=")</f>
        <v>#VALUE!</v>
      </c>
      <c r="CQ11" t="e">
        <f>AND('BBP complete'!D583,"AAAAAFz9z14=")</f>
        <v>#VALUE!</v>
      </c>
      <c r="CR11" t="e">
        <f>AND('BBP complete'!E583,"AAAAAFz9z18=")</f>
        <v>#VALUE!</v>
      </c>
      <c r="CS11" t="e">
        <f>AND('BBP complete'!F583,"AAAAAFz9z2A=")</f>
        <v>#VALUE!</v>
      </c>
      <c r="CT11" t="e">
        <f>AND('BBP complete'!G583,"AAAAAFz9z2E=")</f>
        <v>#VALUE!</v>
      </c>
      <c r="CU11" t="e">
        <f>AND('BBP complete'!H583,"AAAAAFz9z2I=")</f>
        <v>#VALUE!</v>
      </c>
      <c r="CV11" t="e">
        <f>AND('BBP complete'!I583,"AAAAAFz9z2M=")</f>
        <v>#VALUE!</v>
      </c>
      <c r="CW11" s="60" t="e">
        <v>#VALUE!</v>
      </c>
      <c r="CX11" t="e">
        <f>AND('BBP complete'!A584,"AAAAAFz9z2U=")</f>
        <v>#VALUE!</v>
      </c>
      <c r="CY11" t="e">
        <f>AND('BBP complete'!B584,"AAAAAFz9z2Y=")</f>
        <v>#VALUE!</v>
      </c>
      <c r="CZ11" t="e">
        <f>AND('BBP complete'!C584,"AAAAAFz9z2c=")</f>
        <v>#VALUE!</v>
      </c>
      <c r="DA11" t="e">
        <f>AND('BBP complete'!D584,"AAAAAFz9z2g=")</f>
        <v>#VALUE!</v>
      </c>
      <c r="DB11" t="e">
        <f>AND('BBP complete'!E584,"AAAAAFz9z2k=")</f>
        <v>#VALUE!</v>
      </c>
      <c r="DC11" t="e">
        <f>AND('BBP complete'!F584,"AAAAAFz9z2o=")</f>
        <v>#VALUE!</v>
      </c>
      <c r="DD11" t="e">
        <f>AND('BBP complete'!G584,"AAAAAFz9z2s=")</f>
        <v>#VALUE!</v>
      </c>
      <c r="DE11" t="e">
        <f>AND('BBP complete'!H584,"AAAAAFz9z2w=")</f>
        <v>#VALUE!</v>
      </c>
      <c r="DF11" t="e">
        <f>AND('BBP complete'!I584,"AAAAAFz9z20=")</f>
        <v>#VALUE!</v>
      </c>
      <c r="DG11" s="60" t="e">
        <v>#VALUE!</v>
      </c>
      <c r="DH11" t="e">
        <f>AND('BBP complete'!A585,"AAAAAFz9z28=")</f>
        <v>#VALUE!</v>
      </c>
      <c r="DI11" t="e">
        <f>AND('BBP complete'!B585,"AAAAAFz9z3A=")</f>
        <v>#VALUE!</v>
      </c>
      <c r="DJ11" t="e">
        <f>AND('BBP complete'!C585,"AAAAAFz9z3E=")</f>
        <v>#VALUE!</v>
      </c>
      <c r="DK11" t="e">
        <f>AND('BBP complete'!D585,"AAAAAFz9z3I=")</f>
        <v>#VALUE!</v>
      </c>
      <c r="DL11" t="e">
        <f>AND('BBP complete'!E585,"AAAAAFz9z3M=")</f>
        <v>#VALUE!</v>
      </c>
      <c r="DM11" t="e">
        <f>AND('BBP complete'!F585,"AAAAAFz9z3Q=")</f>
        <v>#VALUE!</v>
      </c>
      <c r="DN11" t="e">
        <f>AND('BBP complete'!G585,"AAAAAFz9z3U=")</f>
        <v>#VALUE!</v>
      </c>
      <c r="DO11" t="e">
        <f>AND('BBP complete'!H585,"AAAAAFz9z3Y=")</f>
        <v>#VALUE!</v>
      </c>
      <c r="DP11" t="e">
        <f>AND('BBP complete'!I585,"AAAAAFz9z3c=")</f>
        <v>#VALUE!</v>
      </c>
      <c r="DQ11" s="60" t="e">
        <v>#VALUE!</v>
      </c>
      <c r="DR11" t="e">
        <f>AND('BBP complete'!A586,"AAAAAFz9z3k=")</f>
        <v>#VALUE!</v>
      </c>
      <c r="DS11" t="e">
        <f>AND('BBP complete'!B586,"AAAAAFz9z3o=")</f>
        <v>#VALUE!</v>
      </c>
      <c r="DT11" t="e">
        <f>AND('BBP complete'!C586,"AAAAAFz9z3s=")</f>
        <v>#VALUE!</v>
      </c>
      <c r="DU11" t="e">
        <f>AND('BBP complete'!D586,"AAAAAFz9z3w=")</f>
        <v>#VALUE!</v>
      </c>
      <c r="DV11" t="e">
        <f>AND('BBP complete'!E586,"AAAAAFz9z30=")</f>
        <v>#VALUE!</v>
      </c>
      <c r="DW11" t="e">
        <f>AND('BBP complete'!F586,"AAAAAFz9z34=")</f>
        <v>#VALUE!</v>
      </c>
      <c r="DX11" t="e">
        <f>AND('BBP complete'!G586,"AAAAAFz9z38=")</f>
        <v>#VALUE!</v>
      </c>
      <c r="DY11" t="e">
        <f>AND('BBP complete'!H586,"AAAAAFz9z4A=")</f>
        <v>#VALUE!</v>
      </c>
      <c r="DZ11" t="e">
        <f>AND('BBP complete'!I586,"AAAAAFz9z4E=")</f>
        <v>#VALUE!</v>
      </c>
      <c r="EA11" s="60" t="e">
        <v>#VALUE!</v>
      </c>
      <c r="EB11" t="e">
        <f>AND('BBP complete'!A587,"AAAAAFz9z4M=")</f>
        <v>#VALUE!</v>
      </c>
      <c r="EC11" t="e">
        <f>AND('BBP complete'!B587,"AAAAAFz9z4Q=")</f>
        <v>#VALUE!</v>
      </c>
      <c r="ED11" t="e">
        <f>AND('BBP complete'!C587,"AAAAAFz9z4U=")</f>
        <v>#VALUE!</v>
      </c>
      <c r="EE11" t="e">
        <f>AND('BBP complete'!D587,"AAAAAFz9z4Y=")</f>
        <v>#VALUE!</v>
      </c>
      <c r="EF11" t="e">
        <f>AND('BBP complete'!E587,"AAAAAFz9z4c=")</f>
        <v>#VALUE!</v>
      </c>
      <c r="EG11" t="e">
        <f>AND('BBP complete'!F587,"AAAAAFz9z4g=")</f>
        <v>#VALUE!</v>
      </c>
      <c r="EH11" t="e">
        <f>AND('BBP complete'!G587,"AAAAAFz9z4k=")</f>
        <v>#VALUE!</v>
      </c>
      <c r="EI11" t="e">
        <f>AND('BBP complete'!H587,"AAAAAFz9z4o=")</f>
        <v>#VALUE!</v>
      </c>
      <c r="EJ11" t="e">
        <f>AND('BBP complete'!I587,"AAAAAFz9z4s=")</f>
        <v>#VALUE!</v>
      </c>
      <c r="EK11" s="60" t="e">
        <v>#VALUE!</v>
      </c>
      <c r="EL11" t="e">
        <f>AND('BBP complete'!A588,"AAAAAFz9z40=")</f>
        <v>#VALUE!</v>
      </c>
      <c r="EM11" t="e">
        <f>AND('BBP complete'!B588,"AAAAAFz9z44=")</f>
        <v>#VALUE!</v>
      </c>
      <c r="EN11" t="e">
        <f>AND('BBP complete'!C588,"AAAAAFz9z48=")</f>
        <v>#VALUE!</v>
      </c>
      <c r="EO11" t="e">
        <f>AND('BBP complete'!D588,"AAAAAFz9z5A=")</f>
        <v>#VALUE!</v>
      </c>
      <c r="EP11" t="e">
        <f>AND('BBP complete'!E588,"AAAAAFz9z5E=")</f>
        <v>#VALUE!</v>
      </c>
      <c r="EQ11" t="e">
        <f>AND('BBP complete'!F588,"AAAAAFz9z5I=")</f>
        <v>#VALUE!</v>
      </c>
      <c r="ER11" t="e">
        <f>AND('BBP complete'!G588,"AAAAAFz9z5M=")</f>
        <v>#VALUE!</v>
      </c>
      <c r="ES11" t="e">
        <f>AND('BBP complete'!H588,"AAAAAFz9z5Q=")</f>
        <v>#VALUE!</v>
      </c>
      <c r="ET11" t="e">
        <f>AND('BBP complete'!I588,"AAAAAFz9z5U=")</f>
        <v>#VALUE!</v>
      </c>
      <c r="EU11" s="60" t="e">
        <v>#VALUE!</v>
      </c>
      <c r="EV11" t="e">
        <f>AND('BBP complete'!A589,"AAAAAFz9z5c=")</f>
        <v>#VALUE!</v>
      </c>
      <c r="EW11" t="e">
        <f>AND('BBP complete'!B589,"AAAAAFz9z5g=")</f>
        <v>#VALUE!</v>
      </c>
      <c r="EX11" t="e">
        <f>AND('BBP complete'!C589,"AAAAAFz9z5k=")</f>
        <v>#VALUE!</v>
      </c>
      <c r="EY11" t="e">
        <f>AND('BBP complete'!D589,"AAAAAFz9z5o=")</f>
        <v>#VALUE!</v>
      </c>
      <c r="EZ11" t="e">
        <f>AND('BBP complete'!E589,"AAAAAFz9z5s=")</f>
        <v>#VALUE!</v>
      </c>
      <c r="FA11" t="e">
        <f>AND('BBP complete'!F589,"AAAAAFz9z5w=")</f>
        <v>#VALUE!</v>
      </c>
      <c r="FB11" t="e">
        <f>AND('BBP complete'!G589,"AAAAAFz9z50=")</f>
        <v>#VALUE!</v>
      </c>
      <c r="FC11" t="e">
        <f>AND('BBP complete'!H589,"AAAAAFz9z54=")</f>
        <v>#VALUE!</v>
      </c>
      <c r="FD11" t="e">
        <f>AND('BBP complete'!I589,"AAAAAFz9z58=")</f>
        <v>#VALUE!</v>
      </c>
      <c r="FE11" s="60" t="e">
        <v>#VALUE!</v>
      </c>
      <c r="FF11" t="e">
        <f>AND('BBP complete'!A590,"AAAAAFz9z6E=")</f>
        <v>#VALUE!</v>
      </c>
      <c r="FG11" t="e">
        <f>AND('BBP complete'!B590,"AAAAAFz9z6I=")</f>
        <v>#VALUE!</v>
      </c>
      <c r="FH11" t="e">
        <f>AND('BBP complete'!C590,"AAAAAFz9z6M=")</f>
        <v>#VALUE!</v>
      </c>
      <c r="FI11" t="e">
        <f>AND('BBP complete'!D590,"AAAAAFz9z6Q=")</f>
        <v>#VALUE!</v>
      </c>
      <c r="FJ11" t="e">
        <f>AND('BBP complete'!E590,"AAAAAFz9z6U=")</f>
        <v>#VALUE!</v>
      </c>
      <c r="FK11" t="e">
        <f>AND('BBP complete'!F590,"AAAAAFz9z6Y=")</f>
        <v>#VALUE!</v>
      </c>
      <c r="FL11" t="e">
        <f>AND('BBP complete'!G590,"AAAAAFz9z6c=")</f>
        <v>#VALUE!</v>
      </c>
      <c r="FM11" t="e">
        <f>AND('BBP complete'!H590,"AAAAAFz9z6g=")</f>
        <v>#VALUE!</v>
      </c>
      <c r="FN11" t="e">
        <f>AND('BBP complete'!I590,"AAAAAFz9z6k=")</f>
        <v>#VALUE!</v>
      </c>
      <c r="FO11" s="60" t="e">
        <v>#VALUE!</v>
      </c>
      <c r="FP11" t="e">
        <f>AND('BBP complete'!A591,"AAAAAFz9z6s=")</f>
        <v>#VALUE!</v>
      </c>
      <c r="FQ11" t="e">
        <f>AND('BBP complete'!B591,"AAAAAFz9z6w=")</f>
        <v>#VALUE!</v>
      </c>
      <c r="FR11" t="e">
        <f>AND('BBP complete'!C591,"AAAAAFz9z60=")</f>
        <v>#VALUE!</v>
      </c>
      <c r="FS11" t="e">
        <f>AND('BBP complete'!D591,"AAAAAFz9z64=")</f>
        <v>#VALUE!</v>
      </c>
      <c r="FT11" t="e">
        <f>AND('BBP complete'!E591,"AAAAAFz9z68=")</f>
        <v>#VALUE!</v>
      </c>
      <c r="FU11" t="e">
        <f>AND('BBP complete'!F591,"AAAAAFz9z7A=")</f>
        <v>#VALUE!</v>
      </c>
      <c r="FV11" t="e">
        <f>AND('BBP complete'!G591,"AAAAAFz9z7E=")</f>
        <v>#VALUE!</v>
      </c>
      <c r="FW11" t="e">
        <f>AND('BBP complete'!H591,"AAAAAFz9z7I=")</f>
        <v>#VALUE!</v>
      </c>
      <c r="FX11" t="e">
        <f>AND('BBP complete'!I591,"AAAAAFz9z7M=")</f>
        <v>#VALUE!</v>
      </c>
      <c r="FY11" s="60" t="e">
        <v>#VALUE!</v>
      </c>
      <c r="FZ11" t="e">
        <f>AND('BBP complete'!A592,"AAAAAFz9z7U=")</f>
        <v>#VALUE!</v>
      </c>
      <c r="GA11" t="e">
        <f>AND('BBP complete'!B592,"AAAAAFz9z7Y=")</f>
        <v>#VALUE!</v>
      </c>
      <c r="GB11" t="e">
        <f>AND('BBP complete'!C592,"AAAAAFz9z7c=")</f>
        <v>#VALUE!</v>
      </c>
      <c r="GC11" t="e">
        <f>AND('BBP complete'!D592,"AAAAAFz9z7g=")</f>
        <v>#VALUE!</v>
      </c>
      <c r="GD11" t="e">
        <f>AND('BBP complete'!E592,"AAAAAFz9z7k=")</f>
        <v>#VALUE!</v>
      </c>
      <c r="GE11" t="e">
        <f>AND('BBP complete'!F592,"AAAAAFz9z7o=")</f>
        <v>#VALUE!</v>
      </c>
      <c r="GF11" t="e">
        <f>AND('BBP complete'!G592,"AAAAAFz9z7s=")</f>
        <v>#VALUE!</v>
      </c>
      <c r="GG11" t="e">
        <f>AND('BBP complete'!H592,"AAAAAFz9z7w=")</f>
        <v>#VALUE!</v>
      </c>
      <c r="GH11" t="e">
        <f>AND('BBP complete'!I592,"AAAAAFz9z70=")</f>
        <v>#VALUE!</v>
      </c>
      <c r="GI11" s="60" t="e">
        <v>#VALUE!</v>
      </c>
      <c r="GJ11" t="e">
        <f>AND('BBP complete'!A593,"AAAAAFz9z78=")</f>
        <v>#VALUE!</v>
      </c>
      <c r="GK11" t="e">
        <f>AND('BBP complete'!B593,"AAAAAFz9z8A=")</f>
        <v>#VALUE!</v>
      </c>
      <c r="GL11" t="e">
        <f>AND('BBP complete'!C593,"AAAAAFz9z8E=")</f>
        <v>#VALUE!</v>
      </c>
      <c r="GM11" t="e">
        <f>AND('BBP complete'!D593,"AAAAAFz9z8I=")</f>
        <v>#VALUE!</v>
      </c>
      <c r="GN11" t="e">
        <f>AND('BBP complete'!E593,"AAAAAFz9z8M=")</f>
        <v>#VALUE!</v>
      </c>
      <c r="GO11" t="e">
        <f>AND('BBP complete'!F593,"AAAAAFz9z8Q=")</f>
        <v>#VALUE!</v>
      </c>
      <c r="GP11" t="e">
        <f>AND('BBP complete'!G593,"AAAAAFz9z8U=")</f>
        <v>#VALUE!</v>
      </c>
      <c r="GQ11" t="e">
        <f>AND('BBP complete'!H593,"AAAAAFz9z8Y=")</f>
        <v>#VALUE!</v>
      </c>
      <c r="GR11" t="e">
        <f>AND('BBP complete'!I593,"AAAAAFz9z8c=")</f>
        <v>#VALUE!</v>
      </c>
      <c r="GS11" s="60" t="e">
        <v>#VALUE!</v>
      </c>
      <c r="GT11" t="e">
        <f>AND('BBP complete'!A594,"AAAAAFz9z8k=")</f>
        <v>#VALUE!</v>
      </c>
      <c r="GU11" t="e">
        <f>AND('BBP complete'!B594,"AAAAAFz9z8o=")</f>
        <v>#VALUE!</v>
      </c>
      <c r="GV11" t="e">
        <f>AND('BBP complete'!C594,"AAAAAFz9z8s=")</f>
        <v>#VALUE!</v>
      </c>
      <c r="GW11" t="e">
        <f>AND('BBP complete'!D594,"AAAAAFz9z8w=")</f>
        <v>#VALUE!</v>
      </c>
      <c r="GX11" t="e">
        <f>AND('BBP complete'!E594,"AAAAAFz9z80=")</f>
        <v>#VALUE!</v>
      </c>
      <c r="GY11" t="e">
        <f>AND('BBP complete'!F594,"AAAAAFz9z84=")</f>
        <v>#VALUE!</v>
      </c>
      <c r="GZ11" t="e">
        <f>AND('BBP complete'!G594,"AAAAAFz9z88=")</f>
        <v>#VALUE!</v>
      </c>
      <c r="HA11" t="e">
        <f>AND('BBP complete'!H594,"AAAAAFz9z9A=")</f>
        <v>#VALUE!</v>
      </c>
      <c r="HB11" t="e">
        <f>AND('BBP complete'!I594,"AAAAAFz9z9E=")</f>
        <v>#VALUE!</v>
      </c>
      <c r="HC11" s="60" t="e">
        <v>#VALUE!</v>
      </c>
      <c r="HD11" t="e">
        <f>AND('BBP complete'!A595,"AAAAAFz9z9M=")</f>
        <v>#VALUE!</v>
      </c>
      <c r="HE11" t="e">
        <f>AND('BBP complete'!B595,"AAAAAFz9z9Q=")</f>
        <v>#VALUE!</v>
      </c>
      <c r="HF11" t="e">
        <f>AND('BBP complete'!C595,"AAAAAFz9z9U=")</f>
        <v>#VALUE!</v>
      </c>
      <c r="HG11" t="e">
        <f>AND('BBP complete'!D595,"AAAAAFz9z9Y=")</f>
        <v>#VALUE!</v>
      </c>
      <c r="HH11" t="e">
        <f>AND('BBP complete'!E595,"AAAAAFz9z9c=")</f>
        <v>#VALUE!</v>
      </c>
      <c r="HI11" t="e">
        <f>AND('BBP complete'!F595,"AAAAAFz9z9g=")</f>
        <v>#VALUE!</v>
      </c>
      <c r="HJ11" t="e">
        <f>AND('BBP complete'!G595,"AAAAAFz9z9k=")</f>
        <v>#VALUE!</v>
      </c>
      <c r="HK11" t="e">
        <f>AND('BBP complete'!H595,"AAAAAFz9z9o=")</f>
        <v>#VALUE!</v>
      </c>
      <c r="HL11" t="e">
        <f>AND('BBP complete'!I595,"AAAAAFz9z9s=")</f>
        <v>#VALUE!</v>
      </c>
      <c r="HM11" s="60" t="e">
        <v>#VALUE!</v>
      </c>
      <c r="HN11" t="e">
        <f>AND('BBP complete'!A596,"AAAAAFz9z90=")</f>
        <v>#VALUE!</v>
      </c>
      <c r="HO11" t="e">
        <f>AND('BBP complete'!B596,"AAAAAFz9z94=")</f>
        <v>#VALUE!</v>
      </c>
      <c r="HP11" t="e">
        <f>AND('BBP complete'!C596,"AAAAAFz9z98=")</f>
        <v>#VALUE!</v>
      </c>
      <c r="HQ11" t="e">
        <f>AND('BBP complete'!D596,"AAAAAFz9z+A=")</f>
        <v>#VALUE!</v>
      </c>
      <c r="HR11" t="e">
        <f>AND('BBP complete'!E596,"AAAAAFz9z+E=")</f>
        <v>#VALUE!</v>
      </c>
      <c r="HS11" t="e">
        <f>AND('BBP complete'!F596,"AAAAAFz9z+I=")</f>
        <v>#VALUE!</v>
      </c>
      <c r="HT11" t="e">
        <f>AND('BBP complete'!G596,"AAAAAFz9z+M=")</f>
        <v>#VALUE!</v>
      </c>
      <c r="HU11" t="e">
        <f>AND('BBP complete'!H596,"AAAAAFz9z+Q=")</f>
        <v>#VALUE!</v>
      </c>
      <c r="HV11" t="e">
        <f>AND('BBP complete'!I596,"AAAAAFz9z+U=")</f>
        <v>#VALUE!</v>
      </c>
      <c r="HW11" s="60" t="e">
        <v>#VALUE!</v>
      </c>
      <c r="HX11" t="e">
        <f>AND('BBP complete'!A597,"AAAAAFz9z+c=")</f>
        <v>#VALUE!</v>
      </c>
      <c r="HY11" t="e">
        <f>AND('BBP complete'!B597,"AAAAAFz9z+g=")</f>
        <v>#VALUE!</v>
      </c>
      <c r="HZ11" t="e">
        <f>AND('BBP complete'!C597,"AAAAAFz9z+k=")</f>
        <v>#VALUE!</v>
      </c>
      <c r="IA11" t="e">
        <f>AND('BBP complete'!D597,"AAAAAFz9z+o=")</f>
        <v>#VALUE!</v>
      </c>
      <c r="IB11" t="e">
        <f>AND('BBP complete'!E597,"AAAAAFz9z+s=")</f>
        <v>#VALUE!</v>
      </c>
      <c r="IC11" t="e">
        <f>AND('BBP complete'!F597,"AAAAAFz9z+w=")</f>
        <v>#VALUE!</v>
      </c>
      <c r="ID11" t="e">
        <f>AND('BBP complete'!G597,"AAAAAFz9z+0=")</f>
        <v>#VALUE!</v>
      </c>
      <c r="IE11" t="e">
        <f>AND('BBP complete'!H597,"AAAAAFz9z+4=")</f>
        <v>#VALUE!</v>
      </c>
      <c r="IF11" t="e">
        <f>AND('BBP complete'!I597,"AAAAAFz9z+8=")</f>
        <v>#VALUE!</v>
      </c>
      <c r="IG11" s="60" t="e">
        <v>#VALUE!</v>
      </c>
      <c r="IH11" t="e">
        <f>AND('BBP complete'!A598,"AAAAAFz9z/E=")</f>
        <v>#VALUE!</v>
      </c>
      <c r="II11" t="e">
        <f>AND('BBP complete'!B598,"AAAAAFz9z/I=")</f>
        <v>#VALUE!</v>
      </c>
      <c r="IJ11" t="e">
        <f>AND('BBP complete'!C598,"AAAAAFz9z/M=")</f>
        <v>#VALUE!</v>
      </c>
      <c r="IK11" t="e">
        <f>AND('BBP complete'!D598,"AAAAAFz9z/Q=")</f>
        <v>#VALUE!</v>
      </c>
      <c r="IL11" t="e">
        <f>AND('BBP complete'!E598,"AAAAAFz9z/U=")</f>
        <v>#VALUE!</v>
      </c>
      <c r="IM11" t="e">
        <f>AND('BBP complete'!F598,"AAAAAFz9z/Y=")</f>
        <v>#VALUE!</v>
      </c>
      <c r="IN11" t="e">
        <f>AND('BBP complete'!G598,"AAAAAFz9z/c=")</f>
        <v>#VALUE!</v>
      </c>
      <c r="IO11" t="e">
        <f>AND('BBP complete'!H598,"AAAAAFz9z/g=")</f>
        <v>#VALUE!</v>
      </c>
      <c r="IP11" t="e">
        <f>AND('BBP complete'!I598,"AAAAAFz9z/k=")</f>
        <v>#VALUE!</v>
      </c>
      <c r="IQ11" s="60" t="e">
        <v>#VALUE!</v>
      </c>
      <c r="IR11" t="e">
        <f>AND('BBP complete'!A599,"AAAAAFz9z/s=")</f>
        <v>#VALUE!</v>
      </c>
      <c r="IS11" t="e">
        <f>AND('BBP complete'!B599,"AAAAAFz9z/w=")</f>
        <v>#VALUE!</v>
      </c>
      <c r="IT11" t="e">
        <f>AND('BBP complete'!C599,"AAAAAFz9z/0=")</f>
        <v>#VALUE!</v>
      </c>
      <c r="IU11" t="e">
        <f>AND('BBP complete'!D599,"AAAAAFz9z/4=")</f>
        <v>#VALUE!</v>
      </c>
      <c r="IV11" t="e">
        <f>AND('BBP complete'!E599,"AAAAAFz9z/8=")</f>
        <v>#VALUE!</v>
      </c>
    </row>
    <row r="12" spans="1:256" ht="15" customHeight="1" x14ac:dyDescent="0.25">
      <c r="A12" t="e">
        <f>AND('BBP complete'!F599,"AAAAADv/9gA=")</f>
        <v>#VALUE!</v>
      </c>
      <c r="B12" t="e">
        <f>AND('BBP complete'!G599,"AAAAADv/9gE=")</f>
        <v>#VALUE!</v>
      </c>
      <c r="C12" t="e">
        <f>AND('BBP complete'!H599,"AAAAADv/9gI=")</f>
        <v>#VALUE!</v>
      </c>
      <c r="D12" t="e">
        <f>AND('BBP complete'!I599,"AAAAADv/9gM=")</f>
        <v>#VALUE!</v>
      </c>
      <c r="E12" s="60" t="e">
        <v>#VALUE!</v>
      </c>
      <c r="F12" t="e">
        <f>AND('BBP complete'!A600,"AAAAADv/9gU=")</f>
        <v>#VALUE!</v>
      </c>
      <c r="G12" t="e">
        <f>AND('BBP complete'!B600,"AAAAADv/9gY=")</f>
        <v>#VALUE!</v>
      </c>
      <c r="H12" t="e">
        <f>AND('BBP complete'!C600,"AAAAADv/9gc=")</f>
        <v>#VALUE!</v>
      </c>
      <c r="I12" t="e">
        <f>AND('BBP complete'!D600,"AAAAADv/9gg=")</f>
        <v>#VALUE!</v>
      </c>
      <c r="J12" t="e">
        <f>AND('BBP complete'!E600,"AAAAADv/9gk=")</f>
        <v>#VALUE!</v>
      </c>
      <c r="K12" t="e">
        <f>AND('BBP complete'!F600,"AAAAADv/9go=")</f>
        <v>#VALUE!</v>
      </c>
      <c r="L12" t="e">
        <f>AND('BBP complete'!G600,"AAAAADv/9gs=")</f>
        <v>#VALUE!</v>
      </c>
      <c r="M12" t="e">
        <f>AND('BBP complete'!H600,"AAAAADv/9gw=")</f>
        <v>#VALUE!</v>
      </c>
      <c r="N12" t="e">
        <f>AND('BBP complete'!I600,"AAAAADv/9g0=")</f>
        <v>#VALUE!</v>
      </c>
      <c r="O12" s="60" t="e">
        <v>#VALUE!</v>
      </c>
      <c r="P12" t="e">
        <f>AND('BBP complete'!A601,"AAAAADv/9g8=")</f>
        <v>#VALUE!</v>
      </c>
      <c r="Q12" t="e">
        <f>AND('BBP complete'!B601,"AAAAADv/9hA=")</f>
        <v>#VALUE!</v>
      </c>
      <c r="R12" t="e">
        <f>AND('BBP complete'!C601,"AAAAADv/9hE=")</f>
        <v>#VALUE!</v>
      </c>
      <c r="S12" t="e">
        <f>AND('BBP complete'!D601,"AAAAADv/9hI=")</f>
        <v>#VALUE!</v>
      </c>
      <c r="T12" t="e">
        <f>AND('BBP complete'!E601,"AAAAADv/9hM=")</f>
        <v>#VALUE!</v>
      </c>
      <c r="U12" t="e">
        <f>AND('BBP complete'!F601,"AAAAADv/9hQ=")</f>
        <v>#VALUE!</v>
      </c>
      <c r="V12" t="e">
        <f>AND('BBP complete'!G601,"AAAAADv/9hU=")</f>
        <v>#VALUE!</v>
      </c>
      <c r="W12" t="e">
        <f>AND('BBP complete'!H601,"AAAAADv/9hY=")</f>
        <v>#VALUE!</v>
      </c>
      <c r="X12" t="e">
        <f>AND('BBP complete'!I601,"AAAAADv/9hc=")</f>
        <v>#VALUE!</v>
      </c>
      <c r="Y12" s="60" t="e">
        <v>#VALUE!</v>
      </c>
      <c r="Z12" t="e">
        <f>AND('BBP complete'!A602,"AAAAADv/9hk=")</f>
        <v>#VALUE!</v>
      </c>
      <c r="AA12" t="e">
        <f>AND('BBP complete'!B602,"AAAAADv/9ho=")</f>
        <v>#VALUE!</v>
      </c>
      <c r="AB12" t="e">
        <f>AND('BBP complete'!C602,"AAAAADv/9hs=")</f>
        <v>#VALUE!</v>
      </c>
      <c r="AC12" t="e">
        <f>AND('BBP complete'!D602,"AAAAADv/9hw=")</f>
        <v>#VALUE!</v>
      </c>
      <c r="AD12" t="e">
        <f>AND('BBP complete'!E602,"AAAAADv/9h0=")</f>
        <v>#VALUE!</v>
      </c>
      <c r="AE12" t="e">
        <f>AND('BBP complete'!F602,"AAAAADv/9h4=")</f>
        <v>#VALUE!</v>
      </c>
      <c r="AF12" t="e">
        <f>AND('BBP complete'!G602,"AAAAADv/9h8=")</f>
        <v>#VALUE!</v>
      </c>
      <c r="AG12" t="e">
        <f>AND('BBP complete'!H602,"AAAAADv/9iA=")</f>
        <v>#VALUE!</v>
      </c>
      <c r="AH12" t="e">
        <f>AND('BBP complete'!I602,"AAAAADv/9iE=")</f>
        <v>#VALUE!</v>
      </c>
      <c r="AI12" s="60" t="e">
        <v>#VALUE!</v>
      </c>
      <c r="AJ12" t="e">
        <f>AND('BBP complete'!A603,"AAAAADv/9iM=")</f>
        <v>#VALUE!</v>
      </c>
      <c r="AK12" t="e">
        <f>AND('BBP complete'!B603,"AAAAADv/9iQ=")</f>
        <v>#VALUE!</v>
      </c>
      <c r="AL12" t="e">
        <f>AND('BBP complete'!C603,"AAAAADv/9iU=")</f>
        <v>#VALUE!</v>
      </c>
      <c r="AM12" t="e">
        <f>AND('BBP complete'!D603,"AAAAADv/9iY=")</f>
        <v>#VALUE!</v>
      </c>
      <c r="AN12" t="e">
        <f>AND('BBP complete'!E603,"AAAAADv/9ic=")</f>
        <v>#VALUE!</v>
      </c>
      <c r="AO12" t="e">
        <f>AND('BBP complete'!F603,"AAAAADv/9ig=")</f>
        <v>#VALUE!</v>
      </c>
      <c r="AP12" t="e">
        <f>AND('BBP complete'!G603,"AAAAADv/9ik=")</f>
        <v>#VALUE!</v>
      </c>
      <c r="AQ12" t="e">
        <f>AND('BBP complete'!H603,"AAAAADv/9io=")</f>
        <v>#VALUE!</v>
      </c>
      <c r="AR12" t="e">
        <f>AND('BBP complete'!I603,"AAAAADv/9is=")</f>
        <v>#VALUE!</v>
      </c>
      <c r="AS12" s="60" t="e">
        <v>#VALUE!</v>
      </c>
      <c r="AT12" t="e">
        <f>AND('BBP complete'!A604,"AAAAADv/9i0=")</f>
        <v>#VALUE!</v>
      </c>
      <c r="AU12" t="e">
        <f>AND('BBP complete'!B604,"AAAAADv/9i4=")</f>
        <v>#VALUE!</v>
      </c>
      <c r="AV12" t="e">
        <f>AND('BBP complete'!C604,"AAAAADv/9i8=")</f>
        <v>#VALUE!</v>
      </c>
      <c r="AW12" t="e">
        <f>AND('BBP complete'!D604,"AAAAADv/9jA=")</f>
        <v>#VALUE!</v>
      </c>
      <c r="AX12" t="e">
        <f>AND('BBP complete'!E604,"AAAAADv/9jE=")</f>
        <v>#VALUE!</v>
      </c>
      <c r="AY12" t="e">
        <f>AND('BBP complete'!F604,"AAAAADv/9jI=")</f>
        <v>#VALUE!</v>
      </c>
      <c r="AZ12" t="e">
        <f>AND('BBP complete'!G604,"AAAAADv/9jM=")</f>
        <v>#VALUE!</v>
      </c>
      <c r="BA12" t="e">
        <f>AND('BBP complete'!H604,"AAAAADv/9jQ=")</f>
        <v>#VALUE!</v>
      </c>
      <c r="BB12" t="e">
        <f>AND('BBP complete'!I604,"AAAAADv/9jU=")</f>
        <v>#VALUE!</v>
      </c>
      <c r="BC12" s="60" t="e">
        <v>#VALUE!</v>
      </c>
      <c r="BD12" t="e">
        <f>AND('BBP complete'!A605,"AAAAADv/9jc=")</f>
        <v>#VALUE!</v>
      </c>
      <c r="BE12" t="e">
        <f>AND('BBP complete'!B605,"AAAAADv/9jg=")</f>
        <v>#VALUE!</v>
      </c>
      <c r="BF12" t="e">
        <f>AND('BBP complete'!C605,"AAAAADv/9jk=")</f>
        <v>#VALUE!</v>
      </c>
      <c r="BG12" t="e">
        <f>AND('BBP complete'!D605,"AAAAADv/9jo=")</f>
        <v>#VALUE!</v>
      </c>
      <c r="BH12" t="e">
        <f>AND('BBP complete'!E605,"AAAAADv/9js=")</f>
        <v>#VALUE!</v>
      </c>
      <c r="BI12" t="e">
        <f>AND('BBP complete'!F605,"AAAAADv/9jw=")</f>
        <v>#VALUE!</v>
      </c>
      <c r="BJ12" t="e">
        <f>AND('BBP complete'!G605,"AAAAADv/9j0=")</f>
        <v>#VALUE!</v>
      </c>
      <c r="BK12" t="e">
        <f>AND('BBP complete'!H605,"AAAAADv/9j4=")</f>
        <v>#VALUE!</v>
      </c>
      <c r="BL12" t="e">
        <f>AND('BBP complete'!I605,"AAAAADv/9j8=")</f>
        <v>#VALUE!</v>
      </c>
      <c r="BM12" s="60" t="e">
        <v>#VALUE!</v>
      </c>
      <c r="BN12" t="e">
        <f>AND('BBP complete'!A606,"AAAAADv/9kE=")</f>
        <v>#VALUE!</v>
      </c>
      <c r="BO12" t="e">
        <f>AND('BBP complete'!B606,"AAAAADv/9kI=")</f>
        <v>#VALUE!</v>
      </c>
      <c r="BP12" t="e">
        <f>AND('BBP complete'!C606,"AAAAADv/9kM=")</f>
        <v>#VALUE!</v>
      </c>
      <c r="BQ12" t="e">
        <f>AND('BBP complete'!D606,"AAAAADv/9kQ=")</f>
        <v>#VALUE!</v>
      </c>
      <c r="BR12" t="e">
        <f>AND('BBP complete'!E606,"AAAAADv/9kU=")</f>
        <v>#VALUE!</v>
      </c>
      <c r="BS12" t="e">
        <f>AND('BBP complete'!F606,"AAAAADv/9kY=")</f>
        <v>#VALUE!</v>
      </c>
      <c r="BT12" t="e">
        <f>AND('BBP complete'!G606,"AAAAADv/9kc=")</f>
        <v>#VALUE!</v>
      </c>
      <c r="BU12" t="e">
        <f>AND('BBP complete'!H606,"AAAAADv/9kg=")</f>
        <v>#VALUE!</v>
      </c>
      <c r="BV12" t="e">
        <f>AND('BBP complete'!I606,"AAAAADv/9kk=")</f>
        <v>#VALUE!</v>
      </c>
      <c r="BW12" s="60" t="e">
        <v>#VALUE!</v>
      </c>
      <c r="BX12" t="e">
        <f>AND('BBP complete'!A607,"AAAAADv/9ks=")</f>
        <v>#VALUE!</v>
      </c>
      <c r="BY12" t="e">
        <f>AND('BBP complete'!B607,"AAAAADv/9kw=")</f>
        <v>#VALUE!</v>
      </c>
      <c r="BZ12" t="e">
        <f>AND('BBP complete'!C607,"AAAAADv/9k0=")</f>
        <v>#VALUE!</v>
      </c>
      <c r="CA12" t="e">
        <f>AND('BBP complete'!D607,"AAAAADv/9k4=")</f>
        <v>#VALUE!</v>
      </c>
      <c r="CB12" t="e">
        <f>AND('BBP complete'!E607,"AAAAADv/9k8=")</f>
        <v>#VALUE!</v>
      </c>
      <c r="CC12" t="e">
        <f>AND('BBP complete'!F607,"AAAAADv/9lA=")</f>
        <v>#VALUE!</v>
      </c>
      <c r="CD12" t="e">
        <f>AND('BBP complete'!G607,"AAAAADv/9lE=")</f>
        <v>#VALUE!</v>
      </c>
      <c r="CE12" t="e">
        <f>AND('BBP complete'!H607,"AAAAADv/9lI=")</f>
        <v>#VALUE!</v>
      </c>
      <c r="CF12" t="e">
        <f>AND('BBP complete'!I607,"AAAAADv/9lM=")</f>
        <v>#VALUE!</v>
      </c>
      <c r="CG12" s="60" t="e">
        <v>#VALUE!</v>
      </c>
      <c r="CH12" t="e">
        <f>AND('BBP complete'!A608,"AAAAADv/9lU=")</f>
        <v>#VALUE!</v>
      </c>
      <c r="CI12" t="e">
        <f>AND('BBP complete'!B608,"AAAAADv/9lY=")</f>
        <v>#VALUE!</v>
      </c>
      <c r="CJ12" t="e">
        <f>AND('BBP complete'!C608,"AAAAADv/9lc=")</f>
        <v>#VALUE!</v>
      </c>
      <c r="CK12" t="e">
        <f>AND('BBP complete'!D608,"AAAAADv/9lg=")</f>
        <v>#VALUE!</v>
      </c>
      <c r="CL12" t="e">
        <f>AND('BBP complete'!E608,"AAAAADv/9lk=")</f>
        <v>#VALUE!</v>
      </c>
      <c r="CM12" t="e">
        <f>AND('BBP complete'!F608,"AAAAADv/9lo=")</f>
        <v>#VALUE!</v>
      </c>
      <c r="CN12" t="e">
        <f>AND('BBP complete'!G608,"AAAAADv/9ls=")</f>
        <v>#VALUE!</v>
      </c>
      <c r="CO12" t="e">
        <f>AND('BBP complete'!H608,"AAAAADv/9lw=")</f>
        <v>#VALUE!</v>
      </c>
      <c r="CP12" t="e">
        <f>AND('BBP complete'!I608,"AAAAADv/9l0=")</f>
        <v>#VALUE!</v>
      </c>
      <c r="CQ12" s="60" t="e">
        <v>#VALUE!</v>
      </c>
      <c r="CR12" t="e">
        <f>AND('BBP complete'!A609,"AAAAADv/9l8=")</f>
        <v>#VALUE!</v>
      </c>
      <c r="CS12" t="e">
        <f>AND('BBP complete'!B609,"AAAAADv/9mA=")</f>
        <v>#VALUE!</v>
      </c>
      <c r="CT12" t="e">
        <f>AND('BBP complete'!C609,"AAAAADv/9mE=")</f>
        <v>#VALUE!</v>
      </c>
      <c r="CU12" t="e">
        <f>AND('BBP complete'!D609,"AAAAADv/9mI=")</f>
        <v>#VALUE!</v>
      </c>
      <c r="CV12" t="e">
        <f>AND('BBP complete'!E609,"AAAAADv/9mM=")</f>
        <v>#VALUE!</v>
      </c>
      <c r="CW12" t="e">
        <f>AND('BBP complete'!F609,"AAAAADv/9mQ=")</f>
        <v>#VALUE!</v>
      </c>
      <c r="CX12" t="e">
        <f>AND('BBP complete'!G609,"AAAAADv/9mU=")</f>
        <v>#VALUE!</v>
      </c>
      <c r="CY12" t="e">
        <f>AND('BBP complete'!H609,"AAAAADv/9mY=")</f>
        <v>#VALUE!</v>
      </c>
      <c r="CZ12" t="e">
        <f>AND('BBP complete'!I609,"AAAAADv/9mc=")</f>
        <v>#VALUE!</v>
      </c>
      <c r="DA12" s="60" t="e">
        <v>#VALUE!</v>
      </c>
      <c r="DB12" t="e">
        <f>AND('BBP complete'!A610,"AAAAADv/9mk=")</f>
        <v>#VALUE!</v>
      </c>
      <c r="DC12" t="e">
        <f>AND('BBP complete'!B610,"AAAAADv/9mo=")</f>
        <v>#VALUE!</v>
      </c>
      <c r="DD12" t="e">
        <f>AND('BBP complete'!C610,"AAAAADv/9ms=")</f>
        <v>#VALUE!</v>
      </c>
      <c r="DE12" t="e">
        <f>AND('BBP complete'!D610,"AAAAADv/9mw=")</f>
        <v>#VALUE!</v>
      </c>
      <c r="DF12" t="e">
        <f>AND('BBP complete'!E610,"AAAAADv/9m0=")</f>
        <v>#VALUE!</v>
      </c>
      <c r="DG12" t="e">
        <f>AND('BBP complete'!F610,"AAAAADv/9m4=")</f>
        <v>#VALUE!</v>
      </c>
      <c r="DH12" t="e">
        <f>AND('BBP complete'!G610,"AAAAADv/9m8=")</f>
        <v>#VALUE!</v>
      </c>
      <c r="DI12" t="e">
        <f>AND('BBP complete'!H610,"AAAAADv/9nA=")</f>
        <v>#VALUE!</v>
      </c>
      <c r="DJ12" t="e">
        <f>AND('BBP complete'!I610,"AAAAADv/9nE=")</f>
        <v>#VALUE!</v>
      </c>
      <c r="DK12" s="60" t="e">
        <v>#VALUE!</v>
      </c>
      <c r="DL12" t="e">
        <f>AND('BBP complete'!A611,"AAAAADv/9nM=")</f>
        <v>#VALUE!</v>
      </c>
      <c r="DM12" t="e">
        <f>AND('BBP complete'!B611,"AAAAADv/9nQ=")</f>
        <v>#VALUE!</v>
      </c>
      <c r="DN12" t="e">
        <f>AND('BBP complete'!C611,"AAAAADv/9nU=")</f>
        <v>#VALUE!</v>
      </c>
      <c r="DO12" t="e">
        <f>AND('BBP complete'!D611,"AAAAADv/9nY=")</f>
        <v>#VALUE!</v>
      </c>
      <c r="DP12" t="e">
        <f>AND('BBP complete'!E611,"AAAAADv/9nc=")</f>
        <v>#VALUE!</v>
      </c>
      <c r="DQ12" t="e">
        <f>AND('BBP complete'!F611,"AAAAADv/9ng=")</f>
        <v>#VALUE!</v>
      </c>
      <c r="DR12" t="e">
        <f>AND('BBP complete'!G611,"AAAAADv/9nk=")</f>
        <v>#VALUE!</v>
      </c>
      <c r="DS12" t="e">
        <f>AND('BBP complete'!H611,"AAAAADv/9no=")</f>
        <v>#VALUE!</v>
      </c>
      <c r="DT12" t="e">
        <f>AND('BBP complete'!I611,"AAAAADv/9ns=")</f>
        <v>#VALUE!</v>
      </c>
      <c r="DU12" s="60" t="e">
        <v>#VALUE!</v>
      </c>
      <c r="DV12" t="e">
        <f>AND('BBP complete'!A612,"AAAAADv/9n0=")</f>
        <v>#VALUE!</v>
      </c>
      <c r="DW12" t="e">
        <f>AND('BBP complete'!B612,"AAAAADv/9n4=")</f>
        <v>#VALUE!</v>
      </c>
      <c r="DX12" t="e">
        <f>AND('BBP complete'!C612,"AAAAADv/9n8=")</f>
        <v>#VALUE!</v>
      </c>
      <c r="DY12" t="e">
        <f>AND('BBP complete'!D612,"AAAAADv/9oA=")</f>
        <v>#VALUE!</v>
      </c>
      <c r="DZ12" t="e">
        <f>AND('BBP complete'!E612,"AAAAADv/9oE=")</f>
        <v>#VALUE!</v>
      </c>
      <c r="EA12" t="e">
        <f>AND('BBP complete'!F612,"AAAAADv/9oI=")</f>
        <v>#VALUE!</v>
      </c>
      <c r="EB12" t="e">
        <f>AND('BBP complete'!G612,"AAAAADv/9oM=")</f>
        <v>#VALUE!</v>
      </c>
      <c r="EC12" t="e">
        <f>AND('BBP complete'!H612,"AAAAADv/9oQ=")</f>
        <v>#VALUE!</v>
      </c>
      <c r="ED12" t="e">
        <f>AND('BBP complete'!I612,"AAAAADv/9oU=")</f>
        <v>#VALUE!</v>
      </c>
      <c r="EE12" s="60" t="e">
        <v>#VALUE!</v>
      </c>
      <c r="EF12" t="e">
        <f>AND('BBP complete'!A613,"AAAAADv/9oc=")</f>
        <v>#VALUE!</v>
      </c>
      <c r="EG12" t="e">
        <f>AND('BBP complete'!B613,"AAAAADv/9og=")</f>
        <v>#VALUE!</v>
      </c>
      <c r="EH12" t="e">
        <f>AND('BBP complete'!C613,"AAAAADv/9ok=")</f>
        <v>#VALUE!</v>
      </c>
      <c r="EI12" t="e">
        <f>AND('BBP complete'!D613,"AAAAADv/9oo=")</f>
        <v>#VALUE!</v>
      </c>
      <c r="EJ12" t="e">
        <f>AND('BBP complete'!E613,"AAAAADv/9os=")</f>
        <v>#VALUE!</v>
      </c>
      <c r="EK12" t="e">
        <f>AND('BBP complete'!F613,"AAAAADv/9ow=")</f>
        <v>#VALUE!</v>
      </c>
      <c r="EL12" t="e">
        <f>AND('BBP complete'!G613,"AAAAADv/9o0=")</f>
        <v>#VALUE!</v>
      </c>
      <c r="EM12" t="e">
        <f>AND('BBP complete'!H613,"AAAAADv/9o4=")</f>
        <v>#VALUE!</v>
      </c>
      <c r="EN12" t="e">
        <f>AND('BBP complete'!I613,"AAAAADv/9o8=")</f>
        <v>#VALUE!</v>
      </c>
      <c r="EO12" s="60" t="e">
        <v>#VALUE!</v>
      </c>
      <c r="EP12" t="e">
        <f>AND('BBP complete'!A614,"AAAAADv/9pE=")</f>
        <v>#VALUE!</v>
      </c>
      <c r="EQ12" t="e">
        <f>AND('BBP complete'!B614,"AAAAADv/9pI=")</f>
        <v>#VALUE!</v>
      </c>
      <c r="ER12" t="e">
        <f>AND('BBP complete'!C614,"AAAAADv/9pM=")</f>
        <v>#VALUE!</v>
      </c>
      <c r="ES12" t="e">
        <f>AND('BBP complete'!D614,"AAAAADv/9pQ=")</f>
        <v>#VALUE!</v>
      </c>
      <c r="ET12" t="e">
        <f>AND('BBP complete'!E614,"AAAAADv/9pU=")</f>
        <v>#VALUE!</v>
      </c>
      <c r="EU12" t="e">
        <f>AND('BBP complete'!F614,"AAAAADv/9pY=")</f>
        <v>#VALUE!</v>
      </c>
      <c r="EV12" t="e">
        <f>AND('BBP complete'!G614,"AAAAADv/9pc=")</f>
        <v>#VALUE!</v>
      </c>
      <c r="EW12" t="e">
        <f>AND('BBP complete'!H614,"AAAAADv/9pg=")</f>
        <v>#VALUE!</v>
      </c>
      <c r="EX12" t="e">
        <f>AND('BBP complete'!I614,"AAAAADv/9pk=")</f>
        <v>#VALUE!</v>
      </c>
      <c r="EY12" s="60" t="e">
        <v>#VALUE!</v>
      </c>
      <c r="EZ12" t="e">
        <f>AND('BBP complete'!A615,"AAAAADv/9ps=")</f>
        <v>#VALUE!</v>
      </c>
      <c r="FA12" t="e">
        <f>AND('BBP complete'!B615,"AAAAADv/9pw=")</f>
        <v>#VALUE!</v>
      </c>
      <c r="FB12" t="e">
        <f>AND('BBP complete'!C615,"AAAAADv/9p0=")</f>
        <v>#VALUE!</v>
      </c>
      <c r="FC12" t="e">
        <f>AND('BBP complete'!D615,"AAAAADv/9p4=")</f>
        <v>#VALUE!</v>
      </c>
      <c r="FD12" t="e">
        <f>AND('BBP complete'!E615,"AAAAADv/9p8=")</f>
        <v>#VALUE!</v>
      </c>
      <c r="FE12" t="e">
        <f>AND('BBP complete'!F615,"AAAAADv/9qA=")</f>
        <v>#VALUE!</v>
      </c>
      <c r="FF12" t="e">
        <f>AND('BBP complete'!G615,"AAAAADv/9qE=")</f>
        <v>#VALUE!</v>
      </c>
      <c r="FG12" t="e">
        <f>AND('BBP complete'!H615,"AAAAADv/9qI=")</f>
        <v>#VALUE!</v>
      </c>
      <c r="FH12" t="e">
        <f>AND('BBP complete'!I615,"AAAAADv/9qM=")</f>
        <v>#VALUE!</v>
      </c>
      <c r="FI12" s="60" t="e">
        <v>#VALUE!</v>
      </c>
      <c r="FJ12" t="e">
        <f>AND('BBP complete'!A616,"AAAAADv/9qU=")</f>
        <v>#VALUE!</v>
      </c>
      <c r="FK12" t="e">
        <f>AND('BBP complete'!B616,"AAAAADv/9qY=")</f>
        <v>#VALUE!</v>
      </c>
      <c r="FL12" t="e">
        <f>AND('BBP complete'!C616,"AAAAADv/9qc=")</f>
        <v>#VALUE!</v>
      </c>
      <c r="FM12" t="e">
        <f>AND('BBP complete'!D616,"AAAAADv/9qg=")</f>
        <v>#VALUE!</v>
      </c>
      <c r="FN12" t="e">
        <f>AND('BBP complete'!E616,"AAAAADv/9qk=")</f>
        <v>#VALUE!</v>
      </c>
      <c r="FO12" t="e">
        <f>AND('BBP complete'!F616,"AAAAADv/9qo=")</f>
        <v>#VALUE!</v>
      </c>
      <c r="FP12" t="e">
        <f>AND('BBP complete'!G616,"AAAAADv/9qs=")</f>
        <v>#VALUE!</v>
      </c>
      <c r="FQ12" t="e">
        <f>AND('BBP complete'!H616,"AAAAADv/9qw=")</f>
        <v>#VALUE!</v>
      </c>
      <c r="FR12" t="e">
        <f>AND('BBP complete'!I616,"AAAAADv/9q0=")</f>
        <v>#VALUE!</v>
      </c>
      <c r="FS12" s="60" t="e">
        <v>#VALUE!</v>
      </c>
      <c r="FT12" t="e">
        <f>AND('BBP complete'!A617,"AAAAADv/9q8=")</f>
        <v>#VALUE!</v>
      </c>
      <c r="FU12" t="e">
        <f>AND('BBP complete'!B617,"AAAAADv/9rA=")</f>
        <v>#VALUE!</v>
      </c>
      <c r="FV12" t="e">
        <f>AND('BBP complete'!C617,"AAAAADv/9rE=")</f>
        <v>#VALUE!</v>
      </c>
      <c r="FW12" t="e">
        <f>AND('BBP complete'!D617,"AAAAADv/9rI=")</f>
        <v>#VALUE!</v>
      </c>
      <c r="FX12" t="e">
        <f>AND('BBP complete'!E617,"AAAAADv/9rM=")</f>
        <v>#VALUE!</v>
      </c>
      <c r="FY12" t="e">
        <f>AND('BBP complete'!F617,"AAAAADv/9rQ=")</f>
        <v>#VALUE!</v>
      </c>
      <c r="FZ12" t="e">
        <f>AND('BBP complete'!G617,"AAAAADv/9rU=")</f>
        <v>#VALUE!</v>
      </c>
      <c r="GA12" t="e">
        <f>AND('BBP complete'!H617,"AAAAADv/9rY=")</f>
        <v>#VALUE!</v>
      </c>
      <c r="GB12" t="e">
        <f>AND('BBP complete'!I617,"AAAAADv/9rc=")</f>
        <v>#VALUE!</v>
      </c>
      <c r="GC12" s="60" t="e">
        <v>#VALUE!</v>
      </c>
      <c r="GD12" t="e">
        <f>AND('BBP complete'!A618,"AAAAADv/9rk=")</f>
        <v>#VALUE!</v>
      </c>
      <c r="GE12" t="e">
        <f>AND('BBP complete'!B618,"AAAAADv/9ro=")</f>
        <v>#VALUE!</v>
      </c>
      <c r="GF12" t="e">
        <f>AND('BBP complete'!C618,"AAAAADv/9rs=")</f>
        <v>#VALUE!</v>
      </c>
      <c r="GG12" t="e">
        <f>AND('BBP complete'!D618,"AAAAADv/9rw=")</f>
        <v>#VALUE!</v>
      </c>
      <c r="GH12" t="e">
        <f>AND('BBP complete'!E618,"AAAAADv/9r0=")</f>
        <v>#VALUE!</v>
      </c>
      <c r="GI12" t="e">
        <f>AND('BBP complete'!F618,"AAAAADv/9r4=")</f>
        <v>#VALUE!</v>
      </c>
      <c r="GJ12" t="e">
        <f>AND('BBP complete'!G618,"AAAAADv/9r8=")</f>
        <v>#VALUE!</v>
      </c>
      <c r="GK12" t="e">
        <f>AND('BBP complete'!H618,"AAAAADv/9sA=")</f>
        <v>#VALUE!</v>
      </c>
      <c r="GL12" t="e">
        <f>AND('BBP complete'!I618,"AAAAADv/9sE=")</f>
        <v>#VALUE!</v>
      </c>
      <c r="GM12" s="60" t="e">
        <v>#VALUE!</v>
      </c>
      <c r="GN12" t="e">
        <f>AND('BBP complete'!A619,"AAAAADv/9sM=")</f>
        <v>#VALUE!</v>
      </c>
      <c r="GO12" t="e">
        <f>AND('BBP complete'!B619,"AAAAADv/9sQ=")</f>
        <v>#VALUE!</v>
      </c>
      <c r="GP12" t="e">
        <f>AND('BBP complete'!C619,"AAAAADv/9sU=")</f>
        <v>#VALUE!</v>
      </c>
      <c r="GQ12" t="e">
        <f>AND('BBP complete'!D619,"AAAAADv/9sY=")</f>
        <v>#VALUE!</v>
      </c>
      <c r="GR12" t="e">
        <f>AND('BBP complete'!E619,"AAAAADv/9sc=")</f>
        <v>#VALUE!</v>
      </c>
      <c r="GS12" t="e">
        <f>AND('BBP complete'!F619,"AAAAADv/9sg=")</f>
        <v>#VALUE!</v>
      </c>
      <c r="GT12" t="e">
        <f>AND('BBP complete'!G619,"AAAAADv/9sk=")</f>
        <v>#VALUE!</v>
      </c>
      <c r="GU12" t="e">
        <f>AND('BBP complete'!H619,"AAAAADv/9so=")</f>
        <v>#VALUE!</v>
      </c>
      <c r="GV12" t="e">
        <f>AND('BBP complete'!I619,"AAAAADv/9ss=")</f>
        <v>#VALUE!</v>
      </c>
      <c r="GW12" s="60" t="e">
        <v>#VALUE!</v>
      </c>
      <c r="GX12" t="e">
        <f>AND('BBP complete'!A620,"AAAAADv/9s0=")</f>
        <v>#VALUE!</v>
      </c>
      <c r="GY12" t="e">
        <f>AND('BBP complete'!B620,"AAAAADv/9s4=")</f>
        <v>#VALUE!</v>
      </c>
      <c r="GZ12" t="e">
        <f>AND('BBP complete'!C620,"AAAAADv/9s8=")</f>
        <v>#VALUE!</v>
      </c>
      <c r="HA12" t="e">
        <f>AND('BBP complete'!D620,"AAAAADv/9tA=")</f>
        <v>#VALUE!</v>
      </c>
      <c r="HB12" t="e">
        <f>AND('BBP complete'!E620,"AAAAADv/9tE=")</f>
        <v>#VALUE!</v>
      </c>
      <c r="HC12" t="e">
        <f>AND('BBP complete'!F620,"AAAAADv/9tI=")</f>
        <v>#VALUE!</v>
      </c>
      <c r="HD12" t="e">
        <f>AND('BBP complete'!G620,"AAAAADv/9tM=")</f>
        <v>#VALUE!</v>
      </c>
      <c r="HE12" t="e">
        <f>AND('BBP complete'!H620,"AAAAADv/9tQ=")</f>
        <v>#VALUE!</v>
      </c>
      <c r="HF12" t="e">
        <f>AND('BBP complete'!I620,"AAAAADv/9tU=")</f>
        <v>#VALUE!</v>
      </c>
      <c r="HG12" s="60" t="e">
        <v>#VALUE!</v>
      </c>
      <c r="HH12" t="e">
        <f>AND('BBP complete'!A621,"AAAAADv/9tc=")</f>
        <v>#VALUE!</v>
      </c>
      <c r="HI12" t="e">
        <f>AND('BBP complete'!B621,"AAAAADv/9tg=")</f>
        <v>#VALUE!</v>
      </c>
      <c r="HJ12" t="e">
        <f>AND('BBP complete'!C621,"AAAAADv/9tk=")</f>
        <v>#VALUE!</v>
      </c>
      <c r="HK12" t="e">
        <f>AND('BBP complete'!D621,"AAAAADv/9to=")</f>
        <v>#VALUE!</v>
      </c>
      <c r="HL12" t="e">
        <f>AND('BBP complete'!E621,"AAAAADv/9ts=")</f>
        <v>#VALUE!</v>
      </c>
      <c r="HM12" t="e">
        <f>AND('BBP complete'!F621,"AAAAADv/9tw=")</f>
        <v>#VALUE!</v>
      </c>
      <c r="HN12" t="e">
        <f>AND('BBP complete'!G621,"AAAAADv/9t0=")</f>
        <v>#VALUE!</v>
      </c>
      <c r="HO12" t="e">
        <f>AND('BBP complete'!H621,"AAAAADv/9t4=")</f>
        <v>#VALUE!</v>
      </c>
      <c r="HP12" t="e">
        <f>AND('BBP complete'!I621,"AAAAADv/9t8=")</f>
        <v>#VALUE!</v>
      </c>
      <c r="HQ12" s="60" t="e">
        <v>#VALUE!</v>
      </c>
      <c r="HR12" t="e">
        <f>AND('BBP complete'!A622,"AAAAADv/9uE=")</f>
        <v>#VALUE!</v>
      </c>
      <c r="HS12" t="e">
        <f>AND('BBP complete'!B622,"AAAAADv/9uI=")</f>
        <v>#VALUE!</v>
      </c>
      <c r="HT12" t="e">
        <f>AND('BBP complete'!C622,"AAAAADv/9uM=")</f>
        <v>#VALUE!</v>
      </c>
      <c r="HU12" t="e">
        <f>AND('BBP complete'!D622,"AAAAADv/9uQ=")</f>
        <v>#VALUE!</v>
      </c>
      <c r="HV12" t="e">
        <f>AND('BBP complete'!E622,"AAAAADv/9uU=")</f>
        <v>#VALUE!</v>
      </c>
      <c r="HW12" t="e">
        <f>AND('BBP complete'!F622,"AAAAADv/9uY=")</f>
        <v>#VALUE!</v>
      </c>
      <c r="HX12" t="e">
        <f>AND('BBP complete'!G622,"AAAAADv/9uc=")</f>
        <v>#VALUE!</v>
      </c>
      <c r="HY12" t="e">
        <f>AND('BBP complete'!H622,"AAAAADv/9ug=")</f>
        <v>#VALUE!</v>
      </c>
      <c r="HZ12" t="e">
        <f>AND('BBP complete'!I622,"AAAAADv/9uk=")</f>
        <v>#VALUE!</v>
      </c>
      <c r="IA12" s="60" t="e">
        <v>#VALUE!</v>
      </c>
      <c r="IB12" t="e">
        <f>AND('BBP complete'!A623,"AAAAADv/9us=")</f>
        <v>#VALUE!</v>
      </c>
      <c r="IC12" t="e">
        <f>AND('BBP complete'!B623,"AAAAADv/9uw=")</f>
        <v>#VALUE!</v>
      </c>
      <c r="ID12" t="e">
        <f>AND('BBP complete'!C623,"AAAAADv/9u0=")</f>
        <v>#VALUE!</v>
      </c>
      <c r="IE12" t="e">
        <f>AND('BBP complete'!D623,"AAAAADv/9u4=")</f>
        <v>#VALUE!</v>
      </c>
      <c r="IF12" t="e">
        <f>AND('BBP complete'!E623,"AAAAADv/9u8=")</f>
        <v>#VALUE!</v>
      </c>
      <c r="IG12" t="e">
        <f>AND('BBP complete'!F623,"AAAAADv/9vA=")</f>
        <v>#VALUE!</v>
      </c>
      <c r="IH12" t="e">
        <f>AND('BBP complete'!G623,"AAAAADv/9vE=")</f>
        <v>#VALUE!</v>
      </c>
      <c r="II12" t="e">
        <f>AND('BBP complete'!H623,"AAAAADv/9vI=")</f>
        <v>#VALUE!</v>
      </c>
      <c r="IJ12" t="e">
        <f>AND('BBP complete'!I623,"AAAAADv/9vM=")</f>
        <v>#VALUE!</v>
      </c>
      <c r="IK12" s="60" t="e">
        <v>#VALUE!</v>
      </c>
      <c r="IL12" t="e">
        <f>AND('BBP complete'!A624,"AAAAADv/9vU=")</f>
        <v>#VALUE!</v>
      </c>
      <c r="IM12" t="e">
        <f>AND('BBP complete'!B624,"AAAAADv/9vY=")</f>
        <v>#VALUE!</v>
      </c>
      <c r="IN12" t="e">
        <f>AND('BBP complete'!C624,"AAAAADv/9vc=")</f>
        <v>#VALUE!</v>
      </c>
      <c r="IO12" t="e">
        <f>AND('BBP complete'!D624,"AAAAADv/9vg=")</f>
        <v>#VALUE!</v>
      </c>
      <c r="IP12" t="e">
        <f>AND('BBP complete'!E624,"AAAAADv/9vk=")</f>
        <v>#VALUE!</v>
      </c>
      <c r="IQ12" t="e">
        <f>AND('BBP complete'!F624,"AAAAADv/9vo=")</f>
        <v>#VALUE!</v>
      </c>
      <c r="IR12" t="e">
        <f>AND('BBP complete'!G624,"AAAAADv/9vs=")</f>
        <v>#VALUE!</v>
      </c>
      <c r="IS12" t="e">
        <f>AND('BBP complete'!H624,"AAAAADv/9vw=")</f>
        <v>#VALUE!</v>
      </c>
      <c r="IT12" t="e">
        <f>AND('BBP complete'!I624,"AAAAADv/9v0=")</f>
        <v>#VALUE!</v>
      </c>
      <c r="IU12" s="60" t="e">
        <v>#VALUE!</v>
      </c>
      <c r="IV12" t="e">
        <f>AND('BBP complete'!A625,"AAAAADv/9v8=")</f>
        <v>#VALUE!</v>
      </c>
    </row>
    <row r="13" spans="1:256" ht="15" customHeight="1" x14ac:dyDescent="0.25">
      <c r="A13" t="e">
        <f>AND('BBP complete'!B625,"AAAAAD1//wA=")</f>
        <v>#VALUE!</v>
      </c>
      <c r="B13" t="e">
        <f>AND('BBP complete'!C625,"AAAAAD1//wE=")</f>
        <v>#VALUE!</v>
      </c>
      <c r="C13" t="e">
        <f>AND('BBP complete'!D625,"AAAAAD1//wI=")</f>
        <v>#VALUE!</v>
      </c>
      <c r="D13" t="e">
        <f>AND('BBP complete'!E625,"AAAAAD1//wM=")</f>
        <v>#VALUE!</v>
      </c>
      <c r="E13" t="e">
        <f>AND('BBP complete'!F625,"AAAAAD1//wQ=")</f>
        <v>#VALUE!</v>
      </c>
      <c r="F13" t="e">
        <f>AND('BBP complete'!G625,"AAAAAD1//wU=")</f>
        <v>#VALUE!</v>
      </c>
      <c r="G13" t="e">
        <f>AND('BBP complete'!H625,"AAAAAD1//wY=")</f>
        <v>#VALUE!</v>
      </c>
      <c r="H13" t="e">
        <f>AND('BBP complete'!I625,"AAAAAD1//wc=")</f>
        <v>#VALUE!</v>
      </c>
      <c r="I13" s="60" t="e">
        <v>#VALUE!</v>
      </c>
      <c r="J13" t="e">
        <f>AND('BBP complete'!A626,"AAAAAD1//wk=")</f>
        <v>#VALUE!</v>
      </c>
      <c r="K13" t="e">
        <f>AND('BBP complete'!B626,"AAAAAD1//wo=")</f>
        <v>#VALUE!</v>
      </c>
      <c r="L13" t="e">
        <f>AND('BBP complete'!C626,"AAAAAD1//ws=")</f>
        <v>#VALUE!</v>
      </c>
      <c r="M13" t="e">
        <f>AND('BBP complete'!D626,"AAAAAD1//ww=")</f>
        <v>#VALUE!</v>
      </c>
      <c r="N13" t="e">
        <f>AND('BBP complete'!E626,"AAAAAD1//w0=")</f>
        <v>#VALUE!</v>
      </c>
      <c r="O13" t="e">
        <f>AND('BBP complete'!F626,"AAAAAD1//w4=")</f>
        <v>#VALUE!</v>
      </c>
      <c r="P13" t="e">
        <f>AND('BBP complete'!G626,"AAAAAD1//w8=")</f>
        <v>#VALUE!</v>
      </c>
      <c r="Q13" t="e">
        <f>AND('BBP complete'!H626,"AAAAAD1//xA=")</f>
        <v>#VALUE!</v>
      </c>
      <c r="R13" t="e">
        <f>AND('BBP complete'!I626,"AAAAAD1//xE=")</f>
        <v>#VALUE!</v>
      </c>
      <c r="S13" s="60" t="e">
        <v>#VALUE!</v>
      </c>
      <c r="T13" t="e">
        <f>AND('BBP complete'!A627,"AAAAAD1//xM=")</f>
        <v>#VALUE!</v>
      </c>
      <c r="U13" t="e">
        <f>AND('BBP complete'!B627,"AAAAAD1//xQ=")</f>
        <v>#VALUE!</v>
      </c>
      <c r="V13" t="e">
        <f>AND('BBP complete'!C627,"AAAAAD1//xU=")</f>
        <v>#VALUE!</v>
      </c>
      <c r="W13" t="e">
        <f>AND('BBP complete'!D627,"AAAAAD1//xY=")</f>
        <v>#VALUE!</v>
      </c>
      <c r="X13" t="e">
        <f>AND('BBP complete'!E627,"AAAAAD1//xc=")</f>
        <v>#VALUE!</v>
      </c>
      <c r="Y13" t="e">
        <f>AND('BBP complete'!F627,"AAAAAD1//xg=")</f>
        <v>#VALUE!</v>
      </c>
      <c r="Z13" t="e">
        <f>AND('BBP complete'!G627,"AAAAAD1//xk=")</f>
        <v>#VALUE!</v>
      </c>
      <c r="AA13" t="e">
        <f>AND('BBP complete'!H627,"AAAAAD1//xo=")</f>
        <v>#VALUE!</v>
      </c>
      <c r="AB13" t="e">
        <f>AND('BBP complete'!I627,"AAAAAD1//xs=")</f>
        <v>#VALUE!</v>
      </c>
      <c r="AC13" s="60" t="e">
        <v>#VALUE!</v>
      </c>
      <c r="AD13" t="e">
        <f>AND('BBP complete'!A628,"AAAAAD1//x0=")</f>
        <v>#VALUE!</v>
      </c>
      <c r="AE13" t="e">
        <f>AND('BBP complete'!B628,"AAAAAD1//x4=")</f>
        <v>#VALUE!</v>
      </c>
      <c r="AF13" t="e">
        <f>AND('BBP complete'!C628,"AAAAAD1//x8=")</f>
        <v>#VALUE!</v>
      </c>
      <c r="AG13" t="e">
        <f>AND('BBP complete'!D628,"AAAAAD1//yA=")</f>
        <v>#VALUE!</v>
      </c>
      <c r="AH13" t="e">
        <f>AND('BBP complete'!E628,"AAAAAD1//yE=")</f>
        <v>#VALUE!</v>
      </c>
      <c r="AI13" t="e">
        <f>AND('BBP complete'!F628,"AAAAAD1//yI=")</f>
        <v>#VALUE!</v>
      </c>
      <c r="AJ13" t="e">
        <f>AND('BBP complete'!G628,"AAAAAD1//yM=")</f>
        <v>#VALUE!</v>
      </c>
      <c r="AK13" t="e">
        <f>AND('BBP complete'!H628,"AAAAAD1//yQ=")</f>
        <v>#VALUE!</v>
      </c>
      <c r="AL13" t="e">
        <f>AND('BBP complete'!I628,"AAAAAD1//yU=")</f>
        <v>#VALUE!</v>
      </c>
      <c r="AM13" s="60" t="e">
        <v>#VALUE!</v>
      </c>
      <c r="AN13" t="e">
        <f>AND('BBP complete'!A629,"AAAAAD1//yc=")</f>
        <v>#VALUE!</v>
      </c>
      <c r="AO13" t="e">
        <f>AND('BBP complete'!B629,"AAAAAD1//yg=")</f>
        <v>#VALUE!</v>
      </c>
      <c r="AP13" t="e">
        <f>AND('BBP complete'!C629,"AAAAAD1//yk=")</f>
        <v>#VALUE!</v>
      </c>
      <c r="AQ13" t="e">
        <f>AND('BBP complete'!D629,"AAAAAD1//yo=")</f>
        <v>#VALUE!</v>
      </c>
      <c r="AR13" t="e">
        <f>AND('BBP complete'!E629,"AAAAAD1//ys=")</f>
        <v>#VALUE!</v>
      </c>
      <c r="AS13" t="e">
        <f>AND('BBP complete'!F629,"AAAAAD1//yw=")</f>
        <v>#VALUE!</v>
      </c>
      <c r="AT13" t="e">
        <f>AND('BBP complete'!G629,"AAAAAD1//y0=")</f>
        <v>#VALUE!</v>
      </c>
      <c r="AU13" t="e">
        <f>AND('BBP complete'!H629,"AAAAAD1//y4=")</f>
        <v>#VALUE!</v>
      </c>
      <c r="AV13" t="e">
        <f>AND('BBP complete'!I629,"AAAAAD1//y8=")</f>
        <v>#VALUE!</v>
      </c>
      <c r="AW13" s="60" t="e">
        <v>#VALUE!</v>
      </c>
      <c r="AX13" t="e">
        <f>AND('BBP complete'!A630,"AAAAAD1//zE=")</f>
        <v>#VALUE!</v>
      </c>
      <c r="AY13" t="e">
        <f>AND('BBP complete'!B630,"AAAAAD1//zI=")</f>
        <v>#VALUE!</v>
      </c>
      <c r="AZ13" t="e">
        <f>AND('BBP complete'!C630,"AAAAAD1//zM=")</f>
        <v>#VALUE!</v>
      </c>
      <c r="BA13" t="e">
        <f>AND('BBP complete'!D630,"AAAAAD1//zQ=")</f>
        <v>#VALUE!</v>
      </c>
      <c r="BB13" t="e">
        <f>AND('BBP complete'!E630,"AAAAAD1//zU=")</f>
        <v>#VALUE!</v>
      </c>
      <c r="BC13" t="e">
        <f>AND('BBP complete'!F630,"AAAAAD1//zY=")</f>
        <v>#VALUE!</v>
      </c>
      <c r="BD13" t="e">
        <f>AND('BBP complete'!G630,"AAAAAD1//zc=")</f>
        <v>#VALUE!</v>
      </c>
      <c r="BE13" t="e">
        <f>AND('BBP complete'!H630,"AAAAAD1//zg=")</f>
        <v>#VALUE!</v>
      </c>
      <c r="BF13" t="e">
        <f>AND('BBP complete'!I630,"AAAAAD1//zk=")</f>
        <v>#VALUE!</v>
      </c>
      <c r="BG13" s="60" t="e">
        <v>#VALUE!</v>
      </c>
      <c r="BH13" t="e">
        <f>AND('BBP complete'!A631,"AAAAAD1//zs=")</f>
        <v>#VALUE!</v>
      </c>
      <c r="BI13" t="e">
        <f>AND('BBP complete'!B631,"AAAAAD1//zw=")</f>
        <v>#VALUE!</v>
      </c>
      <c r="BJ13" t="e">
        <f>AND('BBP complete'!C631,"AAAAAD1//z0=")</f>
        <v>#VALUE!</v>
      </c>
      <c r="BK13" t="e">
        <f>AND('BBP complete'!D631,"AAAAAD1//z4=")</f>
        <v>#VALUE!</v>
      </c>
      <c r="BL13" t="e">
        <f>AND('BBP complete'!E631,"AAAAAD1//z8=")</f>
        <v>#VALUE!</v>
      </c>
      <c r="BM13" t="e">
        <f>AND('BBP complete'!F631,"AAAAAD1//0A=")</f>
        <v>#VALUE!</v>
      </c>
      <c r="BN13" t="e">
        <f>AND('BBP complete'!G631,"AAAAAD1//0E=")</f>
        <v>#VALUE!</v>
      </c>
      <c r="BO13" t="e">
        <f>AND('BBP complete'!H631,"AAAAAD1//0I=")</f>
        <v>#VALUE!</v>
      </c>
      <c r="BP13" t="e">
        <f>AND('BBP complete'!I631,"AAAAAD1//0M=")</f>
        <v>#VALUE!</v>
      </c>
      <c r="BQ13" s="60" t="e">
        <v>#VALUE!</v>
      </c>
      <c r="BR13" t="e">
        <f>AND('BBP complete'!A632,"AAAAAD1//0U=")</f>
        <v>#VALUE!</v>
      </c>
      <c r="BS13" t="e">
        <f>AND('BBP complete'!B632,"AAAAAD1//0Y=")</f>
        <v>#VALUE!</v>
      </c>
      <c r="BT13" t="e">
        <f>AND('BBP complete'!C632,"AAAAAD1//0c=")</f>
        <v>#VALUE!</v>
      </c>
      <c r="BU13" t="e">
        <f>AND('BBP complete'!D632,"AAAAAD1//0g=")</f>
        <v>#VALUE!</v>
      </c>
      <c r="BV13" t="e">
        <f>AND('BBP complete'!E632,"AAAAAD1//0k=")</f>
        <v>#VALUE!</v>
      </c>
      <c r="BW13" t="e">
        <f>AND('BBP complete'!F632,"AAAAAD1//0o=")</f>
        <v>#VALUE!</v>
      </c>
      <c r="BX13" t="e">
        <f>AND('BBP complete'!G632,"AAAAAD1//0s=")</f>
        <v>#VALUE!</v>
      </c>
      <c r="BY13" t="e">
        <f>AND('BBP complete'!H632,"AAAAAD1//0w=")</f>
        <v>#VALUE!</v>
      </c>
      <c r="BZ13" t="e">
        <f>AND('BBP complete'!I632,"AAAAAD1//00=")</f>
        <v>#VALUE!</v>
      </c>
      <c r="CA13" s="60" t="e">
        <v>#VALUE!</v>
      </c>
      <c r="CB13" t="e">
        <f>AND('BBP complete'!A633,"AAAAAD1//08=")</f>
        <v>#VALUE!</v>
      </c>
      <c r="CC13" t="e">
        <f>AND('BBP complete'!B633,"AAAAAD1//1A=")</f>
        <v>#VALUE!</v>
      </c>
      <c r="CD13" t="e">
        <f>AND('BBP complete'!C633,"AAAAAD1//1E=")</f>
        <v>#VALUE!</v>
      </c>
      <c r="CE13" t="e">
        <f>AND('BBP complete'!D633,"AAAAAD1//1I=")</f>
        <v>#VALUE!</v>
      </c>
      <c r="CF13" t="e">
        <f>AND('BBP complete'!E633,"AAAAAD1//1M=")</f>
        <v>#VALUE!</v>
      </c>
      <c r="CG13" t="e">
        <f>AND('BBP complete'!F633,"AAAAAD1//1Q=")</f>
        <v>#VALUE!</v>
      </c>
      <c r="CH13" t="e">
        <f>AND('BBP complete'!G633,"AAAAAD1//1U=")</f>
        <v>#VALUE!</v>
      </c>
      <c r="CI13" t="e">
        <f>AND('BBP complete'!H633,"AAAAAD1//1Y=")</f>
        <v>#VALUE!</v>
      </c>
      <c r="CJ13" t="e">
        <f>AND('BBP complete'!I633,"AAAAAD1//1c=")</f>
        <v>#VALUE!</v>
      </c>
      <c r="CK13" s="60" t="e">
        <v>#VALUE!</v>
      </c>
      <c r="CL13" t="e">
        <f>AND('BBP complete'!A634,"AAAAAD1//1k=")</f>
        <v>#VALUE!</v>
      </c>
      <c r="CM13" t="e">
        <f>AND('BBP complete'!B634,"AAAAAD1//1o=")</f>
        <v>#VALUE!</v>
      </c>
      <c r="CN13" t="e">
        <f>AND('BBP complete'!C634,"AAAAAD1//1s=")</f>
        <v>#VALUE!</v>
      </c>
      <c r="CO13" t="e">
        <f>AND('BBP complete'!D634,"AAAAAD1//1w=")</f>
        <v>#VALUE!</v>
      </c>
      <c r="CP13" t="e">
        <f>AND('BBP complete'!E634,"AAAAAD1//10=")</f>
        <v>#VALUE!</v>
      </c>
      <c r="CQ13" t="e">
        <f>AND('BBP complete'!F634,"AAAAAD1//14=")</f>
        <v>#VALUE!</v>
      </c>
      <c r="CR13" t="e">
        <f>AND('BBP complete'!G634,"AAAAAD1//18=")</f>
        <v>#VALUE!</v>
      </c>
      <c r="CS13" t="e">
        <f>AND('BBP complete'!H634,"AAAAAD1//2A=")</f>
        <v>#VALUE!</v>
      </c>
      <c r="CT13" t="e">
        <f>AND('BBP complete'!I634,"AAAAAD1//2E=")</f>
        <v>#VALUE!</v>
      </c>
      <c r="CU13" s="60" t="e">
        <v>#VALUE!</v>
      </c>
      <c r="CV13" t="e">
        <f>AND('BBP complete'!A635,"AAAAAD1//2M=")</f>
        <v>#VALUE!</v>
      </c>
      <c r="CW13" t="e">
        <f>AND('BBP complete'!B635,"AAAAAD1//2Q=")</f>
        <v>#VALUE!</v>
      </c>
      <c r="CX13" t="e">
        <f>AND('BBP complete'!C635,"AAAAAD1//2U=")</f>
        <v>#VALUE!</v>
      </c>
      <c r="CY13" t="e">
        <f>AND('BBP complete'!D635,"AAAAAD1//2Y=")</f>
        <v>#VALUE!</v>
      </c>
      <c r="CZ13" t="e">
        <f>AND('BBP complete'!E635,"AAAAAD1//2c=")</f>
        <v>#VALUE!</v>
      </c>
      <c r="DA13" t="e">
        <f>AND('BBP complete'!F635,"AAAAAD1//2g=")</f>
        <v>#VALUE!</v>
      </c>
      <c r="DB13" t="e">
        <f>AND('BBP complete'!G635,"AAAAAD1//2k=")</f>
        <v>#VALUE!</v>
      </c>
      <c r="DC13" t="e">
        <f>AND('BBP complete'!H635,"AAAAAD1//2o=")</f>
        <v>#VALUE!</v>
      </c>
      <c r="DD13" t="e">
        <f>AND('BBP complete'!I635,"AAAAAD1//2s=")</f>
        <v>#VALUE!</v>
      </c>
      <c r="DE13" s="60" t="e">
        <v>#VALUE!</v>
      </c>
      <c r="DF13" t="e">
        <f>AND('BBP complete'!A636,"AAAAAD1//20=")</f>
        <v>#VALUE!</v>
      </c>
      <c r="DG13" t="e">
        <f>AND('BBP complete'!B636,"AAAAAD1//24=")</f>
        <v>#VALUE!</v>
      </c>
      <c r="DH13" t="e">
        <f>AND('BBP complete'!C636,"AAAAAD1//28=")</f>
        <v>#VALUE!</v>
      </c>
      <c r="DI13" t="e">
        <f>AND('BBP complete'!D636,"AAAAAD1//3A=")</f>
        <v>#VALUE!</v>
      </c>
      <c r="DJ13" t="e">
        <f>AND('BBP complete'!E636,"AAAAAD1//3E=")</f>
        <v>#VALUE!</v>
      </c>
      <c r="DK13" t="e">
        <f>AND('BBP complete'!F636,"AAAAAD1//3I=")</f>
        <v>#VALUE!</v>
      </c>
      <c r="DL13" t="e">
        <f>AND('BBP complete'!G636,"AAAAAD1//3M=")</f>
        <v>#VALUE!</v>
      </c>
      <c r="DM13" t="e">
        <f>AND('BBP complete'!H636,"AAAAAD1//3Q=")</f>
        <v>#VALUE!</v>
      </c>
      <c r="DN13" t="e">
        <f>AND('BBP complete'!I636,"AAAAAD1//3U=")</f>
        <v>#VALUE!</v>
      </c>
      <c r="DO13" s="60" t="e">
        <v>#VALUE!</v>
      </c>
      <c r="DP13" t="e">
        <f>AND('BBP complete'!A637,"AAAAAD1//3c=")</f>
        <v>#VALUE!</v>
      </c>
      <c r="DQ13" t="e">
        <f>AND('BBP complete'!B637,"AAAAAD1//3g=")</f>
        <v>#VALUE!</v>
      </c>
      <c r="DR13" t="e">
        <f>AND('BBP complete'!C637,"AAAAAD1//3k=")</f>
        <v>#VALUE!</v>
      </c>
      <c r="DS13" t="e">
        <f>AND('BBP complete'!D637,"AAAAAD1//3o=")</f>
        <v>#VALUE!</v>
      </c>
      <c r="DT13" t="e">
        <f>AND('BBP complete'!E637,"AAAAAD1//3s=")</f>
        <v>#VALUE!</v>
      </c>
      <c r="DU13" t="e">
        <f>AND('BBP complete'!F637,"AAAAAD1//3w=")</f>
        <v>#VALUE!</v>
      </c>
      <c r="DV13" t="e">
        <f>AND('BBP complete'!G637,"AAAAAD1//30=")</f>
        <v>#VALUE!</v>
      </c>
      <c r="DW13" t="e">
        <f>AND('BBP complete'!H637,"AAAAAD1//34=")</f>
        <v>#VALUE!</v>
      </c>
      <c r="DX13" t="e">
        <f>AND('BBP complete'!I637,"AAAAAD1//38=")</f>
        <v>#VALUE!</v>
      </c>
      <c r="DY13" s="60" t="e">
        <v>#VALUE!</v>
      </c>
      <c r="DZ13" t="e">
        <f>AND('BBP complete'!A638,"AAAAAD1//4E=")</f>
        <v>#VALUE!</v>
      </c>
      <c r="EA13" t="e">
        <f>AND('BBP complete'!B638,"AAAAAD1//4I=")</f>
        <v>#VALUE!</v>
      </c>
      <c r="EB13" t="e">
        <f>AND('BBP complete'!C638,"AAAAAD1//4M=")</f>
        <v>#VALUE!</v>
      </c>
      <c r="EC13" t="e">
        <f>AND('BBP complete'!D638,"AAAAAD1//4Q=")</f>
        <v>#VALUE!</v>
      </c>
      <c r="ED13" t="e">
        <f>AND('BBP complete'!E638,"AAAAAD1//4U=")</f>
        <v>#VALUE!</v>
      </c>
      <c r="EE13" t="e">
        <f>AND('BBP complete'!F638,"AAAAAD1//4Y=")</f>
        <v>#VALUE!</v>
      </c>
      <c r="EF13" t="e">
        <f>AND('BBP complete'!G638,"AAAAAD1//4c=")</f>
        <v>#VALUE!</v>
      </c>
      <c r="EG13" t="e">
        <f>AND('BBP complete'!H638,"AAAAAD1//4g=")</f>
        <v>#VALUE!</v>
      </c>
      <c r="EH13" t="e">
        <f>AND('BBP complete'!I638,"AAAAAD1//4k=")</f>
        <v>#VALUE!</v>
      </c>
      <c r="EI13" s="60" t="e">
        <v>#VALUE!</v>
      </c>
      <c r="EJ13" t="e">
        <f>AND('BBP complete'!A639,"AAAAAD1//4s=")</f>
        <v>#VALUE!</v>
      </c>
      <c r="EK13" t="e">
        <f>AND('BBP complete'!B639,"AAAAAD1//4w=")</f>
        <v>#VALUE!</v>
      </c>
      <c r="EL13" t="e">
        <f>AND('BBP complete'!C639,"AAAAAD1//40=")</f>
        <v>#VALUE!</v>
      </c>
      <c r="EM13" t="e">
        <f>AND('BBP complete'!D639,"AAAAAD1//44=")</f>
        <v>#VALUE!</v>
      </c>
      <c r="EN13" t="e">
        <f>AND('BBP complete'!E639,"AAAAAD1//48=")</f>
        <v>#VALUE!</v>
      </c>
      <c r="EO13" t="e">
        <f>AND('BBP complete'!F639,"AAAAAD1//5A=")</f>
        <v>#VALUE!</v>
      </c>
      <c r="EP13" t="e">
        <f>AND('BBP complete'!G639,"AAAAAD1//5E=")</f>
        <v>#VALUE!</v>
      </c>
      <c r="EQ13" t="e">
        <f>AND('BBP complete'!H639,"AAAAAD1//5I=")</f>
        <v>#VALUE!</v>
      </c>
      <c r="ER13" t="e">
        <f>AND('BBP complete'!I639,"AAAAAD1//5M=")</f>
        <v>#VALUE!</v>
      </c>
      <c r="ES13" s="60" t="e">
        <v>#VALUE!</v>
      </c>
      <c r="ET13" t="e">
        <f>AND('BBP complete'!A640,"AAAAAD1//5U=")</f>
        <v>#VALUE!</v>
      </c>
      <c r="EU13" t="e">
        <f>AND('BBP complete'!B640,"AAAAAD1//5Y=")</f>
        <v>#VALUE!</v>
      </c>
      <c r="EV13" t="e">
        <f>AND('BBP complete'!C640,"AAAAAD1//5c=")</f>
        <v>#VALUE!</v>
      </c>
      <c r="EW13" t="e">
        <f>AND('BBP complete'!D640,"AAAAAD1//5g=")</f>
        <v>#VALUE!</v>
      </c>
      <c r="EX13" t="e">
        <f>AND('BBP complete'!E640,"AAAAAD1//5k=")</f>
        <v>#VALUE!</v>
      </c>
      <c r="EY13" t="e">
        <f>AND('BBP complete'!F640,"AAAAAD1//5o=")</f>
        <v>#VALUE!</v>
      </c>
      <c r="EZ13" t="e">
        <f>AND('BBP complete'!G640,"AAAAAD1//5s=")</f>
        <v>#VALUE!</v>
      </c>
      <c r="FA13" t="e">
        <f>AND('BBP complete'!H640,"AAAAAD1//5w=")</f>
        <v>#VALUE!</v>
      </c>
      <c r="FB13" t="e">
        <f>AND('BBP complete'!I640,"AAAAAD1//50=")</f>
        <v>#VALUE!</v>
      </c>
      <c r="FC13" s="60" t="e">
        <v>#VALUE!</v>
      </c>
      <c r="FD13" t="e">
        <f>AND('BBP complete'!A641,"AAAAAD1//58=")</f>
        <v>#VALUE!</v>
      </c>
      <c r="FE13" t="e">
        <f>AND('BBP complete'!B641,"AAAAAD1//6A=")</f>
        <v>#VALUE!</v>
      </c>
      <c r="FF13" t="e">
        <f>AND('BBP complete'!C641,"AAAAAD1//6E=")</f>
        <v>#VALUE!</v>
      </c>
      <c r="FG13" t="e">
        <f>AND('BBP complete'!D641,"AAAAAD1//6I=")</f>
        <v>#VALUE!</v>
      </c>
      <c r="FH13" t="e">
        <f>AND('BBP complete'!E641,"AAAAAD1//6M=")</f>
        <v>#VALUE!</v>
      </c>
      <c r="FI13" t="e">
        <f>AND('BBP complete'!F641,"AAAAAD1//6Q=")</f>
        <v>#VALUE!</v>
      </c>
      <c r="FJ13" t="e">
        <f>AND('BBP complete'!G641,"AAAAAD1//6U=")</f>
        <v>#VALUE!</v>
      </c>
      <c r="FK13" t="e">
        <f>AND('BBP complete'!H641,"AAAAAD1//6Y=")</f>
        <v>#VALUE!</v>
      </c>
      <c r="FL13" t="e">
        <f>AND('BBP complete'!I641,"AAAAAD1//6c=")</f>
        <v>#VALUE!</v>
      </c>
      <c r="FM13" s="60" t="e">
        <v>#VALUE!</v>
      </c>
      <c r="FN13" t="e">
        <f>AND('BBP complete'!A642,"AAAAAD1//6k=")</f>
        <v>#VALUE!</v>
      </c>
      <c r="FO13" t="e">
        <f>AND('BBP complete'!B642,"AAAAAD1//6o=")</f>
        <v>#VALUE!</v>
      </c>
      <c r="FP13" t="e">
        <f>AND('BBP complete'!C642,"AAAAAD1//6s=")</f>
        <v>#VALUE!</v>
      </c>
      <c r="FQ13" t="e">
        <f>AND('BBP complete'!D642,"AAAAAD1//6w=")</f>
        <v>#VALUE!</v>
      </c>
      <c r="FR13" t="e">
        <f>AND('BBP complete'!E642,"AAAAAD1//60=")</f>
        <v>#VALUE!</v>
      </c>
      <c r="FS13" t="e">
        <f>AND('BBP complete'!F642,"AAAAAD1//64=")</f>
        <v>#VALUE!</v>
      </c>
      <c r="FT13" t="e">
        <f>AND('BBP complete'!G642,"AAAAAD1//68=")</f>
        <v>#VALUE!</v>
      </c>
      <c r="FU13" t="e">
        <f>AND('BBP complete'!H642,"AAAAAD1//7A=")</f>
        <v>#VALUE!</v>
      </c>
      <c r="FV13" t="e">
        <f>AND('BBP complete'!I642,"AAAAAD1//7E=")</f>
        <v>#VALUE!</v>
      </c>
      <c r="FW13" s="60" t="e">
        <v>#VALUE!</v>
      </c>
      <c r="FX13" t="e">
        <f>AND('BBP complete'!A643,"AAAAAD1//7M=")</f>
        <v>#VALUE!</v>
      </c>
      <c r="FY13" t="e">
        <f>AND('BBP complete'!B643,"AAAAAD1//7Q=")</f>
        <v>#VALUE!</v>
      </c>
      <c r="FZ13" t="e">
        <f>AND('BBP complete'!C643,"AAAAAD1//7U=")</f>
        <v>#VALUE!</v>
      </c>
      <c r="GA13" t="e">
        <f>AND('BBP complete'!D643,"AAAAAD1//7Y=")</f>
        <v>#VALUE!</v>
      </c>
      <c r="GB13" t="e">
        <f>AND('BBP complete'!E643,"AAAAAD1//7c=")</f>
        <v>#VALUE!</v>
      </c>
      <c r="GC13" t="e">
        <f>AND('BBP complete'!F643,"AAAAAD1//7g=")</f>
        <v>#VALUE!</v>
      </c>
      <c r="GD13" t="e">
        <f>AND('BBP complete'!G643,"AAAAAD1//7k=")</f>
        <v>#VALUE!</v>
      </c>
      <c r="GE13" t="e">
        <f>AND('BBP complete'!H643,"AAAAAD1//7o=")</f>
        <v>#VALUE!</v>
      </c>
      <c r="GF13" t="e">
        <f>AND('BBP complete'!I643,"AAAAAD1//7s=")</f>
        <v>#VALUE!</v>
      </c>
      <c r="GG13" s="60" t="e">
        <v>#VALUE!</v>
      </c>
      <c r="GH13" t="e">
        <f>AND('BBP complete'!A644,"AAAAAD1//70=")</f>
        <v>#VALUE!</v>
      </c>
      <c r="GI13" t="e">
        <f>AND('BBP complete'!B644,"AAAAAD1//74=")</f>
        <v>#VALUE!</v>
      </c>
      <c r="GJ13" t="e">
        <f>AND('BBP complete'!C644,"AAAAAD1//78=")</f>
        <v>#VALUE!</v>
      </c>
      <c r="GK13" t="e">
        <f>AND('BBP complete'!D644,"AAAAAD1//8A=")</f>
        <v>#VALUE!</v>
      </c>
      <c r="GL13" t="e">
        <f>AND('BBP complete'!E644,"AAAAAD1//8E=")</f>
        <v>#VALUE!</v>
      </c>
      <c r="GM13" t="e">
        <f>AND('BBP complete'!F644,"AAAAAD1//8I=")</f>
        <v>#VALUE!</v>
      </c>
      <c r="GN13" t="e">
        <f>AND('BBP complete'!G644,"AAAAAD1//8M=")</f>
        <v>#VALUE!</v>
      </c>
      <c r="GO13" t="e">
        <f>AND('BBP complete'!H644,"AAAAAD1//8Q=")</f>
        <v>#VALUE!</v>
      </c>
      <c r="GP13" t="e">
        <f>AND('BBP complete'!I644,"AAAAAD1//8U=")</f>
        <v>#VALUE!</v>
      </c>
      <c r="GQ13" s="60" t="e">
        <v>#VALUE!</v>
      </c>
      <c r="GR13" t="e">
        <f>AND('BBP complete'!A645,"AAAAAD1//8c=")</f>
        <v>#VALUE!</v>
      </c>
      <c r="GS13" t="e">
        <f>AND('BBP complete'!B645,"AAAAAD1//8g=")</f>
        <v>#VALUE!</v>
      </c>
      <c r="GT13" t="e">
        <f>AND('BBP complete'!C645,"AAAAAD1//8k=")</f>
        <v>#VALUE!</v>
      </c>
      <c r="GU13" t="e">
        <f>AND('BBP complete'!D645,"AAAAAD1//8o=")</f>
        <v>#VALUE!</v>
      </c>
      <c r="GV13" t="e">
        <f>AND('BBP complete'!E645,"AAAAAD1//8s=")</f>
        <v>#VALUE!</v>
      </c>
      <c r="GW13" t="e">
        <f>AND('BBP complete'!F645,"AAAAAD1//8w=")</f>
        <v>#VALUE!</v>
      </c>
      <c r="GX13" t="e">
        <f>AND('BBP complete'!G645,"AAAAAD1//80=")</f>
        <v>#VALUE!</v>
      </c>
      <c r="GY13" t="e">
        <f>AND('BBP complete'!H645,"AAAAAD1//84=")</f>
        <v>#VALUE!</v>
      </c>
      <c r="GZ13" t="e">
        <f>AND('BBP complete'!I645,"AAAAAD1//88=")</f>
        <v>#VALUE!</v>
      </c>
      <c r="HA13" s="60" t="e">
        <v>#VALUE!</v>
      </c>
      <c r="HB13" t="e">
        <f>AND('BBP complete'!A646,"AAAAAD1//9E=")</f>
        <v>#VALUE!</v>
      </c>
      <c r="HC13" t="e">
        <f>AND('BBP complete'!B646,"AAAAAD1//9I=")</f>
        <v>#VALUE!</v>
      </c>
      <c r="HD13" t="e">
        <f>AND('BBP complete'!C646,"AAAAAD1//9M=")</f>
        <v>#VALUE!</v>
      </c>
      <c r="HE13" t="e">
        <f>AND('BBP complete'!D646,"AAAAAD1//9Q=")</f>
        <v>#VALUE!</v>
      </c>
      <c r="HF13" t="e">
        <f>AND('BBP complete'!E646,"AAAAAD1//9U=")</f>
        <v>#VALUE!</v>
      </c>
      <c r="HG13" t="e">
        <f>AND('BBP complete'!F646,"AAAAAD1//9Y=")</f>
        <v>#VALUE!</v>
      </c>
      <c r="HH13" t="e">
        <f>AND('BBP complete'!G646,"AAAAAD1//9c=")</f>
        <v>#VALUE!</v>
      </c>
      <c r="HI13" t="e">
        <f>AND('BBP complete'!H646,"AAAAAD1//9g=")</f>
        <v>#VALUE!</v>
      </c>
      <c r="HJ13" t="e">
        <f>AND('BBP complete'!I646,"AAAAAD1//9k=")</f>
        <v>#VALUE!</v>
      </c>
      <c r="HK13" s="60" t="e">
        <v>#VALUE!</v>
      </c>
      <c r="HL13" t="e">
        <f>AND('BBP complete'!A647,"AAAAAD1//9s=")</f>
        <v>#VALUE!</v>
      </c>
      <c r="HM13" t="e">
        <f>AND('BBP complete'!B647,"AAAAAD1//9w=")</f>
        <v>#VALUE!</v>
      </c>
      <c r="HN13" t="e">
        <f>AND('BBP complete'!C647,"AAAAAD1//90=")</f>
        <v>#VALUE!</v>
      </c>
      <c r="HO13" t="e">
        <f>AND('BBP complete'!D647,"AAAAAD1//94=")</f>
        <v>#VALUE!</v>
      </c>
      <c r="HP13" t="e">
        <f>AND('BBP complete'!E647,"AAAAAD1//98=")</f>
        <v>#VALUE!</v>
      </c>
      <c r="HQ13" t="e">
        <f>AND('BBP complete'!F647,"AAAAAD1//+A=")</f>
        <v>#VALUE!</v>
      </c>
      <c r="HR13" t="e">
        <f>AND('BBP complete'!G647,"AAAAAD1//+E=")</f>
        <v>#VALUE!</v>
      </c>
      <c r="HS13" t="e">
        <f>AND('BBP complete'!H647,"AAAAAD1//+I=")</f>
        <v>#VALUE!</v>
      </c>
      <c r="HT13" t="e">
        <f>AND('BBP complete'!I647,"AAAAAD1//+M=")</f>
        <v>#VALUE!</v>
      </c>
      <c r="HU13" s="60" t="e">
        <v>#VALUE!</v>
      </c>
      <c r="HV13" t="e">
        <f>AND('BBP complete'!A648,"AAAAAD1//+U=")</f>
        <v>#VALUE!</v>
      </c>
      <c r="HW13" t="e">
        <f>AND('BBP complete'!B648,"AAAAAD1//+Y=")</f>
        <v>#VALUE!</v>
      </c>
      <c r="HX13" t="e">
        <f>AND('BBP complete'!C648,"AAAAAD1//+c=")</f>
        <v>#VALUE!</v>
      </c>
      <c r="HY13" t="e">
        <f>AND('BBP complete'!D648,"AAAAAD1//+g=")</f>
        <v>#VALUE!</v>
      </c>
      <c r="HZ13" t="e">
        <f>AND('BBP complete'!E648,"AAAAAD1//+k=")</f>
        <v>#VALUE!</v>
      </c>
      <c r="IA13" t="e">
        <f>AND('BBP complete'!F648,"AAAAAD1//+o=")</f>
        <v>#VALUE!</v>
      </c>
      <c r="IB13" t="e">
        <f>AND('BBP complete'!G648,"AAAAAD1//+s=")</f>
        <v>#VALUE!</v>
      </c>
      <c r="IC13" t="e">
        <f>AND('BBP complete'!H648,"AAAAAD1//+w=")</f>
        <v>#VALUE!</v>
      </c>
      <c r="ID13" t="e">
        <f>AND('BBP complete'!I648,"AAAAAD1//+0=")</f>
        <v>#VALUE!</v>
      </c>
      <c r="IE13" s="60" t="e">
        <v>#VALUE!</v>
      </c>
      <c r="IF13" t="e">
        <f>AND('BBP complete'!A649,"AAAAAD1//+8=")</f>
        <v>#VALUE!</v>
      </c>
      <c r="IG13" t="e">
        <f>AND('BBP complete'!B649,"AAAAAD1///A=")</f>
        <v>#VALUE!</v>
      </c>
      <c r="IH13" t="e">
        <f>AND('BBP complete'!C649,"AAAAAD1///E=")</f>
        <v>#VALUE!</v>
      </c>
      <c r="II13" t="e">
        <f>AND('BBP complete'!D649,"AAAAAD1///I=")</f>
        <v>#VALUE!</v>
      </c>
      <c r="IJ13" t="e">
        <f>AND('BBP complete'!E649,"AAAAAD1///M=")</f>
        <v>#VALUE!</v>
      </c>
      <c r="IK13" t="e">
        <f>AND('BBP complete'!F649,"AAAAAD1///Q=")</f>
        <v>#VALUE!</v>
      </c>
      <c r="IL13" t="e">
        <f>AND('BBP complete'!G649,"AAAAAD1///U=")</f>
        <v>#VALUE!</v>
      </c>
      <c r="IM13" t="e">
        <f>AND('BBP complete'!H649,"AAAAAD1///Y=")</f>
        <v>#VALUE!</v>
      </c>
      <c r="IN13" t="e">
        <f>AND('BBP complete'!I649,"AAAAAD1///c=")</f>
        <v>#VALUE!</v>
      </c>
      <c r="IO13" s="60" t="e">
        <v>#VALUE!</v>
      </c>
      <c r="IP13" t="e">
        <f>AND('BBP complete'!A650,"AAAAAD1///k=")</f>
        <v>#VALUE!</v>
      </c>
      <c r="IQ13" t="e">
        <f>AND('BBP complete'!B650,"AAAAAD1///o=")</f>
        <v>#VALUE!</v>
      </c>
      <c r="IR13" t="e">
        <f>AND('BBP complete'!C650,"AAAAAD1///s=")</f>
        <v>#VALUE!</v>
      </c>
      <c r="IS13" t="e">
        <f>AND('BBP complete'!D650,"AAAAAD1///w=")</f>
        <v>#VALUE!</v>
      </c>
      <c r="IT13" t="e">
        <f>AND('BBP complete'!E650,"AAAAAD1///0=")</f>
        <v>#VALUE!</v>
      </c>
      <c r="IU13" t="e">
        <f>AND('BBP complete'!F650,"AAAAAD1///4=")</f>
        <v>#VALUE!</v>
      </c>
      <c r="IV13" t="e">
        <f>AND('BBP complete'!G650,"AAAAAD1///8=")</f>
        <v>#VALUE!</v>
      </c>
    </row>
    <row r="14" spans="1:256" ht="15" customHeight="1" x14ac:dyDescent="0.25">
      <c r="A14" t="e">
        <f>AND('BBP complete'!H650,"AAAAAD+tPwA=")</f>
        <v>#VALUE!</v>
      </c>
      <c r="B14" t="e">
        <f>AND('BBP complete'!I650,"AAAAAD+tPwE=")</f>
        <v>#VALUE!</v>
      </c>
      <c r="C14" s="60" t="e">
        <v>#VALUE!</v>
      </c>
      <c r="D14" t="e">
        <f>AND('BBP complete'!A651,"AAAAAD+tPwM=")</f>
        <v>#VALUE!</v>
      </c>
      <c r="E14" t="e">
        <f>AND('BBP complete'!B651,"AAAAAD+tPwQ=")</f>
        <v>#VALUE!</v>
      </c>
      <c r="F14" t="e">
        <f>AND('BBP complete'!C651,"AAAAAD+tPwU=")</f>
        <v>#VALUE!</v>
      </c>
      <c r="G14" t="e">
        <f>AND('BBP complete'!D651,"AAAAAD+tPwY=")</f>
        <v>#VALUE!</v>
      </c>
      <c r="H14" t="e">
        <f>AND('BBP complete'!E651,"AAAAAD+tPwc=")</f>
        <v>#VALUE!</v>
      </c>
      <c r="I14" t="e">
        <f>AND('BBP complete'!F651,"AAAAAD+tPwg=")</f>
        <v>#VALUE!</v>
      </c>
      <c r="J14" t="e">
        <f>AND('BBP complete'!G651,"AAAAAD+tPwk=")</f>
        <v>#VALUE!</v>
      </c>
      <c r="K14" t="e">
        <f>AND('BBP complete'!H651,"AAAAAD+tPwo=")</f>
        <v>#VALUE!</v>
      </c>
      <c r="L14" t="e">
        <f>AND('BBP complete'!I651,"AAAAAD+tPws=")</f>
        <v>#VALUE!</v>
      </c>
      <c r="M14" s="60" t="e">
        <v>#VALUE!</v>
      </c>
      <c r="N14" t="e">
        <f>AND('BBP complete'!A652,"AAAAAD+tPw0=")</f>
        <v>#VALUE!</v>
      </c>
      <c r="O14" t="e">
        <f>AND('BBP complete'!B652,"AAAAAD+tPw4=")</f>
        <v>#VALUE!</v>
      </c>
      <c r="P14" t="e">
        <f>AND('BBP complete'!C652,"AAAAAD+tPw8=")</f>
        <v>#VALUE!</v>
      </c>
      <c r="Q14" t="e">
        <f>AND('BBP complete'!D652,"AAAAAD+tPxA=")</f>
        <v>#VALUE!</v>
      </c>
      <c r="R14" t="e">
        <f>AND('BBP complete'!E652,"AAAAAD+tPxE=")</f>
        <v>#VALUE!</v>
      </c>
      <c r="S14" t="e">
        <f>AND('BBP complete'!F652,"AAAAAD+tPxI=")</f>
        <v>#VALUE!</v>
      </c>
      <c r="T14" t="e">
        <f>AND('BBP complete'!G652,"AAAAAD+tPxM=")</f>
        <v>#VALUE!</v>
      </c>
      <c r="U14" t="e">
        <f>AND('BBP complete'!H652,"AAAAAD+tPxQ=")</f>
        <v>#VALUE!</v>
      </c>
      <c r="V14" t="e">
        <f>AND('BBP complete'!I652,"AAAAAD+tPxU=")</f>
        <v>#VALUE!</v>
      </c>
      <c r="W14" s="60" t="e">
        <v>#VALUE!</v>
      </c>
      <c r="X14" t="e">
        <f>AND('BBP complete'!A653,"AAAAAD+tPxc=")</f>
        <v>#VALUE!</v>
      </c>
      <c r="Y14" t="e">
        <f>AND('BBP complete'!B653,"AAAAAD+tPxg=")</f>
        <v>#VALUE!</v>
      </c>
      <c r="Z14" t="e">
        <f>AND('BBP complete'!C653,"AAAAAD+tPxk=")</f>
        <v>#VALUE!</v>
      </c>
      <c r="AA14" t="e">
        <f>AND('BBP complete'!D653,"AAAAAD+tPxo=")</f>
        <v>#VALUE!</v>
      </c>
      <c r="AB14" t="e">
        <f>AND('BBP complete'!E653,"AAAAAD+tPxs=")</f>
        <v>#VALUE!</v>
      </c>
      <c r="AC14" t="e">
        <f>AND('BBP complete'!F653,"AAAAAD+tPxw=")</f>
        <v>#VALUE!</v>
      </c>
      <c r="AD14" t="e">
        <f>AND('BBP complete'!G653,"AAAAAD+tPx0=")</f>
        <v>#VALUE!</v>
      </c>
      <c r="AE14" t="e">
        <f>AND('BBP complete'!H653,"AAAAAD+tPx4=")</f>
        <v>#VALUE!</v>
      </c>
      <c r="AF14" t="e">
        <f>AND('BBP complete'!I653,"AAAAAD+tPx8=")</f>
        <v>#VALUE!</v>
      </c>
      <c r="AG14" s="60" t="e">
        <v>#VALUE!</v>
      </c>
      <c r="AH14" t="e">
        <f>AND('BBP complete'!A654,"AAAAAD+tPyE=")</f>
        <v>#VALUE!</v>
      </c>
      <c r="AI14" t="e">
        <f>AND('BBP complete'!B654,"AAAAAD+tPyI=")</f>
        <v>#VALUE!</v>
      </c>
      <c r="AJ14" t="e">
        <f>AND('BBP complete'!C654,"AAAAAD+tPyM=")</f>
        <v>#VALUE!</v>
      </c>
      <c r="AK14" t="e">
        <f>AND('BBP complete'!D654,"AAAAAD+tPyQ=")</f>
        <v>#VALUE!</v>
      </c>
      <c r="AL14" t="e">
        <f>AND('BBP complete'!E654,"AAAAAD+tPyU=")</f>
        <v>#VALUE!</v>
      </c>
      <c r="AM14" t="e">
        <f>AND('BBP complete'!F654,"AAAAAD+tPyY=")</f>
        <v>#VALUE!</v>
      </c>
      <c r="AN14" t="e">
        <f>AND('BBP complete'!G654,"AAAAAD+tPyc=")</f>
        <v>#VALUE!</v>
      </c>
      <c r="AO14" t="e">
        <f>AND('BBP complete'!H654,"AAAAAD+tPyg=")</f>
        <v>#VALUE!</v>
      </c>
      <c r="AP14" t="e">
        <f>AND('BBP complete'!I654,"AAAAAD+tPyk=")</f>
        <v>#VALUE!</v>
      </c>
      <c r="AQ14" s="60" t="e">
        <v>#VALUE!</v>
      </c>
      <c r="AR14" t="e">
        <f>AND('BBP complete'!A655,"AAAAAD+tPys=")</f>
        <v>#VALUE!</v>
      </c>
      <c r="AS14" t="e">
        <f>AND('BBP complete'!B655,"AAAAAD+tPyw=")</f>
        <v>#VALUE!</v>
      </c>
      <c r="AT14" t="e">
        <f>AND('BBP complete'!C655,"AAAAAD+tPy0=")</f>
        <v>#VALUE!</v>
      </c>
      <c r="AU14" t="e">
        <f>AND('BBP complete'!D655,"AAAAAD+tPy4=")</f>
        <v>#VALUE!</v>
      </c>
      <c r="AV14" t="e">
        <f>AND('BBP complete'!E655,"AAAAAD+tPy8=")</f>
        <v>#VALUE!</v>
      </c>
      <c r="AW14" t="e">
        <f>AND('BBP complete'!F655,"AAAAAD+tPzA=")</f>
        <v>#VALUE!</v>
      </c>
      <c r="AX14" t="e">
        <f>AND('BBP complete'!G655,"AAAAAD+tPzE=")</f>
        <v>#VALUE!</v>
      </c>
      <c r="AY14" t="e">
        <f>AND('BBP complete'!H655,"AAAAAD+tPzI=")</f>
        <v>#VALUE!</v>
      </c>
      <c r="AZ14" t="e">
        <f>AND('BBP complete'!I655,"AAAAAD+tPzM=")</f>
        <v>#VALUE!</v>
      </c>
      <c r="BA14" s="60" t="e">
        <v>#VALUE!</v>
      </c>
      <c r="BB14" t="e">
        <f>AND('BBP complete'!#REF!,"AAAAAD+tPzU=")</f>
        <v>#REF!</v>
      </c>
      <c r="BC14" t="e">
        <f>AND('BBP complete'!B656,"AAAAAD+tPzY=")</f>
        <v>#VALUE!</v>
      </c>
      <c r="BD14" t="e">
        <f>AND('BBP complete'!A656,"AAAAAD+tPzc=")</f>
        <v>#VALUE!</v>
      </c>
      <c r="BE14" t="e">
        <f>AND('BBP complete'!D656,"AAAAAD+tPzg=")</f>
        <v>#VALUE!</v>
      </c>
      <c r="BF14" t="e">
        <f>AND('BBP complete'!E656,"AAAAAD+tPzk=")</f>
        <v>#VALUE!</v>
      </c>
      <c r="BG14" t="e">
        <f>AND('BBP complete'!F656,"AAAAAD+tPzo=")</f>
        <v>#VALUE!</v>
      </c>
      <c r="BH14" t="e">
        <f>AND('BBP complete'!G656,"AAAAAD+tPzs=")</f>
        <v>#VALUE!</v>
      </c>
      <c r="BI14" t="e">
        <f>AND('BBP complete'!H656,"AAAAAD+tPzw=")</f>
        <v>#VALUE!</v>
      </c>
      <c r="BJ14" t="e">
        <f>AND('BBP complete'!I656,"AAAAAD+tPz0=")</f>
        <v>#VALUE!</v>
      </c>
      <c r="BK14" s="60" t="e">
        <v>#VALUE!</v>
      </c>
      <c r="BL14" t="e">
        <f>AND('BBP complete'!#REF!,"AAAAAD+tPz8=")</f>
        <v>#REF!</v>
      </c>
      <c r="BM14" t="e">
        <f>AND('BBP complete'!B657,"AAAAAD+tP0A=")</f>
        <v>#VALUE!</v>
      </c>
      <c r="BN14" t="e">
        <f>AND('BBP complete'!A657,"AAAAAD+tP0E=")</f>
        <v>#VALUE!</v>
      </c>
      <c r="BO14" t="e">
        <f>AND('BBP complete'!D657,"AAAAAD+tP0I=")</f>
        <v>#VALUE!</v>
      </c>
      <c r="BP14" t="e">
        <f>AND('BBP complete'!E657,"AAAAAD+tP0M=")</f>
        <v>#VALUE!</v>
      </c>
      <c r="BQ14" t="e">
        <f>AND('BBP complete'!F657,"AAAAAD+tP0Q=")</f>
        <v>#VALUE!</v>
      </c>
      <c r="BR14" t="e">
        <f>AND('BBP complete'!G657,"AAAAAD+tP0U=")</f>
        <v>#VALUE!</v>
      </c>
      <c r="BS14" t="e">
        <f>AND('BBP complete'!H657,"AAAAAD+tP0Y=")</f>
        <v>#VALUE!</v>
      </c>
      <c r="BT14" t="e">
        <f>AND('BBP complete'!I657,"AAAAAD+tP0c=")</f>
        <v>#VALUE!</v>
      </c>
      <c r="BU14" s="60" t="e">
        <v>#VALUE!</v>
      </c>
      <c r="BV14" t="e">
        <f>AND('BBP complete'!#REF!,"AAAAAD+tP0k=")</f>
        <v>#REF!</v>
      </c>
      <c r="BW14" t="e">
        <f>AND('BBP complete'!B658,"AAAAAD+tP0o=")</f>
        <v>#VALUE!</v>
      </c>
      <c r="BX14" t="e">
        <f>AND('BBP complete'!A658,"AAAAAD+tP0s=")</f>
        <v>#VALUE!</v>
      </c>
      <c r="BY14" t="e">
        <f>AND('BBP complete'!D658,"AAAAAD+tP0w=")</f>
        <v>#VALUE!</v>
      </c>
      <c r="BZ14" t="e">
        <f>AND('BBP complete'!E658,"AAAAAD+tP00=")</f>
        <v>#VALUE!</v>
      </c>
      <c r="CA14" t="e">
        <f>AND('BBP complete'!F658,"AAAAAD+tP04=")</f>
        <v>#VALUE!</v>
      </c>
      <c r="CB14" t="e">
        <f>AND('BBP complete'!G658,"AAAAAD+tP08=")</f>
        <v>#VALUE!</v>
      </c>
      <c r="CC14" t="e">
        <f>AND('BBP complete'!H658,"AAAAAD+tP1A=")</f>
        <v>#VALUE!</v>
      </c>
      <c r="CD14" t="e">
        <f>AND('BBP complete'!I658,"AAAAAD+tP1E=")</f>
        <v>#VALUE!</v>
      </c>
      <c r="CE14" s="60" t="e">
        <v>#VALUE!</v>
      </c>
      <c r="CF14" t="e">
        <f>AND('BBP complete'!#REF!,"AAAAAD+tP1M=")</f>
        <v>#REF!</v>
      </c>
      <c r="CG14" t="e">
        <f>AND('BBP complete'!B659,"AAAAAD+tP1Q=")</f>
        <v>#VALUE!</v>
      </c>
      <c r="CH14" t="e">
        <f>AND('BBP complete'!A659,"AAAAAD+tP1U=")</f>
        <v>#VALUE!</v>
      </c>
      <c r="CI14" t="e">
        <f>AND('BBP complete'!D659,"AAAAAD+tP1Y=")</f>
        <v>#VALUE!</v>
      </c>
      <c r="CJ14" t="e">
        <f>AND('BBP complete'!E659,"AAAAAD+tP1c=")</f>
        <v>#VALUE!</v>
      </c>
      <c r="CK14" t="e">
        <f>AND('BBP complete'!F659,"AAAAAD+tP1g=")</f>
        <v>#VALUE!</v>
      </c>
      <c r="CL14" t="e">
        <f>AND('BBP complete'!G659,"AAAAAD+tP1k=")</f>
        <v>#VALUE!</v>
      </c>
      <c r="CM14" t="e">
        <f>AND('BBP complete'!H659,"AAAAAD+tP1o=")</f>
        <v>#VALUE!</v>
      </c>
      <c r="CN14" t="e">
        <f>AND('BBP complete'!I659,"AAAAAD+tP1s=")</f>
        <v>#VALUE!</v>
      </c>
      <c r="CO14" s="60" t="e">
        <v>#VALUE!</v>
      </c>
      <c r="CP14" t="e">
        <f>AND('BBP complete'!#REF!,"AAAAAD+tP10=")</f>
        <v>#REF!</v>
      </c>
      <c r="CQ14" t="e">
        <f>AND('BBP complete'!B660,"AAAAAD+tP14=")</f>
        <v>#VALUE!</v>
      </c>
      <c r="CR14" t="e">
        <f>AND('BBP complete'!A660,"AAAAAD+tP18=")</f>
        <v>#VALUE!</v>
      </c>
      <c r="CS14" t="e">
        <f>AND('BBP complete'!D660,"AAAAAD+tP2A=")</f>
        <v>#VALUE!</v>
      </c>
      <c r="CT14" t="e">
        <f>AND('BBP complete'!E660,"AAAAAD+tP2E=")</f>
        <v>#VALUE!</v>
      </c>
      <c r="CU14" t="e">
        <f>AND('BBP complete'!F660,"AAAAAD+tP2I=")</f>
        <v>#VALUE!</v>
      </c>
      <c r="CV14" t="e">
        <f>AND('BBP complete'!G660,"AAAAAD+tP2M=")</f>
        <v>#VALUE!</v>
      </c>
      <c r="CW14" t="e">
        <f>AND('BBP complete'!H660,"AAAAAD+tP2Q=")</f>
        <v>#VALUE!</v>
      </c>
      <c r="CX14" t="e">
        <f>AND('BBP complete'!I660,"AAAAAD+tP2U=")</f>
        <v>#VALUE!</v>
      </c>
      <c r="CY14" s="60" t="e">
        <v>#VALUE!</v>
      </c>
      <c r="CZ14" t="e">
        <f>AND('BBP complete'!#REF!,"AAAAAD+tP2c=")</f>
        <v>#REF!</v>
      </c>
      <c r="DA14" t="e">
        <f>AND('BBP complete'!B661,"AAAAAD+tP2g=")</f>
        <v>#VALUE!</v>
      </c>
      <c r="DB14" t="e">
        <f>AND('BBP complete'!A661,"AAAAAD+tP2k=")</f>
        <v>#VALUE!</v>
      </c>
      <c r="DC14" t="e">
        <f>AND('BBP complete'!D661,"AAAAAD+tP2o=")</f>
        <v>#VALUE!</v>
      </c>
      <c r="DD14" t="e">
        <f>AND('BBP complete'!E661,"AAAAAD+tP2s=")</f>
        <v>#VALUE!</v>
      </c>
      <c r="DE14" t="e">
        <f>AND('BBP complete'!F661,"AAAAAD+tP2w=")</f>
        <v>#VALUE!</v>
      </c>
      <c r="DF14" t="e">
        <f>AND('BBP complete'!G661,"AAAAAD+tP20=")</f>
        <v>#VALUE!</v>
      </c>
      <c r="DG14" t="e">
        <f>AND('BBP complete'!H661,"AAAAAD+tP24=")</f>
        <v>#VALUE!</v>
      </c>
      <c r="DH14" t="e">
        <f>AND('BBP complete'!I661,"AAAAAD+tP28=")</f>
        <v>#VALUE!</v>
      </c>
      <c r="DI14" s="60" t="e">
        <v>#VALUE!</v>
      </c>
      <c r="DJ14" t="e">
        <f>AND('BBP complete'!#REF!,"AAAAAD+tP3E=")</f>
        <v>#REF!</v>
      </c>
      <c r="DK14" t="e">
        <f>AND('BBP complete'!B662,"AAAAAD+tP3I=")</f>
        <v>#VALUE!</v>
      </c>
      <c r="DL14" t="e">
        <f>AND('BBP complete'!A662,"AAAAAD+tP3M=")</f>
        <v>#VALUE!</v>
      </c>
      <c r="DM14" t="e">
        <f>AND('BBP complete'!D662,"AAAAAD+tP3Q=")</f>
        <v>#VALUE!</v>
      </c>
      <c r="DN14" t="e">
        <f>AND('BBP complete'!E662,"AAAAAD+tP3U=")</f>
        <v>#VALUE!</v>
      </c>
      <c r="DO14" t="e">
        <f>AND('BBP complete'!F662,"AAAAAD+tP3Y=")</f>
        <v>#VALUE!</v>
      </c>
      <c r="DP14" t="e">
        <f>AND('BBP complete'!G662,"AAAAAD+tP3c=")</f>
        <v>#VALUE!</v>
      </c>
      <c r="DQ14" t="e">
        <f>AND('BBP complete'!H662,"AAAAAD+tP3g=")</f>
        <v>#VALUE!</v>
      </c>
      <c r="DR14" t="e">
        <f>AND('BBP complete'!I662,"AAAAAD+tP3k=")</f>
        <v>#VALUE!</v>
      </c>
      <c r="DS14" s="60">
        <f>IF('BBP complete'!A:A,"AAAAAD+tP3o=",0)</f>
        <v>0</v>
      </c>
      <c r="DT14" s="60" t="e">
        <f>IF('BBP complete'!B:B,"AAAAAD+tP3s=",0)</f>
        <v>#VALUE!</v>
      </c>
      <c r="DU14" t="str">
        <f>IF('BBP complete'!C:C,"AAAAAD+tP3w=",0)</f>
        <v>AAAAAD+tP3w=</v>
      </c>
      <c r="DV14" t="str">
        <f>IF('BBP complete'!D:D,"AAAAAD+tP30=",0)</f>
        <v>AAAAAD+tP30=</v>
      </c>
      <c r="DW14" s="60">
        <f>IF('BBP complete'!E:E,"AAAAAD+tP34=",0)</f>
        <v>0</v>
      </c>
      <c r="DX14" t="str">
        <f>IF('BBP complete'!F:F,"AAAAAD+tP38=",0)</f>
        <v>AAAAAD+tP38=</v>
      </c>
      <c r="DY14" t="str">
        <f>IF('BBP complete'!G:G,"AAAAAD+tP4A=",0)</f>
        <v>AAAAAD+tP4A=</v>
      </c>
      <c r="DZ14" t="str">
        <f>IF('BBP complete'!H:H,"AAAAAD+tP4E=",0)</f>
        <v>AAAAAD+tP4E=</v>
      </c>
      <c r="EA14" t="str">
        <f>IF('BBP complete'!I:I,"AAAAAD+tP4I=",0)</f>
        <v>AAAAAD+tP4I=</v>
      </c>
      <c r="EB14" s="60">
        <f>IF(Hoja2!1:1,"AAAAAD+tP4M=",0)</f>
        <v>0</v>
      </c>
      <c r="EC14" t="e">
        <f>AND(Hoja2!A1,"AAAAAD+tP4Q=")</f>
        <v>#VALUE!</v>
      </c>
      <c r="ED14" s="60">
        <f>IF(Hoja2!A:A,"AAAAAD+tP4U=",0)</f>
        <v>0</v>
      </c>
      <c r="EE14" s="60">
        <f>IF(Hoja3!1:1,"AAAAAD+tP4Y=",0)</f>
        <v>0</v>
      </c>
      <c r="EF14" t="e">
        <f>AND(Hoja3!A1,"AAAAAD+tP4c=")</f>
        <v>#VALUE!</v>
      </c>
      <c r="EG14" t="str">
        <f>IF(Hoja3!A:A,"AAAAAD+tP4g=",0)</f>
        <v>AAAAAD+tP4g=</v>
      </c>
      <c r="EH14" t="s">
        <v>2527</v>
      </c>
    </row>
    <row r="15" spans="1:256" ht="15" customHeight="1" x14ac:dyDescent="0.25">
      <c r="A15" t="e">
        <f>AND('BBP complete'!J1,"AAAAAHz+cwA=")</f>
        <v>#VALUE!</v>
      </c>
      <c r="B15" t="e">
        <f>AND('BBP complete'!J319,"AAAAAHz+cwE=")</f>
        <v>#VALUE!</v>
      </c>
      <c r="C15" t="e">
        <f>AND('BBP complete'!J320,"AAAAAHz+cwI=")</f>
        <v>#VALUE!</v>
      </c>
      <c r="D15" t="e">
        <f>AND('BBP complete'!J321,"AAAAAHz+cwM=")</f>
        <v>#VALUE!</v>
      </c>
      <c r="E15" t="e">
        <f>AND('BBP complete'!J322,"AAAAAHz+cwQ=")</f>
        <v>#VALUE!</v>
      </c>
      <c r="F15" t="e">
        <f>AND('BBP complete'!J323,"AAAAAHz+cwU=")</f>
        <v>#VALUE!</v>
      </c>
      <c r="G15" t="e">
        <f>AND('BBP complete'!J324,"AAAAAHz+cwY=")</f>
        <v>#VALUE!</v>
      </c>
      <c r="H15" t="e">
        <f>AND('BBP complete'!J325,"AAAAAHz+cwc=")</f>
        <v>#VALUE!</v>
      </c>
      <c r="I15" t="e">
        <f>AND('BBP complete'!J326,"AAAAAHz+cwg=")</f>
        <v>#VALUE!</v>
      </c>
      <c r="J15" t="e">
        <f>AND('BBP complete'!J327,"AAAAAHz+cwk=")</f>
        <v>#VALUE!</v>
      </c>
      <c r="K15" t="e">
        <f>AND('BBP complete'!J328,"AAAAAHz+cwo=")</f>
        <v>#VALUE!</v>
      </c>
      <c r="L15" t="e">
        <f>AND('BBP complete'!J329,"AAAAAHz+cws=")</f>
        <v>#VALUE!</v>
      </c>
      <c r="M15" t="e">
        <f>AND('BBP complete'!J330,"AAAAAHz+cww=")</f>
        <v>#VALUE!</v>
      </c>
      <c r="N15" t="e">
        <f>AND('BBP complete'!J331,"AAAAAHz+cw0=")</f>
        <v>#VALUE!</v>
      </c>
      <c r="O15" t="e">
        <f>AND('BBP complete'!J332,"AAAAAHz+cw4=")</f>
        <v>#VALUE!</v>
      </c>
      <c r="P15" t="e">
        <f>AND('BBP complete'!J333,"AAAAAHz+cw8=")</f>
        <v>#VALUE!</v>
      </c>
      <c r="Q15" t="e">
        <f>AND('BBP complete'!J334,"AAAAAHz+cxA=")</f>
        <v>#VALUE!</v>
      </c>
      <c r="R15" t="e">
        <f>AND('BBP complete'!J335,"AAAAAHz+cxE=")</f>
        <v>#VALUE!</v>
      </c>
      <c r="S15" t="e">
        <f>AND('BBP complete'!J336,"AAAAAHz+cxI=")</f>
        <v>#VALUE!</v>
      </c>
      <c r="T15" t="e">
        <f>AND('BBP complete'!J337,"AAAAAHz+cxM=")</f>
        <v>#VALUE!</v>
      </c>
      <c r="U15" t="e">
        <f>AND('BBP complete'!J338,"AAAAAHz+cxQ=")</f>
        <v>#VALUE!</v>
      </c>
      <c r="V15" t="e">
        <f>AND('BBP complete'!J339,"AAAAAHz+cxU=")</f>
        <v>#VALUE!</v>
      </c>
      <c r="W15" t="e">
        <f>AND('BBP complete'!J340,"AAAAAHz+cxY=")</f>
        <v>#VALUE!</v>
      </c>
      <c r="X15" t="e">
        <f>AND('BBP complete'!J341,"AAAAAHz+cxc=")</f>
        <v>#VALUE!</v>
      </c>
      <c r="Y15" t="e">
        <f>AND('BBP complete'!J342,"AAAAAHz+cxg=")</f>
        <v>#VALUE!</v>
      </c>
      <c r="Z15" t="e">
        <f>AND('BBP complete'!J343,"AAAAAHz+cxk=")</f>
        <v>#VALUE!</v>
      </c>
      <c r="AA15" t="e">
        <f>AND('BBP complete'!J344,"AAAAAHz+cxo=")</f>
        <v>#VALUE!</v>
      </c>
      <c r="AB15" t="e">
        <f>AND('BBP complete'!J345,"AAAAAHz+cxs=")</f>
        <v>#VALUE!</v>
      </c>
      <c r="AC15" t="e">
        <f>AND('BBP complete'!J346,"AAAAAHz+cxw=")</f>
        <v>#VALUE!</v>
      </c>
      <c r="AD15" t="e">
        <f>AND('BBP complete'!J347,"AAAAAHz+cx0=")</f>
        <v>#VALUE!</v>
      </c>
      <c r="AE15" t="e">
        <f>AND('BBP complete'!J348,"AAAAAHz+cx4=")</f>
        <v>#VALUE!</v>
      </c>
      <c r="AF15" t="e">
        <f>AND('BBP complete'!J349,"AAAAAHz+cx8=")</f>
        <v>#VALUE!</v>
      </c>
      <c r="AG15" t="e">
        <f>AND('BBP complete'!J350,"AAAAAHz+cyA=")</f>
        <v>#VALUE!</v>
      </c>
      <c r="AH15" t="e">
        <f>AND('BBP complete'!J351,"AAAAAHz+cyE=")</f>
        <v>#VALUE!</v>
      </c>
      <c r="AI15" t="e">
        <f>AND('BBP complete'!J352,"AAAAAHz+cyI=")</f>
        <v>#VALUE!</v>
      </c>
      <c r="AJ15" t="e">
        <f>AND('BBP complete'!J353,"AAAAAHz+cyM=")</f>
        <v>#VALUE!</v>
      </c>
      <c r="AK15" t="e">
        <f>AND('BBP complete'!J354,"AAAAAHz+cyQ=")</f>
        <v>#VALUE!</v>
      </c>
      <c r="AL15" t="e">
        <f>AND('BBP complete'!J355,"AAAAAHz+cyU=")</f>
        <v>#VALUE!</v>
      </c>
      <c r="AM15" t="e">
        <f>AND('BBP complete'!J356,"AAAAAHz+cyY=")</f>
        <v>#VALUE!</v>
      </c>
      <c r="AN15" t="e">
        <f>AND('BBP complete'!J357,"AAAAAHz+cyc=")</f>
        <v>#VALUE!</v>
      </c>
      <c r="AO15" t="e">
        <f>AND('BBP complete'!J358,"AAAAAHz+cyg=")</f>
        <v>#VALUE!</v>
      </c>
      <c r="AP15" t="e">
        <f>AND('BBP complete'!J359,"AAAAAHz+cyk=")</f>
        <v>#VALUE!</v>
      </c>
      <c r="AQ15" t="e">
        <f>AND('BBP complete'!J360,"AAAAAHz+cyo=")</f>
        <v>#VALUE!</v>
      </c>
      <c r="AR15" t="e">
        <f>AND('BBP complete'!J361,"AAAAAHz+cys=")</f>
        <v>#VALUE!</v>
      </c>
      <c r="AS15" t="e">
        <f>AND('BBP complete'!J362,"AAAAAHz+cyw=")</f>
        <v>#VALUE!</v>
      </c>
      <c r="AT15" t="e">
        <f>AND('BBP complete'!J363,"AAAAAHz+cy0=")</f>
        <v>#VALUE!</v>
      </c>
      <c r="AU15" t="e">
        <f>AND('BBP complete'!J364,"AAAAAHz+cy4=")</f>
        <v>#VALUE!</v>
      </c>
      <c r="AV15" t="e">
        <f>AND('BBP complete'!J365,"AAAAAHz+cy8=")</f>
        <v>#VALUE!</v>
      </c>
      <c r="AW15" t="e">
        <f>AND('BBP complete'!J366,"AAAAAHz+czA=")</f>
        <v>#VALUE!</v>
      </c>
      <c r="AX15" t="e">
        <f>AND('BBP complete'!J367,"AAAAAHz+czE=")</f>
        <v>#VALUE!</v>
      </c>
      <c r="AY15" t="e">
        <f>AND('BBP complete'!J368,"AAAAAHz+czI=")</f>
        <v>#VALUE!</v>
      </c>
      <c r="AZ15" t="e">
        <f>AND('BBP complete'!J369,"AAAAAHz+czM=")</f>
        <v>#VALUE!</v>
      </c>
      <c r="BA15" t="e">
        <f>AND('BBP complete'!J370,"AAAAAHz+czQ=")</f>
        <v>#VALUE!</v>
      </c>
      <c r="BB15" t="e">
        <f>AND('BBP complete'!J371,"AAAAAHz+czU=")</f>
        <v>#VALUE!</v>
      </c>
      <c r="BC15" t="e">
        <f>AND('BBP complete'!J372,"AAAAAHz+czY=")</f>
        <v>#VALUE!</v>
      </c>
      <c r="BD15" t="e">
        <f>AND('BBP complete'!J373,"AAAAAHz+czc=")</f>
        <v>#VALUE!</v>
      </c>
      <c r="BE15" t="e">
        <f>AND('BBP complete'!J374,"AAAAAHz+czg=")</f>
        <v>#VALUE!</v>
      </c>
      <c r="BF15" t="e">
        <f>AND('BBP complete'!J375,"AAAAAHz+czk=")</f>
        <v>#VALUE!</v>
      </c>
      <c r="BG15" t="e">
        <f>AND('BBP complete'!J376,"AAAAAHz+czo=")</f>
        <v>#VALUE!</v>
      </c>
      <c r="BH15" t="e">
        <f>AND('BBP complete'!J377,"AAAAAHz+czs=")</f>
        <v>#VALUE!</v>
      </c>
      <c r="BI15" t="e">
        <f>AND('BBP complete'!J378,"AAAAAHz+czw=")</f>
        <v>#VALUE!</v>
      </c>
      <c r="BJ15" t="e">
        <f>AND('BBP complete'!J379,"AAAAAHz+cz0=")</f>
        <v>#VALUE!</v>
      </c>
      <c r="BK15" t="e">
        <f>AND('BBP complete'!J380,"AAAAAHz+cz4=")</f>
        <v>#VALUE!</v>
      </c>
      <c r="BL15" t="e">
        <f>AND('BBP complete'!J381,"AAAAAHz+cz8=")</f>
        <v>#VALUE!</v>
      </c>
      <c r="BM15" t="e">
        <f>AND('BBP complete'!J382,"AAAAAHz+c0A=")</f>
        <v>#VALUE!</v>
      </c>
      <c r="BN15" t="e">
        <f>AND('BBP complete'!J383,"AAAAAHz+c0E=")</f>
        <v>#VALUE!</v>
      </c>
      <c r="BO15" t="e">
        <f>AND('BBP complete'!J384,"AAAAAHz+c0I=")</f>
        <v>#VALUE!</v>
      </c>
      <c r="BP15" t="e">
        <f>AND('BBP complete'!J385,"AAAAAHz+c0M=")</f>
        <v>#VALUE!</v>
      </c>
      <c r="BQ15" t="e">
        <f>AND('BBP complete'!J386,"AAAAAHz+c0Q=")</f>
        <v>#VALUE!</v>
      </c>
      <c r="BR15" t="e">
        <f>AND('BBP complete'!J387,"AAAAAHz+c0U=")</f>
        <v>#VALUE!</v>
      </c>
      <c r="BS15" t="e">
        <f>AND('BBP complete'!J388,"AAAAAHz+c0Y=")</f>
        <v>#VALUE!</v>
      </c>
      <c r="BT15" t="e">
        <f>AND('BBP complete'!J389,"AAAAAHz+c0c=")</f>
        <v>#VALUE!</v>
      </c>
      <c r="BU15" t="e">
        <f>AND('BBP complete'!J390,"AAAAAHz+c0g=")</f>
        <v>#VALUE!</v>
      </c>
      <c r="BV15" t="e">
        <f>AND('BBP complete'!J391,"AAAAAHz+c0k=")</f>
        <v>#VALUE!</v>
      </c>
      <c r="BW15" t="e">
        <f>AND('BBP complete'!J392,"AAAAAHz+c0o=")</f>
        <v>#VALUE!</v>
      </c>
      <c r="BX15" t="e">
        <f>AND('BBP complete'!J393,"AAAAAHz+c0s=")</f>
        <v>#VALUE!</v>
      </c>
      <c r="BY15" t="e">
        <f>AND('BBP complete'!J394,"AAAAAHz+c0w=")</f>
        <v>#VALUE!</v>
      </c>
      <c r="BZ15" t="e">
        <f>AND('BBP complete'!J395,"AAAAAHz+c00=")</f>
        <v>#VALUE!</v>
      </c>
      <c r="CA15" t="e">
        <f>AND('BBP complete'!J396,"AAAAAHz+c04=")</f>
        <v>#VALUE!</v>
      </c>
      <c r="CB15" t="e">
        <f>AND('BBP complete'!J397,"AAAAAHz+c08=")</f>
        <v>#VALUE!</v>
      </c>
      <c r="CC15" t="e">
        <f>AND('BBP complete'!J398,"AAAAAHz+c1A=")</f>
        <v>#VALUE!</v>
      </c>
      <c r="CD15" t="e">
        <f>AND('BBP complete'!J399,"AAAAAHz+c1E=")</f>
        <v>#VALUE!</v>
      </c>
      <c r="CE15" t="e">
        <f>AND('BBP complete'!J400,"AAAAAHz+c1I=")</f>
        <v>#VALUE!</v>
      </c>
      <c r="CF15" t="e">
        <f>AND('BBP complete'!J401,"AAAAAHz+c1M=")</f>
        <v>#VALUE!</v>
      </c>
      <c r="CG15" t="e">
        <f>AND('BBP complete'!J402,"AAAAAHz+c1Q=")</f>
        <v>#VALUE!</v>
      </c>
      <c r="CH15" t="e">
        <f>AND('BBP complete'!J403,"AAAAAHz+c1U=")</f>
        <v>#VALUE!</v>
      </c>
      <c r="CI15" t="e">
        <f>AND('BBP complete'!J404,"AAAAAHz+c1Y=")</f>
        <v>#VALUE!</v>
      </c>
      <c r="CJ15" t="e">
        <f>AND('BBP complete'!J405,"AAAAAHz+c1c=")</f>
        <v>#VALUE!</v>
      </c>
      <c r="CK15" t="e">
        <f>AND('BBP complete'!J406,"AAAAAHz+c1g=")</f>
        <v>#VALUE!</v>
      </c>
      <c r="CL15" t="e">
        <f>AND('BBP complete'!J407,"AAAAAHz+c1k=")</f>
        <v>#VALUE!</v>
      </c>
      <c r="CM15" t="e">
        <f>AND('BBP complete'!J408,"AAAAAHz+c1o=")</f>
        <v>#VALUE!</v>
      </c>
      <c r="CN15" t="e">
        <f>AND('BBP complete'!J409,"AAAAAHz+c1s=")</f>
        <v>#VALUE!</v>
      </c>
      <c r="CO15" t="e">
        <f>AND('BBP complete'!J410,"AAAAAHz+c1w=")</f>
        <v>#VALUE!</v>
      </c>
      <c r="CP15" t="e">
        <f>AND('BBP complete'!J411,"AAAAAHz+c10=")</f>
        <v>#VALUE!</v>
      </c>
      <c r="CQ15" t="e">
        <f>AND('BBP complete'!J412,"AAAAAHz+c14=")</f>
        <v>#VALUE!</v>
      </c>
      <c r="CR15" t="e">
        <f>AND('BBP complete'!J413,"AAAAAHz+c18=")</f>
        <v>#VALUE!</v>
      </c>
      <c r="CS15" t="e">
        <f>AND('BBP complete'!J414,"AAAAAHz+c2A=")</f>
        <v>#VALUE!</v>
      </c>
      <c r="CT15" t="e">
        <f>AND('BBP complete'!J415,"AAAAAHz+c2E=")</f>
        <v>#VALUE!</v>
      </c>
      <c r="CU15" t="e">
        <f>AND('BBP complete'!J416,"AAAAAHz+c2I=")</f>
        <v>#VALUE!</v>
      </c>
      <c r="CV15" t="e">
        <f>AND('BBP complete'!J417,"AAAAAHz+c2M=")</f>
        <v>#VALUE!</v>
      </c>
      <c r="CW15" t="e">
        <f>AND('BBP complete'!J418,"AAAAAHz+c2Q=")</f>
        <v>#VALUE!</v>
      </c>
      <c r="CX15" t="e">
        <f>AND('BBP complete'!J419,"AAAAAHz+c2U=")</f>
        <v>#VALUE!</v>
      </c>
      <c r="CY15" t="e">
        <f>AND('BBP complete'!J420,"AAAAAHz+c2Y=")</f>
        <v>#VALUE!</v>
      </c>
      <c r="CZ15" t="e">
        <f>AND('BBP complete'!J421,"AAAAAHz+c2c=")</f>
        <v>#VALUE!</v>
      </c>
      <c r="DA15" t="e">
        <f>AND('BBP complete'!J422,"AAAAAHz+c2g=")</f>
        <v>#VALUE!</v>
      </c>
      <c r="DB15" t="e">
        <f>AND('BBP complete'!J423,"AAAAAHz+c2k=")</f>
        <v>#VALUE!</v>
      </c>
      <c r="DC15" t="e">
        <f>AND('BBP complete'!J424,"AAAAAHz+c2o=")</f>
        <v>#VALUE!</v>
      </c>
      <c r="DD15" t="e">
        <f>AND('BBP complete'!J425,"AAAAAHz+c2s=")</f>
        <v>#VALUE!</v>
      </c>
      <c r="DE15" t="e">
        <f>AND('BBP complete'!J426,"AAAAAHz+c2w=")</f>
        <v>#VALUE!</v>
      </c>
      <c r="DF15" t="e">
        <f>AND('BBP complete'!J427,"AAAAAHz+c20=")</f>
        <v>#VALUE!</v>
      </c>
      <c r="DG15" t="e">
        <f>AND('BBP complete'!J428,"AAAAAHz+c24=")</f>
        <v>#VALUE!</v>
      </c>
      <c r="DH15" t="e">
        <f>AND('BBP complete'!J429,"AAAAAHz+c28=")</f>
        <v>#VALUE!</v>
      </c>
      <c r="DI15" t="e">
        <f>AND('BBP complete'!J430,"AAAAAHz+c3A=")</f>
        <v>#VALUE!</v>
      </c>
      <c r="DJ15" t="e">
        <f>AND('BBP complete'!J431,"AAAAAHz+c3E=")</f>
        <v>#VALUE!</v>
      </c>
      <c r="DK15" t="e">
        <f>AND('BBP complete'!J432,"AAAAAHz+c3I=")</f>
        <v>#VALUE!</v>
      </c>
      <c r="DL15" t="e">
        <f>AND('BBP complete'!J433,"AAAAAHz+c3M=")</f>
        <v>#VALUE!</v>
      </c>
      <c r="DM15" t="e">
        <f>AND('BBP complete'!J434,"AAAAAHz+c3Q=")</f>
        <v>#VALUE!</v>
      </c>
      <c r="DN15" t="e">
        <f>AND('BBP complete'!J435,"AAAAAHz+c3U=")</f>
        <v>#VALUE!</v>
      </c>
      <c r="DO15" t="e">
        <f>AND('BBP complete'!J436,"AAAAAHz+c3Y=")</f>
        <v>#VALUE!</v>
      </c>
      <c r="DP15" t="e">
        <f>AND('BBP complete'!J437,"AAAAAHz+c3c=")</f>
        <v>#VALUE!</v>
      </c>
      <c r="DQ15" t="e">
        <f>AND('BBP complete'!J438,"AAAAAHz+c3g=")</f>
        <v>#VALUE!</v>
      </c>
      <c r="DR15" t="e">
        <f>AND('BBP complete'!J439,"AAAAAHz+c3k=")</f>
        <v>#VALUE!</v>
      </c>
      <c r="DS15" t="e">
        <f>AND('BBP complete'!J440,"AAAAAHz+c3o=")</f>
        <v>#VALUE!</v>
      </c>
      <c r="DT15" t="e">
        <f>AND('BBP complete'!J441,"AAAAAHz+c3s=")</f>
        <v>#VALUE!</v>
      </c>
      <c r="DU15" t="e">
        <f>AND('BBP complete'!J442,"AAAAAHz+c3w=")</f>
        <v>#VALUE!</v>
      </c>
      <c r="DV15" t="e">
        <f>AND('BBP complete'!J443,"AAAAAHz+c30=")</f>
        <v>#VALUE!</v>
      </c>
      <c r="DW15" t="e">
        <f>AND('BBP complete'!J444,"AAAAAHz+c34=")</f>
        <v>#VALUE!</v>
      </c>
      <c r="DX15" t="e">
        <f>AND('BBP complete'!J445,"AAAAAHz+c38=")</f>
        <v>#VALUE!</v>
      </c>
      <c r="DY15" t="e">
        <f>AND('BBP complete'!J446,"AAAAAHz+c4A=")</f>
        <v>#VALUE!</v>
      </c>
      <c r="DZ15" t="e">
        <f>AND('BBP complete'!J447,"AAAAAHz+c4E=")</f>
        <v>#VALUE!</v>
      </c>
      <c r="EA15" t="e">
        <f>AND('BBP complete'!J448,"AAAAAHz+c4I=")</f>
        <v>#VALUE!</v>
      </c>
      <c r="EB15" t="e">
        <f>AND('BBP complete'!J449,"AAAAAHz+c4M=")</f>
        <v>#VALUE!</v>
      </c>
      <c r="EC15" t="e">
        <f>AND('BBP complete'!J450,"AAAAAHz+c4Q=")</f>
        <v>#VALUE!</v>
      </c>
      <c r="ED15" t="e">
        <f>AND('BBP complete'!J451,"AAAAAHz+c4U=")</f>
        <v>#VALUE!</v>
      </c>
      <c r="EE15" t="e">
        <f>AND('BBP complete'!J452,"AAAAAHz+c4Y=")</f>
        <v>#VALUE!</v>
      </c>
      <c r="EF15" t="e">
        <f>AND('BBP complete'!J453,"AAAAAHz+c4c=")</f>
        <v>#VALUE!</v>
      </c>
      <c r="EG15" t="e">
        <f>AND('BBP complete'!J454,"AAAAAHz+c4g=")</f>
        <v>#VALUE!</v>
      </c>
      <c r="EH15" t="e">
        <f>AND('BBP complete'!J455,"AAAAAHz+c4k=")</f>
        <v>#VALUE!</v>
      </c>
      <c r="EI15" t="e">
        <f>AND('BBP complete'!J456,"AAAAAHz+c4o=")</f>
        <v>#VALUE!</v>
      </c>
      <c r="EJ15" t="e">
        <f>AND('BBP complete'!J457,"AAAAAHz+c4s=")</f>
        <v>#VALUE!</v>
      </c>
      <c r="EK15" t="e">
        <f>AND('BBP complete'!J458,"AAAAAHz+c4w=")</f>
        <v>#VALUE!</v>
      </c>
      <c r="EL15" t="e">
        <f>AND('BBP complete'!J459,"AAAAAHz+c40=")</f>
        <v>#VALUE!</v>
      </c>
      <c r="EM15" t="e">
        <f>AND('BBP complete'!J460,"AAAAAHz+c44=")</f>
        <v>#VALUE!</v>
      </c>
      <c r="EN15" t="e">
        <f>AND('BBP complete'!J461,"AAAAAHz+c48=")</f>
        <v>#VALUE!</v>
      </c>
      <c r="EO15" t="e">
        <f>AND('BBP complete'!J462,"AAAAAHz+c5A=")</f>
        <v>#VALUE!</v>
      </c>
      <c r="EP15" t="e">
        <f>AND('BBP complete'!J463,"AAAAAHz+c5E=")</f>
        <v>#VALUE!</v>
      </c>
      <c r="EQ15" t="e">
        <f>AND('BBP complete'!J464,"AAAAAHz+c5I=")</f>
        <v>#VALUE!</v>
      </c>
      <c r="ER15" t="e">
        <f>AND('BBP complete'!J465,"AAAAAHz+c5M=")</f>
        <v>#VALUE!</v>
      </c>
      <c r="ES15" t="e">
        <f>AND('BBP complete'!J466,"AAAAAHz+c5Q=")</f>
        <v>#VALUE!</v>
      </c>
      <c r="ET15" t="e">
        <f>AND('BBP complete'!J467,"AAAAAHz+c5U=")</f>
        <v>#VALUE!</v>
      </c>
      <c r="EU15" t="e">
        <f>AND('BBP complete'!J468,"AAAAAHz+c5Y=")</f>
        <v>#VALUE!</v>
      </c>
      <c r="EV15" t="e">
        <f>AND('BBP complete'!J469,"AAAAAHz+c5c=")</f>
        <v>#VALUE!</v>
      </c>
      <c r="EW15" t="e">
        <f>AND('BBP complete'!J470,"AAAAAHz+c5g=")</f>
        <v>#VALUE!</v>
      </c>
      <c r="EX15" t="e">
        <f>AND('BBP complete'!J471,"AAAAAHz+c5k=")</f>
        <v>#VALUE!</v>
      </c>
      <c r="EY15" t="e">
        <f>AND('BBP complete'!J472,"AAAAAHz+c5o=")</f>
        <v>#VALUE!</v>
      </c>
      <c r="EZ15" t="e">
        <f>AND('BBP complete'!J473,"AAAAAHz+c5s=")</f>
        <v>#VALUE!</v>
      </c>
      <c r="FA15" t="e">
        <f>AND('BBP complete'!J474,"AAAAAHz+c5w=")</f>
        <v>#VALUE!</v>
      </c>
      <c r="FB15" t="e">
        <f>AND('BBP complete'!J475,"AAAAAHz+c50=")</f>
        <v>#VALUE!</v>
      </c>
      <c r="FC15" t="e">
        <f>AND('BBP complete'!J476,"AAAAAHz+c54=")</f>
        <v>#VALUE!</v>
      </c>
      <c r="FD15" t="e">
        <f>AND('BBP complete'!J477,"AAAAAHz+c58=")</f>
        <v>#VALUE!</v>
      </c>
      <c r="FE15" t="e">
        <f>AND('BBP complete'!J478,"AAAAAHz+c6A=")</f>
        <v>#VALUE!</v>
      </c>
      <c r="FF15" t="e">
        <f>AND('BBP complete'!J479,"AAAAAHz+c6E=")</f>
        <v>#VALUE!</v>
      </c>
      <c r="FG15" t="e">
        <f>AND('BBP complete'!J480,"AAAAAHz+c6I=")</f>
        <v>#VALUE!</v>
      </c>
      <c r="FH15" t="e">
        <f>AND('BBP complete'!J481,"AAAAAHz+c6M=")</f>
        <v>#VALUE!</v>
      </c>
      <c r="FI15" t="e">
        <f>AND('BBP complete'!J482,"AAAAAHz+c6Q=")</f>
        <v>#VALUE!</v>
      </c>
      <c r="FJ15" t="e">
        <f>AND('BBP complete'!J483,"AAAAAHz+c6U=")</f>
        <v>#VALUE!</v>
      </c>
      <c r="FK15" t="e">
        <f>AND('BBP complete'!J484,"AAAAAHz+c6Y=")</f>
        <v>#VALUE!</v>
      </c>
      <c r="FL15" t="e">
        <f>AND('BBP complete'!J485,"AAAAAHz+c6c=")</f>
        <v>#VALUE!</v>
      </c>
      <c r="FM15" t="e">
        <f>AND('BBP complete'!J486,"AAAAAHz+c6g=")</f>
        <v>#VALUE!</v>
      </c>
      <c r="FN15" t="e">
        <f>AND('BBP complete'!J487,"AAAAAHz+c6k=")</f>
        <v>#VALUE!</v>
      </c>
      <c r="FO15" t="e">
        <f>AND('BBP complete'!J488,"AAAAAHz+c6o=")</f>
        <v>#VALUE!</v>
      </c>
      <c r="FP15" t="e">
        <f>AND('BBP complete'!J489,"AAAAAHz+c6s=")</f>
        <v>#VALUE!</v>
      </c>
      <c r="FQ15" t="e">
        <f>AND('BBP complete'!J490,"AAAAAHz+c6w=")</f>
        <v>#VALUE!</v>
      </c>
      <c r="FR15" t="e">
        <f>AND('BBP complete'!J491,"AAAAAHz+c60=")</f>
        <v>#VALUE!</v>
      </c>
      <c r="FS15" t="e">
        <f>AND('BBP complete'!J492,"AAAAAHz+c64=")</f>
        <v>#VALUE!</v>
      </c>
      <c r="FT15" t="e">
        <f>AND('BBP complete'!J493,"AAAAAHz+c68=")</f>
        <v>#VALUE!</v>
      </c>
      <c r="FU15" t="e">
        <f>AND('BBP complete'!J494,"AAAAAHz+c7A=")</f>
        <v>#VALUE!</v>
      </c>
      <c r="FV15" t="e">
        <f>AND('BBP complete'!J495,"AAAAAHz+c7E=")</f>
        <v>#VALUE!</v>
      </c>
      <c r="FW15" t="e">
        <f>AND('BBP complete'!J496,"AAAAAHz+c7I=")</f>
        <v>#VALUE!</v>
      </c>
      <c r="FX15" t="e">
        <f>AND('BBP complete'!J497,"AAAAAHz+c7M=")</f>
        <v>#VALUE!</v>
      </c>
      <c r="FY15" t="e">
        <f>AND('BBP complete'!J498,"AAAAAHz+c7Q=")</f>
        <v>#VALUE!</v>
      </c>
      <c r="FZ15" t="e">
        <f>AND('BBP complete'!J499,"AAAAAHz+c7U=")</f>
        <v>#VALUE!</v>
      </c>
      <c r="GA15" t="e">
        <f>AND('BBP complete'!J500,"AAAAAHz+c7Y=")</f>
        <v>#VALUE!</v>
      </c>
      <c r="GB15" t="e">
        <f>AND('BBP complete'!J501,"AAAAAHz+c7c=")</f>
        <v>#VALUE!</v>
      </c>
      <c r="GC15" t="e">
        <f>AND('BBP complete'!J502,"AAAAAHz+c7g=")</f>
        <v>#VALUE!</v>
      </c>
      <c r="GD15" t="e">
        <f>AND('BBP complete'!J503,"AAAAAHz+c7k=")</f>
        <v>#VALUE!</v>
      </c>
      <c r="GE15" t="e">
        <f>AND('BBP complete'!J504,"AAAAAHz+c7o=")</f>
        <v>#VALUE!</v>
      </c>
      <c r="GF15" t="e">
        <f>AND('BBP complete'!J505,"AAAAAHz+c7s=")</f>
        <v>#VALUE!</v>
      </c>
      <c r="GG15" t="e">
        <f>AND('BBP complete'!J506,"AAAAAHz+c7w=")</f>
        <v>#VALUE!</v>
      </c>
      <c r="GH15" t="e">
        <f>AND('BBP complete'!J507,"AAAAAHz+c70=")</f>
        <v>#VALUE!</v>
      </c>
      <c r="GI15" t="e">
        <f>AND('BBP complete'!J508,"AAAAAHz+c74=")</f>
        <v>#VALUE!</v>
      </c>
      <c r="GJ15" t="e">
        <f>AND('BBP complete'!J509,"AAAAAHz+c78=")</f>
        <v>#VALUE!</v>
      </c>
      <c r="GK15" t="e">
        <f>AND('BBP complete'!J510,"AAAAAHz+c8A=")</f>
        <v>#VALUE!</v>
      </c>
      <c r="GL15" t="e">
        <f>AND('BBP complete'!J511,"AAAAAHz+c8E=")</f>
        <v>#VALUE!</v>
      </c>
      <c r="GM15" t="e">
        <f>AND('BBP complete'!J512,"AAAAAHz+c8I=")</f>
        <v>#VALUE!</v>
      </c>
      <c r="GN15" t="e">
        <f>AND('BBP complete'!J513,"AAAAAHz+c8M=")</f>
        <v>#VALUE!</v>
      </c>
      <c r="GO15" t="e">
        <f>AND('BBP complete'!J514,"AAAAAHz+c8Q=")</f>
        <v>#VALUE!</v>
      </c>
      <c r="GP15" t="e">
        <f>AND('BBP complete'!J515,"AAAAAHz+c8U=")</f>
        <v>#VALUE!</v>
      </c>
      <c r="GQ15" t="e">
        <f>AND('BBP complete'!J516,"AAAAAHz+c8Y=")</f>
        <v>#VALUE!</v>
      </c>
      <c r="GR15" t="e">
        <f>AND('BBP complete'!J517,"AAAAAHz+c8c=")</f>
        <v>#VALUE!</v>
      </c>
      <c r="GS15" t="e">
        <f>AND('BBP complete'!J518,"AAAAAHz+c8g=")</f>
        <v>#VALUE!</v>
      </c>
      <c r="GT15" t="e">
        <f>AND('BBP complete'!J519,"AAAAAHz+c8k=")</f>
        <v>#VALUE!</v>
      </c>
      <c r="GU15" t="e">
        <f>AND('BBP complete'!J520,"AAAAAHz+c8o=")</f>
        <v>#VALUE!</v>
      </c>
      <c r="GV15" t="e">
        <f>AND('BBP complete'!J521,"AAAAAHz+c8s=")</f>
        <v>#VALUE!</v>
      </c>
      <c r="GW15" t="e">
        <f>AND('BBP complete'!J522,"AAAAAHz+c8w=")</f>
        <v>#VALUE!</v>
      </c>
      <c r="GX15" t="e">
        <f>AND('BBP complete'!J523,"AAAAAHz+c80=")</f>
        <v>#VALUE!</v>
      </c>
      <c r="GY15" t="e">
        <f>AND('BBP complete'!J524,"AAAAAHz+c84=")</f>
        <v>#VALUE!</v>
      </c>
      <c r="GZ15" t="e">
        <f>AND('BBP complete'!J525,"AAAAAHz+c88=")</f>
        <v>#VALUE!</v>
      </c>
      <c r="HA15" t="e">
        <f>AND('BBP complete'!J526,"AAAAAHz+c9A=")</f>
        <v>#VALUE!</v>
      </c>
      <c r="HB15" t="e">
        <f>AND('BBP complete'!J527,"AAAAAHz+c9E=")</f>
        <v>#VALUE!</v>
      </c>
      <c r="HC15" t="e">
        <f>AND('BBP complete'!J528,"AAAAAHz+c9I=")</f>
        <v>#VALUE!</v>
      </c>
      <c r="HD15" t="e">
        <f>AND('BBP complete'!J529,"AAAAAHz+c9M=")</f>
        <v>#VALUE!</v>
      </c>
      <c r="HE15" t="e">
        <f>AND('BBP complete'!J530,"AAAAAHz+c9Q=")</f>
        <v>#VALUE!</v>
      </c>
      <c r="HF15" t="e">
        <f>AND('BBP complete'!J531,"AAAAAHz+c9U=")</f>
        <v>#VALUE!</v>
      </c>
      <c r="HG15" t="e">
        <f>AND('BBP complete'!J532,"AAAAAHz+c9Y=")</f>
        <v>#VALUE!</v>
      </c>
      <c r="HH15" t="e">
        <f>AND('BBP complete'!J533,"AAAAAHz+c9c=")</f>
        <v>#VALUE!</v>
      </c>
      <c r="HI15" t="e">
        <f>AND('BBP complete'!J534,"AAAAAHz+c9g=")</f>
        <v>#VALUE!</v>
      </c>
      <c r="HJ15" t="e">
        <f>AND('BBP complete'!J535,"AAAAAHz+c9k=")</f>
        <v>#VALUE!</v>
      </c>
      <c r="HK15" t="e">
        <f>AND('BBP complete'!J536,"AAAAAHz+c9o=")</f>
        <v>#VALUE!</v>
      </c>
      <c r="HL15" t="e">
        <f>AND('BBP complete'!J537,"AAAAAHz+c9s=")</f>
        <v>#VALUE!</v>
      </c>
      <c r="HM15" t="e">
        <f>AND('BBP complete'!J538,"AAAAAHz+c9w=")</f>
        <v>#VALUE!</v>
      </c>
      <c r="HN15" t="e">
        <f>AND('BBP complete'!J539,"AAAAAHz+c90=")</f>
        <v>#VALUE!</v>
      </c>
      <c r="HO15" t="e">
        <f>AND('BBP complete'!J540,"AAAAAHz+c94=")</f>
        <v>#VALUE!</v>
      </c>
      <c r="HP15" t="e">
        <f>AND('BBP complete'!J541,"AAAAAHz+c98=")</f>
        <v>#VALUE!</v>
      </c>
      <c r="HQ15" t="e">
        <f>AND('BBP complete'!J542,"AAAAAHz+c+A=")</f>
        <v>#VALUE!</v>
      </c>
      <c r="HR15" t="e">
        <f>AND('BBP complete'!J543,"AAAAAHz+c+E=")</f>
        <v>#VALUE!</v>
      </c>
      <c r="HS15" t="e">
        <f>AND('BBP complete'!J544,"AAAAAHz+c+I=")</f>
        <v>#VALUE!</v>
      </c>
      <c r="HT15" t="e">
        <f>AND('BBP complete'!J545,"AAAAAHz+c+M=")</f>
        <v>#VALUE!</v>
      </c>
      <c r="HU15" t="e">
        <f>AND('BBP complete'!J546,"AAAAAHz+c+Q=")</f>
        <v>#VALUE!</v>
      </c>
      <c r="HV15" t="e">
        <f>AND('BBP complete'!J547,"AAAAAHz+c+U=")</f>
        <v>#VALUE!</v>
      </c>
      <c r="HW15" t="e">
        <f>AND('BBP complete'!J548,"AAAAAHz+c+Y=")</f>
        <v>#VALUE!</v>
      </c>
      <c r="HX15" t="e">
        <f>AND('BBP complete'!J549,"AAAAAHz+c+c=")</f>
        <v>#VALUE!</v>
      </c>
      <c r="HY15" t="e">
        <f>AND('BBP complete'!J550,"AAAAAHz+c+g=")</f>
        <v>#VALUE!</v>
      </c>
      <c r="HZ15" t="e">
        <f>AND('BBP complete'!J551,"AAAAAHz+c+k=")</f>
        <v>#VALUE!</v>
      </c>
      <c r="IA15" t="e">
        <f>AND('BBP complete'!J552,"AAAAAHz+c+o=")</f>
        <v>#VALUE!</v>
      </c>
      <c r="IB15" t="e">
        <f>AND('BBP complete'!J553,"AAAAAHz+c+s=")</f>
        <v>#VALUE!</v>
      </c>
      <c r="IC15" t="e">
        <f>AND('BBP complete'!J554,"AAAAAHz+c+w=")</f>
        <v>#VALUE!</v>
      </c>
      <c r="ID15" t="e">
        <f>AND('BBP complete'!J555,"AAAAAHz+c+0=")</f>
        <v>#VALUE!</v>
      </c>
      <c r="IE15" t="e">
        <f>AND('BBP complete'!J556,"AAAAAHz+c+4=")</f>
        <v>#VALUE!</v>
      </c>
      <c r="IF15" t="e">
        <f>AND('BBP complete'!J557,"AAAAAHz+c+8=")</f>
        <v>#VALUE!</v>
      </c>
      <c r="IG15" t="e">
        <f>AND('BBP complete'!J558,"AAAAAHz+c/A=")</f>
        <v>#VALUE!</v>
      </c>
      <c r="IH15" t="e">
        <f>AND('BBP complete'!J559,"AAAAAHz+c/E=")</f>
        <v>#VALUE!</v>
      </c>
      <c r="II15" t="e">
        <f>AND('BBP complete'!J560,"AAAAAHz+c/I=")</f>
        <v>#VALUE!</v>
      </c>
      <c r="IJ15" t="e">
        <f>AND('BBP complete'!J561,"AAAAAHz+c/M=")</f>
        <v>#VALUE!</v>
      </c>
      <c r="IK15" t="e">
        <f>AND('BBP complete'!J562,"AAAAAHz+c/Q=")</f>
        <v>#VALUE!</v>
      </c>
      <c r="IL15" t="e">
        <f>AND('BBP complete'!J563,"AAAAAHz+c/U=")</f>
        <v>#VALUE!</v>
      </c>
      <c r="IM15" t="e">
        <f>AND('BBP complete'!J564,"AAAAAHz+c/Y=")</f>
        <v>#VALUE!</v>
      </c>
      <c r="IN15" t="e">
        <f>AND('BBP complete'!J565,"AAAAAHz+c/c=")</f>
        <v>#VALUE!</v>
      </c>
      <c r="IO15" t="e">
        <f>AND('BBP complete'!J566,"AAAAAHz+c/g=")</f>
        <v>#VALUE!</v>
      </c>
      <c r="IP15" t="e">
        <f>AND('BBP complete'!J567,"AAAAAHz+c/k=")</f>
        <v>#VALUE!</v>
      </c>
      <c r="IQ15" t="e">
        <f>AND('BBP complete'!J568,"AAAAAHz+c/o=")</f>
        <v>#VALUE!</v>
      </c>
      <c r="IR15" t="e">
        <f>AND('BBP complete'!J569,"AAAAAHz+c/s=")</f>
        <v>#VALUE!</v>
      </c>
      <c r="IS15" t="e">
        <f>AND('BBP complete'!J570,"AAAAAHz+c/w=")</f>
        <v>#VALUE!</v>
      </c>
      <c r="IT15" t="e">
        <f>AND('BBP complete'!J571,"AAAAAHz+c/0=")</f>
        <v>#VALUE!</v>
      </c>
      <c r="IU15" t="e">
        <f>AND('BBP complete'!J572,"AAAAAHz+c/4=")</f>
        <v>#VALUE!</v>
      </c>
      <c r="IV15" t="e">
        <f>AND('BBP complete'!J573,"AAAAAHz+c/8=")</f>
        <v>#VALUE!</v>
      </c>
    </row>
    <row r="16" spans="1:256" ht="15" customHeight="1" x14ac:dyDescent="0.25">
      <c r="A16" t="e">
        <f>AND('BBP complete'!J574,"AAAAAGXd7QA=")</f>
        <v>#VALUE!</v>
      </c>
      <c r="B16" t="e">
        <f>AND('BBP complete'!J575,"AAAAAGXd7QE=")</f>
        <v>#VALUE!</v>
      </c>
      <c r="C16" t="e">
        <f>AND('BBP complete'!J576,"AAAAAGXd7QI=")</f>
        <v>#VALUE!</v>
      </c>
      <c r="D16" t="e">
        <f>AND('BBP complete'!J577,"AAAAAGXd7QM=")</f>
        <v>#VALUE!</v>
      </c>
      <c r="E16" t="e">
        <f>AND('BBP complete'!J578,"AAAAAGXd7QQ=")</f>
        <v>#VALUE!</v>
      </c>
      <c r="F16" t="e">
        <f>AND('BBP complete'!J579,"AAAAAGXd7QU=")</f>
        <v>#VALUE!</v>
      </c>
      <c r="G16" t="e">
        <f>AND('BBP complete'!J580,"AAAAAGXd7QY=")</f>
        <v>#VALUE!</v>
      </c>
      <c r="H16" t="e">
        <f>AND('BBP complete'!J581,"AAAAAGXd7Qc=")</f>
        <v>#VALUE!</v>
      </c>
      <c r="I16" t="e">
        <f>AND('BBP complete'!J582,"AAAAAGXd7Qg=")</f>
        <v>#VALUE!</v>
      </c>
      <c r="J16" t="e">
        <f>AND('BBP complete'!J583,"AAAAAGXd7Qk=")</f>
        <v>#VALUE!</v>
      </c>
      <c r="K16" t="e">
        <f>AND('BBP complete'!J584,"AAAAAGXd7Qo=")</f>
        <v>#VALUE!</v>
      </c>
      <c r="L16" t="e">
        <f>AND('BBP complete'!J585,"AAAAAGXd7Qs=")</f>
        <v>#VALUE!</v>
      </c>
      <c r="M16" t="e">
        <f>AND('BBP complete'!J586,"AAAAAGXd7Qw=")</f>
        <v>#VALUE!</v>
      </c>
      <c r="N16" t="e">
        <f>AND('BBP complete'!J587,"AAAAAGXd7Q0=")</f>
        <v>#VALUE!</v>
      </c>
      <c r="O16" t="e">
        <f>AND('BBP complete'!J588,"AAAAAGXd7Q4=")</f>
        <v>#VALUE!</v>
      </c>
      <c r="P16" t="e">
        <f>AND('BBP complete'!J589,"AAAAAGXd7Q8=")</f>
        <v>#VALUE!</v>
      </c>
      <c r="Q16" t="e">
        <f>AND('BBP complete'!J590,"AAAAAGXd7RA=")</f>
        <v>#VALUE!</v>
      </c>
      <c r="R16" t="e">
        <f>AND('BBP complete'!J591,"AAAAAGXd7RE=")</f>
        <v>#VALUE!</v>
      </c>
      <c r="S16" t="e">
        <f>AND('BBP complete'!J592,"AAAAAGXd7RI=")</f>
        <v>#VALUE!</v>
      </c>
      <c r="T16" t="e">
        <f>AND('BBP complete'!J593,"AAAAAGXd7RM=")</f>
        <v>#VALUE!</v>
      </c>
      <c r="U16" t="e">
        <f>AND('BBP complete'!J594,"AAAAAGXd7RQ=")</f>
        <v>#VALUE!</v>
      </c>
      <c r="V16" t="e">
        <f>AND('BBP complete'!J595,"AAAAAGXd7RU=")</f>
        <v>#VALUE!</v>
      </c>
      <c r="W16" t="e">
        <f>AND('BBP complete'!J596,"AAAAAGXd7RY=")</f>
        <v>#VALUE!</v>
      </c>
      <c r="X16" t="e">
        <f>AND('BBP complete'!J597,"AAAAAGXd7Rc=")</f>
        <v>#VALUE!</v>
      </c>
      <c r="Y16" t="e">
        <f>AND('BBP complete'!J598,"AAAAAGXd7Rg=")</f>
        <v>#VALUE!</v>
      </c>
      <c r="Z16" t="e">
        <f>AND('BBP complete'!J599,"AAAAAGXd7Rk=")</f>
        <v>#VALUE!</v>
      </c>
      <c r="AA16" t="e">
        <f>AND('BBP complete'!J600,"AAAAAGXd7Ro=")</f>
        <v>#VALUE!</v>
      </c>
      <c r="AB16" t="e">
        <f>AND('BBP complete'!J601,"AAAAAGXd7Rs=")</f>
        <v>#VALUE!</v>
      </c>
      <c r="AC16" t="e">
        <f>AND('BBP complete'!J602,"AAAAAGXd7Rw=")</f>
        <v>#VALUE!</v>
      </c>
      <c r="AD16" t="e">
        <f>AND('BBP complete'!J603,"AAAAAGXd7R0=")</f>
        <v>#VALUE!</v>
      </c>
      <c r="AE16" t="e">
        <f>AND('BBP complete'!J604,"AAAAAGXd7R4=")</f>
        <v>#VALUE!</v>
      </c>
      <c r="AF16" t="e">
        <f>AND('BBP complete'!J605,"AAAAAGXd7R8=")</f>
        <v>#VALUE!</v>
      </c>
      <c r="AG16" t="e">
        <f>AND('BBP complete'!J606,"AAAAAGXd7SA=")</f>
        <v>#VALUE!</v>
      </c>
      <c r="AH16" t="e">
        <f>AND('BBP complete'!J607,"AAAAAGXd7SE=")</f>
        <v>#VALUE!</v>
      </c>
      <c r="AI16" t="e">
        <f>AND('BBP complete'!J608,"AAAAAGXd7SI=")</f>
        <v>#VALUE!</v>
      </c>
      <c r="AJ16" t="e">
        <f>AND('BBP complete'!J609,"AAAAAGXd7SM=")</f>
        <v>#VALUE!</v>
      </c>
      <c r="AK16" t="e">
        <f>AND('BBP complete'!J610,"AAAAAGXd7SQ=")</f>
        <v>#VALUE!</v>
      </c>
      <c r="AL16" t="e">
        <f>AND('BBP complete'!J611,"AAAAAGXd7SU=")</f>
        <v>#VALUE!</v>
      </c>
      <c r="AM16" t="e">
        <f>AND('BBP complete'!J612,"AAAAAGXd7SY=")</f>
        <v>#VALUE!</v>
      </c>
      <c r="AN16" t="e">
        <f>AND('BBP complete'!J613,"AAAAAGXd7Sc=")</f>
        <v>#VALUE!</v>
      </c>
      <c r="AO16" t="e">
        <f>AND('BBP complete'!J614,"AAAAAGXd7Sg=")</f>
        <v>#VALUE!</v>
      </c>
      <c r="AP16" t="e">
        <f>AND('BBP complete'!J615,"AAAAAGXd7Sk=")</f>
        <v>#VALUE!</v>
      </c>
      <c r="AQ16" t="e">
        <f>AND('BBP complete'!J616,"AAAAAGXd7So=")</f>
        <v>#VALUE!</v>
      </c>
      <c r="AR16" t="e">
        <f>AND('BBP complete'!J617,"AAAAAGXd7Ss=")</f>
        <v>#VALUE!</v>
      </c>
      <c r="AS16" t="e">
        <f>AND('BBP complete'!J618,"AAAAAGXd7Sw=")</f>
        <v>#VALUE!</v>
      </c>
      <c r="AT16" t="e">
        <f>AND('BBP complete'!J619,"AAAAAGXd7S0=")</f>
        <v>#VALUE!</v>
      </c>
      <c r="AU16" t="e">
        <f>AND('BBP complete'!J620,"AAAAAGXd7S4=")</f>
        <v>#VALUE!</v>
      </c>
      <c r="AV16" t="e">
        <f>AND('BBP complete'!J621,"AAAAAGXd7S8=")</f>
        <v>#VALUE!</v>
      </c>
      <c r="AW16" t="e">
        <f>AND('BBP complete'!J622,"AAAAAGXd7TA=")</f>
        <v>#VALUE!</v>
      </c>
      <c r="AX16" t="e">
        <f>AND('BBP complete'!J623,"AAAAAGXd7TE=")</f>
        <v>#VALUE!</v>
      </c>
      <c r="AY16" t="e">
        <f>AND('BBP complete'!J624,"AAAAAGXd7TI=")</f>
        <v>#VALUE!</v>
      </c>
      <c r="AZ16" t="e">
        <f>AND('BBP complete'!J625,"AAAAAGXd7TM=")</f>
        <v>#VALUE!</v>
      </c>
      <c r="BA16" t="e">
        <f>AND('BBP complete'!J626,"AAAAAGXd7TQ=")</f>
        <v>#VALUE!</v>
      </c>
      <c r="BB16" t="e">
        <f>AND('BBP complete'!J627,"AAAAAGXd7TU=")</f>
        <v>#VALUE!</v>
      </c>
      <c r="BC16" t="e">
        <f>AND('BBP complete'!J628,"AAAAAGXd7TY=")</f>
        <v>#VALUE!</v>
      </c>
      <c r="BD16" t="e">
        <f>AND('BBP complete'!J629,"AAAAAGXd7Tc=")</f>
        <v>#VALUE!</v>
      </c>
      <c r="BE16" t="e">
        <f>AND('BBP complete'!J630,"AAAAAGXd7Tg=")</f>
        <v>#VALUE!</v>
      </c>
      <c r="BF16" t="e">
        <f>AND('BBP complete'!J631,"AAAAAGXd7Tk=")</f>
        <v>#VALUE!</v>
      </c>
      <c r="BG16" t="e">
        <f>AND('BBP complete'!J632,"AAAAAGXd7To=")</f>
        <v>#VALUE!</v>
      </c>
      <c r="BH16" t="e">
        <f>AND('BBP complete'!J633,"AAAAAGXd7Ts=")</f>
        <v>#VALUE!</v>
      </c>
      <c r="BI16" t="e">
        <f>AND('BBP complete'!J634,"AAAAAGXd7Tw=")</f>
        <v>#VALUE!</v>
      </c>
      <c r="BJ16" t="e">
        <f>AND('BBP complete'!J635,"AAAAAGXd7T0=")</f>
        <v>#VALUE!</v>
      </c>
      <c r="BK16" t="e">
        <f>AND('BBP complete'!J636,"AAAAAGXd7T4=")</f>
        <v>#VALUE!</v>
      </c>
      <c r="BL16" t="e">
        <f>AND('BBP complete'!J637,"AAAAAGXd7T8=")</f>
        <v>#VALUE!</v>
      </c>
      <c r="BM16" t="e">
        <f>AND('BBP complete'!J638,"AAAAAGXd7UA=")</f>
        <v>#VALUE!</v>
      </c>
      <c r="BN16" t="e">
        <f>AND('BBP complete'!J639,"AAAAAGXd7UE=")</f>
        <v>#VALUE!</v>
      </c>
      <c r="BO16" t="e">
        <f>AND('BBP complete'!J640,"AAAAAGXd7UI=")</f>
        <v>#VALUE!</v>
      </c>
      <c r="BP16" t="e">
        <f>AND('BBP complete'!J641,"AAAAAGXd7UM=")</f>
        <v>#VALUE!</v>
      </c>
      <c r="BQ16" t="e">
        <f>AND('BBP complete'!J642,"AAAAAGXd7UQ=")</f>
        <v>#VALUE!</v>
      </c>
      <c r="BR16" t="e">
        <f>AND('BBP complete'!J643,"AAAAAGXd7UU=")</f>
        <v>#VALUE!</v>
      </c>
      <c r="BS16" t="e">
        <f>AND('BBP complete'!J644,"AAAAAGXd7UY=")</f>
        <v>#VALUE!</v>
      </c>
      <c r="BT16" t="e">
        <f>AND('BBP complete'!J645,"AAAAAGXd7Uc=")</f>
        <v>#VALUE!</v>
      </c>
      <c r="BU16" t="e">
        <f>AND('BBP complete'!J646,"AAAAAGXd7Ug=")</f>
        <v>#VALUE!</v>
      </c>
      <c r="BV16" t="e">
        <f>AND('BBP complete'!J647,"AAAAAGXd7Uk=")</f>
        <v>#VALUE!</v>
      </c>
      <c r="BW16" t="e">
        <f>AND('BBP complete'!J648,"AAAAAGXd7Uo=")</f>
        <v>#VALUE!</v>
      </c>
      <c r="BX16" t="e">
        <f>AND('BBP complete'!J649,"AAAAAGXd7Us=")</f>
        <v>#VALUE!</v>
      </c>
      <c r="BY16" t="e">
        <f>AND('BBP complete'!J650,"AAAAAGXd7Uw=")</f>
        <v>#VALUE!</v>
      </c>
      <c r="BZ16" t="e">
        <f>AND('BBP complete'!J651,"AAAAAGXd7U0=")</f>
        <v>#VALUE!</v>
      </c>
      <c r="CA16" t="e">
        <f>AND('BBP complete'!J652,"AAAAAGXd7U4=")</f>
        <v>#VALUE!</v>
      </c>
      <c r="CB16" t="e">
        <f>AND('BBP complete'!J653,"AAAAAGXd7U8=")</f>
        <v>#VALUE!</v>
      </c>
      <c r="CC16" t="e">
        <f>AND('BBP complete'!J654,"AAAAAGXd7VA=")</f>
        <v>#VALUE!</v>
      </c>
      <c r="CD16" t="e">
        <f>AND('BBP complete'!J655,"AAAAAGXd7VE=")</f>
        <v>#VALUE!</v>
      </c>
      <c r="CE16" t="e">
        <f>AND('BBP complete'!J656,"AAAAAGXd7VI=")</f>
        <v>#VALUE!</v>
      </c>
      <c r="CF16" t="e">
        <f>AND('BBP complete'!J657,"AAAAAGXd7VM=")</f>
        <v>#VALUE!</v>
      </c>
      <c r="CG16" t="e">
        <f>AND('BBP complete'!J658,"AAAAAGXd7VQ=")</f>
        <v>#VALUE!</v>
      </c>
      <c r="CH16" t="e">
        <f>AND('BBP complete'!J659,"AAAAAGXd7VU=")</f>
        <v>#VALUE!</v>
      </c>
      <c r="CI16" t="e">
        <f>AND('BBP complete'!J660,"AAAAAGXd7VY=")</f>
        <v>#VALUE!</v>
      </c>
      <c r="CJ16" t="e">
        <f>AND('BBP complete'!J661,"AAAAAGXd7Vc=")</f>
        <v>#VALUE!</v>
      </c>
      <c r="CK16" t="e">
        <f>AND('BBP complete'!J662,"AAAAAGXd7Vg=")</f>
        <v>#VALUE!</v>
      </c>
      <c r="CL16" s="60" t="e">
        <v>#VALUE!</v>
      </c>
      <c r="CM16" t="e">
        <f>AND('BBP complete'!A2,"AAAAAGXd7Vo=")</f>
        <v>#VALUE!</v>
      </c>
      <c r="CN16" t="e">
        <f>AND('BBP complete'!B2,"AAAAAGXd7Vs=")</f>
        <v>#VALUE!</v>
      </c>
      <c r="CO16" t="e">
        <f>AND('BBP complete'!C2,"AAAAAGXd7Vw=")</f>
        <v>#VALUE!</v>
      </c>
      <c r="CP16" t="e">
        <f>AND('BBP complete'!D2,"AAAAAGXd7V0=")</f>
        <v>#VALUE!</v>
      </c>
      <c r="CQ16" t="e">
        <f>AND('BBP complete'!E2,"AAAAAGXd7V4=")</f>
        <v>#VALUE!</v>
      </c>
      <c r="CR16" t="e">
        <f>AND('BBP complete'!F2,"AAAAAGXd7V8=")</f>
        <v>#VALUE!</v>
      </c>
      <c r="CS16" t="e">
        <f>AND('BBP complete'!G2,"AAAAAGXd7WA=")</f>
        <v>#VALUE!</v>
      </c>
      <c r="CT16" t="e">
        <f>AND('BBP complete'!H2,"AAAAAGXd7WE=")</f>
        <v>#VALUE!</v>
      </c>
      <c r="CU16" t="e">
        <f>AND('BBP complete'!I2,"AAAAAGXd7WI=")</f>
        <v>#VALUE!</v>
      </c>
      <c r="CV16" t="e">
        <f>AND('BBP complete'!J2,"AAAAAGXd7WM=")</f>
        <v>#VALUE!</v>
      </c>
      <c r="CW16" s="60" t="e">
        <v>#VALUE!</v>
      </c>
      <c r="CX16" t="e">
        <f>AND('BBP complete'!A3,"AAAAAGXd7WU=")</f>
        <v>#VALUE!</v>
      </c>
      <c r="CY16" t="e">
        <f>AND('BBP complete'!B3,"AAAAAGXd7WY=")</f>
        <v>#VALUE!</v>
      </c>
      <c r="CZ16" t="e">
        <f>AND('BBP complete'!C3,"AAAAAGXd7Wc=")</f>
        <v>#VALUE!</v>
      </c>
      <c r="DA16" t="e">
        <f>AND('BBP complete'!D3,"AAAAAGXd7Wg=")</f>
        <v>#VALUE!</v>
      </c>
      <c r="DB16" t="e">
        <f>AND('BBP complete'!E3,"AAAAAGXd7Wk=")</f>
        <v>#VALUE!</v>
      </c>
      <c r="DC16" t="e">
        <f>AND('BBP complete'!F3,"AAAAAGXd7Wo=")</f>
        <v>#VALUE!</v>
      </c>
      <c r="DD16" t="e">
        <f>AND('BBP complete'!G3,"AAAAAGXd7Ws=")</f>
        <v>#VALUE!</v>
      </c>
      <c r="DE16" t="e">
        <f>AND('BBP complete'!H3,"AAAAAGXd7Ww=")</f>
        <v>#VALUE!</v>
      </c>
      <c r="DF16" t="e">
        <f>AND('BBP complete'!I3,"AAAAAGXd7W0=")</f>
        <v>#VALUE!</v>
      </c>
      <c r="DG16" t="e">
        <f>AND('BBP complete'!J3,"AAAAAGXd7W4=")</f>
        <v>#VALUE!</v>
      </c>
      <c r="DH16" s="60" t="e">
        <v>#VALUE!</v>
      </c>
      <c r="DI16" t="e">
        <f>AND('BBP complete'!A5,"AAAAAGXd7XA=")</f>
        <v>#VALUE!</v>
      </c>
      <c r="DJ16" t="e">
        <f>AND('BBP complete'!B5,"AAAAAGXd7XE=")</f>
        <v>#VALUE!</v>
      </c>
      <c r="DK16" t="e">
        <f>AND('BBP complete'!C5,"AAAAAGXd7XI=")</f>
        <v>#VALUE!</v>
      </c>
      <c r="DL16" t="e">
        <f>AND('BBP complete'!D5,"AAAAAGXd7XM=")</f>
        <v>#VALUE!</v>
      </c>
      <c r="DM16" t="e">
        <f>AND('BBP complete'!E5,"AAAAAGXd7XQ=")</f>
        <v>#VALUE!</v>
      </c>
      <c r="DN16" t="e">
        <f>AND('BBP complete'!F5,"AAAAAGXd7XU=")</f>
        <v>#VALUE!</v>
      </c>
      <c r="DO16" t="e">
        <f>AND('BBP complete'!G5,"AAAAAGXd7XY=")</f>
        <v>#VALUE!</v>
      </c>
      <c r="DP16" t="e">
        <f>AND('BBP complete'!H5,"AAAAAGXd7Xc=")</f>
        <v>#VALUE!</v>
      </c>
      <c r="DQ16" t="e">
        <f>AND('BBP complete'!I5,"AAAAAGXd7Xg=")</f>
        <v>#VALUE!</v>
      </c>
      <c r="DR16" t="e">
        <f>AND('BBP complete'!J5,"AAAAAGXd7Xk=")</f>
        <v>#VALUE!</v>
      </c>
      <c r="DS16" s="60" t="e">
        <v>#VALUE!</v>
      </c>
      <c r="DT16" t="e">
        <f>AND('BBP complete'!A6,"AAAAAGXd7Xs=")</f>
        <v>#VALUE!</v>
      </c>
      <c r="DU16" t="e">
        <f>AND('BBP complete'!B6,"AAAAAGXd7Xw=")</f>
        <v>#VALUE!</v>
      </c>
      <c r="DV16" t="e">
        <f>AND('BBP complete'!C6,"AAAAAGXd7X0=")</f>
        <v>#VALUE!</v>
      </c>
      <c r="DW16" t="e">
        <f>AND('BBP complete'!D6,"AAAAAGXd7X4=")</f>
        <v>#VALUE!</v>
      </c>
      <c r="DX16" t="e">
        <f>AND('BBP complete'!E6,"AAAAAGXd7X8=")</f>
        <v>#VALUE!</v>
      </c>
      <c r="DY16" t="e">
        <f>AND('BBP complete'!F6,"AAAAAGXd7YA=")</f>
        <v>#VALUE!</v>
      </c>
      <c r="DZ16" t="e">
        <f>AND('BBP complete'!G6,"AAAAAGXd7YE=")</f>
        <v>#VALUE!</v>
      </c>
      <c r="EA16" t="e">
        <f>AND('BBP complete'!H6,"AAAAAGXd7YI=")</f>
        <v>#VALUE!</v>
      </c>
      <c r="EB16" t="e">
        <f>AND('BBP complete'!I6,"AAAAAGXd7YM=")</f>
        <v>#VALUE!</v>
      </c>
      <c r="EC16" t="e">
        <f>AND('BBP complete'!J6,"AAAAAGXd7YQ=")</f>
        <v>#VALUE!</v>
      </c>
      <c r="ED16" s="60" t="e">
        <v>#VALUE!</v>
      </c>
      <c r="EE16" t="e">
        <f>AND('BBP complete'!A7,"AAAAAGXd7YY=")</f>
        <v>#VALUE!</v>
      </c>
      <c r="EF16" t="e">
        <f>AND('BBP complete'!B7,"AAAAAGXd7Yc=")</f>
        <v>#VALUE!</v>
      </c>
      <c r="EG16" t="e">
        <f>AND('BBP complete'!C7,"AAAAAGXd7Yg=")</f>
        <v>#VALUE!</v>
      </c>
      <c r="EH16" t="e">
        <f>AND('BBP complete'!D7,"AAAAAGXd7Yk=")</f>
        <v>#VALUE!</v>
      </c>
      <c r="EI16" t="e">
        <f>AND('BBP complete'!E7,"AAAAAGXd7Yo=")</f>
        <v>#VALUE!</v>
      </c>
      <c r="EJ16" t="e">
        <f>AND('BBP complete'!F7,"AAAAAGXd7Ys=")</f>
        <v>#VALUE!</v>
      </c>
      <c r="EK16" t="e">
        <f>AND('BBP complete'!G7,"AAAAAGXd7Yw=")</f>
        <v>#VALUE!</v>
      </c>
      <c r="EL16" t="e">
        <f>AND('BBP complete'!H7,"AAAAAGXd7Y0=")</f>
        <v>#VALUE!</v>
      </c>
      <c r="EM16" t="e">
        <f>AND('BBP complete'!I7,"AAAAAGXd7Y4=")</f>
        <v>#VALUE!</v>
      </c>
      <c r="EN16" t="e">
        <f>AND('BBP complete'!J7,"AAAAAGXd7Y8=")</f>
        <v>#VALUE!</v>
      </c>
      <c r="EO16" s="60" t="e">
        <v>#VALUE!</v>
      </c>
      <c r="EP16" t="e">
        <f>AND('BBP complete'!A8,"AAAAAGXd7ZE=")</f>
        <v>#VALUE!</v>
      </c>
      <c r="EQ16" t="e">
        <f>AND('BBP complete'!B8,"AAAAAGXd7ZI=")</f>
        <v>#VALUE!</v>
      </c>
      <c r="ER16" t="e">
        <f>AND('BBP complete'!C8,"AAAAAGXd7ZM=")</f>
        <v>#VALUE!</v>
      </c>
      <c r="ES16" t="e">
        <f>AND('BBP complete'!D8,"AAAAAGXd7ZQ=")</f>
        <v>#VALUE!</v>
      </c>
      <c r="ET16" t="e">
        <f>AND('BBP complete'!E8,"AAAAAGXd7ZU=")</f>
        <v>#VALUE!</v>
      </c>
      <c r="EU16" t="e">
        <f>AND('BBP complete'!F8,"AAAAAGXd7ZY=")</f>
        <v>#VALUE!</v>
      </c>
      <c r="EV16" t="e">
        <f>AND('BBP complete'!G8,"AAAAAGXd7Zc=")</f>
        <v>#VALUE!</v>
      </c>
      <c r="EW16" t="e">
        <f>AND('BBP complete'!H8,"AAAAAGXd7Zg=")</f>
        <v>#VALUE!</v>
      </c>
      <c r="EX16" t="e">
        <f>AND('BBP complete'!I8,"AAAAAGXd7Zk=")</f>
        <v>#VALUE!</v>
      </c>
      <c r="EY16" t="e">
        <f>AND('BBP complete'!J8,"AAAAAGXd7Zo=")</f>
        <v>#VALUE!</v>
      </c>
      <c r="EZ16" s="60" t="e">
        <v>#VALUE!</v>
      </c>
      <c r="FA16" t="e">
        <f>AND('BBP complete'!A9,"AAAAAGXd7Zw=")</f>
        <v>#VALUE!</v>
      </c>
      <c r="FB16" t="e">
        <f>AND('BBP complete'!B9,"AAAAAGXd7Z0=")</f>
        <v>#VALUE!</v>
      </c>
      <c r="FC16" t="e">
        <f>AND('BBP complete'!C9,"AAAAAGXd7Z4=")</f>
        <v>#VALUE!</v>
      </c>
      <c r="FD16" t="e">
        <f>AND('BBP complete'!D9,"AAAAAGXd7Z8=")</f>
        <v>#VALUE!</v>
      </c>
      <c r="FE16" t="e">
        <f>AND('BBP complete'!E9,"AAAAAGXd7aA=")</f>
        <v>#VALUE!</v>
      </c>
      <c r="FF16" t="e">
        <f>AND('BBP complete'!F9,"AAAAAGXd7aE=")</f>
        <v>#VALUE!</v>
      </c>
      <c r="FG16" t="e">
        <f>AND('BBP complete'!G9,"AAAAAGXd7aI=")</f>
        <v>#VALUE!</v>
      </c>
      <c r="FH16" t="e">
        <f>AND('BBP complete'!H9,"AAAAAGXd7aM=")</f>
        <v>#VALUE!</v>
      </c>
      <c r="FI16" t="e">
        <f>AND('BBP complete'!I9,"AAAAAGXd7aQ=")</f>
        <v>#VALUE!</v>
      </c>
      <c r="FJ16" t="e">
        <f>AND('BBP complete'!J9,"AAAAAGXd7aU=")</f>
        <v>#VALUE!</v>
      </c>
      <c r="FK16" s="60" t="e">
        <v>#VALUE!</v>
      </c>
      <c r="FL16" t="e">
        <f>AND('BBP complete'!A10,"AAAAAGXd7ac=")</f>
        <v>#VALUE!</v>
      </c>
      <c r="FM16" t="e">
        <f>AND('BBP complete'!B10,"AAAAAGXd7ag=")</f>
        <v>#VALUE!</v>
      </c>
      <c r="FN16" t="e">
        <f>AND('BBP complete'!C10,"AAAAAGXd7ak=")</f>
        <v>#VALUE!</v>
      </c>
      <c r="FO16" t="e">
        <f>AND('BBP complete'!D10,"AAAAAGXd7ao=")</f>
        <v>#VALUE!</v>
      </c>
      <c r="FP16" t="e">
        <f>AND('BBP complete'!E10,"AAAAAGXd7as=")</f>
        <v>#VALUE!</v>
      </c>
      <c r="FQ16" t="e">
        <f>AND('BBP complete'!F10,"AAAAAGXd7aw=")</f>
        <v>#VALUE!</v>
      </c>
      <c r="FR16" t="e">
        <f>AND('BBP complete'!G10,"AAAAAGXd7a0=")</f>
        <v>#VALUE!</v>
      </c>
      <c r="FS16" t="e">
        <f>AND('BBP complete'!H10,"AAAAAGXd7a4=")</f>
        <v>#VALUE!</v>
      </c>
      <c r="FT16" t="e">
        <f>AND('BBP complete'!I10,"AAAAAGXd7a8=")</f>
        <v>#VALUE!</v>
      </c>
      <c r="FU16" t="e">
        <f>AND('BBP complete'!J10,"AAAAAGXd7bA=")</f>
        <v>#VALUE!</v>
      </c>
      <c r="FV16" s="60" t="e">
        <v>#VALUE!</v>
      </c>
      <c r="FW16" t="e">
        <f>AND('BBP complete'!A12,"AAAAAGXd7bI=")</f>
        <v>#VALUE!</v>
      </c>
      <c r="FX16" t="e">
        <f>AND('BBP complete'!B12,"AAAAAGXd7bM=")</f>
        <v>#VALUE!</v>
      </c>
      <c r="FY16" t="e">
        <f>AND('BBP complete'!C12,"AAAAAGXd7bQ=")</f>
        <v>#VALUE!</v>
      </c>
      <c r="FZ16" t="e">
        <f>AND('BBP complete'!D12,"AAAAAGXd7bU=")</f>
        <v>#VALUE!</v>
      </c>
      <c r="GA16" t="e">
        <f>AND('BBP complete'!E12,"AAAAAGXd7bY=")</f>
        <v>#VALUE!</v>
      </c>
      <c r="GB16" t="e">
        <f>AND('BBP complete'!F12,"AAAAAGXd7bc=")</f>
        <v>#VALUE!</v>
      </c>
      <c r="GC16" t="e">
        <f>AND('BBP complete'!G12,"AAAAAGXd7bg=")</f>
        <v>#VALUE!</v>
      </c>
      <c r="GD16" t="e">
        <f>AND('BBP complete'!H12,"AAAAAGXd7bk=")</f>
        <v>#VALUE!</v>
      </c>
      <c r="GE16" t="e">
        <f>AND('BBP complete'!I12,"AAAAAGXd7bo=")</f>
        <v>#VALUE!</v>
      </c>
      <c r="GF16" t="e">
        <f>AND('BBP complete'!J12,"AAAAAGXd7bs=")</f>
        <v>#VALUE!</v>
      </c>
      <c r="GG16" s="60" t="e">
        <v>#VALUE!</v>
      </c>
      <c r="GH16" t="e">
        <f>AND('BBP complete'!A13,"AAAAAGXd7b0=")</f>
        <v>#VALUE!</v>
      </c>
      <c r="GI16" t="e">
        <f>AND('BBP complete'!B13,"AAAAAGXd7b4=")</f>
        <v>#VALUE!</v>
      </c>
      <c r="GJ16" t="e">
        <f>AND('BBP complete'!C13,"AAAAAGXd7b8=")</f>
        <v>#VALUE!</v>
      </c>
      <c r="GK16" t="e">
        <f>AND('BBP complete'!D13,"AAAAAGXd7cA=")</f>
        <v>#VALUE!</v>
      </c>
      <c r="GL16" t="e">
        <f>AND('BBP complete'!E13,"AAAAAGXd7cE=")</f>
        <v>#VALUE!</v>
      </c>
      <c r="GM16" t="e">
        <f>AND('BBP complete'!F13,"AAAAAGXd7cI=")</f>
        <v>#VALUE!</v>
      </c>
      <c r="GN16" t="e">
        <f>AND('BBP complete'!G13,"AAAAAGXd7cM=")</f>
        <v>#VALUE!</v>
      </c>
      <c r="GO16" t="e">
        <f>AND('BBP complete'!H13,"AAAAAGXd7cQ=")</f>
        <v>#VALUE!</v>
      </c>
      <c r="GP16" t="e">
        <f>AND('BBP complete'!I13,"AAAAAGXd7cU=")</f>
        <v>#VALUE!</v>
      </c>
      <c r="GQ16" t="e">
        <f>AND('BBP complete'!J13,"AAAAAGXd7cY=")</f>
        <v>#VALUE!</v>
      </c>
      <c r="GR16" s="60" t="e">
        <v>#VALUE!</v>
      </c>
      <c r="GS16" t="e">
        <f>AND('BBP complete'!A14,"AAAAAGXd7cg=")</f>
        <v>#VALUE!</v>
      </c>
      <c r="GT16" t="e">
        <f>AND('BBP complete'!B14,"AAAAAGXd7ck=")</f>
        <v>#VALUE!</v>
      </c>
      <c r="GU16" t="e">
        <f>AND('BBP complete'!C14,"AAAAAGXd7co=")</f>
        <v>#VALUE!</v>
      </c>
      <c r="GV16" t="e">
        <f>AND('BBP complete'!D14,"AAAAAGXd7cs=")</f>
        <v>#VALUE!</v>
      </c>
      <c r="GW16" t="e">
        <f>AND('BBP complete'!E14,"AAAAAGXd7cw=")</f>
        <v>#VALUE!</v>
      </c>
      <c r="GX16" t="e">
        <f>AND('BBP complete'!F14,"AAAAAGXd7c0=")</f>
        <v>#VALUE!</v>
      </c>
      <c r="GY16" t="e">
        <f>AND('BBP complete'!G14,"AAAAAGXd7c4=")</f>
        <v>#VALUE!</v>
      </c>
      <c r="GZ16" t="e">
        <f>AND('BBP complete'!H14,"AAAAAGXd7c8=")</f>
        <v>#VALUE!</v>
      </c>
      <c r="HA16" t="e">
        <f>AND('BBP complete'!I14,"AAAAAGXd7dA=")</f>
        <v>#VALUE!</v>
      </c>
      <c r="HB16" t="e">
        <f>AND('BBP complete'!J14,"AAAAAGXd7dE=")</f>
        <v>#VALUE!</v>
      </c>
      <c r="HC16" s="60" t="e">
        <v>#VALUE!</v>
      </c>
      <c r="HD16" t="e">
        <f>AND('BBP complete'!A15,"AAAAAGXd7dM=")</f>
        <v>#VALUE!</v>
      </c>
      <c r="HE16" t="e">
        <f>AND('BBP complete'!B15,"AAAAAGXd7dQ=")</f>
        <v>#VALUE!</v>
      </c>
      <c r="HF16" t="e">
        <f>AND('BBP complete'!C15,"AAAAAGXd7dU=")</f>
        <v>#VALUE!</v>
      </c>
      <c r="HG16" t="e">
        <f>AND('BBP complete'!D15,"AAAAAGXd7dY=")</f>
        <v>#VALUE!</v>
      </c>
      <c r="HH16" t="e">
        <f>AND('BBP complete'!E15,"AAAAAGXd7dc=")</f>
        <v>#VALUE!</v>
      </c>
      <c r="HI16" t="e">
        <f>AND('BBP complete'!F15,"AAAAAGXd7dg=")</f>
        <v>#VALUE!</v>
      </c>
      <c r="HJ16" t="e">
        <f>AND('BBP complete'!G15,"AAAAAGXd7dk=")</f>
        <v>#VALUE!</v>
      </c>
      <c r="HK16" t="e">
        <f>AND('BBP complete'!H15,"AAAAAGXd7do=")</f>
        <v>#VALUE!</v>
      </c>
      <c r="HL16" t="e">
        <f>AND('BBP complete'!I15,"AAAAAGXd7ds=")</f>
        <v>#VALUE!</v>
      </c>
      <c r="HM16" t="e">
        <f>AND('BBP complete'!J15,"AAAAAGXd7dw=")</f>
        <v>#VALUE!</v>
      </c>
      <c r="HN16" s="60" t="e">
        <v>#VALUE!</v>
      </c>
      <c r="HO16" t="e">
        <f>AND('BBP complete'!A16,"AAAAAGXd7d4=")</f>
        <v>#VALUE!</v>
      </c>
      <c r="HP16" t="e">
        <f>AND('BBP complete'!B16,"AAAAAGXd7d8=")</f>
        <v>#VALUE!</v>
      </c>
      <c r="HQ16" t="e">
        <f>AND('BBP complete'!C16,"AAAAAGXd7eA=")</f>
        <v>#VALUE!</v>
      </c>
      <c r="HR16" t="e">
        <f>AND('BBP complete'!D16,"AAAAAGXd7eE=")</f>
        <v>#VALUE!</v>
      </c>
      <c r="HS16" t="e">
        <f>AND('BBP complete'!E16,"AAAAAGXd7eI=")</f>
        <v>#VALUE!</v>
      </c>
      <c r="HT16" t="e">
        <f>AND('BBP complete'!F16,"AAAAAGXd7eM=")</f>
        <v>#VALUE!</v>
      </c>
      <c r="HU16" t="e">
        <f>AND('BBP complete'!G16,"AAAAAGXd7eQ=")</f>
        <v>#VALUE!</v>
      </c>
      <c r="HV16" t="e">
        <f>AND('BBP complete'!H16,"AAAAAGXd7eU=")</f>
        <v>#VALUE!</v>
      </c>
      <c r="HW16" t="e">
        <f>AND('BBP complete'!I16,"AAAAAGXd7eY=")</f>
        <v>#VALUE!</v>
      </c>
      <c r="HX16" t="e">
        <f>AND('BBP complete'!J16,"AAAAAGXd7ec=")</f>
        <v>#VALUE!</v>
      </c>
      <c r="HY16" s="60" t="e">
        <v>#VALUE!</v>
      </c>
      <c r="HZ16" t="e">
        <f>AND('BBP complete'!A17,"AAAAAGXd7ek=")</f>
        <v>#VALUE!</v>
      </c>
      <c r="IA16" t="e">
        <f>AND('BBP complete'!B17,"AAAAAGXd7eo=")</f>
        <v>#VALUE!</v>
      </c>
      <c r="IB16" t="e">
        <f>AND('BBP complete'!C17,"AAAAAGXd7es=")</f>
        <v>#VALUE!</v>
      </c>
      <c r="IC16" t="e">
        <f>AND('BBP complete'!D17,"AAAAAGXd7ew=")</f>
        <v>#VALUE!</v>
      </c>
      <c r="ID16" t="e">
        <f>AND('BBP complete'!E17,"AAAAAGXd7e0=")</f>
        <v>#VALUE!</v>
      </c>
      <c r="IE16" t="e">
        <f>AND('BBP complete'!F17,"AAAAAGXd7e4=")</f>
        <v>#VALUE!</v>
      </c>
      <c r="IF16" t="e">
        <f>AND('BBP complete'!G17,"AAAAAGXd7e8=")</f>
        <v>#VALUE!</v>
      </c>
      <c r="IG16" t="e">
        <f>AND('BBP complete'!H17,"AAAAAGXd7fA=")</f>
        <v>#VALUE!</v>
      </c>
      <c r="IH16" t="e">
        <f>AND('BBP complete'!I17,"AAAAAGXd7fE=")</f>
        <v>#VALUE!</v>
      </c>
      <c r="II16" t="e">
        <f>AND('BBP complete'!J17,"AAAAAGXd7fI=")</f>
        <v>#VALUE!</v>
      </c>
      <c r="IJ16" s="60" t="e">
        <v>#VALUE!</v>
      </c>
      <c r="IK16" t="e">
        <f>AND('BBP complete'!A18,"AAAAAGXd7fQ=")</f>
        <v>#VALUE!</v>
      </c>
      <c r="IL16" t="e">
        <f>AND('BBP complete'!B18,"AAAAAGXd7fU=")</f>
        <v>#VALUE!</v>
      </c>
      <c r="IM16" t="e">
        <f>AND('BBP complete'!C18,"AAAAAGXd7fY=")</f>
        <v>#VALUE!</v>
      </c>
      <c r="IN16" t="e">
        <f>AND('BBP complete'!D18,"AAAAAGXd7fc=")</f>
        <v>#VALUE!</v>
      </c>
      <c r="IO16" t="e">
        <f>AND('BBP complete'!E18,"AAAAAGXd7fg=")</f>
        <v>#VALUE!</v>
      </c>
      <c r="IP16" t="e">
        <f>AND('BBP complete'!F18,"AAAAAGXd7fk=")</f>
        <v>#VALUE!</v>
      </c>
      <c r="IQ16" t="e">
        <f>AND('BBP complete'!G18,"AAAAAGXd7fo=")</f>
        <v>#VALUE!</v>
      </c>
      <c r="IR16" t="e">
        <f>AND('BBP complete'!H18,"AAAAAGXd7fs=")</f>
        <v>#VALUE!</v>
      </c>
      <c r="IS16" t="e">
        <f>AND('BBP complete'!I18,"AAAAAGXd7fw=")</f>
        <v>#VALUE!</v>
      </c>
      <c r="IT16" t="e">
        <f>AND('BBP complete'!J18,"AAAAAGXd7f0=")</f>
        <v>#VALUE!</v>
      </c>
      <c r="IU16" s="60" t="e">
        <v>#VALUE!</v>
      </c>
      <c r="IV16" t="e">
        <f>AND('BBP complete'!A19,"AAAAAGXd7f8=")</f>
        <v>#VALUE!</v>
      </c>
    </row>
    <row r="17" spans="1:256" ht="15" customHeight="1" x14ac:dyDescent="0.25">
      <c r="A17" t="e">
        <f>AND('BBP complete'!B19,"AAAAAG+p3QA=")</f>
        <v>#VALUE!</v>
      </c>
      <c r="B17" t="e">
        <f>AND('BBP complete'!C19,"AAAAAG+p3QE=")</f>
        <v>#VALUE!</v>
      </c>
      <c r="C17" t="e">
        <f>AND('BBP complete'!D19,"AAAAAG+p3QI=")</f>
        <v>#VALUE!</v>
      </c>
      <c r="D17" t="e">
        <f>AND('BBP complete'!E19,"AAAAAG+p3QM=")</f>
        <v>#VALUE!</v>
      </c>
      <c r="E17" t="e">
        <f>AND('BBP complete'!F19,"AAAAAG+p3QQ=")</f>
        <v>#VALUE!</v>
      </c>
      <c r="F17" t="e">
        <f>AND('BBP complete'!G19,"AAAAAG+p3QU=")</f>
        <v>#VALUE!</v>
      </c>
      <c r="G17" t="e">
        <f>AND('BBP complete'!H19,"AAAAAG+p3QY=")</f>
        <v>#VALUE!</v>
      </c>
      <c r="H17" t="e">
        <f>AND('BBP complete'!I19,"AAAAAG+p3Qc=")</f>
        <v>#VALUE!</v>
      </c>
      <c r="I17" t="e">
        <f>AND('BBP complete'!J19,"AAAAAG+p3Qg=")</f>
        <v>#VALUE!</v>
      </c>
      <c r="J17" s="60" t="e">
        <v>#VALUE!</v>
      </c>
      <c r="K17" t="e">
        <f>AND('BBP complete'!A20,"AAAAAG+p3Qo=")</f>
        <v>#VALUE!</v>
      </c>
      <c r="L17" t="e">
        <f>AND('BBP complete'!B20,"AAAAAG+p3Qs=")</f>
        <v>#VALUE!</v>
      </c>
      <c r="M17" t="e">
        <f>AND('BBP complete'!C20,"AAAAAG+p3Qw=")</f>
        <v>#VALUE!</v>
      </c>
      <c r="N17" t="e">
        <f>AND('BBP complete'!D20,"AAAAAG+p3Q0=")</f>
        <v>#VALUE!</v>
      </c>
      <c r="O17" t="e">
        <f>AND('BBP complete'!E20,"AAAAAG+p3Q4=")</f>
        <v>#VALUE!</v>
      </c>
      <c r="P17" t="e">
        <f>AND('BBP complete'!F20,"AAAAAG+p3Q8=")</f>
        <v>#VALUE!</v>
      </c>
      <c r="Q17" t="e">
        <f>AND('BBP complete'!G20,"AAAAAG+p3RA=")</f>
        <v>#VALUE!</v>
      </c>
      <c r="R17" t="e">
        <f>AND('BBP complete'!H20,"AAAAAG+p3RE=")</f>
        <v>#VALUE!</v>
      </c>
      <c r="S17" t="e">
        <f>AND('BBP complete'!I20,"AAAAAG+p3RI=")</f>
        <v>#VALUE!</v>
      </c>
      <c r="T17" t="e">
        <f>AND('BBP complete'!J20,"AAAAAG+p3RM=")</f>
        <v>#VALUE!</v>
      </c>
      <c r="U17" s="60" t="e">
        <v>#VALUE!</v>
      </c>
      <c r="V17" t="e">
        <f>AND('BBP complete'!A21,"AAAAAG+p3RU=")</f>
        <v>#VALUE!</v>
      </c>
      <c r="W17" t="e">
        <f>AND('BBP complete'!B21,"AAAAAG+p3RY=")</f>
        <v>#VALUE!</v>
      </c>
      <c r="X17" t="e">
        <f>AND('BBP complete'!C21,"AAAAAG+p3Rc=")</f>
        <v>#VALUE!</v>
      </c>
      <c r="Y17" t="e">
        <f>AND('BBP complete'!D21,"AAAAAG+p3Rg=")</f>
        <v>#VALUE!</v>
      </c>
      <c r="Z17" t="e">
        <f>AND('BBP complete'!E21,"AAAAAG+p3Rk=")</f>
        <v>#VALUE!</v>
      </c>
      <c r="AA17" t="e">
        <f>AND('BBP complete'!F21,"AAAAAG+p3Ro=")</f>
        <v>#VALUE!</v>
      </c>
      <c r="AB17" t="e">
        <f>AND('BBP complete'!G21,"AAAAAG+p3Rs=")</f>
        <v>#VALUE!</v>
      </c>
      <c r="AC17" t="e">
        <f>AND('BBP complete'!H21,"AAAAAG+p3Rw=")</f>
        <v>#VALUE!</v>
      </c>
      <c r="AD17" t="e">
        <f>AND('BBP complete'!I21,"AAAAAG+p3R0=")</f>
        <v>#VALUE!</v>
      </c>
      <c r="AE17" t="e">
        <f>AND('BBP complete'!J21,"AAAAAG+p3R4=")</f>
        <v>#VALUE!</v>
      </c>
      <c r="AF17" s="60" t="e">
        <v>#VALUE!</v>
      </c>
      <c r="AG17" t="e">
        <f>AND('BBP complete'!A22,"AAAAAG+p3SA=")</f>
        <v>#VALUE!</v>
      </c>
      <c r="AH17" t="e">
        <f>AND('BBP complete'!B22,"AAAAAG+p3SE=")</f>
        <v>#VALUE!</v>
      </c>
      <c r="AI17" t="e">
        <f>AND('BBP complete'!C22,"AAAAAG+p3SI=")</f>
        <v>#VALUE!</v>
      </c>
      <c r="AJ17" t="e">
        <f>AND('BBP complete'!D22,"AAAAAG+p3SM=")</f>
        <v>#VALUE!</v>
      </c>
      <c r="AK17" t="e">
        <f>AND('BBP complete'!E22,"AAAAAG+p3SQ=")</f>
        <v>#VALUE!</v>
      </c>
      <c r="AL17" t="e">
        <f>AND('BBP complete'!F22,"AAAAAG+p3SU=")</f>
        <v>#VALUE!</v>
      </c>
      <c r="AM17" t="e">
        <f>AND('BBP complete'!G22,"AAAAAG+p3SY=")</f>
        <v>#VALUE!</v>
      </c>
      <c r="AN17" t="e">
        <f>AND('BBP complete'!H22,"AAAAAG+p3Sc=")</f>
        <v>#VALUE!</v>
      </c>
      <c r="AO17" t="e">
        <f>AND('BBP complete'!I22,"AAAAAG+p3Sg=")</f>
        <v>#VALUE!</v>
      </c>
      <c r="AP17" t="e">
        <f>AND('BBP complete'!J22,"AAAAAG+p3Sk=")</f>
        <v>#VALUE!</v>
      </c>
      <c r="AQ17" s="60" t="e">
        <v>#VALUE!</v>
      </c>
      <c r="AR17" t="e">
        <f>AND('BBP complete'!A23,"AAAAAG+p3Ss=")</f>
        <v>#VALUE!</v>
      </c>
      <c r="AS17" t="e">
        <f>AND('BBP complete'!B23,"AAAAAG+p3Sw=")</f>
        <v>#VALUE!</v>
      </c>
      <c r="AT17" t="e">
        <f>AND('BBP complete'!C23,"AAAAAG+p3S0=")</f>
        <v>#VALUE!</v>
      </c>
      <c r="AU17" t="e">
        <f>AND('BBP complete'!D23,"AAAAAG+p3S4=")</f>
        <v>#VALUE!</v>
      </c>
      <c r="AV17" t="e">
        <f>AND('BBP complete'!E23,"AAAAAG+p3S8=")</f>
        <v>#VALUE!</v>
      </c>
      <c r="AW17" t="e">
        <f>AND('BBP complete'!F23,"AAAAAG+p3TA=")</f>
        <v>#VALUE!</v>
      </c>
      <c r="AX17" t="e">
        <f>AND('BBP complete'!G23,"AAAAAG+p3TE=")</f>
        <v>#VALUE!</v>
      </c>
      <c r="AY17" t="e">
        <f>AND('BBP complete'!H23,"AAAAAG+p3TI=")</f>
        <v>#VALUE!</v>
      </c>
      <c r="AZ17" t="e">
        <f>AND('BBP complete'!I23,"AAAAAG+p3TM=")</f>
        <v>#VALUE!</v>
      </c>
      <c r="BA17" t="e">
        <f>AND('BBP complete'!J23,"AAAAAG+p3TQ=")</f>
        <v>#VALUE!</v>
      </c>
      <c r="BB17" s="60" t="e">
        <v>#VALUE!</v>
      </c>
      <c r="BC17" t="e">
        <f>AND('BBP complete'!A24,"AAAAAG+p3TY=")</f>
        <v>#VALUE!</v>
      </c>
      <c r="BD17" t="e">
        <f>AND('BBP complete'!B24,"AAAAAG+p3Tc=")</f>
        <v>#VALUE!</v>
      </c>
      <c r="BE17" t="e">
        <f>AND('BBP complete'!C24,"AAAAAG+p3Tg=")</f>
        <v>#VALUE!</v>
      </c>
      <c r="BF17" t="e">
        <f>AND('BBP complete'!D24,"AAAAAG+p3Tk=")</f>
        <v>#VALUE!</v>
      </c>
      <c r="BG17" t="e">
        <f>AND('BBP complete'!E24,"AAAAAG+p3To=")</f>
        <v>#VALUE!</v>
      </c>
      <c r="BH17" t="e">
        <f>AND('BBP complete'!F24,"AAAAAG+p3Ts=")</f>
        <v>#VALUE!</v>
      </c>
      <c r="BI17" t="e">
        <f>AND('BBP complete'!G24,"AAAAAG+p3Tw=")</f>
        <v>#VALUE!</v>
      </c>
      <c r="BJ17" t="e">
        <f>AND('BBP complete'!H24,"AAAAAG+p3T0=")</f>
        <v>#VALUE!</v>
      </c>
      <c r="BK17" t="e">
        <f>AND('BBP complete'!I24,"AAAAAG+p3T4=")</f>
        <v>#VALUE!</v>
      </c>
      <c r="BL17" t="e">
        <f>AND('BBP complete'!J24,"AAAAAG+p3T8=")</f>
        <v>#VALUE!</v>
      </c>
      <c r="BM17" s="60" t="e">
        <v>#VALUE!</v>
      </c>
      <c r="BN17" t="e">
        <f>AND('BBP complete'!A25,"AAAAAG+p3UE=")</f>
        <v>#VALUE!</v>
      </c>
      <c r="BO17" t="e">
        <f>AND('BBP complete'!B25,"AAAAAG+p3UI=")</f>
        <v>#VALUE!</v>
      </c>
      <c r="BP17" t="e">
        <f>AND('BBP complete'!C25,"AAAAAG+p3UM=")</f>
        <v>#VALUE!</v>
      </c>
      <c r="BQ17" t="e">
        <f>AND('BBP complete'!D25,"AAAAAG+p3UQ=")</f>
        <v>#VALUE!</v>
      </c>
      <c r="BR17" t="e">
        <f>AND('BBP complete'!E25,"AAAAAG+p3UU=")</f>
        <v>#VALUE!</v>
      </c>
      <c r="BS17" t="e">
        <f>AND('BBP complete'!F25,"AAAAAG+p3UY=")</f>
        <v>#VALUE!</v>
      </c>
      <c r="BT17" t="e">
        <f>AND('BBP complete'!G25,"AAAAAG+p3Uc=")</f>
        <v>#VALUE!</v>
      </c>
      <c r="BU17" t="e">
        <f>AND('BBP complete'!H25,"AAAAAG+p3Ug=")</f>
        <v>#VALUE!</v>
      </c>
      <c r="BV17" t="e">
        <f>AND('BBP complete'!I25,"AAAAAG+p3Uk=")</f>
        <v>#VALUE!</v>
      </c>
      <c r="BW17" t="e">
        <f>AND('BBP complete'!J25,"AAAAAG+p3Uo=")</f>
        <v>#VALUE!</v>
      </c>
      <c r="BX17" s="60" t="e">
        <v>#VALUE!</v>
      </c>
      <c r="BY17" t="e">
        <f>AND('BBP complete'!A26,"AAAAAG+p3Uw=")</f>
        <v>#VALUE!</v>
      </c>
      <c r="BZ17" t="e">
        <f>AND('BBP complete'!B26,"AAAAAG+p3U0=")</f>
        <v>#VALUE!</v>
      </c>
      <c r="CA17" t="e">
        <f>AND('BBP complete'!C26,"AAAAAG+p3U4=")</f>
        <v>#VALUE!</v>
      </c>
      <c r="CB17" t="e">
        <f>AND('BBP complete'!D26,"AAAAAG+p3U8=")</f>
        <v>#VALUE!</v>
      </c>
      <c r="CC17" t="e">
        <f>AND('BBP complete'!E26,"AAAAAG+p3VA=")</f>
        <v>#VALUE!</v>
      </c>
      <c r="CD17" t="e">
        <f>AND('BBP complete'!F26,"AAAAAG+p3VE=")</f>
        <v>#VALUE!</v>
      </c>
      <c r="CE17" t="e">
        <f>AND('BBP complete'!G26,"AAAAAG+p3VI=")</f>
        <v>#VALUE!</v>
      </c>
      <c r="CF17" t="e">
        <f>AND('BBP complete'!H26,"AAAAAG+p3VM=")</f>
        <v>#VALUE!</v>
      </c>
      <c r="CG17" t="e">
        <f>AND('BBP complete'!I26,"AAAAAG+p3VQ=")</f>
        <v>#VALUE!</v>
      </c>
      <c r="CH17" t="e">
        <f>AND('BBP complete'!J26,"AAAAAG+p3VU=")</f>
        <v>#VALUE!</v>
      </c>
      <c r="CI17" s="60" t="e">
        <v>#VALUE!</v>
      </c>
      <c r="CJ17" t="e">
        <f>AND('BBP complete'!A27,"AAAAAG+p3Vc=")</f>
        <v>#VALUE!</v>
      </c>
      <c r="CK17" t="e">
        <f>AND('BBP complete'!B27,"AAAAAG+p3Vg=")</f>
        <v>#VALUE!</v>
      </c>
      <c r="CL17" t="e">
        <f>AND('BBP complete'!C27,"AAAAAG+p3Vk=")</f>
        <v>#VALUE!</v>
      </c>
      <c r="CM17" t="e">
        <f>AND('BBP complete'!D27,"AAAAAG+p3Vo=")</f>
        <v>#VALUE!</v>
      </c>
      <c r="CN17" t="e">
        <f>AND('BBP complete'!E27,"AAAAAG+p3Vs=")</f>
        <v>#VALUE!</v>
      </c>
      <c r="CO17" t="e">
        <f>AND('BBP complete'!F27,"AAAAAG+p3Vw=")</f>
        <v>#VALUE!</v>
      </c>
      <c r="CP17" t="e">
        <f>AND('BBP complete'!G27,"AAAAAG+p3V0=")</f>
        <v>#VALUE!</v>
      </c>
      <c r="CQ17" t="e">
        <f>AND('BBP complete'!H27,"AAAAAG+p3V4=")</f>
        <v>#VALUE!</v>
      </c>
      <c r="CR17" t="e">
        <f>AND('BBP complete'!I27,"AAAAAG+p3V8=")</f>
        <v>#VALUE!</v>
      </c>
      <c r="CS17" t="e">
        <f>AND('BBP complete'!J27,"AAAAAG+p3WA=")</f>
        <v>#VALUE!</v>
      </c>
      <c r="CT17" s="60" t="e">
        <v>#VALUE!</v>
      </c>
      <c r="CU17" t="e">
        <f>AND('BBP complete'!A28,"AAAAAG+p3WI=")</f>
        <v>#VALUE!</v>
      </c>
      <c r="CV17" t="e">
        <f>AND('BBP complete'!B28,"AAAAAG+p3WM=")</f>
        <v>#VALUE!</v>
      </c>
      <c r="CW17" t="e">
        <f>AND('BBP complete'!C28,"AAAAAG+p3WQ=")</f>
        <v>#VALUE!</v>
      </c>
      <c r="CX17" t="e">
        <f>AND('BBP complete'!D28,"AAAAAG+p3WU=")</f>
        <v>#VALUE!</v>
      </c>
      <c r="CY17" t="e">
        <f>AND('BBP complete'!E28,"AAAAAG+p3WY=")</f>
        <v>#VALUE!</v>
      </c>
      <c r="CZ17" t="e">
        <f>AND('BBP complete'!F28,"AAAAAG+p3Wc=")</f>
        <v>#VALUE!</v>
      </c>
      <c r="DA17" t="e">
        <f>AND('BBP complete'!G28,"AAAAAG+p3Wg=")</f>
        <v>#VALUE!</v>
      </c>
      <c r="DB17" t="e">
        <f>AND('BBP complete'!H28,"AAAAAG+p3Wk=")</f>
        <v>#VALUE!</v>
      </c>
      <c r="DC17" t="e">
        <f>AND('BBP complete'!I28,"AAAAAG+p3Wo=")</f>
        <v>#VALUE!</v>
      </c>
      <c r="DD17" t="e">
        <f>AND('BBP complete'!J28,"AAAAAG+p3Ws=")</f>
        <v>#VALUE!</v>
      </c>
      <c r="DE17" s="60" t="e">
        <v>#VALUE!</v>
      </c>
      <c r="DF17" t="e">
        <f>AND('BBP complete'!A29,"AAAAAG+p3W0=")</f>
        <v>#VALUE!</v>
      </c>
      <c r="DG17" t="e">
        <f>AND('BBP complete'!B29,"AAAAAG+p3W4=")</f>
        <v>#VALUE!</v>
      </c>
      <c r="DH17" t="e">
        <f>AND('BBP complete'!C29,"AAAAAG+p3W8=")</f>
        <v>#VALUE!</v>
      </c>
      <c r="DI17" t="e">
        <f>AND('BBP complete'!D29,"AAAAAG+p3XA=")</f>
        <v>#VALUE!</v>
      </c>
      <c r="DJ17" t="e">
        <f>AND('BBP complete'!E29,"AAAAAG+p3XE=")</f>
        <v>#VALUE!</v>
      </c>
      <c r="DK17" t="e">
        <f>AND('BBP complete'!F29,"AAAAAG+p3XI=")</f>
        <v>#VALUE!</v>
      </c>
      <c r="DL17" t="e">
        <f>AND('BBP complete'!G29,"AAAAAG+p3XM=")</f>
        <v>#VALUE!</v>
      </c>
      <c r="DM17" t="e">
        <f>AND('BBP complete'!H29,"AAAAAG+p3XQ=")</f>
        <v>#VALUE!</v>
      </c>
      <c r="DN17" t="e">
        <f>AND('BBP complete'!I29,"AAAAAG+p3XU=")</f>
        <v>#VALUE!</v>
      </c>
      <c r="DO17" t="e">
        <f>AND('BBP complete'!J29,"AAAAAG+p3XY=")</f>
        <v>#VALUE!</v>
      </c>
      <c r="DP17" s="60" t="e">
        <v>#VALUE!</v>
      </c>
      <c r="DQ17" t="e">
        <f>AND('BBP complete'!A30,"AAAAAG+p3Xg=")</f>
        <v>#VALUE!</v>
      </c>
      <c r="DR17" t="e">
        <f>AND('BBP complete'!B30,"AAAAAG+p3Xk=")</f>
        <v>#VALUE!</v>
      </c>
      <c r="DS17" t="e">
        <f>AND('BBP complete'!C30,"AAAAAG+p3Xo=")</f>
        <v>#VALUE!</v>
      </c>
      <c r="DT17" t="e">
        <f>AND('BBP complete'!D30,"AAAAAG+p3Xs=")</f>
        <v>#VALUE!</v>
      </c>
      <c r="DU17" t="e">
        <f>AND('BBP complete'!E30,"AAAAAG+p3Xw=")</f>
        <v>#VALUE!</v>
      </c>
      <c r="DV17" t="e">
        <f>AND('BBP complete'!F30,"AAAAAG+p3X0=")</f>
        <v>#VALUE!</v>
      </c>
      <c r="DW17" t="e">
        <f>AND('BBP complete'!G30,"AAAAAG+p3X4=")</f>
        <v>#VALUE!</v>
      </c>
      <c r="DX17" t="e">
        <f>AND('BBP complete'!H30,"AAAAAG+p3X8=")</f>
        <v>#VALUE!</v>
      </c>
      <c r="DY17" t="e">
        <f>AND('BBP complete'!I30,"AAAAAG+p3YA=")</f>
        <v>#VALUE!</v>
      </c>
      <c r="DZ17" t="e">
        <f>AND('BBP complete'!J30,"AAAAAG+p3YE=")</f>
        <v>#VALUE!</v>
      </c>
      <c r="EA17" s="60" t="e">
        <v>#VALUE!</v>
      </c>
      <c r="EB17" t="e">
        <f>AND('BBP complete'!A31,"AAAAAG+p3YM=")</f>
        <v>#VALUE!</v>
      </c>
      <c r="EC17" t="e">
        <f>AND('BBP complete'!B31,"AAAAAG+p3YQ=")</f>
        <v>#VALUE!</v>
      </c>
      <c r="ED17" t="e">
        <f>AND('BBP complete'!C31,"AAAAAG+p3YU=")</f>
        <v>#VALUE!</v>
      </c>
      <c r="EE17" t="e">
        <f>AND('BBP complete'!D31,"AAAAAG+p3YY=")</f>
        <v>#VALUE!</v>
      </c>
      <c r="EF17" t="e">
        <f>AND('BBP complete'!E31,"AAAAAG+p3Yc=")</f>
        <v>#VALUE!</v>
      </c>
      <c r="EG17" t="e">
        <f>AND('BBP complete'!F31,"AAAAAG+p3Yg=")</f>
        <v>#VALUE!</v>
      </c>
      <c r="EH17" t="e">
        <f>AND('BBP complete'!G31,"AAAAAG+p3Yk=")</f>
        <v>#VALUE!</v>
      </c>
      <c r="EI17" t="e">
        <f>AND('BBP complete'!H31,"AAAAAG+p3Yo=")</f>
        <v>#VALUE!</v>
      </c>
      <c r="EJ17" t="e">
        <f>AND('BBP complete'!I31,"AAAAAG+p3Ys=")</f>
        <v>#VALUE!</v>
      </c>
      <c r="EK17" t="e">
        <f>AND('BBP complete'!J31,"AAAAAG+p3Yw=")</f>
        <v>#VALUE!</v>
      </c>
      <c r="EL17" s="60" t="e">
        <v>#VALUE!</v>
      </c>
      <c r="EM17" t="e">
        <f>AND('BBP complete'!A32,"AAAAAG+p3Y4=")</f>
        <v>#VALUE!</v>
      </c>
      <c r="EN17" t="e">
        <f>AND('BBP complete'!B32,"AAAAAG+p3Y8=")</f>
        <v>#VALUE!</v>
      </c>
      <c r="EO17" t="e">
        <f>AND('BBP complete'!C32,"AAAAAG+p3ZA=")</f>
        <v>#VALUE!</v>
      </c>
      <c r="EP17" t="e">
        <f>AND('BBP complete'!D32,"AAAAAG+p3ZE=")</f>
        <v>#VALUE!</v>
      </c>
      <c r="EQ17" t="e">
        <f>AND('BBP complete'!E32,"AAAAAG+p3ZI=")</f>
        <v>#VALUE!</v>
      </c>
      <c r="ER17" t="e">
        <f>AND('BBP complete'!F32,"AAAAAG+p3ZM=")</f>
        <v>#VALUE!</v>
      </c>
      <c r="ES17" t="e">
        <f>AND('BBP complete'!G32,"AAAAAG+p3ZQ=")</f>
        <v>#VALUE!</v>
      </c>
      <c r="ET17" t="e">
        <f>AND('BBP complete'!H32,"AAAAAG+p3ZU=")</f>
        <v>#VALUE!</v>
      </c>
      <c r="EU17" t="e">
        <f>AND('BBP complete'!I32,"AAAAAG+p3ZY=")</f>
        <v>#VALUE!</v>
      </c>
      <c r="EV17" t="e">
        <f>AND('BBP complete'!J32,"AAAAAG+p3Zc=")</f>
        <v>#VALUE!</v>
      </c>
      <c r="EW17" s="60" t="e">
        <v>#VALUE!</v>
      </c>
      <c r="EX17" t="e">
        <f>AND('BBP complete'!A33,"AAAAAG+p3Zk=")</f>
        <v>#VALUE!</v>
      </c>
      <c r="EY17" t="e">
        <f>AND('BBP complete'!B33,"AAAAAG+p3Zo=")</f>
        <v>#VALUE!</v>
      </c>
      <c r="EZ17" t="e">
        <f>AND('BBP complete'!C33,"AAAAAG+p3Zs=")</f>
        <v>#VALUE!</v>
      </c>
      <c r="FA17" t="e">
        <f>AND('BBP complete'!D33,"AAAAAG+p3Zw=")</f>
        <v>#VALUE!</v>
      </c>
      <c r="FB17" t="e">
        <f>AND('BBP complete'!E33,"AAAAAG+p3Z0=")</f>
        <v>#VALUE!</v>
      </c>
      <c r="FC17" t="e">
        <f>AND('BBP complete'!F33,"AAAAAG+p3Z4=")</f>
        <v>#VALUE!</v>
      </c>
      <c r="FD17" t="e">
        <f>AND('BBP complete'!G33,"AAAAAG+p3Z8=")</f>
        <v>#VALUE!</v>
      </c>
      <c r="FE17" t="e">
        <f>AND('BBP complete'!H33,"AAAAAG+p3aA=")</f>
        <v>#VALUE!</v>
      </c>
      <c r="FF17" t="e">
        <f>AND('BBP complete'!I33,"AAAAAG+p3aE=")</f>
        <v>#VALUE!</v>
      </c>
      <c r="FG17" t="e">
        <f>AND('BBP complete'!J33,"AAAAAG+p3aI=")</f>
        <v>#VALUE!</v>
      </c>
      <c r="FH17" s="60" t="e">
        <v>#VALUE!</v>
      </c>
      <c r="FI17" t="e">
        <f>AND('BBP complete'!A34,"AAAAAG+p3aQ=")</f>
        <v>#VALUE!</v>
      </c>
      <c r="FJ17" t="e">
        <f>AND('BBP complete'!B34,"AAAAAG+p3aU=")</f>
        <v>#VALUE!</v>
      </c>
      <c r="FK17" t="e">
        <f>AND('BBP complete'!C34,"AAAAAG+p3aY=")</f>
        <v>#VALUE!</v>
      </c>
      <c r="FL17" t="e">
        <f>AND('BBP complete'!D34,"AAAAAG+p3ac=")</f>
        <v>#VALUE!</v>
      </c>
      <c r="FM17" t="e">
        <f>AND('BBP complete'!E34,"AAAAAG+p3ag=")</f>
        <v>#VALUE!</v>
      </c>
      <c r="FN17" t="e">
        <f>AND('BBP complete'!F34,"AAAAAG+p3ak=")</f>
        <v>#VALUE!</v>
      </c>
      <c r="FO17" t="e">
        <f>AND('BBP complete'!G34,"AAAAAG+p3ao=")</f>
        <v>#VALUE!</v>
      </c>
      <c r="FP17" t="e">
        <f>AND('BBP complete'!H34,"AAAAAG+p3as=")</f>
        <v>#VALUE!</v>
      </c>
      <c r="FQ17" t="e">
        <f>AND('BBP complete'!I34,"AAAAAG+p3aw=")</f>
        <v>#VALUE!</v>
      </c>
      <c r="FR17" t="e">
        <f>AND('BBP complete'!J34,"AAAAAG+p3a0=")</f>
        <v>#VALUE!</v>
      </c>
      <c r="FS17" s="60" t="e">
        <v>#VALUE!</v>
      </c>
      <c r="FT17" t="e">
        <f>AND('BBP complete'!A35,"AAAAAG+p3a8=")</f>
        <v>#VALUE!</v>
      </c>
      <c r="FU17" t="e">
        <f>AND('BBP complete'!B35,"AAAAAG+p3bA=")</f>
        <v>#VALUE!</v>
      </c>
      <c r="FV17" t="e">
        <f>AND('BBP complete'!C35,"AAAAAG+p3bE=")</f>
        <v>#VALUE!</v>
      </c>
      <c r="FW17" t="e">
        <f>AND('BBP complete'!D35,"AAAAAG+p3bI=")</f>
        <v>#VALUE!</v>
      </c>
      <c r="FX17" t="e">
        <f>AND('BBP complete'!E35,"AAAAAG+p3bM=")</f>
        <v>#VALUE!</v>
      </c>
      <c r="FY17" t="e">
        <f>AND('BBP complete'!F35,"AAAAAG+p3bQ=")</f>
        <v>#VALUE!</v>
      </c>
      <c r="FZ17" t="e">
        <f>AND('BBP complete'!G35,"AAAAAG+p3bU=")</f>
        <v>#VALUE!</v>
      </c>
      <c r="GA17" t="e">
        <f>AND('BBP complete'!H35,"AAAAAG+p3bY=")</f>
        <v>#VALUE!</v>
      </c>
      <c r="GB17" t="e">
        <f>AND('BBP complete'!I35,"AAAAAG+p3bc=")</f>
        <v>#VALUE!</v>
      </c>
      <c r="GC17" t="e">
        <f>AND('BBP complete'!J35,"AAAAAG+p3bg=")</f>
        <v>#VALUE!</v>
      </c>
      <c r="GD17" s="60" t="e">
        <v>#VALUE!</v>
      </c>
      <c r="GE17" t="e">
        <f>AND('BBP complete'!A36,"AAAAAG+p3bo=")</f>
        <v>#VALUE!</v>
      </c>
      <c r="GF17" t="e">
        <f>AND('BBP complete'!B36,"AAAAAG+p3bs=")</f>
        <v>#VALUE!</v>
      </c>
      <c r="GG17" t="e">
        <f>AND('BBP complete'!C36,"AAAAAG+p3bw=")</f>
        <v>#VALUE!</v>
      </c>
      <c r="GH17" t="e">
        <f>AND('BBP complete'!D36,"AAAAAG+p3b0=")</f>
        <v>#VALUE!</v>
      </c>
      <c r="GI17" t="e">
        <f>AND('BBP complete'!E36,"AAAAAG+p3b4=")</f>
        <v>#VALUE!</v>
      </c>
      <c r="GJ17" t="e">
        <f>AND('BBP complete'!F36,"AAAAAG+p3b8=")</f>
        <v>#VALUE!</v>
      </c>
      <c r="GK17" t="e">
        <f>AND('BBP complete'!G36,"AAAAAG+p3cA=")</f>
        <v>#VALUE!</v>
      </c>
      <c r="GL17" t="e">
        <f>AND('BBP complete'!H36,"AAAAAG+p3cE=")</f>
        <v>#VALUE!</v>
      </c>
      <c r="GM17" t="e">
        <f>AND('BBP complete'!I36,"AAAAAG+p3cI=")</f>
        <v>#VALUE!</v>
      </c>
      <c r="GN17" t="e">
        <f>AND('BBP complete'!J36,"AAAAAG+p3cM=")</f>
        <v>#VALUE!</v>
      </c>
      <c r="GO17" s="60" t="e">
        <v>#VALUE!</v>
      </c>
      <c r="GP17" t="e">
        <f>AND('BBP complete'!A37,"AAAAAG+p3cU=")</f>
        <v>#VALUE!</v>
      </c>
      <c r="GQ17" t="e">
        <f>AND('BBP complete'!B37,"AAAAAG+p3cY=")</f>
        <v>#VALUE!</v>
      </c>
      <c r="GR17" t="e">
        <f>AND('BBP complete'!C37,"AAAAAG+p3cc=")</f>
        <v>#VALUE!</v>
      </c>
      <c r="GS17" t="e">
        <f>AND('BBP complete'!D37,"AAAAAG+p3cg=")</f>
        <v>#VALUE!</v>
      </c>
      <c r="GT17" t="e">
        <f>AND('BBP complete'!E37,"AAAAAG+p3ck=")</f>
        <v>#VALUE!</v>
      </c>
      <c r="GU17" t="e">
        <f>AND('BBP complete'!F37,"AAAAAG+p3co=")</f>
        <v>#VALUE!</v>
      </c>
      <c r="GV17" t="e">
        <f>AND('BBP complete'!G37,"AAAAAG+p3cs=")</f>
        <v>#VALUE!</v>
      </c>
      <c r="GW17" t="e">
        <f>AND('BBP complete'!H37,"AAAAAG+p3cw=")</f>
        <v>#VALUE!</v>
      </c>
      <c r="GX17" t="e">
        <f>AND('BBP complete'!I37,"AAAAAG+p3c0=")</f>
        <v>#VALUE!</v>
      </c>
      <c r="GY17" t="e">
        <f>AND('BBP complete'!J37,"AAAAAG+p3c4=")</f>
        <v>#VALUE!</v>
      </c>
      <c r="GZ17" s="60" t="e">
        <v>#VALUE!</v>
      </c>
      <c r="HA17" t="e">
        <f>AND('BBP complete'!A39,"AAAAAG+p3dA=")</f>
        <v>#VALUE!</v>
      </c>
      <c r="HB17" t="e">
        <f>AND('BBP complete'!B39,"AAAAAG+p3dE=")</f>
        <v>#VALUE!</v>
      </c>
      <c r="HC17" t="e">
        <f>AND('BBP complete'!C39,"AAAAAG+p3dI=")</f>
        <v>#VALUE!</v>
      </c>
      <c r="HD17" t="e">
        <f>AND('BBP complete'!D39,"AAAAAG+p3dM=")</f>
        <v>#VALUE!</v>
      </c>
      <c r="HE17" t="e">
        <f>AND('BBP complete'!E39,"AAAAAG+p3dQ=")</f>
        <v>#VALUE!</v>
      </c>
      <c r="HF17" t="e">
        <f>AND('BBP complete'!F39,"AAAAAG+p3dU=")</f>
        <v>#VALUE!</v>
      </c>
      <c r="HG17" t="e">
        <f>AND('BBP complete'!G39,"AAAAAG+p3dY=")</f>
        <v>#VALUE!</v>
      </c>
      <c r="HH17" t="e">
        <f>AND('BBP complete'!H39,"AAAAAG+p3dc=")</f>
        <v>#VALUE!</v>
      </c>
      <c r="HI17" t="e">
        <f>AND('BBP complete'!I39,"AAAAAG+p3dg=")</f>
        <v>#VALUE!</v>
      </c>
      <c r="HJ17" t="e">
        <f>AND('BBP complete'!J39,"AAAAAG+p3dk=")</f>
        <v>#VALUE!</v>
      </c>
      <c r="HK17" s="60" t="e">
        <v>#VALUE!</v>
      </c>
      <c r="HL17" t="e">
        <f>AND('BBP complete'!A40,"AAAAAG+p3ds=")</f>
        <v>#VALUE!</v>
      </c>
      <c r="HM17" t="e">
        <f>AND('BBP complete'!B40,"AAAAAG+p3dw=")</f>
        <v>#VALUE!</v>
      </c>
      <c r="HN17" t="e">
        <f>AND('BBP complete'!C40,"AAAAAG+p3d0=")</f>
        <v>#VALUE!</v>
      </c>
      <c r="HO17" t="e">
        <f>AND('BBP complete'!D40,"AAAAAG+p3d4=")</f>
        <v>#VALUE!</v>
      </c>
      <c r="HP17" t="e">
        <f>AND('BBP complete'!E40,"AAAAAG+p3d8=")</f>
        <v>#VALUE!</v>
      </c>
      <c r="HQ17" t="e">
        <f>AND('BBP complete'!F40,"AAAAAG+p3eA=")</f>
        <v>#VALUE!</v>
      </c>
      <c r="HR17" t="e">
        <f>AND('BBP complete'!G40,"AAAAAG+p3eE=")</f>
        <v>#VALUE!</v>
      </c>
      <c r="HS17" t="e">
        <f>AND('BBP complete'!H40,"AAAAAG+p3eI=")</f>
        <v>#VALUE!</v>
      </c>
      <c r="HT17" t="e">
        <f>AND('BBP complete'!I40,"AAAAAG+p3eM=")</f>
        <v>#VALUE!</v>
      </c>
      <c r="HU17" t="e">
        <f>AND('BBP complete'!J40,"AAAAAG+p3eQ=")</f>
        <v>#VALUE!</v>
      </c>
      <c r="HV17" s="60" t="e">
        <v>#VALUE!</v>
      </c>
      <c r="HW17" t="e">
        <f>AND('BBP complete'!A41,"AAAAAG+p3eY=")</f>
        <v>#VALUE!</v>
      </c>
      <c r="HX17" t="e">
        <f>AND('BBP complete'!B41,"AAAAAG+p3ec=")</f>
        <v>#VALUE!</v>
      </c>
      <c r="HY17" t="e">
        <f>AND('BBP complete'!C41,"AAAAAG+p3eg=")</f>
        <v>#VALUE!</v>
      </c>
      <c r="HZ17" t="e">
        <f>AND('BBP complete'!D41,"AAAAAG+p3ek=")</f>
        <v>#VALUE!</v>
      </c>
      <c r="IA17" t="e">
        <f>AND('BBP complete'!E41,"AAAAAG+p3eo=")</f>
        <v>#VALUE!</v>
      </c>
      <c r="IB17" t="e">
        <f>AND('BBP complete'!F41,"AAAAAG+p3es=")</f>
        <v>#VALUE!</v>
      </c>
      <c r="IC17" t="e">
        <f>AND('BBP complete'!G41,"AAAAAG+p3ew=")</f>
        <v>#VALUE!</v>
      </c>
      <c r="ID17" t="e">
        <f>AND('BBP complete'!H41,"AAAAAG+p3e0=")</f>
        <v>#VALUE!</v>
      </c>
      <c r="IE17" t="e">
        <f>AND('BBP complete'!I41,"AAAAAG+p3e4=")</f>
        <v>#VALUE!</v>
      </c>
      <c r="IF17" t="e">
        <f>AND('BBP complete'!J41,"AAAAAG+p3e8=")</f>
        <v>#VALUE!</v>
      </c>
      <c r="IG17" s="60" t="e">
        <v>#VALUE!</v>
      </c>
      <c r="IH17" t="e">
        <f>AND('BBP complete'!A42,"AAAAAG+p3fE=")</f>
        <v>#VALUE!</v>
      </c>
      <c r="II17" t="e">
        <f>AND('BBP complete'!B42,"AAAAAG+p3fI=")</f>
        <v>#VALUE!</v>
      </c>
      <c r="IJ17" t="e">
        <f>AND('BBP complete'!C42,"AAAAAG+p3fM=")</f>
        <v>#VALUE!</v>
      </c>
      <c r="IK17" t="e">
        <f>AND('BBP complete'!D42,"AAAAAG+p3fQ=")</f>
        <v>#VALUE!</v>
      </c>
      <c r="IL17" t="e">
        <f>AND('BBP complete'!E42,"AAAAAG+p3fU=")</f>
        <v>#VALUE!</v>
      </c>
      <c r="IM17" t="e">
        <f>AND('BBP complete'!F42,"AAAAAG+p3fY=")</f>
        <v>#VALUE!</v>
      </c>
      <c r="IN17" t="e">
        <f>AND('BBP complete'!G42,"AAAAAG+p3fc=")</f>
        <v>#VALUE!</v>
      </c>
      <c r="IO17" t="e">
        <f>AND('BBP complete'!H42,"AAAAAG+p3fg=")</f>
        <v>#VALUE!</v>
      </c>
      <c r="IP17" t="e">
        <f>AND('BBP complete'!I42,"AAAAAG+p3fk=")</f>
        <v>#VALUE!</v>
      </c>
      <c r="IQ17" t="e">
        <f>AND('BBP complete'!J42,"AAAAAG+p3fo=")</f>
        <v>#VALUE!</v>
      </c>
      <c r="IR17" s="60" t="e">
        <v>#VALUE!</v>
      </c>
      <c r="IS17" t="e">
        <f>AND('BBP complete'!A43,"AAAAAG+p3fw=")</f>
        <v>#VALUE!</v>
      </c>
      <c r="IT17" t="e">
        <f>AND('BBP complete'!B43,"AAAAAG+p3f0=")</f>
        <v>#VALUE!</v>
      </c>
      <c r="IU17" t="e">
        <f>AND('BBP complete'!C43,"AAAAAG+p3f4=")</f>
        <v>#VALUE!</v>
      </c>
      <c r="IV17" t="e">
        <f>AND('BBP complete'!D43,"AAAAAG+p3f8=")</f>
        <v>#VALUE!</v>
      </c>
    </row>
    <row r="18" spans="1:256" ht="15" customHeight="1" x14ac:dyDescent="0.25">
      <c r="A18" t="e">
        <f>AND('BBP complete'!E43,"AAAAAHH/fwA=")</f>
        <v>#VALUE!</v>
      </c>
      <c r="B18" t="e">
        <f>AND('BBP complete'!F43,"AAAAAHH/fwE=")</f>
        <v>#VALUE!</v>
      </c>
      <c r="C18" t="e">
        <f>AND('BBP complete'!G43,"AAAAAHH/fwI=")</f>
        <v>#VALUE!</v>
      </c>
      <c r="D18" t="e">
        <f>AND('BBP complete'!H43,"AAAAAHH/fwM=")</f>
        <v>#VALUE!</v>
      </c>
      <c r="E18" t="e">
        <f>AND('BBP complete'!I43,"AAAAAHH/fwQ=")</f>
        <v>#VALUE!</v>
      </c>
      <c r="F18" t="e">
        <f>AND('BBP complete'!J43,"AAAAAHH/fwU=")</f>
        <v>#VALUE!</v>
      </c>
      <c r="G18" s="60" t="e">
        <v>#VALUE!</v>
      </c>
      <c r="H18" t="e">
        <f>AND('BBP complete'!A44,"AAAAAHH/fwc=")</f>
        <v>#VALUE!</v>
      </c>
      <c r="I18" t="e">
        <f>AND('BBP complete'!B44,"AAAAAHH/fwg=")</f>
        <v>#VALUE!</v>
      </c>
      <c r="J18" t="e">
        <f>AND('BBP complete'!C44,"AAAAAHH/fwk=")</f>
        <v>#VALUE!</v>
      </c>
      <c r="K18" t="e">
        <f>AND('BBP complete'!D44,"AAAAAHH/fwo=")</f>
        <v>#VALUE!</v>
      </c>
      <c r="L18" t="e">
        <f>AND('BBP complete'!E44,"AAAAAHH/fws=")</f>
        <v>#VALUE!</v>
      </c>
      <c r="M18" t="e">
        <f>AND('BBP complete'!F44,"AAAAAHH/fww=")</f>
        <v>#VALUE!</v>
      </c>
      <c r="N18" t="e">
        <f>AND('BBP complete'!G44,"AAAAAHH/fw0=")</f>
        <v>#VALUE!</v>
      </c>
      <c r="O18" t="e">
        <f>AND('BBP complete'!H44,"AAAAAHH/fw4=")</f>
        <v>#VALUE!</v>
      </c>
      <c r="P18" t="e">
        <f>AND('BBP complete'!I44,"AAAAAHH/fw8=")</f>
        <v>#VALUE!</v>
      </c>
      <c r="Q18" t="e">
        <f>AND('BBP complete'!J44,"AAAAAHH/fxA=")</f>
        <v>#VALUE!</v>
      </c>
      <c r="R18" s="60" t="e">
        <v>#VALUE!</v>
      </c>
      <c r="S18" t="e">
        <f>AND('BBP complete'!A45,"AAAAAHH/fxI=")</f>
        <v>#VALUE!</v>
      </c>
      <c r="T18" t="e">
        <f>AND('BBP complete'!B45,"AAAAAHH/fxM=")</f>
        <v>#VALUE!</v>
      </c>
      <c r="U18" t="e">
        <f>AND('BBP complete'!C45,"AAAAAHH/fxQ=")</f>
        <v>#VALUE!</v>
      </c>
      <c r="V18" t="e">
        <f>AND('BBP complete'!D45,"AAAAAHH/fxU=")</f>
        <v>#VALUE!</v>
      </c>
      <c r="W18" t="e">
        <f>AND('BBP complete'!E45,"AAAAAHH/fxY=")</f>
        <v>#VALUE!</v>
      </c>
      <c r="X18" t="e">
        <f>AND('BBP complete'!F45,"AAAAAHH/fxc=")</f>
        <v>#VALUE!</v>
      </c>
      <c r="Y18" t="e">
        <f>AND('BBP complete'!G45,"AAAAAHH/fxg=")</f>
        <v>#VALUE!</v>
      </c>
      <c r="Z18" t="e">
        <f>AND('BBP complete'!H45,"AAAAAHH/fxk=")</f>
        <v>#VALUE!</v>
      </c>
      <c r="AA18" t="e">
        <f>AND('BBP complete'!I45,"AAAAAHH/fxo=")</f>
        <v>#VALUE!</v>
      </c>
      <c r="AB18" t="e">
        <f>AND('BBP complete'!J45,"AAAAAHH/fxs=")</f>
        <v>#VALUE!</v>
      </c>
      <c r="AC18" s="60" t="e">
        <v>#VALUE!</v>
      </c>
      <c r="AD18" t="e">
        <f>AND('BBP complete'!A46,"AAAAAHH/fx0=")</f>
        <v>#VALUE!</v>
      </c>
      <c r="AE18" t="e">
        <f>AND('BBP complete'!B46,"AAAAAHH/fx4=")</f>
        <v>#VALUE!</v>
      </c>
      <c r="AF18" t="e">
        <f>AND('BBP complete'!C46,"AAAAAHH/fx8=")</f>
        <v>#VALUE!</v>
      </c>
      <c r="AG18" t="e">
        <f>AND('BBP complete'!D46,"AAAAAHH/fyA=")</f>
        <v>#VALUE!</v>
      </c>
      <c r="AH18" t="e">
        <f>AND('BBP complete'!E46,"AAAAAHH/fyE=")</f>
        <v>#VALUE!</v>
      </c>
      <c r="AI18" t="e">
        <f>AND('BBP complete'!F46,"AAAAAHH/fyI=")</f>
        <v>#VALUE!</v>
      </c>
      <c r="AJ18" t="e">
        <f>AND('BBP complete'!G46,"AAAAAHH/fyM=")</f>
        <v>#VALUE!</v>
      </c>
      <c r="AK18" t="e">
        <f>AND('BBP complete'!H46,"AAAAAHH/fyQ=")</f>
        <v>#VALUE!</v>
      </c>
      <c r="AL18" t="e">
        <f>AND('BBP complete'!I46,"AAAAAHH/fyU=")</f>
        <v>#VALUE!</v>
      </c>
      <c r="AM18" t="e">
        <f>AND('BBP complete'!J46,"AAAAAHH/fyY=")</f>
        <v>#VALUE!</v>
      </c>
      <c r="AN18" s="60" t="e">
        <v>#VALUE!</v>
      </c>
      <c r="AO18" t="e">
        <f>AND('BBP complete'!A47,"AAAAAHH/fyg=")</f>
        <v>#VALUE!</v>
      </c>
      <c r="AP18" t="e">
        <f>AND('BBP complete'!B47,"AAAAAHH/fyk=")</f>
        <v>#VALUE!</v>
      </c>
      <c r="AQ18" t="e">
        <f>AND('BBP complete'!C47,"AAAAAHH/fyo=")</f>
        <v>#VALUE!</v>
      </c>
      <c r="AR18" t="e">
        <f>AND('BBP complete'!D47,"AAAAAHH/fys=")</f>
        <v>#VALUE!</v>
      </c>
      <c r="AS18" t="e">
        <f>AND('BBP complete'!E47,"AAAAAHH/fyw=")</f>
        <v>#VALUE!</v>
      </c>
      <c r="AT18" t="e">
        <f>AND('BBP complete'!F47,"AAAAAHH/fy0=")</f>
        <v>#VALUE!</v>
      </c>
      <c r="AU18" t="e">
        <f>AND('BBP complete'!G47,"AAAAAHH/fy4=")</f>
        <v>#VALUE!</v>
      </c>
      <c r="AV18" t="e">
        <f>AND('BBP complete'!H47,"AAAAAHH/fy8=")</f>
        <v>#VALUE!</v>
      </c>
      <c r="AW18" t="e">
        <f>AND('BBP complete'!I47,"AAAAAHH/fzA=")</f>
        <v>#VALUE!</v>
      </c>
      <c r="AX18" t="e">
        <f>AND('BBP complete'!J47,"AAAAAHH/fzE=")</f>
        <v>#VALUE!</v>
      </c>
      <c r="AY18" s="60" t="e">
        <v>#VALUE!</v>
      </c>
      <c r="AZ18" t="e">
        <f>AND('BBP complete'!A48,"AAAAAHH/fzM=")</f>
        <v>#VALUE!</v>
      </c>
      <c r="BA18" t="e">
        <f>AND('BBP complete'!B48,"AAAAAHH/fzQ=")</f>
        <v>#VALUE!</v>
      </c>
      <c r="BB18" t="e">
        <f>AND('BBP complete'!C48,"AAAAAHH/fzU=")</f>
        <v>#VALUE!</v>
      </c>
      <c r="BC18" t="e">
        <f>AND('BBP complete'!D48,"AAAAAHH/fzY=")</f>
        <v>#VALUE!</v>
      </c>
      <c r="BD18" t="e">
        <f>AND('BBP complete'!E48,"AAAAAHH/fzc=")</f>
        <v>#VALUE!</v>
      </c>
      <c r="BE18" t="e">
        <f>AND('BBP complete'!F48,"AAAAAHH/fzg=")</f>
        <v>#VALUE!</v>
      </c>
      <c r="BF18" t="e">
        <f>AND('BBP complete'!G48,"AAAAAHH/fzk=")</f>
        <v>#VALUE!</v>
      </c>
      <c r="BG18" t="e">
        <f>AND('BBP complete'!H48,"AAAAAHH/fzo=")</f>
        <v>#VALUE!</v>
      </c>
      <c r="BH18" t="e">
        <f>AND('BBP complete'!I48,"AAAAAHH/fzs=")</f>
        <v>#VALUE!</v>
      </c>
      <c r="BI18" t="e">
        <f>AND('BBP complete'!J48,"AAAAAHH/fzw=")</f>
        <v>#VALUE!</v>
      </c>
      <c r="BJ18" s="60" t="e">
        <v>#VALUE!</v>
      </c>
      <c r="BK18" t="e">
        <f>AND('BBP complete'!A49,"AAAAAHH/fz4=")</f>
        <v>#VALUE!</v>
      </c>
      <c r="BL18" t="e">
        <f>AND('BBP complete'!B49,"AAAAAHH/fz8=")</f>
        <v>#VALUE!</v>
      </c>
      <c r="BM18" t="e">
        <f>AND('BBP complete'!C49,"AAAAAHH/f0A=")</f>
        <v>#VALUE!</v>
      </c>
      <c r="BN18" t="e">
        <f>AND('BBP complete'!D49,"AAAAAHH/f0E=")</f>
        <v>#VALUE!</v>
      </c>
      <c r="BO18" t="e">
        <f>AND('BBP complete'!E49,"AAAAAHH/f0I=")</f>
        <v>#VALUE!</v>
      </c>
      <c r="BP18" t="e">
        <f>AND('BBP complete'!F49,"AAAAAHH/f0M=")</f>
        <v>#VALUE!</v>
      </c>
      <c r="BQ18" t="e">
        <f>AND('BBP complete'!G49,"AAAAAHH/f0Q=")</f>
        <v>#VALUE!</v>
      </c>
      <c r="BR18" t="e">
        <f>AND('BBP complete'!H49,"AAAAAHH/f0U=")</f>
        <v>#VALUE!</v>
      </c>
      <c r="BS18" t="e">
        <f>AND('BBP complete'!I49,"AAAAAHH/f0Y=")</f>
        <v>#VALUE!</v>
      </c>
      <c r="BT18" t="e">
        <f>AND('BBP complete'!J49,"AAAAAHH/f0c=")</f>
        <v>#VALUE!</v>
      </c>
      <c r="BU18" s="60" t="e">
        <v>#VALUE!</v>
      </c>
      <c r="BV18" t="e">
        <f>AND('BBP complete'!A50,"AAAAAHH/f0k=")</f>
        <v>#VALUE!</v>
      </c>
      <c r="BW18" t="e">
        <f>AND('BBP complete'!B50,"AAAAAHH/f0o=")</f>
        <v>#VALUE!</v>
      </c>
      <c r="BX18" t="e">
        <f>AND('BBP complete'!C50,"AAAAAHH/f0s=")</f>
        <v>#VALUE!</v>
      </c>
      <c r="BY18" t="e">
        <f>AND('BBP complete'!D50,"AAAAAHH/f0w=")</f>
        <v>#VALUE!</v>
      </c>
      <c r="BZ18" t="e">
        <f>AND('BBP complete'!E50,"AAAAAHH/f00=")</f>
        <v>#VALUE!</v>
      </c>
      <c r="CA18" t="e">
        <f>AND('BBP complete'!F50,"AAAAAHH/f04=")</f>
        <v>#VALUE!</v>
      </c>
      <c r="CB18" t="e">
        <f>AND('BBP complete'!G50,"AAAAAHH/f08=")</f>
        <v>#VALUE!</v>
      </c>
      <c r="CC18" t="e">
        <f>AND('BBP complete'!H50,"AAAAAHH/f1A=")</f>
        <v>#VALUE!</v>
      </c>
      <c r="CD18" t="e">
        <f>AND('BBP complete'!I50,"AAAAAHH/f1E=")</f>
        <v>#VALUE!</v>
      </c>
      <c r="CE18" t="e">
        <f>AND('BBP complete'!J50,"AAAAAHH/f1I=")</f>
        <v>#VALUE!</v>
      </c>
      <c r="CF18" s="60" t="e">
        <v>#VALUE!</v>
      </c>
      <c r="CG18" t="e">
        <f>AND('BBP complete'!A51,"AAAAAHH/f1Q=")</f>
        <v>#VALUE!</v>
      </c>
      <c r="CH18" t="e">
        <f>AND('BBP complete'!B51,"AAAAAHH/f1U=")</f>
        <v>#VALUE!</v>
      </c>
      <c r="CI18" t="e">
        <f>AND('BBP complete'!C51,"AAAAAHH/f1Y=")</f>
        <v>#VALUE!</v>
      </c>
      <c r="CJ18" t="e">
        <f>AND('BBP complete'!D51,"AAAAAHH/f1c=")</f>
        <v>#VALUE!</v>
      </c>
      <c r="CK18" t="e">
        <f>AND('BBP complete'!E51,"AAAAAHH/f1g=")</f>
        <v>#VALUE!</v>
      </c>
      <c r="CL18" t="e">
        <f>AND('BBP complete'!F51,"AAAAAHH/f1k=")</f>
        <v>#VALUE!</v>
      </c>
      <c r="CM18" t="e">
        <f>AND('BBP complete'!G51,"AAAAAHH/f1o=")</f>
        <v>#VALUE!</v>
      </c>
      <c r="CN18" t="e">
        <f>AND('BBP complete'!H51,"AAAAAHH/f1s=")</f>
        <v>#VALUE!</v>
      </c>
      <c r="CO18" t="e">
        <f>AND('BBP complete'!I51,"AAAAAHH/f1w=")</f>
        <v>#VALUE!</v>
      </c>
      <c r="CP18" t="e">
        <f>AND('BBP complete'!J51,"AAAAAHH/f10=")</f>
        <v>#VALUE!</v>
      </c>
      <c r="CQ18" s="60" t="e">
        <v>#VALUE!</v>
      </c>
      <c r="CR18" t="e">
        <f>AND('BBP complete'!A52,"AAAAAHH/f18=")</f>
        <v>#VALUE!</v>
      </c>
      <c r="CS18" t="e">
        <f>AND('BBP complete'!B52,"AAAAAHH/f2A=")</f>
        <v>#VALUE!</v>
      </c>
      <c r="CT18" t="e">
        <f>AND('BBP complete'!C52,"AAAAAHH/f2E=")</f>
        <v>#VALUE!</v>
      </c>
      <c r="CU18" t="e">
        <f>AND('BBP complete'!D52,"AAAAAHH/f2I=")</f>
        <v>#VALUE!</v>
      </c>
      <c r="CV18" t="e">
        <f>AND('BBP complete'!E52,"AAAAAHH/f2M=")</f>
        <v>#VALUE!</v>
      </c>
      <c r="CW18" t="e">
        <f>AND('BBP complete'!F52,"AAAAAHH/f2Q=")</f>
        <v>#VALUE!</v>
      </c>
      <c r="CX18" t="e">
        <f>AND('BBP complete'!G52,"AAAAAHH/f2U=")</f>
        <v>#VALUE!</v>
      </c>
      <c r="CY18" t="e">
        <f>AND('BBP complete'!H52,"AAAAAHH/f2Y=")</f>
        <v>#VALUE!</v>
      </c>
      <c r="CZ18" t="e">
        <f>AND('BBP complete'!I52,"AAAAAHH/f2c=")</f>
        <v>#VALUE!</v>
      </c>
      <c r="DA18" t="e">
        <f>AND('BBP complete'!J52,"AAAAAHH/f2g=")</f>
        <v>#VALUE!</v>
      </c>
      <c r="DB18" s="60" t="e">
        <v>#VALUE!</v>
      </c>
      <c r="DC18" t="e">
        <f>AND('BBP complete'!A53,"AAAAAHH/f2o=")</f>
        <v>#VALUE!</v>
      </c>
      <c r="DD18" t="e">
        <f>AND('BBP complete'!B53,"AAAAAHH/f2s=")</f>
        <v>#VALUE!</v>
      </c>
      <c r="DE18" t="e">
        <f>AND('BBP complete'!C53,"AAAAAHH/f2w=")</f>
        <v>#VALUE!</v>
      </c>
      <c r="DF18" t="e">
        <f>AND('BBP complete'!D53,"AAAAAHH/f20=")</f>
        <v>#VALUE!</v>
      </c>
      <c r="DG18" t="e">
        <f>AND('BBP complete'!E53,"AAAAAHH/f24=")</f>
        <v>#VALUE!</v>
      </c>
      <c r="DH18" t="e">
        <f>AND('BBP complete'!F53,"AAAAAHH/f28=")</f>
        <v>#VALUE!</v>
      </c>
      <c r="DI18" t="e">
        <f>AND('BBP complete'!G53,"AAAAAHH/f3A=")</f>
        <v>#VALUE!</v>
      </c>
      <c r="DJ18" t="e">
        <f>AND('BBP complete'!H53,"AAAAAHH/f3E=")</f>
        <v>#VALUE!</v>
      </c>
      <c r="DK18" t="e">
        <f>AND('BBP complete'!I53,"AAAAAHH/f3I=")</f>
        <v>#VALUE!</v>
      </c>
      <c r="DL18" t="e">
        <f>AND('BBP complete'!J53,"AAAAAHH/f3M=")</f>
        <v>#VALUE!</v>
      </c>
      <c r="DM18" s="60" t="e">
        <v>#VALUE!</v>
      </c>
      <c r="DN18" t="e">
        <f>AND('BBP complete'!A54,"AAAAAHH/f3U=")</f>
        <v>#VALUE!</v>
      </c>
      <c r="DO18" t="e">
        <f>AND('BBP complete'!B54,"AAAAAHH/f3Y=")</f>
        <v>#VALUE!</v>
      </c>
      <c r="DP18" t="e">
        <f>AND('BBP complete'!C54,"AAAAAHH/f3c=")</f>
        <v>#VALUE!</v>
      </c>
      <c r="DQ18" t="e">
        <f>AND('BBP complete'!D54,"AAAAAHH/f3g=")</f>
        <v>#VALUE!</v>
      </c>
      <c r="DR18" t="e">
        <f>AND('BBP complete'!E54,"AAAAAHH/f3k=")</f>
        <v>#VALUE!</v>
      </c>
      <c r="DS18" t="e">
        <f>AND('BBP complete'!F54,"AAAAAHH/f3o=")</f>
        <v>#VALUE!</v>
      </c>
      <c r="DT18" t="e">
        <f>AND('BBP complete'!G54,"AAAAAHH/f3s=")</f>
        <v>#VALUE!</v>
      </c>
      <c r="DU18" t="e">
        <f>AND('BBP complete'!H54,"AAAAAHH/f3w=")</f>
        <v>#VALUE!</v>
      </c>
      <c r="DV18" t="e">
        <f>AND('BBP complete'!I54,"AAAAAHH/f30=")</f>
        <v>#VALUE!</v>
      </c>
      <c r="DW18" t="e">
        <f>AND('BBP complete'!J54,"AAAAAHH/f34=")</f>
        <v>#VALUE!</v>
      </c>
      <c r="DX18" s="60" t="e">
        <v>#VALUE!</v>
      </c>
      <c r="DY18" t="e">
        <f>AND('BBP complete'!A55,"AAAAAHH/f4A=")</f>
        <v>#VALUE!</v>
      </c>
      <c r="DZ18" t="e">
        <f>AND('BBP complete'!B55,"AAAAAHH/f4E=")</f>
        <v>#VALUE!</v>
      </c>
      <c r="EA18" t="e">
        <f>AND('BBP complete'!C55,"AAAAAHH/f4I=")</f>
        <v>#VALUE!</v>
      </c>
      <c r="EB18" t="e">
        <f>AND('BBP complete'!D55,"AAAAAHH/f4M=")</f>
        <v>#VALUE!</v>
      </c>
      <c r="EC18" t="e">
        <f>AND('BBP complete'!E55,"AAAAAHH/f4Q=")</f>
        <v>#VALUE!</v>
      </c>
      <c r="ED18" t="e">
        <f>AND('BBP complete'!F55,"AAAAAHH/f4U=")</f>
        <v>#VALUE!</v>
      </c>
      <c r="EE18" t="e">
        <f>AND('BBP complete'!G55,"AAAAAHH/f4Y=")</f>
        <v>#VALUE!</v>
      </c>
      <c r="EF18" t="e">
        <f>AND('BBP complete'!H55,"AAAAAHH/f4c=")</f>
        <v>#VALUE!</v>
      </c>
      <c r="EG18" t="e">
        <f>AND('BBP complete'!I55,"AAAAAHH/f4g=")</f>
        <v>#VALUE!</v>
      </c>
      <c r="EH18" t="e">
        <f>AND('BBP complete'!J55,"AAAAAHH/f4k=")</f>
        <v>#VALUE!</v>
      </c>
      <c r="EI18" s="60" t="e">
        <v>#VALUE!</v>
      </c>
      <c r="EJ18" t="e">
        <f>AND('BBP complete'!A56,"AAAAAHH/f4s=")</f>
        <v>#VALUE!</v>
      </c>
      <c r="EK18" t="e">
        <f>AND('BBP complete'!B56,"AAAAAHH/f4w=")</f>
        <v>#VALUE!</v>
      </c>
      <c r="EL18" t="e">
        <f>AND('BBP complete'!C56,"AAAAAHH/f40=")</f>
        <v>#VALUE!</v>
      </c>
      <c r="EM18" t="e">
        <f>AND('BBP complete'!D56,"AAAAAHH/f44=")</f>
        <v>#VALUE!</v>
      </c>
      <c r="EN18" t="e">
        <f>AND('BBP complete'!E56,"AAAAAHH/f48=")</f>
        <v>#VALUE!</v>
      </c>
      <c r="EO18" t="e">
        <f>AND('BBP complete'!F56,"AAAAAHH/f5A=")</f>
        <v>#VALUE!</v>
      </c>
      <c r="EP18" t="e">
        <f>AND('BBP complete'!G56,"AAAAAHH/f5E=")</f>
        <v>#VALUE!</v>
      </c>
      <c r="EQ18" t="e">
        <f>AND('BBP complete'!H56,"AAAAAHH/f5I=")</f>
        <v>#VALUE!</v>
      </c>
      <c r="ER18" t="e">
        <f>AND('BBP complete'!I56,"AAAAAHH/f5M=")</f>
        <v>#VALUE!</v>
      </c>
      <c r="ES18" t="e">
        <f>AND('BBP complete'!J56,"AAAAAHH/f5Q=")</f>
        <v>#VALUE!</v>
      </c>
      <c r="ET18" s="60" t="e">
        <v>#VALUE!</v>
      </c>
      <c r="EU18" t="e">
        <f>AND('BBP complete'!A57,"AAAAAHH/f5Y=")</f>
        <v>#VALUE!</v>
      </c>
      <c r="EV18" t="e">
        <f>AND('BBP complete'!B57,"AAAAAHH/f5c=")</f>
        <v>#VALUE!</v>
      </c>
      <c r="EW18" t="e">
        <f>AND('BBP complete'!C57,"AAAAAHH/f5g=")</f>
        <v>#VALUE!</v>
      </c>
      <c r="EX18" t="e">
        <f>AND('BBP complete'!D57,"AAAAAHH/f5k=")</f>
        <v>#VALUE!</v>
      </c>
      <c r="EY18" t="e">
        <f>AND('BBP complete'!E57,"AAAAAHH/f5o=")</f>
        <v>#VALUE!</v>
      </c>
      <c r="EZ18" t="e">
        <f>AND('BBP complete'!F57,"AAAAAHH/f5s=")</f>
        <v>#VALUE!</v>
      </c>
      <c r="FA18" t="e">
        <f>AND('BBP complete'!G57,"AAAAAHH/f5w=")</f>
        <v>#VALUE!</v>
      </c>
      <c r="FB18" t="e">
        <f>AND('BBP complete'!H57,"AAAAAHH/f50=")</f>
        <v>#VALUE!</v>
      </c>
      <c r="FC18" t="e">
        <f>AND('BBP complete'!I57,"AAAAAHH/f54=")</f>
        <v>#VALUE!</v>
      </c>
      <c r="FD18" t="e">
        <f>AND('BBP complete'!J57,"AAAAAHH/f58=")</f>
        <v>#VALUE!</v>
      </c>
      <c r="FE18" s="60" t="e">
        <v>#VALUE!</v>
      </c>
      <c r="FF18" t="e">
        <f>AND('BBP complete'!A58,"AAAAAHH/f6E=")</f>
        <v>#VALUE!</v>
      </c>
      <c r="FG18" t="e">
        <f>AND('BBP complete'!B58,"AAAAAHH/f6I=")</f>
        <v>#VALUE!</v>
      </c>
      <c r="FH18" t="e">
        <f>AND('BBP complete'!C58,"AAAAAHH/f6M=")</f>
        <v>#VALUE!</v>
      </c>
      <c r="FI18" t="e">
        <f>AND('BBP complete'!D58,"AAAAAHH/f6Q=")</f>
        <v>#VALUE!</v>
      </c>
      <c r="FJ18" t="e">
        <f>AND('BBP complete'!E58,"AAAAAHH/f6U=")</f>
        <v>#VALUE!</v>
      </c>
      <c r="FK18" t="e">
        <f>AND('BBP complete'!F58,"AAAAAHH/f6Y=")</f>
        <v>#VALUE!</v>
      </c>
      <c r="FL18" t="e">
        <f>AND('BBP complete'!G58,"AAAAAHH/f6c=")</f>
        <v>#VALUE!</v>
      </c>
      <c r="FM18" t="e">
        <f>AND('BBP complete'!H58,"AAAAAHH/f6g=")</f>
        <v>#VALUE!</v>
      </c>
      <c r="FN18" t="e">
        <f>AND('BBP complete'!I58,"AAAAAHH/f6k=")</f>
        <v>#VALUE!</v>
      </c>
      <c r="FO18" t="e">
        <f>AND('BBP complete'!J58,"AAAAAHH/f6o=")</f>
        <v>#VALUE!</v>
      </c>
      <c r="FP18" s="60" t="e">
        <v>#VALUE!</v>
      </c>
      <c r="FQ18" t="e">
        <f>AND('BBP complete'!A59,"AAAAAHH/f6w=")</f>
        <v>#VALUE!</v>
      </c>
      <c r="FR18" t="e">
        <f>AND('BBP complete'!B59,"AAAAAHH/f60=")</f>
        <v>#VALUE!</v>
      </c>
      <c r="FS18" t="e">
        <f>AND('BBP complete'!C59,"AAAAAHH/f64=")</f>
        <v>#VALUE!</v>
      </c>
      <c r="FT18" t="e">
        <f>AND('BBP complete'!D59,"AAAAAHH/f68=")</f>
        <v>#VALUE!</v>
      </c>
      <c r="FU18" t="e">
        <f>AND('BBP complete'!E59,"AAAAAHH/f7A=")</f>
        <v>#VALUE!</v>
      </c>
      <c r="FV18" t="e">
        <f>AND('BBP complete'!F59,"AAAAAHH/f7E=")</f>
        <v>#VALUE!</v>
      </c>
      <c r="FW18" t="e">
        <f>AND('BBP complete'!G59,"AAAAAHH/f7I=")</f>
        <v>#VALUE!</v>
      </c>
      <c r="FX18" t="e">
        <f>AND('BBP complete'!H59,"AAAAAHH/f7M=")</f>
        <v>#VALUE!</v>
      </c>
      <c r="FY18" t="e">
        <f>AND('BBP complete'!I59,"AAAAAHH/f7Q=")</f>
        <v>#VALUE!</v>
      </c>
      <c r="FZ18" t="e">
        <f>AND('BBP complete'!J59,"AAAAAHH/f7U=")</f>
        <v>#VALUE!</v>
      </c>
      <c r="GA18" s="60" t="e">
        <v>#VALUE!</v>
      </c>
      <c r="GB18" t="e">
        <f>AND('BBP complete'!A60,"AAAAAHH/f7c=")</f>
        <v>#VALUE!</v>
      </c>
      <c r="GC18" t="e">
        <f>AND('BBP complete'!B60,"AAAAAHH/f7g=")</f>
        <v>#VALUE!</v>
      </c>
      <c r="GD18" t="e">
        <f>AND('BBP complete'!C60,"AAAAAHH/f7k=")</f>
        <v>#VALUE!</v>
      </c>
      <c r="GE18" t="e">
        <f>AND('BBP complete'!D60,"AAAAAHH/f7o=")</f>
        <v>#VALUE!</v>
      </c>
      <c r="GF18" t="e">
        <f>AND('BBP complete'!E60,"AAAAAHH/f7s=")</f>
        <v>#VALUE!</v>
      </c>
      <c r="GG18" t="e">
        <f>AND('BBP complete'!F60,"AAAAAHH/f7w=")</f>
        <v>#VALUE!</v>
      </c>
      <c r="GH18" t="e">
        <f>AND('BBP complete'!G60,"AAAAAHH/f70=")</f>
        <v>#VALUE!</v>
      </c>
      <c r="GI18" t="e">
        <f>AND('BBP complete'!H60,"AAAAAHH/f74=")</f>
        <v>#VALUE!</v>
      </c>
      <c r="GJ18" t="e">
        <f>AND('BBP complete'!I60,"AAAAAHH/f78=")</f>
        <v>#VALUE!</v>
      </c>
      <c r="GK18" t="e">
        <f>AND('BBP complete'!J60,"AAAAAHH/f8A=")</f>
        <v>#VALUE!</v>
      </c>
      <c r="GL18" s="60" t="e">
        <v>#VALUE!</v>
      </c>
      <c r="GM18" t="e">
        <f>AND('BBP complete'!A61,"AAAAAHH/f8I=")</f>
        <v>#VALUE!</v>
      </c>
      <c r="GN18" t="e">
        <f>AND('BBP complete'!B61,"AAAAAHH/f8M=")</f>
        <v>#VALUE!</v>
      </c>
      <c r="GO18" t="e">
        <f>AND('BBP complete'!C61,"AAAAAHH/f8Q=")</f>
        <v>#VALUE!</v>
      </c>
      <c r="GP18" t="e">
        <f>AND('BBP complete'!D61,"AAAAAHH/f8U=")</f>
        <v>#VALUE!</v>
      </c>
      <c r="GQ18" t="e">
        <f>AND('BBP complete'!E61,"AAAAAHH/f8Y=")</f>
        <v>#VALUE!</v>
      </c>
      <c r="GR18" t="e">
        <f>AND('BBP complete'!F61,"AAAAAHH/f8c=")</f>
        <v>#VALUE!</v>
      </c>
      <c r="GS18" t="e">
        <f>AND('BBP complete'!G61,"AAAAAHH/f8g=")</f>
        <v>#VALUE!</v>
      </c>
      <c r="GT18" t="e">
        <f>AND('BBP complete'!H61,"AAAAAHH/f8k=")</f>
        <v>#VALUE!</v>
      </c>
      <c r="GU18" t="e">
        <f>AND('BBP complete'!I61,"AAAAAHH/f8o=")</f>
        <v>#VALUE!</v>
      </c>
      <c r="GV18" t="e">
        <f>AND('BBP complete'!J61,"AAAAAHH/f8s=")</f>
        <v>#VALUE!</v>
      </c>
      <c r="GW18" s="60" t="e">
        <v>#VALUE!</v>
      </c>
      <c r="GX18" t="e">
        <f>AND('BBP complete'!A62,"AAAAAHH/f80=")</f>
        <v>#VALUE!</v>
      </c>
      <c r="GY18" t="e">
        <f>AND('BBP complete'!B62,"AAAAAHH/f84=")</f>
        <v>#VALUE!</v>
      </c>
      <c r="GZ18" t="e">
        <f>AND('BBP complete'!C62,"AAAAAHH/f88=")</f>
        <v>#VALUE!</v>
      </c>
      <c r="HA18" t="e">
        <f>AND('BBP complete'!D62,"AAAAAHH/f9A=")</f>
        <v>#VALUE!</v>
      </c>
      <c r="HB18" t="e">
        <f>AND('BBP complete'!E62,"AAAAAHH/f9E=")</f>
        <v>#VALUE!</v>
      </c>
      <c r="HC18" t="e">
        <f>AND('BBP complete'!F62,"AAAAAHH/f9I=")</f>
        <v>#VALUE!</v>
      </c>
      <c r="HD18" t="e">
        <f>AND('BBP complete'!G62,"AAAAAHH/f9M=")</f>
        <v>#VALUE!</v>
      </c>
      <c r="HE18" t="e">
        <f>AND('BBP complete'!H62,"AAAAAHH/f9Q=")</f>
        <v>#VALUE!</v>
      </c>
      <c r="HF18" t="e">
        <f>AND('BBP complete'!I62,"AAAAAHH/f9U=")</f>
        <v>#VALUE!</v>
      </c>
      <c r="HG18" t="e">
        <f>AND('BBP complete'!J62,"AAAAAHH/f9Y=")</f>
        <v>#VALUE!</v>
      </c>
      <c r="HH18" s="60" t="e">
        <v>#VALUE!</v>
      </c>
      <c r="HI18" t="e">
        <f>AND('BBP complete'!A63,"AAAAAHH/f9g=")</f>
        <v>#VALUE!</v>
      </c>
      <c r="HJ18" t="e">
        <f>AND('BBP complete'!B63,"AAAAAHH/f9k=")</f>
        <v>#VALUE!</v>
      </c>
      <c r="HK18" t="e">
        <f>AND('BBP complete'!C63,"AAAAAHH/f9o=")</f>
        <v>#VALUE!</v>
      </c>
      <c r="HL18" t="e">
        <f>AND('BBP complete'!D63,"AAAAAHH/f9s=")</f>
        <v>#VALUE!</v>
      </c>
      <c r="HM18" t="e">
        <f>AND('BBP complete'!E63,"AAAAAHH/f9w=")</f>
        <v>#VALUE!</v>
      </c>
      <c r="HN18" t="e">
        <f>AND('BBP complete'!F63,"AAAAAHH/f90=")</f>
        <v>#VALUE!</v>
      </c>
      <c r="HO18" t="e">
        <f>AND('BBP complete'!G63,"AAAAAHH/f94=")</f>
        <v>#VALUE!</v>
      </c>
      <c r="HP18" t="e">
        <f>AND('BBP complete'!H63,"AAAAAHH/f98=")</f>
        <v>#VALUE!</v>
      </c>
      <c r="HQ18" t="e">
        <f>AND('BBP complete'!I63,"AAAAAHH/f+A=")</f>
        <v>#VALUE!</v>
      </c>
      <c r="HR18" t="e">
        <f>AND('BBP complete'!J63,"AAAAAHH/f+E=")</f>
        <v>#VALUE!</v>
      </c>
      <c r="HS18" s="60" t="e">
        <v>#VALUE!</v>
      </c>
      <c r="HT18" t="e">
        <f>AND('BBP complete'!A64,"AAAAAHH/f+M=")</f>
        <v>#VALUE!</v>
      </c>
      <c r="HU18" t="e">
        <f>AND('BBP complete'!B64,"AAAAAHH/f+Q=")</f>
        <v>#VALUE!</v>
      </c>
      <c r="HV18" t="e">
        <f>AND('BBP complete'!C64,"AAAAAHH/f+U=")</f>
        <v>#VALUE!</v>
      </c>
      <c r="HW18" t="e">
        <f>AND('BBP complete'!D64,"AAAAAHH/f+Y=")</f>
        <v>#VALUE!</v>
      </c>
      <c r="HX18" t="e">
        <f>AND('BBP complete'!E64,"AAAAAHH/f+c=")</f>
        <v>#VALUE!</v>
      </c>
      <c r="HY18" t="e">
        <f>AND('BBP complete'!F64,"AAAAAHH/f+g=")</f>
        <v>#VALUE!</v>
      </c>
      <c r="HZ18" t="e">
        <f>AND('BBP complete'!G64,"AAAAAHH/f+k=")</f>
        <v>#VALUE!</v>
      </c>
      <c r="IA18" t="e">
        <f>AND('BBP complete'!H64,"AAAAAHH/f+o=")</f>
        <v>#VALUE!</v>
      </c>
      <c r="IB18" t="e">
        <f>AND('BBP complete'!I64,"AAAAAHH/f+s=")</f>
        <v>#VALUE!</v>
      </c>
      <c r="IC18" t="e">
        <f>AND('BBP complete'!J64,"AAAAAHH/f+w=")</f>
        <v>#VALUE!</v>
      </c>
      <c r="ID18" s="60" t="e">
        <v>#VALUE!</v>
      </c>
      <c r="IE18" t="e">
        <f>AND('BBP complete'!A65,"AAAAAHH/f+4=")</f>
        <v>#VALUE!</v>
      </c>
      <c r="IF18" t="e">
        <f>AND('BBP complete'!B65,"AAAAAHH/f+8=")</f>
        <v>#VALUE!</v>
      </c>
      <c r="IG18" t="e">
        <f>AND('BBP complete'!C65,"AAAAAHH/f/A=")</f>
        <v>#VALUE!</v>
      </c>
      <c r="IH18" t="e">
        <f>AND('BBP complete'!D65,"AAAAAHH/f/E=")</f>
        <v>#VALUE!</v>
      </c>
      <c r="II18" t="e">
        <f>AND('BBP complete'!E65,"AAAAAHH/f/I=")</f>
        <v>#VALUE!</v>
      </c>
      <c r="IJ18" t="e">
        <f>AND('BBP complete'!F65,"AAAAAHH/f/M=")</f>
        <v>#VALUE!</v>
      </c>
      <c r="IK18" t="e">
        <f>AND('BBP complete'!G65,"AAAAAHH/f/Q=")</f>
        <v>#VALUE!</v>
      </c>
      <c r="IL18" t="e">
        <f>AND('BBP complete'!H65,"AAAAAHH/f/U=")</f>
        <v>#VALUE!</v>
      </c>
      <c r="IM18" t="e">
        <f>AND('BBP complete'!I65,"AAAAAHH/f/Y=")</f>
        <v>#VALUE!</v>
      </c>
      <c r="IN18" t="e">
        <f>AND('BBP complete'!J65,"AAAAAHH/f/c=")</f>
        <v>#VALUE!</v>
      </c>
      <c r="IO18" s="60" t="e">
        <v>#VALUE!</v>
      </c>
      <c r="IP18" t="e">
        <f>AND('BBP complete'!A66,"AAAAAHH/f/k=")</f>
        <v>#VALUE!</v>
      </c>
      <c r="IQ18" t="e">
        <f>AND('BBP complete'!B66,"AAAAAHH/f/o=")</f>
        <v>#VALUE!</v>
      </c>
      <c r="IR18" t="e">
        <f>AND('BBP complete'!C66,"AAAAAHH/f/s=")</f>
        <v>#VALUE!</v>
      </c>
      <c r="IS18" t="e">
        <f>AND('BBP complete'!D66,"AAAAAHH/f/w=")</f>
        <v>#VALUE!</v>
      </c>
      <c r="IT18" t="e">
        <f>AND('BBP complete'!E66,"AAAAAHH/f/0=")</f>
        <v>#VALUE!</v>
      </c>
      <c r="IU18" t="e">
        <f>AND('BBP complete'!F66,"AAAAAHH/f/4=")</f>
        <v>#VALUE!</v>
      </c>
      <c r="IV18" t="e">
        <f>AND('BBP complete'!G66,"AAAAAHH/f/8=")</f>
        <v>#VALUE!</v>
      </c>
    </row>
    <row r="19" spans="1:256" ht="15" customHeight="1" x14ac:dyDescent="0.25">
      <c r="A19" t="e">
        <f>AND('BBP complete'!H66,"AAAAAG2/twA=")</f>
        <v>#VALUE!</v>
      </c>
      <c r="B19" t="e">
        <f>AND('BBP complete'!I66,"AAAAAG2/twE=")</f>
        <v>#VALUE!</v>
      </c>
      <c r="C19" t="e">
        <f>AND('BBP complete'!J66,"AAAAAG2/twI=")</f>
        <v>#VALUE!</v>
      </c>
      <c r="D19" s="60" t="e">
        <v>#VALUE!</v>
      </c>
      <c r="E19" t="e">
        <f>AND('BBP complete'!A67,"AAAAAG2/twQ=")</f>
        <v>#VALUE!</v>
      </c>
      <c r="F19" t="e">
        <f>AND('BBP complete'!B67,"AAAAAG2/twU=")</f>
        <v>#VALUE!</v>
      </c>
      <c r="G19" t="e">
        <f>AND('BBP complete'!C67,"AAAAAG2/twY=")</f>
        <v>#VALUE!</v>
      </c>
      <c r="H19" t="e">
        <f>AND('BBP complete'!D67,"AAAAAG2/twc=")</f>
        <v>#VALUE!</v>
      </c>
      <c r="I19" t="e">
        <f>AND('BBP complete'!E67,"AAAAAG2/twg=")</f>
        <v>#VALUE!</v>
      </c>
      <c r="J19" t="e">
        <f>AND('BBP complete'!F67,"AAAAAG2/twk=")</f>
        <v>#VALUE!</v>
      </c>
      <c r="K19" t="e">
        <f>AND('BBP complete'!G67,"AAAAAG2/two=")</f>
        <v>#VALUE!</v>
      </c>
      <c r="L19" t="e">
        <f>AND('BBP complete'!H67,"AAAAAG2/tws=")</f>
        <v>#VALUE!</v>
      </c>
      <c r="M19" t="e">
        <f>AND('BBP complete'!I67,"AAAAAG2/tww=")</f>
        <v>#VALUE!</v>
      </c>
      <c r="N19" t="e">
        <f>AND('BBP complete'!J67,"AAAAAG2/tw0=")</f>
        <v>#VALUE!</v>
      </c>
      <c r="O19" s="60" t="e">
        <v>#VALUE!</v>
      </c>
      <c r="P19" t="e">
        <f>AND('BBP complete'!A68,"AAAAAG2/tw8=")</f>
        <v>#VALUE!</v>
      </c>
      <c r="Q19" t="e">
        <f>AND('BBP complete'!B68,"AAAAAG2/txA=")</f>
        <v>#VALUE!</v>
      </c>
      <c r="R19" t="e">
        <f>AND('BBP complete'!C68,"AAAAAG2/txE=")</f>
        <v>#VALUE!</v>
      </c>
      <c r="S19" t="e">
        <f>AND('BBP complete'!D68,"AAAAAG2/txI=")</f>
        <v>#VALUE!</v>
      </c>
      <c r="T19" t="e">
        <f>AND('BBP complete'!E68,"AAAAAG2/txM=")</f>
        <v>#VALUE!</v>
      </c>
      <c r="U19" t="e">
        <f>AND('BBP complete'!F68,"AAAAAG2/txQ=")</f>
        <v>#VALUE!</v>
      </c>
      <c r="V19" t="e">
        <f>AND('BBP complete'!G68,"AAAAAG2/txU=")</f>
        <v>#VALUE!</v>
      </c>
      <c r="W19" t="e">
        <f>AND('BBP complete'!H68,"AAAAAG2/txY=")</f>
        <v>#VALUE!</v>
      </c>
      <c r="X19" t="e">
        <f>AND('BBP complete'!I68,"AAAAAG2/txc=")</f>
        <v>#VALUE!</v>
      </c>
      <c r="Y19" t="e">
        <f>AND('BBP complete'!J68,"AAAAAG2/txg=")</f>
        <v>#VALUE!</v>
      </c>
      <c r="Z19" s="60" t="e">
        <v>#VALUE!</v>
      </c>
      <c r="AA19" t="e">
        <f>AND('BBP complete'!A69,"AAAAAG2/txo=")</f>
        <v>#VALUE!</v>
      </c>
      <c r="AB19" t="e">
        <f>AND('BBP complete'!B69,"AAAAAG2/txs=")</f>
        <v>#VALUE!</v>
      </c>
      <c r="AC19" t="e">
        <f>AND('BBP complete'!C69,"AAAAAG2/txw=")</f>
        <v>#VALUE!</v>
      </c>
      <c r="AD19" t="e">
        <f>AND('BBP complete'!D69,"AAAAAG2/tx0=")</f>
        <v>#VALUE!</v>
      </c>
      <c r="AE19" t="e">
        <f>AND('BBP complete'!E69,"AAAAAG2/tx4=")</f>
        <v>#VALUE!</v>
      </c>
      <c r="AF19" t="e">
        <f>AND('BBP complete'!F69,"AAAAAG2/tx8=")</f>
        <v>#VALUE!</v>
      </c>
      <c r="AG19" t="e">
        <f>AND('BBP complete'!G69,"AAAAAG2/tyA=")</f>
        <v>#VALUE!</v>
      </c>
      <c r="AH19" t="e">
        <f>AND('BBP complete'!H69,"AAAAAG2/tyE=")</f>
        <v>#VALUE!</v>
      </c>
      <c r="AI19" t="e">
        <f>AND('BBP complete'!I69,"AAAAAG2/tyI=")</f>
        <v>#VALUE!</v>
      </c>
      <c r="AJ19" t="e">
        <f>AND('BBP complete'!J69,"AAAAAG2/tyM=")</f>
        <v>#VALUE!</v>
      </c>
      <c r="AK19" s="60" t="e">
        <v>#VALUE!</v>
      </c>
      <c r="AL19" t="e">
        <f>AND('BBP complete'!A70,"AAAAAG2/tyU=")</f>
        <v>#VALUE!</v>
      </c>
      <c r="AM19" t="e">
        <f>AND('BBP complete'!B70,"AAAAAG2/tyY=")</f>
        <v>#VALUE!</v>
      </c>
      <c r="AN19" t="e">
        <f>AND('BBP complete'!C70,"AAAAAG2/tyc=")</f>
        <v>#VALUE!</v>
      </c>
      <c r="AO19" t="e">
        <f>AND('BBP complete'!D70,"AAAAAG2/tyg=")</f>
        <v>#VALUE!</v>
      </c>
      <c r="AP19" t="e">
        <f>AND('BBP complete'!E70,"AAAAAG2/tyk=")</f>
        <v>#VALUE!</v>
      </c>
      <c r="AQ19" t="e">
        <f>AND('BBP complete'!F70,"AAAAAG2/tyo=")</f>
        <v>#VALUE!</v>
      </c>
      <c r="AR19" t="e">
        <f>AND('BBP complete'!G70,"AAAAAG2/tys=")</f>
        <v>#VALUE!</v>
      </c>
      <c r="AS19" t="e">
        <f>AND('BBP complete'!H70,"AAAAAG2/tyw=")</f>
        <v>#VALUE!</v>
      </c>
      <c r="AT19" t="e">
        <f>AND('BBP complete'!I70,"AAAAAG2/ty0=")</f>
        <v>#VALUE!</v>
      </c>
      <c r="AU19" t="e">
        <f>AND('BBP complete'!J70,"AAAAAG2/ty4=")</f>
        <v>#VALUE!</v>
      </c>
      <c r="AV19" s="60" t="e">
        <v>#VALUE!</v>
      </c>
      <c r="AW19" t="e">
        <f>AND('BBP complete'!A71,"AAAAAG2/tzA=")</f>
        <v>#VALUE!</v>
      </c>
      <c r="AX19" t="e">
        <f>AND('BBP complete'!B71,"AAAAAG2/tzE=")</f>
        <v>#VALUE!</v>
      </c>
      <c r="AY19" t="e">
        <f>AND('BBP complete'!C71,"AAAAAG2/tzI=")</f>
        <v>#VALUE!</v>
      </c>
      <c r="AZ19" t="e">
        <f>AND('BBP complete'!D71,"AAAAAG2/tzM=")</f>
        <v>#VALUE!</v>
      </c>
      <c r="BA19" t="e">
        <f>AND('BBP complete'!E71,"AAAAAG2/tzQ=")</f>
        <v>#VALUE!</v>
      </c>
      <c r="BB19" t="e">
        <f>AND('BBP complete'!F71,"AAAAAG2/tzU=")</f>
        <v>#VALUE!</v>
      </c>
      <c r="BC19" t="e">
        <f>AND('BBP complete'!G71,"AAAAAG2/tzY=")</f>
        <v>#VALUE!</v>
      </c>
      <c r="BD19" t="e">
        <f>AND('BBP complete'!H71,"AAAAAG2/tzc=")</f>
        <v>#VALUE!</v>
      </c>
      <c r="BE19" t="e">
        <f>AND('BBP complete'!I71,"AAAAAG2/tzg=")</f>
        <v>#VALUE!</v>
      </c>
      <c r="BF19" t="e">
        <f>AND('BBP complete'!J71,"AAAAAG2/tzk=")</f>
        <v>#VALUE!</v>
      </c>
      <c r="BG19" s="60" t="e">
        <v>#VALUE!</v>
      </c>
      <c r="BH19" t="e">
        <f>AND('BBP complete'!A72,"AAAAAG2/tzs=")</f>
        <v>#VALUE!</v>
      </c>
      <c r="BI19" t="e">
        <f>AND('BBP complete'!B72,"AAAAAG2/tzw=")</f>
        <v>#VALUE!</v>
      </c>
      <c r="BJ19" t="e">
        <f>AND('BBP complete'!C72,"AAAAAG2/tz0=")</f>
        <v>#VALUE!</v>
      </c>
      <c r="BK19" t="e">
        <f>AND('BBP complete'!D72,"AAAAAG2/tz4=")</f>
        <v>#VALUE!</v>
      </c>
      <c r="BL19" t="e">
        <f>AND('BBP complete'!E72,"AAAAAG2/tz8=")</f>
        <v>#VALUE!</v>
      </c>
      <c r="BM19" t="e">
        <f>AND('BBP complete'!F72,"AAAAAG2/t0A=")</f>
        <v>#VALUE!</v>
      </c>
      <c r="BN19" t="e">
        <f>AND('BBP complete'!G72,"AAAAAG2/t0E=")</f>
        <v>#VALUE!</v>
      </c>
      <c r="BO19" t="e">
        <f>AND('BBP complete'!H72,"AAAAAG2/t0I=")</f>
        <v>#VALUE!</v>
      </c>
      <c r="BP19" t="e">
        <f>AND('BBP complete'!I72,"AAAAAG2/t0M=")</f>
        <v>#VALUE!</v>
      </c>
      <c r="BQ19" t="e">
        <f>AND('BBP complete'!J72,"AAAAAG2/t0Q=")</f>
        <v>#VALUE!</v>
      </c>
      <c r="BR19" s="60" t="e">
        <v>#VALUE!</v>
      </c>
      <c r="BS19" t="e">
        <f>AND('BBP complete'!A73,"AAAAAG2/t0Y=")</f>
        <v>#VALUE!</v>
      </c>
      <c r="BT19" t="e">
        <f>AND('BBP complete'!B73,"AAAAAG2/t0c=")</f>
        <v>#VALUE!</v>
      </c>
      <c r="BU19" t="e">
        <f>AND('BBP complete'!C73,"AAAAAG2/t0g=")</f>
        <v>#VALUE!</v>
      </c>
      <c r="BV19" t="e">
        <f>AND('BBP complete'!D73,"AAAAAG2/t0k=")</f>
        <v>#VALUE!</v>
      </c>
      <c r="BW19" t="e">
        <f>AND('BBP complete'!E73,"AAAAAG2/t0o=")</f>
        <v>#VALUE!</v>
      </c>
      <c r="BX19" t="e">
        <f>AND('BBP complete'!F73,"AAAAAG2/t0s=")</f>
        <v>#VALUE!</v>
      </c>
      <c r="BY19" t="e">
        <f>AND('BBP complete'!G73,"AAAAAG2/t0w=")</f>
        <v>#VALUE!</v>
      </c>
      <c r="BZ19" t="e">
        <f>AND('BBP complete'!H73,"AAAAAG2/t00=")</f>
        <v>#VALUE!</v>
      </c>
      <c r="CA19" t="e">
        <f>AND('BBP complete'!I73,"AAAAAG2/t04=")</f>
        <v>#VALUE!</v>
      </c>
      <c r="CB19" t="e">
        <f>AND('BBP complete'!J73,"AAAAAG2/t08=")</f>
        <v>#VALUE!</v>
      </c>
      <c r="CC19" s="60" t="e">
        <v>#VALUE!</v>
      </c>
      <c r="CD19" t="e">
        <f>AND('BBP complete'!A74,"AAAAAG2/t1E=")</f>
        <v>#VALUE!</v>
      </c>
      <c r="CE19" t="e">
        <f>AND('BBP complete'!B74,"AAAAAG2/t1I=")</f>
        <v>#VALUE!</v>
      </c>
      <c r="CF19" t="e">
        <f>AND('BBP complete'!C74,"AAAAAG2/t1M=")</f>
        <v>#VALUE!</v>
      </c>
      <c r="CG19" t="e">
        <f>AND('BBP complete'!D74,"AAAAAG2/t1Q=")</f>
        <v>#VALUE!</v>
      </c>
      <c r="CH19" t="e">
        <f>AND('BBP complete'!E74,"AAAAAG2/t1U=")</f>
        <v>#VALUE!</v>
      </c>
      <c r="CI19" t="e">
        <f>AND('BBP complete'!F74,"AAAAAG2/t1Y=")</f>
        <v>#VALUE!</v>
      </c>
      <c r="CJ19" t="e">
        <f>AND('BBP complete'!G74,"AAAAAG2/t1c=")</f>
        <v>#VALUE!</v>
      </c>
      <c r="CK19" t="e">
        <f>AND('BBP complete'!H74,"AAAAAG2/t1g=")</f>
        <v>#VALUE!</v>
      </c>
      <c r="CL19" t="e">
        <f>AND('BBP complete'!I74,"AAAAAG2/t1k=")</f>
        <v>#VALUE!</v>
      </c>
      <c r="CM19" t="e">
        <f>AND('BBP complete'!J74,"AAAAAG2/t1o=")</f>
        <v>#VALUE!</v>
      </c>
      <c r="CN19" s="60" t="e">
        <v>#VALUE!</v>
      </c>
      <c r="CO19" t="e">
        <f>AND('BBP complete'!A75,"AAAAAG2/t1w=")</f>
        <v>#VALUE!</v>
      </c>
      <c r="CP19" t="e">
        <f>AND('BBP complete'!B75,"AAAAAG2/t10=")</f>
        <v>#VALUE!</v>
      </c>
      <c r="CQ19" t="e">
        <f>AND('BBP complete'!C75,"AAAAAG2/t14=")</f>
        <v>#VALUE!</v>
      </c>
      <c r="CR19" t="e">
        <f>AND('BBP complete'!D75,"AAAAAG2/t18=")</f>
        <v>#VALUE!</v>
      </c>
      <c r="CS19" t="e">
        <f>AND('BBP complete'!E75,"AAAAAG2/t2A=")</f>
        <v>#VALUE!</v>
      </c>
      <c r="CT19" t="e">
        <f>AND('BBP complete'!F75,"AAAAAG2/t2E=")</f>
        <v>#VALUE!</v>
      </c>
      <c r="CU19" t="e">
        <f>AND('BBP complete'!G75,"AAAAAG2/t2I=")</f>
        <v>#VALUE!</v>
      </c>
      <c r="CV19" t="e">
        <f>AND('BBP complete'!H75,"AAAAAG2/t2M=")</f>
        <v>#VALUE!</v>
      </c>
      <c r="CW19" t="e">
        <f>AND('BBP complete'!I75,"AAAAAG2/t2Q=")</f>
        <v>#VALUE!</v>
      </c>
      <c r="CX19" t="e">
        <f>AND('BBP complete'!J75,"AAAAAG2/t2U=")</f>
        <v>#VALUE!</v>
      </c>
      <c r="CY19" s="60" t="e">
        <v>#VALUE!</v>
      </c>
      <c r="CZ19" t="e">
        <f>AND('BBP complete'!A76,"AAAAAG2/t2c=")</f>
        <v>#VALUE!</v>
      </c>
      <c r="DA19" t="e">
        <f>AND('BBP complete'!B76,"AAAAAG2/t2g=")</f>
        <v>#VALUE!</v>
      </c>
      <c r="DB19" t="e">
        <f>AND('BBP complete'!C76,"AAAAAG2/t2k=")</f>
        <v>#VALUE!</v>
      </c>
      <c r="DC19" t="e">
        <f>AND('BBP complete'!D76,"AAAAAG2/t2o=")</f>
        <v>#VALUE!</v>
      </c>
      <c r="DD19" t="e">
        <f>AND('BBP complete'!E76,"AAAAAG2/t2s=")</f>
        <v>#VALUE!</v>
      </c>
      <c r="DE19" t="e">
        <f>AND('BBP complete'!F76,"AAAAAG2/t2w=")</f>
        <v>#VALUE!</v>
      </c>
      <c r="DF19" t="e">
        <f>AND('BBP complete'!G76,"AAAAAG2/t20=")</f>
        <v>#VALUE!</v>
      </c>
      <c r="DG19" t="e">
        <f>AND('BBP complete'!H76,"AAAAAG2/t24=")</f>
        <v>#VALUE!</v>
      </c>
      <c r="DH19" t="e">
        <f>AND('BBP complete'!I76,"AAAAAG2/t28=")</f>
        <v>#VALUE!</v>
      </c>
      <c r="DI19" t="e">
        <f>AND('BBP complete'!J76,"AAAAAG2/t3A=")</f>
        <v>#VALUE!</v>
      </c>
      <c r="DJ19" s="60" t="e">
        <v>#VALUE!</v>
      </c>
      <c r="DK19" t="e">
        <f>AND('BBP complete'!A77,"AAAAAG2/t3I=")</f>
        <v>#VALUE!</v>
      </c>
      <c r="DL19" t="e">
        <f>AND('BBP complete'!B77,"AAAAAG2/t3M=")</f>
        <v>#VALUE!</v>
      </c>
      <c r="DM19" t="e">
        <f>AND('BBP complete'!C77,"AAAAAG2/t3Q=")</f>
        <v>#VALUE!</v>
      </c>
      <c r="DN19" t="e">
        <f>AND('BBP complete'!D77,"AAAAAG2/t3U=")</f>
        <v>#VALUE!</v>
      </c>
      <c r="DO19" t="e">
        <f>AND('BBP complete'!E77,"AAAAAG2/t3Y=")</f>
        <v>#VALUE!</v>
      </c>
      <c r="DP19" t="e">
        <f>AND('BBP complete'!F77,"AAAAAG2/t3c=")</f>
        <v>#VALUE!</v>
      </c>
      <c r="DQ19" t="e">
        <f>AND('BBP complete'!G77,"AAAAAG2/t3g=")</f>
        <v>#VALUE!</v>
      </c>
      <c r="DR19" t="e">
        <f>AND('BBP complete'!H77,"AAAAAG2/t3k=")</f>
        <v>#VALUE!</v>
      </c>
      <c r="DS19" t="e">
        <f>AND('BBP complete'!I77,"AAAAAG2/t3o=")</f>
        <v>#VALUE!</v>
      </c>
      <c r="DT19" t="e">
        <f>AND('BBP complete'!J77,"AAAAAG2/t3s=")</f>
        <v>#VALUE!</v>
      </c>
      <c r="DU19" s="60" t="e">
        <v>#VALUE!</v>
      </c>
      <c r="DV19" t="e">
        <f>AND('BBP complete'!A78,"AAAAAG2/t30=")</f>
        <v>#VALUE!</v>
      </c>
      <c r="DW19" t="e">
        <f>AND('BBP complete'!B78,"AAAAAG2/t34=")</f>
        <v>#VALUE!</v>
      </c>
      <c r="DX19" t="e">
        <f>AND('BBP complete'!C78,"AAAAAG2/t38=")</f>
        <v>#VALUE!</v>
      </c>
      <c r="DY19" t="e">
        <f>AND('BBP complete'!D78,"AAAAAG2/t4A=")</f>
        <v>#VALUE!</v>
      </c>
      <c r="DZ19" t="e">
        <f>AND('BBP complete'!E78,"AAAAAG2/t4E=")</f>
        <v>#VALUE!</v>
      </c>
      <c r="EA19" t="e">
        <f>AND('BBP complete'!F78,"AAAAAG2/t4I=")</f>
        <v>#VALUE!</v>
      </c>
      <c r="EB19" t="e">
        <f>AND('BBP complete'!G78,"AAAAAG2/t4M=")</f>
        <v>#VALUE!</v>
      </c>
      <c r="EC19" t="e">
        <f>AND('BBP complete'!H78,"AAAAAG2/t4Q=")</f>
        <v>#VALUE!</v>
      </c>
      <c r="ED19" t="e">
        <f>AND('BBP complete'!I78,"AAAAAG2/t4U=")</f>
        <v>#VALUE!</v>
      </c>
      <c r="EE19" t="e">
        <f>AND('BBP complete'!J78,"AAAAAG2/t4Y=")</f>
        <v>#VALUE!</v>
      </c>
      <c r="EF19" s="60" t="e">
        <v>#VALUE!</v>
      </c>
      <c r="EG19" t="e">
        <f>AND('BBP complete'!A79,"AAAAAG2/t4g=")</f>
        <v>#VALUE!</v>
      </c>
      <c r="EH19" t="e">
        <f>AND('BBP complete'!B79,"AAAAAG2/t4k=")</f>
        <v>#VALUE!</v>
      </c>
      <c r="EI19" t="e">
        <f>AND('BBP complete'!C79,"AAAAAG2/t4o=")</f>
        <v>#VALUE!</v>
      </c>
      <c r="EJ19" t="e">
        <f>AND('BBP complete'!D79,"AAAAAG2/t4s=")</f>
        <v>#VALUE!</v>
      </c>
      <c r="EK19" t="e">
        <f>AND('BBP complete'!E79,"AAAAAG2/t4w=")</f>
        <v>#VALUE!</v>
      </c>
      <c r="EL19" t="e">
        <f>AND('BBP complete'!F79,"AAAAAG2/t40=")</f>
        <v>#VALUE!</v>
      </c>
      <c r="EM19" t="e">
        <f>AND('BBP complete'!G79,"AAAAAG2/t44=")</f>
        <v>#VALUE!</v>
      </c>
      <c r="EN19" t="e">
        <f>AND('BBP complete'!H79,"AAAAAG2/t48=")</f>
        <v>#VALUE!</v>
      </c>
      <c r="EO19" t="e">
        <f>AND('BBP complete'!I79,"AAAAAG2/t5A=")</f>
        <v>#VALUE!</v>
      </c>
      <c r="EP19" t="e">
        <f>AND('BBP complete'!J79,"AAAAAG2/t5E=")</f>
        <v>#VALUE!</v>
      </c>
      <c r="EQ19" s="60" t="e">
        <v>#VALUE!</v>
      </c>
      <c r="ER19" t="e">
        <f>AND('BBP complete'!A80,"AAAAAG2/t5M=")</f>
        <v>#VALUE!</v>
      </c>
      <c r="ES19" t="e">
        <f>AND('BBP complete'!B80,"AAAAAG2/t5Q=")</f>
        <v>#VALUE!</v>
      </c>
      <c r="ET19" t="e">
        <f>AND('BBP complete'!C80,"AAAAAG2/t5U=")</f>
        <v>#VALUE!</v>
      </c>
      <c r="EU19" t="e">
        <f>AND('BBP complete'!D80,"AAAAAG2/t5Y=")</f>
        <v>#VALUE!</v>
      </c>
      <c r="EV19" t="e">
        <f>AND('BBP complete'!E80,"AAAAAG2/t5c=")</f>
        <v>#VALUE!</v>
      </c>
      <c r="EW19" t="e">
        <f>AND('BBP complete'!F80,"AAAAAG2/t5g=")</f>
        <v>#VALUE!</v>
      </c>
      <c r="EX19" t="e">
        <f>AND('BBP complete'!G80,"AAAAAG2/t5k=")</f>
        <v>#VALUE!</v>
      </c>
      <c r="EY19" t="e">
        <f>AND('BBP complete'!H80,"AAAAAG2/t5o=")</f>
        <v>#VALUE!</v>
      </c>
      <c r="EZ19" t="e">
        <f>AND('BBP complete'!I80,"AAAAAG2/t5s=")</f>
        <v>#VALUE!</v>
      </c>
      <c r="FA19" t="e">
        <f>AND('BBP complete'!J80,"AAAAAG2/t5w=")</f>
        <v>#VALUE!</v>
      </c>
      <c r="FB19" s="60" t="e">
        <v>#VALUE!</v>
      </c>
      <c r="FC19" t="e">
        <f>AND('BBP complete'!A81,"AAAAAG2/t54=")</f>
        <v>#VALUE!</v>
      </c>
      <c r="FD19" t="e">
        <f>AND('BBP complete'!B81,"AAAAAG2/t58=")</f>
        <v>#VALUE!</v>
      </c>
      <c r="FE19" t="e">
        <f>AND('BBP complete'!C81,"AAAAAG2/t6A=")</f>
        <v>#VALUE!</v>
      </c>
      <c r="FF19" t="e">
        <f>AND('BBP complete'!D81,"AAAAAG2/t6E=")</f>
        <v>#VALUE!</v>
      </c>
      <c r="FG19" t="e">
        <f>AND('BBP complete'!E81,"AAAAAG2/t6I=")</f>
        <v>#VALUE!</v>
      </c>
      <c r="FH19" t="e">
        <f>AND('BBP complete'!F81,"AAAAAG2/t6M=")</f>
        <v>#VALUE!</v>
      </c>
      <c r="FI19" t="e">
        <f>AND('BBP complete'!G81,"AAAAAG2/t6Q=")</f>
        <v>#VALUE!</v>
      </c>
      <c r="FJ19" t="e">
        <f>AND('BBP complete'!H81,"AAAAAG2/t6U=")</f>
        <v>#VALUE!</v>
      </c>
      <c r="FK19" t="e">
        <f>AND('BBP complete'!I81,"AAAAAG2/t6Y=")</f>
        <v>#VALUE!</v>
      </c>
      <c r="FL19" t="e">
        <f>AND('BBP complete'!J81,"AAAAAG2/t6c=")</f>
        <v>#VALUE!</v>
      </c>
      <c r="FM19" s="60" t="e">
        <v>#VALUE!</v>
      </c>
      <c r="FN19" t="e">
        <f>AND('BBP complete'!A82,"AAAAAG2/t6k=")</f>
        <v>#VALUE!</v>
      </c>
      <c r="FO19" t="e">
        <f>AND('BBP complete'!B82,"AAAAAG2/t6o=")</f>
        <v>#VALUE!</v>
      </c>
      <c r="FP19" t="e">
        <f>AND('BBP complete'!C82,"AAAAAG2/t6s=")</f>
        <v>#VALUE!</v>
      </c>
      <c r="FQ19" t="e">
        <f>AND('BBP complete'!D82,"AAAAAG2/t6w=")</f>
        <v>#VALUE!</v>
      </c>
      <c r="FR19" t="e">
        <f>AND('BBP complete'!E82,"AAAAAG2/t60=")</f>
        <v>#VALUE!</v>
      </c>
      <c r="FS19" t="e">
        <f>AND('BBP complete'!F82,"AAAAAG2/t64=")</f>
        <v>#VALUE!</v>
      </c>
      <c r="FT19" t="e">
        <f>AND('BBP complete'!G82,"AAAAAG2/t68=")</f>
        <v>#VALUE!</v>
      </c>
      <c r="FU19" t="e">
        <f>AND('BBP complete'!H82,"AAAAAG2/t7A=")</f>
        <v>#VALUE!</v>
      </c>
      <c r="FV19" t="e">
        <f>AND('BBP complete'!I82,"AAAAAG2/t7E=")</f>
        <v>#VALUE!</v>
      </c>
      <c r="FW19" t="e">
        <f>AND('BBP complete'!J82,"AAAAAG2/t7I=")</f>
        <v>#VALUE!</v>
      </c>
      <c r="FX19" s="60" t="e">
        <v>#VALUE!</v>
      </c>
      <c r="FY19" t="e">
        <f>AND('BBP complete'!A83,"AAAAAG2/t7Q=")</f>
        <v>#VALUE!</v>
      </c>
      <c r="FZ19" t="e">
        <f>AND('BBP complete'!B83,"AAAAAG2/t7U=")</f>
        <v>#VALUE!</v>
      </c>
      <c r="GA19" t="e">
        <f>AND('BBP complete'!C83,"AAAAAG2/t7Y=")</f>
        <v>#VALUE!</v>
      </c>
      <c r="GB19" t="e">
        <f>AND('BBP complete'!D83,"AAAAAG2/t7c=")</f>
        <v>#VALUE!</v>
      </c>
      <c r="GC19" t="e">
        <f>AND('BBP complete'!E83,"AAAAAG2/t7g=")</f>
        <v>#VALUE!</v>
      </c>
      <c r="GD19" t="e">
        <f>AND('BBP complete'!F83,"AAAAAG2/t7k=")</f>
        <v>#VALUE!</v>
      </c>
      <c r="GE19" t="e">
        <f>AND('BBP complete'!G83,"AAAAAG2/t7o=")</f>
        <v>#VALUE!</v>
      </c>
      <c r="GF19" t="e">
        <f>AND('BBP complete'!H83,"AAAAAG2/t7s=")</f>
        <v>#VALUE!</v>
      </c>
      <c r="GG19" t="e">
        <f>AND('BBP complete'!I83,"AAAAAG2/t7w=")</f>
        <v>#VALUE!</v>
      </c>
      <c r="GH19" t="e">
        <f>AND('BBP complete'!J83,"AAAAAG2/t70=")</f>
        <v>#VALUE!</v>
      </c>
      <c r="GI19" s="60" t="e">
        <v>#VALUE!</v>
      </c>
      <c r="GJ19" t="e">
        <f>AND('BBP complete'!A84,"AAAAAG2/t78=")</f>
        <v>#VALUE!</v>
      </c>
      <c r="GK19" t="e">
        <f>AND('BBP complete'!B84,"AAAAAG2/t8A=")</f>
        <v>#VALUE!</v>
      </c>
      <c r="GL19" t="e">
        <f>AND('BBP complete'!C84,"AAAAAG2/t8E=")</f>
        <v>#VALUE!</v>
      </c>
      <c r="GM19" t="e">
        <f>AND('BBP complete'!D84,"AAAAAG2/t8I=")</f>
        <v>#VALUE!</v>
      </c>
      <c r="GN19" t="e">
        <f>AND('BBP complete'!E84,"AAAAAG2/t8M=")</f>
        <v>#VALUE!</v>
      </c>
      <c r="GO19" t="e">
        <f>AND('BBP complete'!F84,"AAAAAG2/t8Q=")</f>
        <v>#VALUE!</v>
      </c>
      <c r="GP19" t="e">
        <f>AND('BBP complete'!G84,"AAAAAG2/t8U=")</f>
        <v>#VALUE!</v>
      </c>
      <c r="GQ19" t="e">
        <f>AND('BBP complete'!H84,"AAAAAG2/t8Y=")</f>
        <v>#VALUE!</v>
      </c>
      <c r="GR19" t="e">
        <f>AND('BBP complete'!I84,"AAAAAG2/t8c=")</f>
        <v>#VALUE!</v>
      </c>
      <c r="GS19" t="e">
        <f>AND('BBP complete'!J84,"AAAAAG2/t8g=")</f>
        <v>#VALUE!</v>
      </c>
      <c r="GT19" s="60" t="e">
        <v>#VALUE!</v>
      </c>
      <c r="GU19" t="e">
        <f>AND('BBP complete'!A85,"AAAAAG2/t8o=")</f>
        <v>#VALUE!</v>
      </c>
      <c r="GV19" t="e">
        <f>AND('BBP complete'!B85,"AAAAAG2/t8s=")</f>
        <v>#VALUE!</v>
      </c>
      <c r="GW19" t="e">
        <f>AND('BBP complete'!C85,"AAAAAG2/t8w=")</f>
        <v>#VALUE!</v>
      </c>
      <c r="GX19" t="e">
        <f>AND('BBP complete'!D85,"AAAAAG2/t80=")</f>
        <v>#VALUE!</v>
      </c>
      <c r="GY19" t="e">
        <f>AND('BBP complete'!E85,"AAAAAG2/t84=")</f>
        <v>#VALUE!</v>
      </c>
      <c r="GZ19" t="e">
        <f>AND('BBP complete'!F85,"AAAAAG2/t88=")</f>
        <v>#VALUE!</v>
      </c>
      <c r="HA19" t="e">
        <f>AND('BBP complete'!G85,"AAAAAG2/t9A=")</f>
        <v>#VALUE!</v>
      </c>
      <c r="HB19" t="e">
        <f>AND('BBP complete'!H85,"AAAAAG2/t9E=")</f>
        <v>#VALUE!</v>
      </c>
      <c r="HC19" t="e">
        <f>AND('BBP complete'!I85,"AAAAAG2/t9I=")</f>
        <v>#VALUE!</v>
      </c>
      <c r="HD19" t="e">
        <f>AND('BBP complete'!J85,"AAAAAG2/t9M=")</f>
        <v>#VALUE!</v>
      </c>
      <c r="HE19" s="60" t="e">
        <v>#VALUE!</v>
      </c>
      <c r="HF19" t="e">
        <f>AND('BBP complete'!A86,"AAAAAG2/t9U=")</f>
        <v>#VALUE!</v>
      </c>
      <c r="HG19" t="e">
        <f>AND('BBP complete'!B86,"AAAAAG2/t9Y=")</f>
        <v>#VALUE!</v>
      </c>
      <c r="HH19" t="e">
        <f>AND('BBP complete'!C86,"AAAAAG2/t9c=")</f>
        <v>#VALUE!</v>
      </c>
      <c r="HI19" t="e">
        <f>AND('BBP complete'!D86,"AAAAAG2/t9g=")</f>
        <v>#VALUE!</v>
      </c>
      <c r="HJ19" t="e">
        <f>AND('BBP complete'!E86,"AAAAAG2/t9k=")</f>
        <v>#VALUE!</v>
      </c>
      <c r="HK19" t="e">
        <f>AND('BBP complete'!F86,"AAAAAG2/t9o=")</f>
        <v>#VALUE!</v>
      </c>
      <c r="HL19" t="e">
        <f>AND('BBP complete'!G86,"AAAAAG2/t9s=")</f>
        <v>#VALUE!</v>
      </c>
      <c r="HM19" t="e">
        <f>AND('BBP complete'!H86,"AAAAAG2/t9w=")</f>
        <v>#VALUE!</v>
      </c>
      <c r="HN19" t="e">
        <f>AND('BBP complete'!I86,"AAAAAG2/t90=")</f>
        <v>#VALUE!</v>
      </c>
      <c r="HO19" t="e">
        <f>AND('BBP complete'!J86,"AAAAAG2/t94=")</f>
        <v>#VALUE!</v>
      </c>
      <c r="HP19" s="60" t="e">
        <v>#VALUE!</v>
      </c>
      <c r="HQ19" t="e">
        <f>AND('BBP complete'!A87,"AAAAAG2/t+A=")</f>
        <v>#VALUE!</v>
      </c>
      <c r="HR19" t="e">
        <f>AND('BBP complete'!B87,"AAAAAG2/t+E=")</f>
        <v>#VALUE!</v>
      </c>
      <c r="HS19" t="e">
        <f>AND('BBP complete'!C87,"AAAAAG2/t+I=")</f>
        <v>#VALUE!</v>
      </c>
      <c r="HT19" t="e">
        <f>AND('BBP complete'!D87,"AAAAAG2/t+M=")</f>
        <v>#VALUE!</v>
      </c>
      <c r="HU19" t="e">
        <f>AND('BBP complete'!E87,"AAAAAG2/t+Q=")</f>
        <v>#VALUE!</v>
      </c>
      <c r="HV19" t="e">
        <f>AND('BBP complete'!F87,"AAAAAG2/t+U=")</f>
        <v>#VALUE!</v>
      </c>
      <c r="HW19" t="e">
        <f>AND('BBP complete'!G87,"AAAAAG2/t+Y=")</f>
        <v>#VALUE!</v>
      </c>
      <c r="HX19" t="e">
        <f>AND('BBP complete'!H87,"AAAAAG2/t+c=")</f>
        <v>#VALUE!</v>
      </c>
      <c r="HY19" t="e">
        <f>AND('BBP complete'!I87,"AAAAAG2/t+g=")</f>
        <v>#VALUE!</v>
      </c>
      <c r="HZ19" t="e">
        <f>AND('BBP complete'!J87,"AAAAAG2/t+k=")</f>
        <v>#VALUE!</v>
      </c>
      <c r="IA19" s="60" t="e">
        <v>#VALUE!</v>
      </c>
      <c r="IB19" t="e">
        <f>AND('BBP complete'!A88,"AAAAAG2/t+s=")</f>
        <v>#VALUE!</v>
      </c>
      <c r="IC19" t="e">
        <f>AND('BBP complete'!B88,"AAAAAG2/t+w=")</f>
        <v>#VALUE!</v>
      </c>
      <c r="ID19" t="e">
        <f>AND('BBP complete'!C88,"AAAAAG2/t+0=")</f>
        <v>#VALUE!</v>
      </c>
      <c r="IE19" t="e">
        <f>AND('BBP complete'!D88,"AAAAAG2/t+4=")</f>
        <v>#VALUE!</v>
      </c>
      <c r="IF19" t="e">
        <f>AND('BBP complete'!E88,"AAAAAG2/t+8=")</f>
        <v>#VALUE!</v>
      </c>
      <c r="IG19" t="e">
        <f>AND('BBP complete'!F88,"AAAAAG2/t/A=")</f>
        <v>#VALUE!</v>
      </c>
      <c r="IH19" t="e">
        <f>AND('BBP complete'!G88,"AAAAAG2/t/E=")</f>
        <v>#VALUE!</v>
      </c>
      <c r="II19" t="e">
        <f>AND('BBP complete'!H88,"AAAAAG2/t/I=")</f>
        <v>#VALUE!</v>
      </c>
      <c r="IJ19" t="e">
        <f>AND('BBP complete'!I88,"AAAAAG2/t/M=")</f>
        <v>#VALUE!</v>
      </c>
      <c r="IK19" t="e">
        <f>AND('BBP complete'!J88,"AAAAAG2/t/Q=")</f>
        <v>#VALUE!</v>
      </c>
      <c r="IL19" s="60" t="e">
        <v>#VALUE!</v>
      </c>
      <c r="IM19" t="e">
        <f>AND('BBP complete'!A89,"AAAAAG2/t/Y=")</f>
        <v>#VALUE!</v>
      </c>
      <c r="IN19" t="e">
        <f>AND('BBP complete'!B89,"AAAAAG2/t/c=")</f>
        <v>#VALUE!</v>
      </c>
      <c r="IO19" t="e">
        <f>AND('BBP complete'!C89,"AAAAAG2/t/g=")</f>
        <v>#VALUE!</v>
      </c>
      <c r="IP19" t="e">
        <f>AND('BBP complete'!D89,"AAAAAG2/t/k=")</f>
        <v>#VALUE!</v>
      </c>
      <c r="IQ19" t="e">
        <f>AND('BBP complete'!E89,"AAAAAG2/t/o=")</f>
        <v>#VALUE!</v>
      </c>
      <c r="IR19" t="e">
        <f>AND('BBP complete'!F89,"AAAAAG2/t/s=")</f>
        <v>#VALUE!</v>
      </c>
      <c r="IS19" t="e">
        <f>AND('BBP complete'!G89,"AAAAAG2/t/w=")</f>
        <v>#VALUE!</v>
      </c>
      <c r="IT19" t="e">
        <f>AND('BBP complete'!H89,"AAAAAG2/t/0=")</f>
        <v>#VALUE!</v>
      </c>
      <c r="IU19" t="e">
        <f>AND('BBP complete'!I89,"AAAAAG2/t/4=")</f>
        <v>#VALUE!</v>
      </c>
      <c r="IV19" t="e">
        <f>AND('BBP complete'!J89,"AAAAAG2/t/8=")</f>
        <v>#VALUE!</v>
      </c>
    </row>
    <row r="20" spans="1:256" ht="15" customHeight="1" x14ac:dyDescent="0.25">
      <c r="A20" s="60" t="e">
        <v>#VALUE!</v>
      </c>
      <c r="B20" t="e">
        <f>AND('BBP complete'!A90,"AAAAAGnX9wE=")</f>
        <v>#VALUE!</v>
      </c>
      <c r="C20" t="e">
        <f>AND('BBP complete'!B90,"AAAAAGnX9wI=")</f>
        <v>#VALUE!</v>
      </c>
      <c r="D20" t="e">
        <f>AND('BBP complete'!C90,"AAAAAGnX9wM=")</f>
        <v>#VALUE!</v>
      </c>
      <c r="E20" t="e">
        <f>AND('BBP complete'!D90,"AAAAAGnX9wQ=")</f>
        <v>#VALUE!</v>
      </c>
      <c r="F20" t="e">
        <f>AND('BBP complete'!E90,"AAAAAGnX9wU=")</f>
        <v>#VALUE!</v>
      </c>
      <c r="G20" t="e">
        <f>AND('BBP complete'!F90,"AAAAAGnX9wY=")</f>
        <v>#VALUE!</v>
      </c>
      <c r="H20" t="e">
        <f>AND('BBP complete'!G90,"AAAAAGnX9wc=")</f>
        <v>#VALUE!</v>
      </c>
      <c r="I20" t="e">
        <f>AND('BBP complete'!H90,"AAAAAGnX9wg=")</f>
        <v>#VALUE!</v>
      </c>
      <c r="J20" t="e">
        <f>AND('BBP complete'!I90,"AAAAAGnX9wk=")</f>
        <v>#VALUE!</v>
      </c>
      <c r="K20" t="e">
        <f>AND('BBP complete'!J90,"AAAAAGnX9wo=")</f>
        <v>#VALUE!</v>
      </c>
      <c r="L20" s="60" t="e">
        <v>#VALUE!</v>
      </c>
      <c r="M20" t="e">
        <f>AND('BBP complete'!A91,"AAAAAGnX9ww=")</f>
        <v>#VALUE!</v>
      </c>
      <c r="N20" t="e">
        <f>AND('BBP complete'!B91,"AAAAAGnX9w0=")</f>
        <v>#VALUE!</v>
      </c>
      <c r="O20" t="e">
        <f>AND('BBP complete'!C91,"AAAAAGnX9w4=")</f>
        <v>#VALUE!</v>
      </c>
      <c r="P20" t="e">
        <f>AND('BBP complete'!D91,"AAAAAGnX9w8=")</f>
        <v>#VALUE!</v>
      </c>
      <c r="Q20" t="e">
        <f>AND('BBP complete'!E91,"AAAAAGnX9xA=")</f>
        <v>#VALUE!</v>
      </c>
      <c r="R20" t="e">
        <f>AND('BBP complete'!F91,"AAAAAGnX9xE=")</f>
        <v>#VALUE!</v>
      </c>
      <c r="S20" t="e">
        <f>AND('BBP complete'!G91,"AAAAAGnX9xI=")</f>
        <v>#VALUE!</v>
      </c>
      <c r="T20" t="e">
        <f>AND('BBP complete'!H91,"AAAAAGnX9xM=")</f>
        <v>#VALUE!</v>
      </c>
      <c r="U20" t="e">
        <f>AND('BBP complete'!I91,"AAAAAGnX9xQ=")</f>
        <v>#VALUE!</v>
      </c>
      <c r="V20" t="e">
        <f>AND('BBP complete'!J91,"AAAAAGnX9xU=")</f>
        <v>#VALUE!</v>
      </c>
      <c r="W20" s="60" t="e">
        <v>#VALUE!</v>
      </c>
      <c r="X20" t="e">
        <f>AND('BBP complete'!A92,"AAAAAGnX9xc=")</f>
        <v>#VALUE!</v>
      </c>
      <c r="Y20" t="e">
        <f>AND('BBP complete'!B92,"AAAAAGnX9xg=")</f>
        <v>#VALUE!</v>
      </c>
      <c r="Z20" t="e">
        <f>AND('BBP complete'!C92,"AAAAAGnX9xk=")</f>
        <v>#VALUE!</v>
      </c>
      <c r="AA20" t="e">
        <f>AND('BBP complete'!D92,"AAAAAGnX9xo=")</f>
        <v>#VALUE!</v>
      </c>
      <c r="AB20" t="e">
        <f>AND('BBP complete'!E92,"AAAAAGnX9xs=")</f>
        <v>#VALUE!</v>
      </c>
      <c r="AC20" t="e">
        <f>AND('BBP complete'!F92,"AAAAAGnX9xw=")</f>
        <v>#VALUE!</v>
      </c>
      <c r="AD20" t="e">
        <f>AND('BBP complete'!G92,"AAAAAGnX9x0=")</f>
        <v>#VALUE!</v>
      </c>
      <c r="AE20" t="e">
        <f>AND('BBP complete'!H92,"AAAAAGnX9x4=")</f>
        <v>#VALUE!</v>
      </c>
      <c r="AF20" t="e">
        <f>AND('BBP complete'!I92,"AAAAAGnX9x8=")</f>
        <v>#VALUE!</v>
      </c>
      <c r="AG20" t="e">
        <f>AND('BBP complete'!J92,"AAAAAGnX9yA=")</f>
        <v>#VALUE!</v>
      </c>
      <c r="AH20" s="60" t="e">
        <v>#VALUE!</v>
      </c>
      <c r="AI20" t="e">
        <f>AND('BBP complete'!A93,"AAAAAGnX9yI=")</f>
        <v>#VALUE!</v>
      </c>
      <c r="AJ20" t="e">
        <f>AND('BBP complete'!B93,"AAAAAGnX9yM=")</f>
        <v>#VALUE!</v>
      </c>
      <c r="AK20" t="e">
        <f>AND('BBP complete'!C93,"AAAAAGnX9yQ=")</f>
        <v>#VALUE!</v>
      </c>
      <c r="AL20" t="e">
        <f>AND('BBP complete'!D93,"AAAAAGnX9yU=")</f>
        <v>#VALUE!</v>
      </c>
      <c r="AM20" t="e">
        <f>AND('BBP complete'!E93,"AAAAAGnX9yY=")</f>
        <v>#VALUE!</v>
      </c>
      <c r="AN20" t="e">
        <f>AND('BBP complete'!F93,"AAAAAGnX9yc=")</f>
        <v>#VALUE!</v>
      </c>
      <c r="AO20" t="e">
        <f>AND('BBP complete'!G93,"AAAAAGnX9yg=")</f>
        <v>#VALUE!</v>
      </c>
      <c r="AP20" t="e">
        <f>AND('BBP complete'!H93,"AAAAAGnX9yk=")</f>
        <v>#VALUE!</v>
      </c>
      <c r="AQ20" t="e">
        <f>AND('BBP complete'!I93,"AAAAAGnX9yo=")</f>
        <v>#VALUE!</v>
      </c>
      <c r="AR20" t="e">
        <f>AND('BBP complete'!J93,"AAAAAGnX9ys=")</f>
        <v>#VALUE!</v>
      </c>
      <c r="AS20" s="60" t="e">
        <v>#VALUE!</v>
      </c>
      <c r="AT20" t="e">
        <f>AND('BBP complete'!A94,"AAAAAGnX9y0=")</f>
        <v>#VALUE!</v>
      </c>
      <c r="AU20" t="e">
        <f>AND('BBP complete'!B94,"AAAAAGnX9y4=")</f>
        <v>#VALUE!</v>
      </c>
      <c r="AV20" t="e">
        <f>AND('BBP complete'!C94,"AAAAAGnX9y8=")</f>
        <v>#VALUE!</v>
      </c>
      <c r="AW20" t="e">
        <f>AND('BBP complete'!D94,"AAAAAGnX9zA=")</f>
        <v>#VALUE!</v>
      </c>
      <c r="AX20" t="e">
        <f>AND('BBP complete'!E94,"AAAAAGnX9zE=")</f>
        <v>#VALUE!</v>
      </c>
      <c r="AY20" t="e">
        <f>AND('BBP complete'!F94,"AAAAAGnX9zI=")</f>
        <v>#VALUE!</v>
      </c>
      <c r="AZ20" t="e">
        <f>AND('BBP complete'!G94,"AAAAAGnX9zM=")</f>
        <v>#VALUE!</v>
      </c>
      <c r="BA20" t="e">
        <f>AND('BBP complete'!H94,"AAAAAGnX9zQ=")</f>
        <v>#VALUE!</v>
      </c>
      <c r="BB20" t="e">
        <f>AND('BBP complete'!I94,"AAAAAGnX9zU=")</f>
        <v>#VALUE!</v>
      </c>
      <c r="BC20" t="e">
        <f>AND('BBP complete'!J94,"AAAAAGnX9zY=")</f>
        <v>#VALUE!</v>
      </c>
      <c r="BD20" s="60" t="e">
        <v>#VALUE!</v>
      </c>
      <c r="BE20" t="e">
        <f>AND('BBP complete'!A95,"AAAAAGnX9zg=")</f>
        <v>#VALUE!</v>
      </c>
      <c r="BF20" t="e">
        <f>AND('BBP complete'!B95,"AAAAAGnX9zk=")</f>
        <v>#VALUE!</v>
      </c>
      <c r="BG20" t="e">
        <f>AND('BBP complete'!C95,"AAAAAGnX9zo=")</f>
        <v>#VALUE!</v>
      </c>
      <c r="BH20" t="e">
        <f>AND('BBP complete'!D95,"AAAAAGnX9zs=")</f>
        <v>#VALUE!</v>
      </c>
      <c r="BI20" t="e">
        <f>AND('BBP complete'!E95,"AAAAAGnX9zw=")</f>
        <v>#VALUE!</v>
      </c>
      <c r="BJ20" t="e">
        <f>AND('BBP complete'!F95,"AAAAAGnX9z0=")</f>
        <v>#VALUE!</v>
      </c>
      <c r="BK20" t="e">
        <f>AND('BBP complete'!G95,"AAAAAGnX9z4=")</f>
        <v>#VALUE!</v>
      </c>
      <c r="BL20" t="e">
        <f>AND('BBP complete'!H95,"AAAAAGnX9z8=")</f>
        <v>#VALUE!</v>
      </c>
      <c r="BM20" t="e">
        <f>AND('BBP complete'!I95,"AAAAAGnX90A=")</f>
        <v>#VALUE!</v>
      </c>
      <c r="BN20" t="e">
        <f>AND('BBP complete'!J95,"AAAAAGnX90E=")</f>
        <v>#VALUE!</v>
      </c>
      <c r="BO20" s="60" t="e">
        <v>#VALUE!</v>
      </c>
      <c r="BP20" t="e">
        <f>AND('BBP complete'!A96,"AAAAAGnX90M=")</f>
        <v>#VALUE!</v>
      </c>
      <c r="BQ20" t="e">
        <f>AND('BBP complete'!B96,"AAAAAGnX90Q=")</f>
        <v>#VALUE!</v>
      </c>
      <c r="BR20" t="e">
        <f>AND('BBP complete'!C96,"AAAAAGnX90U=")</f>
        <v>#VALUE!</v>
      </c>
      <c r="BS20" t="e">
        <f>AND('BBP complete'!D96,"AAAAAGnX90Y=")</f>
        <v>#VALUE!</v>
      </c>
      <c r="BT20" t="e">
        <f>AND('BBP complete'!E96,"AAAAAGnX90c=")</f>
        <v>#VALUE!</v>
      </c>
      <c r="BU20" t="e">
        <f>AND('BBP complete'!F96,"AAAAAGnX90g=")</f>
        <v>#VALUE!</v>
      </c>
      <c r="BV20" t="e">
        <f>AND('BBP complete'!G96,"AAAAAGnX90k=")</f>
        <v>#VALUE!</v>
      </c>
      <c r="BW20" t="e">
        <f>AND('BBP complete'!H96,"AAAAAGnX90o=")</f>
        <v>#VALUE!</v>
      </c>
      <c r="BX20" t="e">
        <f>AND('BBP complete'!I96,"AAAAAGnX90s=")</f>
        <v>#VALUE!</v>
      </c>
      <c r="BY20" t="e">
        <f>AND('BBP complete'!J96,"AAAAAGnX90w=")</f>
        <v>#VALUE!</v>
      </c>
      <c r="BZ20" s="60" t="e">
        <v>#VALUE!</v>
      </c>
      <c r="CA20" t="e">
        <f>AND('BBP complete'!A97,"AAAAAGnX904=")</f>
        <v>#VALUE!</v>
      </c>
      <c r="CB20" t="e">
        <f>AND('BBP complete'!B97,"AAAAAGnX908=")</f>
        <v>#VALUE!</v>
      </c>
      <c r="CC20" t="e">
        <f>AND('BBP complete'!C97,"AAAAAGnX91A=")</f>
        <v>#VALUE!</v>
      </c>
      <c r="CD20" t="e">
        <f>AND('BBP complete'!D97,"AAAAAGnX91E=")</f>
        <v>#VALUE!</v>
      </c>
      <c r="CE20" t="e">
        <f>AND('BBP complete'!E97,"AAAAAGnX91I=")</f>
        <v>#VALUE!</v>
      </c>
      <c r="CF20" t="e">
        <f>AND('BBP complete'!F97,"AAAAAGnX91M=")</f>
        <v>#VALUE!</v>
      </c>
      <c r="CG20" t="e">
        <f>AND('BBP complete'!G97,"AAAAAGnX91Q=")</f>
        <v>#VALUE!</v>
      </c>
      <c r="CH20" t="e">
        <f>AND('BBP complete'!H97,"AAAAAGnX91U=")</f>
        <v>#VALUE!</v>
      </c>
      <c r="CI20" t="e">
        <f>AND('BBP complete'!I97,"AAAAAGnX91Y=")</f>
        <v>#VALUE!</v>
      </c>
      <c r="CJ20" t="e">
        <f>AND('BBP complete'!J97,"AAAAAGnX91c=")</f>
        <v>#VALUE!</v>
      </c>
      <c r="CK20" s="60" t="e">
        <v>#VALUE!</v>
      </c>
      <c r="CL20" t="e">
        <f>AND('BBP complete'!A98,"AAAAAGnX91k=")</f>
        <v>#VALUE!</v>
      </c>
      <c r="CM20" t="e">
        <f>AND('BBP complete'!B98,"AAAAAGnX91o=")</f>
        <v>#VALUE!</v>
      </c>
      <c r="CN20" t="e">
        <f>AND('BBP complete'!C98,"AAAAAGnX91s=")</f>
        <v>#VALUE!</v>
      </c>
      <c r="CO20" t="e">
        <f>AND('BBP complete'!D98,"AAAAAGnX91w=")</f>
        <v>#VALUE!</v>
      </c>
      <c r="CP20" t="e">
        <f>AND('BBP complete'!E98,"AAAAAGnX910=")</f>
        <v>#VALUE!</v>
      </c>
      <c r="CQ20" t="e">
        <f>AND('BBP complete'!F98,"AAAAAGnX914=")</f>
        <v>#VALUE!</v>
      </c>
      <c r="CR20" t="e">
        <f>AND('BBP complete'!G98,"AAAAAGnX918=")</f>
        <v>#VALUE!</v>
      </c>
      <c r="CS20" t="e">
        <f>AND('BBP complete'!H98,"AAAAAGnX92A=")</f>
        <v>#VALUE!</v>
      </c>
      <c r="CT20" t="e">
        <f>AND('BBP complete'!I98,"AAAAAGnX92E=")</f>
        <v>#VALUE!</v>
      </c>
      <c r="CU20" t="e">
        <f>AND('BBP complete'!J98,"AAAAAGnX92I=")</f>
        <v>#VALUE!</v>
      </c>
      <c r="CV20" s="60" t="e">
        <v>#VALUE!</v>
      </c>
      <c r="CW20" t="e">
        <f>AND('BBP complete'!A99,"AAAAAGnX92Q=")</f>
        <v>#VALUE!</v>
      </c>
      <c r="CX20" t="e">
        <f>AND('BBP complete'!B99,"AAAAAGnX92U=")</f>
        <v>#VALUE!</v>
      </c>
      <c r="CY20" t="e">
        <f>AND('BBP complete'!C99,"AAAAAGnX92Y=")</f>
        <v>#VALUE!</v>
      </c>
      <c r="CZ20" t="e">
        <f>AND('BBP complete'!D99,"AAAAAGnX92c=")</f>
        <v>#VALUE!</v>
      </c>
      <c r="DA20" t="e">
        <f>AND('BBP complete'!E99,"AAAAAGnX92g=")</f>
        <v>#VALUE!</v>
      </c>
      <c r="DB20" t="e">
        <f>AND('BBP complete'!F99,"AAAAAGnX92k=")</f>
        <v>#VALUE!</v>
      </c>
      <c r="DC20" t="e">
        <f>AND('BBP complete'!G99,"AAAAAGnX92o=")</f>
        <v>#VALUE!</v>
      </c>
      <c r="DD20" t="e">
        <f>AND('BBP complete'!H99,"AAAAAGnX92s=")</f>
        <v>#VALUE!</v>
      </c>
      <c r="DE20" t="e">
        <f>AND('BBP complete'!I99,"AAAAAGnX92w=")</f>
        <v>#VALUE!</v>
      </c>
      <c r="DF20" t="e">
        <f>AND('BBP complete'!J99,"AAAAAGnX920=")</f>
        <v>#VALUE!</v>
      </c>
      <c r="DG20" s="60" t="e">
        <v>#VALUE!</v>
      </c>
      <c r="DH20" t="e">
        <f>AND('BBP complete'!A100,"AAAAAGnX928=")</f>
        <v>#VALUE!</v>
      </c>
      <c r="DI20" t="e">
        <f>AND('BBP complete'!B100,"AAAAAGnX93A=")</f>
        <v>#VALUE!</v>
      </c>
      <c r="DJ20" t="e">
        <f>AND('BBP complete'!C100,"AAAAAGnX93E=")</f>
        <v>#VALUE!</v>
      </c>
      <c r="DK20" t="e">
        <f>AND('BBP complete'!D100,"AAAAAGnX93I=")</f>
        <v>#VALUE!</v>
      </c>
      <c r="DL20" t="e">
        <f>AND('BBP complete'!E100,"AAAAAGnX93M=")</f>
        <v>#VALUE!</v>
      </c>
      <c r="DM20" t="e">
        <f>AND('BBP complete'!F100,"AAAAAGnX93Q=")</f>
        <v>#VALUE!</v>
      </c>
      <c r="DN20" t="e">
        <f>AND('BBP complete'!G100,"AAAAAGnX93U=")</f>
        <v>#VALUE!</v>
      </c>
      <c r="DO20" t="e">
        <f>AND('BBP complete'!H100,"AAAAAGnX93Y=")</f>
        <v>#VALUE!</v>
      </c>
      <c r="DP20" t="e">
        <f>AND('BBP complete'!I100,"AAAAAGnX93c=")</f>
        <v>#VALUE!</v>
      </c>
      <c r="DQ20" t="e">
        <f>AND('BBP complete'!J100,"AAAAAGnX93g=")</f>
        <v>#VALUE!</v>
      </c>
      <c r="DR20" s="60" t="e">
        <v>#VALUE!</v>
      </c>
      <c r="DS20" t="e">
        <f>AND('BBP complete'!A101,"AAAAAGnX93o=")</f>
        <v>#VALUE!</v>
      </c>
      <c r="DT20" t="e">
        <f>AND('BBP complete'!B101,"AAAAAGnX93s=")</f>
        <v>#VALUE!</v>
      </c>
      <c r="DU20" t="e">
        <f>AND('BBP complete'!C101,"AAAAAGnX93w=")</f>
        <v>#VALUE!</v>
      </c>
      <c r="DV20" t="e">
        <f>AND('BBP complete'!D101,"AAAAAGnX930=")</f>
        <v>#VALUE!</v>
      </c>
      <c r="DW20" t="e">
        <f>AND('BBP complete'!E101,"AAAAAGnX934=")</f>
        <v>#VALUE!</v>
      </c>
      <c r="DX20" t="e">
        <f>AND('BBP complete'!F101,"AAAAAGnX938=")</f>
        <v>#VALUE!</v>
      </c>
      <c r="DY20" t="e">
        <f>AND('BBP complete'!G101,"AAAAAGnX94A=")</f>
        <v>#VALUE!</v>
      </c>
      <c r="DZ20" t="e">
        <f>AND('BBP complete'!H101,"AAAAAGnX94E=")</f>
        <v>#VALUE!</v>
      </c>
      <c r="EA20" t="e">
        <f>AND('BBP complete'!I101,"AAAAAGnX94I=")</f>
        <v>#VALUE!</v>
      </c>
      <c r="EB20" t="e">
        <f>AND('BBP complete'!J101,"AAAAAGnX94M=")</f>
        <v>#VALUE!</v>
      </c>
      <c r="EC20" s="60" t="e">
        <v>#VALUE!</v>
      </c>
      <c r="ED20" t="e">
        <f>AND('BBP complete'!A102,"AAAAAGnX94U=")</f>
        <v>#VALUE!</v>
      </c>
      <c r="EE20" t="e">
        <f>AND('BBP complete'!B102,"AAAAAGnX94Y=")</f>
        <v>#VALUE!</v>
      </c>
      <c r="EF20" t="e">
        <f>AND('BBP complete'!C102,"AAAAAGnX94c=")</f>
        <v>#VALUE!</v>
      </c>
      <c r="EG20" t="e">
        <f>AND('BBP complete'!D102,"AAAAAGnX94g=")</f>
        <v>#VALUE!</v>
      </c>
      <c r="EH20" t="e">
        <f>AND('BBP complete'!E102,"AAAAAGnX94k=")</f>
        <v>#VALUE!</v>
      </c>
      <c r="EI20" t="e">
        <f>AND('BBP complete'!F102,"AAAAAGnX94o=")</f>
        <v>#VALUE!</v>
      </c>
      <c r="EJ20" t="e">
        <f>AND('BBP complete'!G102,"AAAAAGnX94s=")</f>
        <v>#VALUE!</v>
      </c>
      <c r="EK20" t="e">
        <f>AND('BBP complete'!H102,"AAAAAGnX94w=")</f>
        <v>#VALUE!</v>
      </c>
      <c r="EL20" t="e">
        <f>AND('BBP complete'!I102,"AAAAAGnX940=")</f>
        <v>#VALUE!</v>
      </c>
      <c r="EM20" t="e">
        <f>AND('BBP complete'!J102,"AAAAAGnX944=")</f>
        <v>#VALUE!</v>
      </c>
      <c r="EN20" s="60" t="e">
        <v>#VALUE!</v>
      </c>
      <c r="EO20" t="e">
        <f>AND('BBP complete'!A103,"AAAAAGnX95A=")</f>
        <v>#VALUE!</v>
      </c>
      <c r="EP20" t="e">
        <f>AND('BBP complete'!B103,"AAAAAGnX95E=")</f>
        <v>#VALUE!</v>
      </c>
      <c r="EQ20" t="e">
        <f>AND('BBP complete'!C103,"AAAAAGnX95I=")</f>
        <v>#VALUE!</v>
      </c>
      <c r="ER20" t="e">
        <f>AND('BBP complete'!D103,"AAAAAGnX95M=")</f>
        <v>#VALUE!</v>
      </c>
      <c r="ES20" t="e">
        <f>AND('BBP complete'!E103,"AAAAAGnX95Q=")</f>
        <v>#VALUE!</v>
      </c>
      <c r="ET20" t="e">
        <f>AND('BBP complete'!F103,"AAAAAGnX95U=")</f>
        <v>#VALUE!</v>
      </c>
      <c r="EU20" t="e">
        <f>AND('BBP complete'!G103,"AAAAAGnX95Y=")</f>
        <v>#VALUE!</v>
      </c>
      <c r="EV20" t="e">
        <f>AND('BBP complete'!H103,"AAAAAGnX95c=")</f>
        <v>#VALUE!</v>
      </c>
      <c r="EW20" t="e">
        <f>AND('BBP complete'!I103,"AAAAAGnX95g=")</f>
        <v>#VALUE!</v>
      </c>
      <c r="EX20" t="e">
        <f>AND('BBP complete'!J103,"AAAAAGnX95k=")</f>
        <v>#VALUE!</v>
      </c>
      <c r="EY20" s="60" t="e">
        <v>#VALUE!</v>
      </c>
      <c r="EZ20" t="e">
        <f>AND('BBP complete'!A104,"AAAAAGnX95s=")</f>
        <v>#VALUE!</v>
      </c>
      <c r="FA20" t="e">
        <f>AND('BBP complete'!B104,"AAAAAGnX95w=")</f>
        <v>#VALUE!</v>
      </c>
      <c r="FB20" t="e">
        <f>AND('BBP complete'!C104,"AAAAAGnX950=")</f>
        <v>#VALUE!</v>
      </c>
      <c r="FC20" t="e">
        <f>AND('BBP complete'!D104,"AAAAAGnX954=")</f>
        <v>#VALUE!</v>
      </c>
      <c r="FD20" t="e">
        <f>AND('BBP complete'!E104,"AAAAAGnX958=")</f>
        <v>#VALUE!</v>
      </c>
      <c r="FE20" t="e">
        <f>AND('BBP complete'!F104,"AAAAAGnX96A=")</f>
        <v>#VALUE!</v>
      </c>
      <c r="FF20" t="e">
        <f>AND('BBP complete'!G104,"AAAAAGnX96E=")</f>
        <v>#VALUE!</v>
      </c>
      <c r="FG20" t="e">
        <f>AND('BBP complete'!H104,"AAAAAGnX96I=")</f>
        <v>#VALUE!</v>
      </c>
      <c r="FH20" t="e">
        <f>AND('BBP complete'!I104,"AAAAAGnX96M=")</f>
        <v>#VALUE!</v>
      </c>
      <c r="FI20" t="e">
        <f>AND('BBP complete'!J104,"AAAAAGnX96Q=")</f>
        <v>#VALUE!</v>
      </c>
      <c r="FJ20" s="60" t="e">
        <v>#VALUE!</v>
      </c>
      <c r="FK20" t="e">
        <f>AND('BBP complete'!A105,"AAAAAGnX96Y=")</f>
        <v>#VALUE!</v>
      </c>
      <c r="FL20" t="e">
        <f>AND('BBP complete'!B105,"AAAAAGnX96c=")</f>
        <v>#VALUE!</v>
      </c>
      <c r="FM20" t="e">
        <f>AND('BBP complete'!C105,"AAAAAGnX96g=")</f>
        <v>#VALUE!</v>
      </c>
      <c r="FN20" t="e">
        <f>AND('BBP complete'!D105,"AAAAAGnX96k=")</f>
        <v>#VALUE!</v>
      </c>
      <c r="FO20" t="e">
        <f>AND('BBP complete'!E105,"AAAAAGnX96o=")</f>
        <v>#VALUE!</v>
      </c>
      <c r="FP20" t="e">
        <f>AND('BBP complete'!F105,"AAAAAGnX96s=")</f>
        <v>#VALUE!</v>
      </c>
      <c r="FQ20" t="e">
        <f>AND('BBP complete'!G105,"AAAAAGnX96w=")</f>
        <v>#VALUE!</v>
      </c>
      <c r="FR20" t="e">
        <f>AND('BBP complete'!H105,"AAAAAGnX960=")</f>
        <v>#VALUE!</v>
      </c>
      <c r="FS20" t="e">
        <f>AND('BBP complete'!I105,"AAAAAGnX964=")</f>
        <v>#VALUE!</v>
      </c>
      <c r="FT20" t="e">
        <f>AND('BBP complete'!J105,"AAAAAGnX968=")</f>
        <v>#VALUE!</v>
      </c>
      <c r="FU20" s="60" t="e">
        <v>#VALUE!</v>
      </c>
      <c r="FV20" t="e">
        <f>AND('BBP complete'!A106,"AAAAAGnX97E=")</f>
        <v>#VALUE!</v>
      </c>
      <c r="FW20" t="e">
        <f>AND('BBP complete'!B106,"AAAAAGnX97I=")</f>
        <v>#VALUE!</v>
      </c>
      <c r="FX20" t="e">
        <f>AND('BBP complete'!C106,"AAAAAGnX97M=")</f>
        <v>#VALUE!</v>
      </c>
      <c r="FY20" t="e">
        <f>AND('BBP complete'!D106,"AAAAAGnX97Q=")</f>
        <v>#VALUE!</v>
      </c>
      <c r="FZ20" t="e">
        <f>AND('BBP complete'!E106,"AAAAAGnX97U=")</f>
        <v>#VALUE!</v>
      </c>
      <c r="GA20" t="e">
        <f>AND('BBP complete'!F106,"AAAAAGnX97Y=")</f>
        <v>#VALUE!</v>
      </c>
      <c r="GB20" t="e">
        <f>AND('BBP complete'!G106,"AAAAAGnX97c=")</f>
        <v>#VALUE!</v>
      </c>
      <c r="GC20" t="e">
        <f>AND('BBP complete'!H106,"AAAAAGnX97g=")</f>
        <v>#VALUE!</v>
      </c>
      <c r="GD20" t="e">
        <f>AND('BBP complete'!I106,"AAAAAGnX97k=")</f>
        <v>#VALUE!</v>
      </c>
      <c r="GE20" t="e">
        <f>AND('BBP complete'!J106,"AAAAAGnX97o=")</f>
        <v>#VALUE!</v>
      </c>
      <c r="GF20" s="60" t="e">
        <v>#VALUE!</v>
      </c>
      <c r="GG20" t="e">
        <f>AND('BBP complete'!A107,"AAAAAGnX97w=")</f>
        <v>#VALUE!</v>
      </c>
      <c r="GH20" t="e">
        <f>AND('BBP complete'!B107,"AAAAAGnX970=")</f>
        <v>#VALUE!</v>
      </c>
      <c r="GI20" t="e">
        <f>AND('BBP complete'!C107,"AAAAAGnX974=")</f>
        <v>#VALUE!</v>
      </c>
      <c r="GJ20" t="e">
        <f>AND('BBP complete'!D107,"AAAAAGnX978=")</f>
        <v>#VALUE!</v>
      </c>
      <c r="GK20" t="e">
        <f>AND('BBP complete'!E107,"AAAAAGnX98A=")</f>
        <v>#VALUE!</v>
      </c>
      <c r="GL20" t="e">
        <f>AND('BBP complete'!F107,"AAAAAGnX98E=")</f>
        <v>#VALUE!</v>
      </c>
      <c r="GM20" t="e">
        <f>AND('BBP complete'!G107,"AAAAAGnX98I=")</f>
        <v>#VALUE!</v>
      </c>
      <c r="GN20" t="e">
        <f>AND('BBP complete'!H107,"AAAAAGnX98M=")</f>
        <v>#VALUE!</v>
      </c>
      <c r="GO20" t="e">
        <f>AND('BBP complete'!I107,"AAAAAGnX98Q=")</f>
        <v>#VALUE!</v>
      </c>
      <c r="GP20" t="e">
        <f>AND('BBP complete'!J107,"AAAAAGnX98U=")</f>
        <v>#VALUE!</v>
      </c>
      <c r="GQ20" s="60" t="e">
        <v>#VALUE!</v>
      </c>
      <c r="GR20" t="e">
        <f>AND('BBP complete'!A108,"AAAAAGnX98c=")</f>
        <v>#VALUE!</v>
      </c>
      <c r="GS20" t="e">
        <f>AND('BBP complete'!B108,"AAAAAGnX98g=")</f>
        <v>#VALUE!</v>
      </c>
      <c r="GT20" t="e">
        <f>AND('BBP complete'!C108,"AAAAAGnX98k=")</f>
        <v>#VALUE!</v>
      </c>
      <c r="GU20" t="e">
        <f>AND('BBP complete'!D108,"AAAAAGnX98o=")</f>
        <v>#VALUE!</v>
      </c>
      <c r="GV20" t="e">
        <f>AND('BBP complete'!E108,"AAAAAGnX98s=")</f>
        <v>#VALUE!</v>
      </c>
      <c r="GW20" t="e">
        <f>AND('BBP complete'!F108,"AAAAAGnX98w=")</f>
        <v>#VALUE!</v>
      </c>
      <c r="GX20" t="e">
        <f>AND('BBP complete'!G108,"AAAAAGnX980=")</f>
        <v>#VALUE!</v>
      </c>
      <c r="GY20" t="e">
        <f>AND('BBP complete'!H108,"AAAAAGnX984=")</f>
        <v>#VALUE!</v>
      </c>
      <c r="GZ20" t="e">
        <f>AND('BBP complete'!I108,"AAAAAGnX988=")</f>
        <v>#VALUE!</v>
      </c>
      <c r="HA20" t="e">
        <f>AND('BBP complete'!J108,"AAAAAGnX99A=")</f>
        <v>#VALUE!</v>
      </c>
      <c r="HB20" s="60" t="e">
        <v>#VALUE!</v>
      </c>
      <c r="HC20" t="e">
        <f>AND('BBP complete'!A109,"AAAAAGnX99I=")</f>
        <v>#VALUE!</v>
      </c>
      <c r="HD20" t="e">
        <f>AND('BBP complete'!B109,"AAAAAGnX99M=")</f>
        <v>#VALUE!</v>
      </c>
      <c r="HE20" t="e">
        <f>AND('BBP complete'!C109,"AAAAAGnX99Q=")</f>
        <v>#VALUE!</v>
      </c>
      <c r="HF20" t="e">
        <f>AND('BBP complete'!D109,"AAAAAGnX99U=")</f>
        <v>#VALUE!</v>
      </c>
      <c r="HG20" t="e">
        <f>AND('BBP complete'!E109,"AAAAAGnX99Y=")</f>
        <v>#VALUE!</v>
      </c>
      <c r="HH20" t="e">
        <f>AND('BBP complete'!F109,"AAAAAGnX99c=")</f>
        <v>#VALUE!</v>
      </c>
      <c r="HI20" t="e">
        <f>AND('BBP complete'!G109,"AAAAAGnX99g=")</f>
        <v>#VALUE!</v>
      </c>
      <c r="HJ20" t="e">
        <f>AND('BBP complete'!H109,"AAAAAGnX99k=")</f>
        <v>#VALUE!</v>
      </c>
      <c r="HK20" t="e">
        <f>AND('BBP complete'!I109,"AAAAAGnX99o=")</f>
        <v>#VALUE!</v>
      </c>
      <c r="HL20" t="e">
        <f>AND('BBP complete'!J109,"AAAAAGnX99s=")</f>
        <v>#VALUE!</v>
      </c>
      <c r="HM20" s="60" t="e">
        <v>#VALUE!</v>
      </c>
      <c r="HN20" t="e">
        <f>AND('BBP complete'!A110,"AAAAAGnX990=")</f>
        <v>#VALUE!</v>
      </c>
      <c r="HO20" t="e">
        <f>AND('BBP complete'!B110,"AAAAAGnX994=")</f>
        <v>#VALUE!</v>
      </c>
      <c r="HP20" t="e">
        <f>AND('BBP complete'!C110,"AAAAAGnX998=")</f>
        <v>#VALUE!</v>
      </c>
      <c r="HQ20" t="e">
        <f>AND('BBP complete'!D110,"AAAAAGnX9+A=")</f>
        <v>#VALUE!</v>
      </c>
      <c r="HR20" t="e">
        <f>AND('BBP complete'!E110,"AAAAAGnX9+E=")</f>
        <v>#VALUE!</v>
      </c>
      <c r="HS20" t="e">
        <f>AND('BBP complete'!F110,"AAAAAGnX9+I=")</f>
        <v>#VALUE!</v>
      </c>
      <c r="HT20" t="e">
        <f>AND('BBP complete'!G110,"AAAAAGnX9+M=")</f>
        <v>#VALUE!</v>
      </c>
      <c r="HU20" t="e">
        <f>AND('BBP complete'!H110,"AAAAAGnX9+Q=")</f>
        <v>#VALUE!</v>
      </c>
      <c r="HV20" t="e">
        <f>AND('BBP complete'!I110,"AAAAAGnX9+U=")</f>
        <v>#VALUE!</v>
      </c>
      <c r="HW20" t="e">
        <f>AND('BBP complete'!J110,"AAAAAGnX9+Y=")</f>
        <v>#VALUE!</v>
      </c>
      <c r="HX20" s="60" t="e">
        <v>#VALUE!</v>
      </c>
      <c r="HY20" t="e">
        <f>AND('BBP complete'!A111,"AAAAAGnX9+g=")</f>
        <v>#VALUE!</v>
      </c>
      <c r="HZ20" t="e">
        <f>AND('BBP complete'!B111,"AAAAAGnX9+k=")</f>
        <v>#VALUE!</v>
      </c>
      <c r="IA20" t="e">
        <f>AND('BBP complete'!C111,"AAAAAGnX9+o=")</f>
        <v>#VALUE!</v>
      </c>
      <c r="IB20" t="e">
        <f>AND('BBP complete'!D111,"AAAAAGnX9+s=")</f>
        <v>#VALUE!</v>
      </c>
      <c r="IC20" t="e">
        <f>AND('BBP complete'!E111,"AAAAAGnX9+w=")</f>
        <v>#VALUE!</v>
      </c>
      <c r="ID20" t="e">
        <f>AND('BBP complete'!F111,"AAAAAGnX9+0=")</f>
        <v>#VALUE!</v>
      </c>
      <c r="IE20" t="e">
        <f>AND('BBP complete'!G111,"AAAAAGnX9+4=")</f>
        <v>#VALUE!</v>
      </c>
      <c r="IF20" t="e">
        <f>AND('BBP complete'!H111,"AAAAAGnX9+8=")</f>
        <v>#VALUE!</v>
      </c>
      <c r="IG20" t="e">
        <f>AND('BBP complete'!I111,"AAAAAGnX9/A=")</f>
        <v>#VALUE!</v>
      </c>
      <c r="IH20" t="e">
        <f>AND('BBP complete'!J111,"AAAAAGnX9/E=")</f>
        <v>#VALUE!</v>
      </c>
      <c r="II20" s="60" t="e">
        <v>#VALUE!</v>
      </c>
      <c r="IJ20" t="e">
        <f>AND('BBP complete'!A112,"AAAAAGnX9/M=")</f>
        <v>#VALUE!</v>
      </c>
      <c r="IK20" t="e">
        <f>AND('BBP complete'!B112,"AAAAAGnX9/Q=")</f>
        <v>#VALUE!</v>
      </c>
      <c r="IL20" t="e">
        <f>AND('BBP complete'!C112,"AAAAAGnX9/U=")</f>
        <v>#VALUE!</v>
      </c>
      <c r="IM20" t="e">
        <f>AND('BBP complete'!D112,"AAAAAGnX9/Y=")</f>
        <v>#VALUE!</v>
      </c>
      <c r="IN20" t="e">
        <f>AND('BBP complete'!E112,"AAAAAGnX9/c=")</f>
        <v>#VALUE!</v>
      </c>
      <c r="IO20" t="e">
        <f>AND('BBP complete'!F112,"AAAAAGnX9/g=")</f>
        <v>#VALUE!</v>
      </c>
      <c r="IP20" t="e">
        <f>AND('BBP complete'!G112,"AAAAAGnX9/k=")</f>
        <v>#VALUE!</v>
      </c>
      <c r="IQ20" t="e">
        <f>AND('BBP complete'!H112,"AAAAAGnX9/o=")</f>
        <v>#VALUE!</v>
      </c>
      <c r="IR20" t="e">
        <f>AND('BBP complete'!I112,"AAAAAGnX9/s=")</f>
        <v>#VALUE!</v>
      </c>
      <c r="IS20" t="e">
        <f>AND('BBP complete'!J112,"AAAAAGnX9/w=")</f>
        <v>#VALUE!</v>
      </c>
      <c r="IT20" s="60" t="e">
        <v>#VALUE!</v>
      </c>
      <c r="IU20" t="e">
        <f>AND('BBP complete'!A113,"AAAAAGnX9/4=")</f>
        <v>#VALUE!</v>
      </c>
      <c r="IV20" t="e">
        <f>AND('BBP complete'!B113,"AAAAAGnX9/8=")</f>
        <v>#VALUE!</v>
      </c>
    </row>
    <row r="21" spans="1:256" ht="15" customHeight="1" x14ac:dyDescent="0.25">
      <c r="A21" t="e">
        <f>AND('BBP complete'!C113,"AAAAAE5zPQA=")</f>
        <v>#VALUE!</v>
      </c>
      <c r="B21" t="e">
        <f>AND('BBP complete'!D113,"AAAAAE5zPQE=")</f>
        <v>#VALUE!</v>
      </c>
      <c r="C21" t="e">
        <f>AND('BBP complete'!E113,"AAAAAE5zPQI=")</f>
        <v>#VALUE!</v>
      </c>
      <c r="D21" t="e">
        <f>AND('BBP complete'!F113,"AAAAAE5zPQM=")</f>
        <v>#VALUE!</v>
      </c>
      <c r="E21" t="e">
        <f>AND('BBP complete'!G113,"AAAAAE5zPQQ=")</f>
        <v>#VALUE!</v>
      </c>
      <c r="F21" t="e">
        <f>AND('BBP complete'!H113,"AAAAAE5zPQU=")</f>
        <v>#VALUE!</v>
      </c>
      <c r="G21" t="e">
        <f>AND('BBP complete'!I113,"AAAAAE5zPQY=")</f>
        <v>#VALUE!</v>
      </c>
      <c r="H21" t="e">
        <f>AND('BBP complete'!J113,"AAAAAE5zPQc=")</f>
        <v>#VALUE!</v>
      </c>
      <c r="I21" s="60" t="e">
        <v>#VALUE!</v>
      </c>
      <c r="J21" t="e">
        <f>AND('BBP complete'!A114,"AAAAAE5zPQk=")</f>
        <v>#VALUE!</v>
      </c>
      <c r="K21" t="e">
        <f>AND('BBP complete'!B114,"AAAAAE5zPQo=")</f>
        <v>#VALUE!</v>
      </c>
      <c r="L21" t="e">
        <f>AND('BBP complete'!C114,"AAAAAE5zPQs=")</f>
        <v>#VALUE!</v>
      </c>
      <c r="M21" t="e">
        <f>AND('BBP complete'!D114,"AAAAAE5zPQw=")</f>
        <v>#VALUE!</v>
      </c>
      <c r="N21" t="e">
        <f>AND('BBP complete'!E114,"AAAAAE5zPQ0=")</f>
        <v>#VALUE!</v>
      </c>
      <c r="O21" t="e">
        <f>AND('BBP complete'!F114,"AAAAAE5zPQ4=")</f>
        <v>#VALUE!</v>
      </c>
      <c r="P21" t="e">
        <f>AND('BBP complete'!G114,"AAAAAE5zPQ8=")</f>
        <v>#VALUE!</v>
      </c>
      <c r="Q21" t="e">
        <f>AND('BBP complete'!H114,"AAAAAE5zPRA=")</f>
        <v>#VALUE!</v>
      </c>
      <c r="R21" t="e">
        <f>AND('BBP complete'!I114,"AAAAAE5zPRE=")</f>
        <v>#VALUE!</v>
      </c>
      <c r="S21" t="e">
        <f>AND('BBP complete'!J114,"AAAAAE5zPRI=")</f>
        <v>#VALUE!</v>
      </c>
      <c r="T21" s="60" t="e">
        <v>#VALUE!</v>
      </c>
      <c r="U21" t="e">
        <f>AND('BBP complete'!A115,"AAAAAE5zPRQ=")</f>
        <v>#VALUE!</v>
      </c>
      <c r="V21" t="e">
        <f>AND('BBP complete'!B115,"AAAAAE5zPRU=")</f>
        <v>#VALUE!</v>
      </c>
      <c r="W21" t="e">
        <f>AND('BBP complete'!C115,"AAAAAE5zPRY=")</f>
        <v>#VALUE!</v>
      </c>
      <c r="X21" t="e">
        <f>AND('BBP complete'!D115,"AAAAAE5zPRc=")</f>
        <v>#VALUE!</v>
      </c>
      <c r="Y21" t="e">
        <f>AND('BBP complete'!E115,"AAAAAE5zPRg=")</f>
        <v>#VALUE!</v>
      </c>
      <c r="Z21" t="e">
        <f>AND('BBP complete'!F115,"AAAAAE5zPRk=")</f>
        <v>#VALUE!</v>
      </c>
      <c r="AA21" t="e">
        <f>AND('BBP complete'!G115,"AAAAAE5zPRo=")</f>
        <v>#VALUE!</v>
      </c>
      <c r="AB21" t="e">
        <f>AND('BBP complete'!H115,"AAAAAE5zPRs=")</f>
        <v>#VALUE!</v>
      </c>
      <c r="AC21" t="e">
        <f>AND('BBP complete'!I115,"AAAAAE5zPRw=")</f>
        <v>#VALUE!</v>
      </c>
      <c r="AD21" t="e">
        <f>AND('BBP complete'!J115,"AAAAAE5zPR0=")</f>
        <v>#VALUE!</v>
      </c>
      <c r="AE21" s="60" t="e">
        <v>#VALUE!</v>
      </c>
      <c r="AF21" t="e">
        <f>AND('BBP complete'!A116,"AAAAAE5zPR8=")</f>
        <v>#VALUE!</v>
      </c>
      <c r="AG21" t="e">
        <f>AND('BBP complete'!B116,"AAAAAE5zPSA=")</f>
        <v>#VALUE!</v>
      </c>
      <c r="AH21" t="e">
        <f>AND('BBP complete'!C116,"AAAAAE5zPSE=")</f>
        <v>#VALUE!</v>
      </c>
      <c r="AI21" t="e">
        <f>AND('BBP complete'!D116,"AAAAAE5zPSI=")</f>
        <v>#VALUE!</v>
      </c>
      <c r="AJ21" t="e">
        <f>AND('BBP complete'!E116,"AAAAAE5zPSM=")</f>
        <v>#VALUE!</v>
      </c>
      <c r="AK21" t="e">
        <f>AND('BBP complete'!F116,"AAAAAE5zPSQ=")</f>
        <v>#VALUE!</v>
      </c>
      <c r="AL21" t="e">
        <f>AND('BBP complete'!G116,"AAAAAE5zPSU=")</f>
        <v>#VALUE!</v>
      </c>
      <c r="AM21" t="e">
        <f>AND('BBP complete'!H116,"AAAAAE5zPSY=")</f>
        <v>#VALUE!</v>
      </c>
      <c r="AN21" t="e">
        <f>AND('BBP complete'!I116,"AAAAAE5zPSc=")</f>
        <v>#VALUE!</v>
      </c>
      <c r="AO21" t="e">
        <f>AND('BBP complete'!J116,"AAAAAE5zPSg=")</f>
        <v>#VALUE!</v>
      </c>
      <c r="AP21" s="60" t="e">
        <v>#VALUE!</v>
      </c>
      <c r="AQ21" t="e">
        <f>AND('BBP complete'!A117,"AAAAAE5zPSo=")</f>
        <v>#VALUE!</v>
      </c>
      <c r="AR21" t="e">
        <f>AND('BBP complete'!B117,"AAAAAE5zPSs=")</f>
        <v>#VALUE!</v>
      </c>
      <c r="AS21" t="e">
        <f>AND('BBP complete'!C117,"AAAAAE5zPSw=")</f>
        <v>#VALUE!</v>
      </c>
      <c r="AT21" t="e">
        <f>AND('BBP complete'!D117,"AAAAAE5zPS0=")</f>
        <v>#VALUE!</v>
      </c>
      <c r="AU21" t="e">
        <f>AND('BBP complete'!E117,"AAAAAE5zPS4=")</f>
        <v>#VALUE!</v>
      </c>
      <c r="AV21" t="e">
        <f>AND('BBP complete'!F117,"AAAAAE5zPS8=")</f>
        <v>#VALUE!</v>
      </c>
      <c r="AW21" t="e">
        <f>AND('BBP complete'!G117,"AAAAAE5zPTA=")</f>
        <v>#VALUE!</v>
      </c>
      <c r="AX21" t="e">
        <f>AND('BBP complete'!H117,"AAAAAE5zPTE=")</f>
        <v>#VALUE!</v>
      </c>
      <c r="AY21" t="e">
        <f>AND('BBP complete'!I117,"AAAAAE5zPTI=")</f>
        <v>#VALUE!</v>
      </c>
      <c r="AZ21" t="e">
        <f>AND('BBP complete'!J117,"AAAAAE5zPTM=")</f>
        <v>#VALUE!</v>
      </c>
      <c r="BA21" s="60" t="e">
        <v>#VALUE!</v>
      </c>
      <c r="BB21" t="e">
        <f>AND('BBP complete'!A118,"AAAAAE5zPTU=")</f>
        <v>#VALUE!</v>
      </c>
      <c r="BC21" t="e">
        <f>AND('BBP complete'!B118,"AAAAAE5zPTY=")</f>
        <v>#VALUE!</v>
      </c>
      <c r="BD21" t="e">
        <f>AND('BBP complete'!C118,"AAAAAE5zPTc=")</f>
        <v>#VALUE!</v>
      </c>
      <c r="BE21" t="e">
        <f>AND('BBP complete'!D118,"AAAAAE5zPTg=")</f>
        <v>#VALUE!</v>
      </c>
      <c r="BF21" t="e">
        <f>AND('BBP complete'!E118,"AAAAAE5zPTk=")</f>
        <v>#VALUE!</v>
      </c>
      <c r="BG21" t="e">
        <f>AND('BBP complete'!F118,"AAAAAE5zPTo=")</f>
        <v>#VALUE!</v>
      </c>
      <c r="BH21" t="e">
        <f>AND('BBP complete'!G118,"AAAAAE5zPTs=")</f>
        <v>#VALUE!</v>
      </c>
      <c r="BI21" t="e">
        <f>AND('BBP complete'!H118,"AAAAAE5zPTw=")</f>
        <v>#VALUE!</v>
      </c>
      <c r="BJ21" t="e">
        <f>AND('BBP complete'!I118,"AAAAAE5zPT0=")</f>
        <v>#VALUE!</v>
      </c>
      <c r="BK21" t="e">
        <f>AND('BBP complete'!J118,"AAAAAE5zPT4=")</f>
        <v>#VALUE!</v>
      </c>
      <c r="BL21" s="60" t="e">
        <v>#VALUE!</v>
      </c>
      <c r="BM21" t="e">
        <f>AND('BBP complete'!A119,"AAAAAE5zPUA=")</f>
        <v>#VALUE!</v>
      </c>
      <c r="BN21" t="e">
        <f>AND('BBP complete'!B119,"AAAAAE5zPUE=")</f>
        <v>#VALUE!</v>
      </c>
      <c r="BO21" t="e">
        <f>AND('BBP complete'!C119,"AAAAAE5zPUI=")</f>
        <v>#VALUE!</v>
      </c>
      <c r="BP21" t="e">
        <f>AND('BBP complete'!D119,"AAAAAE5zPUM=")</f>
        <v>#VALUE!</v>
      </c>
      <c r="BQ21" t="e">
        <f>AND('BBP complete'!E119,"AAAAAE5zPUQ=")</f>
        <v>#VALUE!</v>
      </c>
      <c r="BR21" t="e">
        <f>AND('BBP complete'!F119,"AAAAAE5zPUU=")</f>
        <v>#VALUE!</v>
      </c>
      <c r="BS21" t="e">
        <f>AND('BBP complete'!G119,"AAAAAE5zPUY=")</f>
        <v>#VALUE!</v>
      </c>
      <c r="BT21" t="e">
        <f>AND('BBP complete'!H119,"AAAAAE5zPUc=")</f>
        <v>#VALUE!</v>
      </c>
      <c r="BU21" t="e">
        <f>AND('BBP complete'!I119,"AAAAAE5zPUg=")</f>
        <v>#VALUE!</v>
      </c>
      <c r="BV21" t="e">
        <f>AND('BBP complete'!J119,"AAAAAE5zPUk=")</f>
        <v>#VALUE!</v>
      </c>
      <c r="BW21" s="60" t="e">
        <v>#VALUE!</v>
      </c>
      <c r="BX21" t="e">
        <f>AND('BBP complete'!A120,"AAAAAE5zPUs=")</f>
        <v>#VALUE!</v>
      </c>
      <c r="BY21" t="e">
        <f>AND('BBP complete'!B120,"AAAAAE5zPUw=")</f>
        <v>#VALUE!</v>
      </c>
      <c r="BZ21" t="e">
        <f>AND('BBP complete'!C120,"AAAAAE5zPU0=")</f>
        <v>#VALUE!</v>
      </c>
      <c r="CA21" t="e">
        <f>AND('BBP complete'!D120,"AAAAAE5zPU4=")</f>
        <v>#VALUE!</v>
      </c>
      <c r="CB21" t="e">
        <f>AND('BBP complete'!E120,"AAAAAE5zPU8=")</f>
        <v>#VALUE!</v>
      </c>
      <c r="CC21" t="e">
        <f>AND('BBP complete'!F120,"AAAAAE5zPVA=")</f>
        <v>#VALUE!</v>
      </c>
      <c r="CD21" t="e">
        <f>AND('BBP complete'!G120,"AAAAAE5zPVE=")</f>
        <v>#VALUE!</v>
      </c>
      <c r="CE21" t="e">
        <f>AND('BBP complete'!H120,"AAAAAE5zPVI=")</f>
        <v>#VALUE!</v>
      </c>
      <c r="CF21" t="e">
        <f>AND('BBP complete'!I120,"AAAAAE5zPVM=")</f>
        <v>#VALUE!</v>
      </c>
      <c r="CG21" t="e">
        <f>AND('BBP complete'!J120,"AAAAAE5zPVQ=")</f>
        <v>#VALUE!</v>
      </c>
      <c r="CH21" s="60" t="e">
        <v>#VALUE!</v>
      </c>
      <c r="CI21" t="e">
        <f>AND('BBP complete'!A122,"AAAAAE5zPVY=")</f>
        <v>#VALUE!</v>
      </c>
      <c r="CJ21" t="e">
        <f>AND('BBP complete'!B122,"AAAAAE5zPVc=")</f>
        <v>#VALUE!</v>
      </c>
      <c r="CK21" t="e">
        <f>AND('BBP complete'!C122,"AAAAAE5zPVg=")</f>
        <v>#VALUE!</v>
      </c>
      <c r="CL21" t="e">
        <f>AND('BBP complete'!D122,"AAAAAE5zPVk=")</f>
        <v>#VALUE!</v>
      </c>
      <c r="CM21" t="e">
        <f>AND('BBP complete'!E122,"AAAAAE5zPVo=")</f>
        <v>#VALUE!</v>
      </c>
      <c r="CN21" t="e">
        <f>AND('BBP complete'!F122,"AAAAAE5zPVs=")</f>
        <v>#VALUE!</v>
      </c>
      <c r="CO21" t="e">
        <f>AND('BBP complete'!G122,"AAAAAE5zPVw=")</f>
        <v>#VALUE!</v>
      </c>
      <c r="CP21" t="e">
        <f>AND('BBP complete'!H122,"AAAAAE5zPV0=")</f>
        <v>#VALUE!</v>
      </c>
      <c r="CQ21" t="e">
        <f>AND('BBP complete'!I122,"AAAAAE5zPV4=")</f>
        <v>#VALUE!</v>
      </c>
      <c r="CR21" s="60" t="e">
        <v>#VALUE!</v>
      </c>
      <c r="CS21" t="e">
        <f>AND('BBP complete'!A123,"AAAAAE5zPWA=")</f>
        <v>#VALUE!</v>
      </c>
      <c r="CT21" t="e">
        <f>AND('BBP complete'!B123,"AAAAAE5zPWE=")</f>
        <v>#VALUE!</v>
      </c>
      <c r="CU21" t="e">
        <f>AND('BBP complete'!C123,"AAAAAE5zPWI=")</f>
        <v>#VALUE!</v>
      </c>
      <c r="CV21" t="e">
        <f>AND('BBP complete'!D123,"AAAAAE5zPWM=")</f>
        <v>#VALUE!</v>
      </c>
      <c r="CW21" t="e">
        <f>AND('BBP complete'!E123,"AAAAAE5zPWQ=")</f>
        <v>#VALUE!</v>
      </c>
      <c r="CX21" t="e">
        <f>AND('BBP complete'!F123,"AAAAAE5zPWU=")</f>
        <v>#VALUE!</v>
      </c>
      <c r="CY21" t="e">
        <f>AND('BBP complete'!G123,"AAAAAE5zPWY=")</f>
        <v>#VALUE!</v>
      </c>
      <c r="CZ21" t="e">
        <f>AND('BBP complete'!H123,"AAAAAE5zPWc=")</f>
        <v>#VALUE!</v>
      </c>
      <c r="DA21" t="e">
        <f>AND('BBP complete'!I123,"AAAAAE5zPWg=")</f>
        <v>#VALUE!</v>
      </c>
      <c r="DB21" s="60" t="e">
        <v>#VALUE!</v>
      </c>
      <c r="DC21" t="e">
        <f>AND('BBP complete'!A124,"AAAAAE5zPWo=")</f>
        <v>#VALUE!</v>
      </c>
      <c r="DD21" t="e">
        <f>AND('BBP complete'!B124,"AAAAAE5zPWs=")</f>
        <v>#VALUE!</v>
      </c>
      <c r="DE21" t="e">
        <f>AND('BBP complete'!C124,"AAAAAE5zPWw=")</f>
        <v>#VALUE!</v>
      </c>
      <c r="DF21" t="e">
        <f>AND('BBP complete'!D124,"AAAAAE5zPW0=")</f>
        <v>#VALUE!</v>
      </c>
      <c r="DG21" t="e">
        <f>AND('BBP complete'!E124,"AAAAAE5zPW4=")</f>
        <v>#VALUE!</v>
      </c>
      <c r="DH21" t="e">
        <f>AND('BBP complete'!F124,"AAAAAE5zPW8=")</f>
        <v>#VALUE!</v>
      </c>
      <c r="DI21" t="e">
        <f>AND('BBP complete'!G124,"AAAAAE5zPXA=")</f>
        <v>#VALUE!</v>
      </c>
      <c r="DJ21" t="e">
        <f>AND('BBP complete'!H124,"AAAAAE5zPXE=")</f>
        <v>#VALUE!</v>
      </c>
      <c r="DK21" t="e">
        <f>AND('BBP complete'!I124,"AAAAAE5zPXI=")</f>
        <v>#VALUE!</v>
      </c>
      <c r="DL21" s="60" t="e">
        <v>#VALUE!</v>
      </c>
      <c r="DM21" t="e">
        <f>AND('BBP complete'!A125,"AAAAAE5zPXQ=")</f>
        <v>#VALUE!</v>
      </c>
      <c r="DN21" t="e">
        <f>AND('BBP complete'!B125,"AAAAAE5zPXU=")</f>
        <v>#VALUE!</v>
      </c>
      <c r="DO21" t="e">
        <f>AND('BBP complete'!C125,"AAAAAE5zPXY=")</f>
        <v>#VALUE!</v>
      </c>
      <c r="DP21" t="e">
        <f>AND('BBP complete'!D125,"AAAAAE5zPXc=")</f>
        <v>#VALUE!</v>
      </c>
      <c r="DQ21" t="e">
        <f>AND('BBP complete'!E125,"AAAAAE5zPXg=")</f>
        <v>#VALUE!</v>
      </c>
      <c r="DR21" t="e">
        <f>AND('BBP complete'!F125,"AAAAAE5zPXk=")</f>
        <v>#VALUE!</v>
      </c>
      <c r="DS21" t="e">
        <f>AND('BBP complete'!G125,"AAAAAE5zPXo=")</f>
        <v>#VALUE!</v>
      </c>
      <c r="DT21" t="e">
        <f>AND('BBP complete'!H125,"AAAAAE5zPXs=")</f>
        <v>#VALUE!</v>
      </c>
      <c r="DU21" t="e">
        <f>AND('BBP complete'!I125,"AAAAAE5zPXw=")</f>
        <v>#VALUE!</v>
      </c>
      <c r="DV21" s="60" t="e">
        <v>#VALUE!</v>
      </c>
      <c r="DW21" t="e">
        <f>AND('BBP complete'!A126,"AAAAAE5zPX4=")</f>
        <v>#VALUE!</v>
      </c>
      <c r="DX21" t="e">
        <f>AND('BBP complete'!B126,"AAAAAE5zPX8=")</f>
        <v>#VALUE!</v>
      </c>
      <c r="DY21" t="e">
        <f>AND('BBP complete'!C126,"AAAAAE5zPYA=")</f>
        <v>#VALUE!</v>
      </c>
      <c r="DZ21" t="e">
        <f>AND('BBP complete'!D126,"AAAAAE5zPYE=")</f>
        <v>#VALUE!</v>
      </c>
      <c r="EA21" t="e">
        <f>AND('BBP complete'!E126,"AAAAAE5zPYI=")</f>
        <v>#VALUE!</v>
      </c>
      <c r="EB21" t="e">
        <f>AND('BBP complete'!F126,"AAAAAE5zPYM=")</f>
        <v>#VALUE!</v>
      </c>
      <c r="EC21" t="e">
        <f>AND('BBP complete'!G126,"AAAAAE5zPYQ=")</f>
        <v>#VALUE!</v>
      </c>
      <c r="ED21" t="e">
        <f>AND('BBP complete'!H126,"AAAAAE5zPYU=")</f>
        <v>#VALUE!</v>
      </c>
      <c r="EE21" t="e">
        <f>AND('BBP complete'!I126,"AAAAAE5zPYY=")</f>
        <v>#VALUE!</v>
      </c>
      <c r="EF21" s="60" t="e">
        <v>#VALUE!</v>
      </c>
      <c r="EG21" t="e">
        <f>AND('BBP complete'!A127,"AAAAAE5zPYg=")</f>
        <v>#VALUE!</v>
      </c>
      <c r="EH21" t="e">
        <f>AND('BBP complete'!B127,"AAAAAE5zPYk=")</f>
        <v>#VALUE!</v>
      </c>
      <c r="EI21" t="e">
        <f>AND('BBP complete'!C127,"AAAAAE5zPYo=")</f>
        <v>#VALUE!</v>
      </c>
      <c r="EJ21" t="e">
        <f>AND('BBP complete'!D127,"AAAAAE5zPYs=")</f>
        <v>#VALUE!</v>
      </c>
      <c r="EK21" t="e">
        <f>AND('BBP complete'!E127,"AAAAAE5zPYw=")</f>
        <v>#VALUE!</v>
      </c>
      <c r="EL21" t="e">
        <f>AND('BBP complete'!F127,"AAAAAE5zPY0=")</f>
        <v>#VALUE!</v>
      </c>
      <c r="EM21" t="e">
        <f>AND('BBP complete'!G127,"AAAAAE5zPY4=")</f>
        <v>#VALUE!</v>
      </c>
      <c r="EN21" t="e">
        <f>AND('BBP complete'!H127,"AAAAAE5zPY8=")</f>
        <v>#VALUE!</v>
      </c>
      <c r="EO21" t="e">
        <f>AND('BBP complete'!I127,"AAAAAE5zPZA=")</f>
        <v>#VALUE!</v>
      </c>
      <c r="EP21" s="60" t="e">
        <v>#VALUE!</v>
      </c>
      <c r="EQ21" t="e">
        <f>AND('BBP complete'!A128,"AAAAAE5zPZI=")</f>
        <v>#VALUE!</v>
      </c>
      <c r="ER21" t="e">
        <f>AND('BBP complete'!B128,"AAAAAE5zPZM=")</f>
        <v>#VALUE!</v>
      </c>
      <c r="ES21" t="e">
        <f>AND('BBP complete'!C128,"AAAAAE5zPZQ=")</f>
        <v>#VALUE!</v>
      </c>
      <c r="ET21" t="e">
        <f>AND('BBP complete'!D128,"AAAAAE5zPZU=")</f>
        <v>#VALUE!</v>
      </c>
      <c r="EU21" t="e">
        <f>AND('BBP complete'!E128,"AAAAAE5zPZY=")</f>
        <v>#VALUE!</v>
      </c>
      <c r="EV21" t="e">
        <f>AND('BBP complete'!F128,"AAAAAE5zPZc=")</f>
        <v>#VALUE!</v>
      </c>
      <c r="EW21" t="e">
        <f>AND('BBP complete'!G128,"AAAAAE5zPZg=")</f>
        <v>#VALUE!</v>
      </c>
      <c r="EX21" t="e">
        <f>AND('BBP complete'!H128,"AAAAAE5zPZk=")</f>
        <v>#VALUE!</v>
      </c>
      <c r="EY21" t="e">
        <f>AND('BBP complete'!I128,"AAAAAE5zPZo=")</f>
        <v>#VALUE!</v>
      </c>
      <c r="EZ21" s="60" t="e">
        <v>#VALUE!</v>
      </c>
      <c r="FA21" t="e">
        <f>AND('BBP complete'!A129,"AAAAAE5zPZw=")</f>
        <v>#VALUE!</v>
      </c>
      <c r="FB21" t="e">
        <f>AND('BBP complete'!B129,"AAAAAE5zPZ0=")</f>
        <v>#VALUE!</v>
      </c>
      <c r="FC21" t="e">
        <f>AND('BBP complete'!C129,"AAAAAE5zPZ4=")</f>
        <v>#VALUE!</v>
      </c>
      <c r="FD21" t="e">
        <f>AND('BBP complete'!D129,"AAAAAE5zPZ8=")</f>
        <v>#VALUE!</v>
      </c>
      <c r="FE21" t="e">
        <f>AND('BBP complete'!E129,"AAAAAE5zPaA=")</f>
        <v>#VALUE!</v>
      </c>
      <c r="FF21" t="e">
        <f>AND('BBP complete'!F129,"AAAAAE5zPaE=")</f>
        <v>#VALUE!</v>
      </c>
      <c r="FG21" t="e">
        <f>AND('BBP complete'!G129,"AAAAAE5zPaI=")</f>
        <v>#VALUE!</v>
      </c>
      <c r="FH21" t="e">
        <f>AND('BBP complete'!H129,"AAAAAE5zPaM=")</f>
        <v>#VALUE!</v>
      </c>
      <c r="FI21" t="e">
        <f>AND('BBP complete'!I129,"AAAAAE5zPaQ=")</f>
        <v>#VALUE!</v>
      </c>
      <c r="FJ21" s="60" t="e">
        <v>#VALUE!</v>
      </c>
      <c r="FK21" t="e">
        <f>AND('BBP complete'!A130,"AAAAAE5zPaY=")</f>
        <v>#VALUE!</v>
      </c>
      <c r="FL21" t="e">
        <f>AND('BBP complete'!B130,"AAAAAE5zPac=")</f>
        <v>#VALUE!</v>
      </c>
      <c r="FM21" t="e">
        <f>AND('BBP complete'!C130,"AAAAAE5zPag=")</f>
        <v>#VALUE!</v>
      </c>
      <c r="FN21" t="e">
        <f>AND('BBP complete'!D130,"AAAAAE5zPak=")</f>
        <v>#VALUE!</v>
      </c>
      <c r="FO21" t="e">
        <f>AND('BBP complete'!E130,"AAAAAE5zPao=")</f>
        <v>#VALUE!</v>
      </c>
      <c r="FP21" t="e">
        <f>AND('BBP complete'!F130,"AAAAAE5zPas=")</f>
        <v>#VALUE!</v>
      </c>
      <c r="FQ21" t="e">
        <f>AND('BBP complete'!G130,"AAAAAE5zPaw=")</f>
        <v>#VALUE!</v>
      </c>
      <c r="FR21" t="e">
        <f>AND('BBP complete'!H130,"AAAAAE5zPa0=")</f>
        <v>#VALUE!</v>
      </c>
      <c r="FS21" t="e">
        <f>AND('BBP complete'!I130,"AAAAAE5zPa4=")</f>
        <v>#VALUE!</v>
      </c>
      <c r="FT21" s="60" t="e">
        <v>#VALUE!</v>
      </c>
      <c r="FU21" t="e">
        <f>AND('BBP complete'!A131,"AAAAAE5zPbA=")</f>
        <v>#VALUE!</v>
      </c>
      <c r="FV21" t="e">
        <f>AND('BBP complete'!B131,"AAAAAE5zPbE=")</f>
        <v>#VALUE!</v>
      </c>
      <c r="FW21" t="e">
        <f>AND('BBP complete'!C131,"AAAAAE5zPbI=")</f>
        <v>#VALUE!</v>
      </c>
      <c r="FX21" t="e">
        <f>AND('BBP complete'!D131,"AAAAAE5zPbM=")</f>
        <v>#VALUE!</v>
      </c>
      <c r="FY21" t="e">
        <f>AND('BBP complete'!E131,"AAAAAE5zPbQ=")</f>
        <v>#VALUE!</v>
      </c>
      <c r="FZ21" t="e">
        <f>AND('BBP complete'!F131,"AAAAAE5zPbU=")</f>
        <v>#VALUE!</v>
      </c>
      <c r="GA21" t="e">
        <f>AND('BBP complete'!G131,"AAAAAE5zPbY=")</f>
        <v>#VALUE!</v>
      </c>
      <c r="GB21" t="e">
        <f>AND('BBP complete'!H131,"AAAAAE5zPbc=")</f>
        <v>#VALUE!</v>
      </c>
      <c r="GC21" t="e">
        <f>AND('BBP complete'!I131,"AAAAAE5zPbg=")</f>
        <v>#VALUE!</v>
      </c>
      <c r="GD21" s="60" t="e">
        <v>#VALUE!</v>
      </c>
      <c r="GE21" t="e">
        <f>AND('BBP complete'!A132,"AAAAAE5zPbo=")</f>
        <v>#VALUE!</v>
      </c>
      <c r="GF21" t="e">
        <f>AND('BBP complete'!B132,"AAAAAE5zPbs=")</f>
        <v>#VALUE!</v>
      </c>
      <c r="GG21" t="e">
        <f>AND('BBP complete'!C132,"AAAAAE5zPbw=")</f>
        <v>#VALUE!</v>
      </c>
      <c r="GH21" t="e">
        <f>AND('BBP complete'!D132,"AAAAAE5zPb0=")</f>
        <v>#VALUE!</v>
      </c>
      <c r="GI21" t="e">
        <f>AND('BBP complete'!E132,"AAAAAE5zPb4=")</f>
        <v>#VALUE!</v>
      </c>
      <c r="GJ21" t="e">
        <f>AND('BBP complete'!F132,"AAAAAE5zPb8=")</f>
        <v>#VALUE!</v>
      </c>
      <c r="GK21" t="e">
        <f>AND('BBP complete'!G132,"AAAAAE5zPcA=")</f>
        <v>#VALUE!</v>
      </c>
      <c r="GL21" t="e">
        <f>AND('BBP complete'!H132,"AAAAAE5zPcE=")</f>
        <v>#VALUE!</v>
      </c>
      <c r="GM21" t="e">
        <f>AND('BBP complete'!I132,"AAAAAE5zPcI=")</f>
        <v>#VALUE!</v>
      </c>
      <c r="GN21" s="60" t="e">
        <v>#VALUE!</v>
      </c>
      <c r="GO21" t="e">
        <f>AND('BBP complete'!A133,"AAAAAE5zPcQ=")</f>
        <v>#VALUE!</v>
      </c>
      <c r="GP21" t="e">
        <f>AND('BBP complete'!B133,"AAAAAE5zPcU=")</f>
        <v>#VALUE!</v>
      </c>
      <c r="GQ21" t="e">
        <f>AND('BBP complete'!C133,"AAAAAE5zPcY=")</f>
        <v>#VALUE!</v>
      </c>
      <c r="GR21" t="e">
        <f>AND('BBP complete'!D133,"AAAAAE5zPcc=")</f>
        <v>#VALUE!</v>
      </c>
      <c r="GS21" t="e">
        <f>AND('BBP complete'!E133,"AAAAAE5zPcg=")</f>
        <v>#VALUE!</v>
      </c>
      <c r="GT21" t="e">
        <f>AND('BBP complete'!F133,"AAAAAE5zPck=")</f>
        <v>#VALUE!</v>
      </c>
      <c r="GU21" t="e">
        <f>AND('BBP complete'!G133,"AAAAAE5zPco=")</f>
        <v>#VALUE!</v>
      </c>
      <c r="GV21" t="e">
        <f>AND('BBP complete'!H133,"AAAAAE5zPcs=")</f>
        <v>#VALUE!</v>
      </c>
      <c r="GW21" t="e">
        <f>AND('BBP complete'!I133,"AAAAAE5zPcw=")</f>
        <v>#VALUE!</v>
      </c>
      <c r="GX21" s="60" t="e">
        <v>#VALUE!</v>
      </c>
      <c r="GY21" t="e">
        <f>AND('BBP complete'!A134,"AAAAAE5zPc4=")</f>
        <v>#VALUE!</v>
      </c>
      <c r="GZ21" t="e">
        <f>AND('BBP complete'!B134,"AAAAAE5zPc8=")</f>
        <v>#VALUE!</v>
      </c>
      <c r="HA21" t="e">
        <f>AND('BBP complete'!C134,"AAAAAE5zPdA=")</f>
        <v>#VALUE!</v>
      </c>
      <c r="HB21" t="e">
        <f>AND('BBP complete'!D134,"AAAAAE5zPdE=")</f>
        <v>#VALUE!</v>
      </c>
      <c r="HC21" t="e">
        <f>AND('BBP complete'!E134,"AAAAAE5zPdI=")</f>
        <v>#VALUE!</v>
      </c>
      <c r="HD21" t="e">
        <f>AND('BBP complete'!F134,"AAAAAE5zPdM=")</f>
        <v>#VALUE!</v>
      </c>
      <c r="HE21" t="e">
        <f>AND('BBP complete'!G134,"AAAAAE5zPdQ=")</f>
        <v>#VALUE!</v>
      </c>
      <c r="HF21" t="e">
        <f>AND('BBP complete'!H134,"AAAAAE5zPdU=")</f>
        <v>#VALUE!</v>
      </c>
      <c r="HG21" t="e">
        <f>AND('BBP complete'!I134,"AAAAAE5zPdY=")</f>
        <v>#VALUE!</v>
      </c>
      <c r="HH21" s="60" t="e">
        <v>#VALUE!</v>
      </c>
      <c r="HI21" t="e">
        <f>AND('BBP complete'!A135,"AAAAAE5zPdg=")</f>
        <v>#VALUE!</v>
      </c>
      <c r="HJ21" t="e">
        <f>AND('BBP complete'!B135,"AAAAAE5zPdk=")</f>
        <v>#VALUE!</v>
      </c>
      <c r="HK21" t="e">
        <f>AND('BBP complete'!C135,"AAAAAE5zPdo=")</f>
        <v>#VALUE!</v>
      </c>
      <c r="HL21" t="e">
        <f>AND('BBP complete'!D135,"AAAAAE5zPds=")</f>
        <v>#VALUE!</v>
      </c>
      <c r="HM21" t="e">
        <f>AND('BBP complete'!E135,"AAAAAE5zPdw=")</f>
        <v>#VALUE!</v>
      </c>
      <c r="HN21" t="e">
        <f>AND('BBP complete'!F135,"AAAAAE5zPd0=")</f>
        <v>#VALUE!</v>
      </c>
      <c r="HO21" t="e">
        <f>AND('BBP complete'!G135,"AAAAAE5zPd4=")</f>
        <v>#VALUE!</v>
      </c>
      <c r="HP21" t="e">
        <f>AND('BBP complete'!H135,"AAAAAE5zPd8=")</f>
        <v>#VALUE!</v>
      </c>
      <c r="HQ21" t="e">
        <f>AND('BBP complete'!I135,"AAAAAE5zPeA=")</f>
        <v>#VALUE!</v>
      </c>
      <c r="HR21" s="60" t="e">
        <v>#VALUE!</v>
      </c>
      <c r="HS21" t="e">
        <f>AND('BBP complete'!A136,"AAAAAE5zPeI=")</f>
        <v>#VALUE!</v>
      </c>
      <c r="HT21" t="e">
        <f>AND('BBP complete'!B136,"AAAAAE5zPeM=")</f>
        <v>#VALUE!</v>
      </c>
      <c r="HU21" t="e">
        <f>AND('BBP complete'!C136,"AAAAAE5zPeQ=")</f>
        <v>#VALUE!</v>
      </c>
      <c r="HV21" t="e">
        <f>AND('BBP complete'!D136,"AAAAAE5zPeU=")</f>
        <v>#VALUE!</v>
      </c>
      <c r="HW21" t="e">
        <f>AND('BBP complete'!E136,"AAAAAE5zPeY=")</f>
        <v>#VALUE!</v>
      </c>
      <c r="HX21" t="e">
        <f>AND('BBP complete'!F136,"AAAAAE5zPec=")</f>
        <v>#VALUE!</v>
      </c>
      <c r="HY21" t="e">
        <f>AND('BBP complete'!G136,"AAAAAE5zPeg=")</f>
        <v>#VALUE!</v>
      </c>
      <c r="HZ21" t="e">
        <f>AND('BBP complete'!H136,"AAAAAE5zPek=")</f>
        <v>#VALUE!</v>
      </c>
      <c r="IA21" t="e">
        <f>AND('BBP complete'!I136,"AAAAAE5zPeo=")</f>
        <v>#VALUE!</v>
      </c>
      <c r="IB21" s="60" t="e">
        <v>#VALUE!</v>
      </c>
      <c r="IC21" t="e">
        <f>AND('BBP complete'!A137,"AAAAAE5zPew=")</f>
        <v>#VALUE!</v>
      </c>
      <c r="ID21" t="e">
        <f>AND('BBP complete'!B137,"AAAAAE5zPe0=")</f>
        <v>#VALUE!</v>
      </c>
      <c r="IE21" t="e">
        <f>AND('BBP complete'!C137,"AAAAAE5zPe4=")</f>
        <v>#VALUE!</v>
      </c>
      <c r="IF21" t="e">
        <f>AND('BBP complete'!D137,"AAAAAE5zPe8=")</f>
        <v>#VALUE!</v>
      </c>
      <c r="IG21" t="e">
        <f>AND('BBP complete'!E137,"AAAAAE5zPfA=")</f>
        <v>#VALUE!</v>
      </c>
      <c r="IH21" t="e">
        <f>AND('BBP complete'!F137,"AAAAAE5zPfE=")</f>
        <v>#VALUE!</v>
      </c>
      <c r="II21" t="e">
        <f>AND('BBP complete'!G137,"AAAAAE5zPfI=")</f>
        <v>#VALUE!</v>
      </c>
      <c r="IJ21" t="e">
        <f>AND('BBP complete'!H137,"AAAAAE5zPfM=")</f>
        <v>#VALUE!</v>
      </c>
      <c r="IK21" t="e">
        <f>AND('BBP complete'!I137,"AAAAAE5zPfQ=")</f>
        <v>#VALUE!</v>
      </c>
      <c r="IL21" s="60" t="e">
        <v>#VALUE!</v>
      </c>
      <c r="IM21" t="e">
        <f>AND('BBP complete'!A138,"AAAAAE5zPfY=")</f>
        <v>#VALUE!</v>
      </c>
      <c r="IN21" t="e">
        <f>AND('BBP complete'!B138,"AAAAAE5zPfc=")</f>
        <v>#VALUE!</v>
      </c>
      <c r="IO21" t="e">
        <f>AND('BBP complete'!C138,"AAAAAE5zPfg=")</f>
        <v>#VALUE!</v>
      </c>
      <c r="IP21" t="e">
        <f>AND('BBP complete'!D138,"AAAAAE5zPfk=")</f>
        <v>#VALUE!</v>
      </c>
      <c r="IQ21" t="e">
        <f>AND('BBP complete'!E138,"AAAAAE5zPfo=")</f>
        <v>#VALUE!</v>
      </c>
      <c r="IR21" t="e">
        <f>AND('BBP complete'!F138,"AAAAAE5zPfs=")</f>
        <v>#VALUE!</v>
      </c>
      <c r="IS21" t="e">
        <f>AND('BBP complete'!G138,"AAAAAE5zPfw=")</f>
        <v>#VALUE!</v>
      </c>
      <c r="IT21" t="e">
        <f>AND('BBP complete'!H138,"AAAAAE5zPf0=")</f>
        <v>#VALUE!</v>
      </c>
      <c r="IU21" t="e">
        <f>AND('BBP complete'!I138,"AAAAAE5zPf4=")</f>
        <v>#VALUE!</v>
      </c>
      <c r="IV21" s="60" t="e">
        <v>#VALUE!</v>
      </c>
    </row>
    <row r="22" spans="1:256" ht="15" customHeight="1" x14ac:dyDescent="0.25">
      <c r="A22" t="e">
        <f>AND('BBP complete'!A139,"AAAAAH/v2wA=")</f>
        <v>#VALUE!</v>
      </c>
      <c r="B22" t="e">
        <f>AND('BBP complete'!B139,"AAAAAH/v2wE=")</f>
        <v>#VALUE!</v>
      </c>
      <c r="C22" t="e">
        <f>AND('BBP complete'!C139,"AAAAAH/v2wI=")</f>
        <v>#VALUE!</v>
      </c>
      <c r="D22" t="e">
        <f>AND('BBP complete'!D139,"AAAAAH/v2wM=")</f>
        <v>#VALUE!</v>
      </c>
      <c r="E22" t="e">
        <f>AND('BBP complete'!E139,"AAAAAH/v2wQ=")</f>
        <v>#VALUE!</v>
      </c>
      <c r="F22" t="e">
        <f>AND('BBP complete'!F139,"AAAAAH/v2wU=")</f>
        <v>#VALUE!</v>
      </c>
      <c r="G22" t="e">
        <f>AND('BBP complete'!G139,"AAAAAH/v2wY=")</f>
        <v>#VALUE!</v>
      </c>
      <c r="H22" t="e">
        <f>AND('BBP complete'!H139,"AAAAAH/v2wc=")</f>
        <v>#VALUE!</v>
      </c>
      <c r="I22" t="e">
        <f>AND('BBP complete'!I139,"AAAAAH/v2wg=")</f>
        <v>#VALUE!</v>
      </c>
      <c r="J22" s="60" t="e">
        <v>#VALUE!</v>
      </c>
      <c r="K22" t="e">
        <f>AND('BBP complete'!A140,"AAAAAH/v2wo=")</f>
        <v>#VALUE!</v>
      </c>
      <c r="L22" t="e">
        <f>AND('BBP complete'!B140,"AAAAAH/v2ws=")</f>
        <v>#VALUE!</v>
      </c>
      <c r="M22" t="e">
        <f>AND('BBP complete'!C140,"AAAAAH/v2ww=")</f>
        <v>#VALUE!</v>
      </c>
      <c r="N22" t="e">
        <f>AND('BBP complete'!D140,"AAAAAH/v2w0=")</f>
        <v>#VALUE!</v>
      </c>
      <c r="O22" t="e">
        <f>AND('BBP complete'!E140,"AAAAAH/v2w4=")</f>
        <v>#VALUE!</v>
      </c>
      <c r="P22" t="e">
        <f>AND('BBP complete'!F140,"AAAAAH/v2w8=")</f>
        <v>#VALUE!</v>
      </c>
      <c r="Q22" t="e">
        <f>AND('BBP complete'!G140,"AAAAAH/v2xA=")</f>
        <v>#VALUE!</v>
      </c>
      <c r="R22" t="e">
        <f>AND('BBP complete'!H140,"AAAAAH/v2xE=")</f>
        <v>#VALUE!</v>
      </c>
      <c r="S22" t="e">
        <f>AND('BBP complete'!I140,"AAAAAH/v2xI=")</f>
        <v>#VALUE!</v>
      </c>
      <c r="T22" s="60" t="e">
        <v>#VALUE!</v>
      </c>
      <c r="U22" t="e">
        <f>AND('BBP complete'!A141,"AAAAAH/v2xQ=")</f>
        <v>#VALUE!</v>
      </c>
      <c r="V22" t="e">
        <f>AND('BBP complete'!B141,"AAAAAH/v2xU=")</f>
        <v>#VALUE!</v>
      </c>
      <c r="W22" t="e">
        <f>AND('BBP complete'!C141,"AAAAAH/v2xY=")</f>
        <v>#VALUE!</v>
      </c>
      <c r="X22" t="e">
        <f>AND('BBP complete'!D141,"AAAAAH/v2xc=")</f>
        <v>#VALUE!</v>
      </c>
      <c r="Y22" t="e">
        <f>AND('BBP complete'!E141,"AAAAAH/v2xg=")</f>
        <v>#VALUE!</v>
      </c>
      <c r="Z22" t="e">
        <f>AND('BBP complete'!F141,"AAAAAH/v2xk=")</f>
        <v>#VALUE!</v>
      </c>
      <c r="AA22" t="e">
        <f>AND('BBP complete'!G141,"AAAAAH/v2xo=")</f>
        <v>#VALUE!</v>
      </c>
      <c r="AB22" t="e">
        <f>AND('BBP complete'!H141,"AAAAAH/v2xs=")</f>
        <v>#VALUE!</v>
      </c>
      <c r="AC22" t="e">
        <f>AND('BBP complete'!I141,"AAAAAH/v2xw=")</f>
        <v>#VALUE!</v>
      </c>
      <c r="AD22" s="60" t="e">
        <v>#VALUE!</v>
      </c>
      <c r="AE22" t="e">
        <f>AND('BBP complete'!A142,"AAAAAH/v2x4=")</f>
        <v>#VALUE!</v>
      </c>
      <c r="AF22" t="e">
        <f>AND('BBP complete'!B142,"AAAAAH/v2x8=")</f>
        <v>#VALUE!</v>
      </c>
      <c r="AG22" t="e">
        <f>AND('BBP complete'!C142,"AAAAAH/v2yA=")</f>
        <v>#VALUE!</v>
      </c>
      <c r="AH22" t="e">
        <f>AND('BBP complete'!D142,"AAAAAH/v2yE=")</f>
        <v>#VALUE!</v>
      </c>
      <c r="AI22" t="e">
        <f>AND('BBP complete'!E142,"AAAAAH/v2yI=")</f>
        <v>#VALUE!</v>
      </c>
      <c r="AJ22" t="e">
        <f>AND('BBP complete'!F142,"AAAAAH/v2yM=")</f>
        <v>#VALUE!</v>
      </c>
      <c r="AK22" t="e">
        <f>AND('BBP complete'!G142,"AAAAAH/v2yQ=")</f>
        <v>#VALUE!</v>
      </c>
      <c r="AL22" t="e">
        <f>AND('BBP complete'!H142,"AAAAAH/v2yU=")</f>
        <v>#VALUE!</v>
      </c>
      <c r="AM22" t="e">
        <f>AND('BBP complete'!I142,"AAAAAH/v2yY=")</f>
        <v>#VALUE!</v>
      </c>
      <c r="AN22" s="60" t="e">
        <v>#VALUE!</v>
      </c>
      <c r="AO22" t="e">
        <f>AND('BBP complete'!A143,"AAAAAH/v2yg=")</f>
        <v>#VALUE!</v>
      </c>
      <c r="AP22" t="e">
        <f>AND('BBP complete'!B143,"AAAAAH/v2yk=")</f>
        <v>#VALUE!</v>
      </c>
      <c r="AQ22" t="e">
        <f>AND('BBP complete'!C143,"AAAAAH/v2yo=")</f>
        <v>#VALUE!</v>
      </c>
      <c r="AR22" t="e">
        <f>AND('BBP complete'!D143,"AAAAAH/v2ys=")</f>
        <v>#VALUE!</v>
      </c>
      <c r="AS22" t="e">
        <f>AND('BBP complete'!E143,"AAAAAH/v2yw=")</f>
        <v>#VALUE!</v>
      </c>
      <c r="AT22" t="e">
        <f>AND('BBP complete'!F143,"AAAAAH/v2y0=")</f>
        <v>#VALUE!</v>
      </c>
      <c r="AU22" t="e">
        <f>AND('BBP complete'!G143,"AAAAAH/v2y4=")</f>
        <v>#VALUE!</v>
      </c>
      <c r="AV22" t="e">
        <f>AND('BBP complete'!H143,"AAAAAH/v2y8=")</f>
        <v>#VALUE!</v>
      </c>
      <c r="AW22" t="e">
        <f>AND('BBP complete'!I143,"AAAAAH/v2zA=")</f>
        <v>#VALUE!</v>
      </c>
      <c r="AX22" s="60" t="e">
        <v>#VALUE!</v>
      </c>
      <c r="AY22" t="e">
        <f>AND('BBP complete'!A144,"AAAAAH/v2zI=")</f>
        <v>#VALUE!</v>
      </c>
      <c r="AZ22" t="e">
        <f>AND('BBP complete'!B144,"AAAAAH/v2zM=")</f>
        <v>#VALUE!</v>
      </c>
      <c r="BA22" t="e">
        <f>AND('BBP complete'!C144,"AAAAAH/v2zQ=")</f>
        <v>#VALUE!</v>
      </c>
      <c r="BB22" t="e">
        <f>AND('BBP complete'!D144,"AAAAAH/v2zU=")</f>
        <v>#VALUE!</v>
      </c>
      <c r="BC22" t="e">
        <f>AND('BBP complete'!E144,"AAAAAH/v2zY=")</f>
        <v>#VALUE!</v>
      </c>
      <c r="BD22" t="e">
        <f>AND('BBP complete'!F144,"AAAAAH/v2zc=")</f>
        <v>#VALUE!</v>
      </c>
      <c r="BE22" t="e">
        <f>AND('BBP complete'!G144,"AAAAAH/v2zg=")</f>
        <v>#VALUE!</v>
      </c>
      <c r="BF22" t="e">
        <f>AND('BBP complete'!H144,"AAAAAH/v2zk=")</f>
        <v>#VALUE!</v>
      </c>
      <c r="BG22" t="e">
        <f>AND('BBP complete'!I144,"AAAAAH/v2zo=")</f>
        <v>#VALUE!</v>
      </c>
      <c r="BH22" s="60" t="e">
        <v>#VALUE!</v>
      </c>
      <c r="BI22" t="e">
        <f>AND('BBP complete'!A145,"AAAAAH/v2zw=")</f>
        <v>#VALUE!</v>
      </c>
      <c r="BJ22" t="e">
        <f>AND('BBP complete'!B145,"AAAAAH/v2z0=")</f>
        <v>#VALUE!</v>
      </c>
      <c r="BK22" t="e">
        <f>AND('BBP complete'!C145,"AAAAAH/v2z4=")</f>
        <v>#VALUE!</v>
      </c>
      <c r="BL22" t="e">
        <f>AND('BBP complete'!D145,"AAAAAH/v2z8=")</f>
        <v>#VALUE!</v>
      </c>
      <c r="BM22" t="e">
        <f>AND('BBP complete'!E145,"AAAAAH/v20A=")</f>
        <v>#VALUE!</v>
      </c>
      <c r="BN22" t="e">
        <f>AND('BBP complete'!F145,"AAAAAH/v20E=")</f>
        <v>#VALUE!</v>
      </c>
      <c r="BO22" t="e">
        <f>AND('BBP complete'!G145,"AAAAAH/v20I=")</f>
        <v>#VALUE!</v>
      </c>
      <c r="BP22" t="e">
        <f>AND('BBP complete'!H145,"AAAAAH/v20M=")</f>
        <v>#VALUE!</v>
      </c>
      <c r="BQ22" t="e">
        <f>AND('BBP complete'!I145,"AAAAAH/v20Q=")</f>
        <v>#VALUE!</v>
      </c>
      <c r="BR22" s="60" t="e">
        <v>#VALUE!</v>
      </c>
      <c r="BS22" t="e">
        <f>AND('BBP complete'!A146,"AAAAAH/v20Y=")</f>
        <v>#VALUE!</v>
      </c>
      <c r="BT22" t="e">
        <f>AND('BBP complete'!B146,"AAAAAH/v20c=")</f>
        <v>#VALUE!</v>
      </c>
      <c r="BU22" t="e">
        <f>AND('BBP complete'!C146,"AAAAAH/v20g=")</f>
        <v>#VALUE!</v>
      </c>
      <c r="BV22" t="e">
        <f>AND('BBP complete'!D146,"AAAAAH/v20k=")</f>
        <v>#VALUE!</v>
      </c>
      <c r="BW22" t="e">
        <f>AND('BBP complete'!E146,"AAAAAH/v20o=")</f>
        <v>#VALUE!</v>
      </c>
      <c r="BX22" t="e">
        <f>AND('BBP complete'!F146,"AAAAAH/v20s=")</f>
        <v>#VALUE!</v>
      </c>
      <c r="BY22" t="e">
        <f>AND('BBP complete'!G146,"AAAAAH/v20w=")</f>
        <v>#VALUE!</v>
      </c>
      <c r="BZ22" t="e">
        <f>AND('BBP complete'!H146,"AAAAAH/v200=")</f>
        <v>#VALUE!</v>
      </c>
      <c r="CA22" t="e">
        <f>AND('BBP complete'!I146,"AAAAAH/v204=")</f>
        <v>#VALUE!</v>
      </c>
      <c r="CB22" s="60" t="e">
        <v>#VALUE!</v>
      </c>
      <c r="CC22" t="e">
        <f>AND('BBP complete'!A147,"AAAAAH/v21A=")</f>
        <v>#VALUE!</v>
      </c>
      <c r="CD22" t="e">
        <f>AND('BBP complete'!B147,"AAAAAH/v21E=")</f>
        <v>#VALUE!</v>
      </c>
      <c r="CE22" t="e">
        <f>AND('BBP complete'!C147,"AAAAAH/v21I=")</f>
        <v>#VALUE!</v>
      </c>
      <c r="CF22" t="e">
        <f>AND('BBP complete'!D147,"AAAAAH/v21M=")</f>
        <v>#VALUE!</v>
      </c>
      <c r="CG22" t="e">
        <f>AND('BBP complete'!E147,"AAAAAH/v21Q=")</f>
        <v>#VALUE!</v>
      </c>
      <c r="CH22" t="e">
        <f>AND('BBP complete'!F147,"AAAAAH/v21U=")</f>
        <v>#VALUE!</v>
      </c>
      <c r="CI22" t="e">
        <f>AND('BBP complete'!G147,"AAAAAH/v21Y=")</f>
        <v>#VALUE!</v>
      </c>
      <c r="CJ22" t="e">
        <f>AND('BBP complete'!H147,"AAAAAH/v21c=")</f>
        <v>#VALUE!</v>
      </c>
      <c r="CK22" t="e">
        <f>AND('BBP complete'!I147,"AAAAAH/v21g=")</f>
        <v>#VALUE!</v>
      </c>
      <c r="CL22" s="60" t="e">
        <v>#VALUE!</v>
      </c>
      <c r="CM22" t="e">
        <f>AND('BBP complete'!A148,"AAAAAH/v21o=")</f>
        <v>#VALUE!</v>
      </c>
      <c r="CN22" t="e">
        <f>AND('BBP complete'!B148,"AAAAAH/v21s=")</f>
        <v>#VALUE!</v>
      </c>
      <c r="CO22" t="e">
        <f>AND('BBP complete'!C148,"AAAAAH/v21w=")</f>
        <v>#VALUE!</v>
      </c>
      <c r="CP22" t="e">
        <f>AND('BBP complete'!D148,"AAAAAH/v210=")</f>
        <v>#VALUE!</v>
      </c>
      <c r="CQ22" t="e">
        <f>AND('BBP complete'!E148,"AAAAAH/v214=")</f>
        <v>#VALUE!</v>
      </c>
      <c r="CR22" t="e">
        <f>AND('BBP complete'!F148,"AAAAAH/v218=")</f>
        <v>#VALUE!</v>
      </c>
      <c r="CS22" t="e">
        <f>AND('BBP complete'!G148,"AAAAAH/v22A=")</f>
        <v>#VALUE!</v>
      </c>
      <c r="CT22" t="e">
        <f>AND('BBP complete'!H148,"AAAAAH/v22E=")</f>
        <v>#VALUE!</v>
      </c>
      <c r="CU22" t="e">
        <f>AND('BBP complete'!I148,"AAAAAH/v22I=")</f>
        <v>#VALUE!</v>
      </c>
      <c r="CV22" s="60" t="e">
        <v>#VALUE!</v>
      </c>
      <c r="CW22" t="e">
        <f>AND('BBP complete'!A149,"AAAAAH/v22Q=")</f>
        <v>#VALUE!</v>
      </c>
      <c r="CX22" t="e">
        <f>AND('BBP complete'!B149,"AAAAAH/v22U=")</f>
        <v>#VALUE!</v>
      </c>
      <c r="CY22" t="e">
        <f>AND('BBP complete'!C149,"AAAAAH/v22Y=")</f>
        <v>#VALUE!</v>
      </c>
      <c r="CZ22" t="e">
        <f>AND('BBP complete'!D149,"AAAAAH/v22c=")</f>
        <v>#VALUE!</v>
      </c>
      <c r="DA22" t="e">
        <f>AND('BBP complete'!E149,"AAAAAH/v22g=")</f>
        <v>#VALUE!</v>
      </c>
      <c r="DB22" t="e">
        <f>AND('BBP complete'!F149,"AAAAAH/v22k=")</f>
        <v>#VALUE!</v>
      </c>
      <c r="DC22" t="e">
        <f>AND('BBP complete'!G149,"AAAAAH/v22o=")</f>
        <v>#VALUE!</v>
      </c>
      <c r="DD22" t="e">
        <f>AND('BBP complete'!H149,"AAAAAH/v22s=")</f>
        <v>#VALUE!</v>
      </c>
      <c r="DE22" t="e">
        <f>AND('BBP complete'!I149,"AAAAAH/v22w=")</f>
        <v>#VALUE!</v>
      </c>
      <c r="DF22" s="60" t="e">
        <v>#VALUE!</v>
      </c>
      <c r="DG22" t="e">
        <f>AND('BBP complete'!A150,"AAAAAH/v224=")</f>
        <v>#VALUE!</v>
      </c>
      <c r="DH22" t="e">
        <f>AND('BBP complete'!B150,"AAAAAH/v228=")</f>
        <v>#VALUE!</v>
      </c>
      <c r="DI22" t="e">
        <f>AND('BBP complete'!C150,"AAAAAH/v23A=")</f>
        <v>#VALUE!</v>
      </c>
      <c r="DJ22" t="e">
        <f>AND('BBP complete'!D150,"AAAAAH/v23E=")</f>
        <v>#VALUE!</v>
      </c>
      <c r="DK22" t="e">
        <f>AND('BBP complete'!E150,"AAAAAH/v23I=")</f>
        <v>#VALUE!</v>
      </c>
      <c r="DL22" t="e">
        <f>AND('BBP complete'!F150,"AAAAAH/v23M=")</f>
        <v>#VALUE!</v>
      </c>
      <c r="DM22" t="e">
        <f>AND('BBP complete'!G150,"AAAAAH/v23Q=")</f>
        <v>#VALUE!</v>
      </c>
      <c r="DN22" t="e">
        <f>AND('BBP complete'!H150,"AAAAAH/v23U=")</f>
        <v>#VALUE!</v>
      </c>
      <c r="DO22" t="e">
        <f>AND('BBP complete'!I150,"AAAAAH/v23Y=")</f>
        <v>#VALUE!</v>
      </c>
      <c r="DP22" s="60" t="e">
        <v>#VALUE!</v>
      </c>
      <c r="DQ22" t="e">
        <f>AND('BBP complete'!A151,"AAAAAH/v23g=")</f>
        <v>#VALUE!</v>
      </c>
      <c r="DR22" t="e">
        <f>AND('BBP complete'!B151,"AAAAAH/v23k=")</f>
        <v>#VALUE!</v>
      </c>
      <c r="DS22" t="e">
        <f>AND('BBP complete'!C151,"AAAAAH/v23o=")</f>
        <v>#VALUE!</v>
      </c>
      <c r="DT22" t="e">
        <f>AND('BBP complete'!D151,"AAAAAH/v23s=")</f>
        <v>#VALUE!</v>
      </c>
      <c r="DU22" t="e">
        <f>AND('BBP complete'!E151,"AAAAAH/v23w=")</f>
        <v>#VALUE!</v>
      </c>
      <c r="DV22" t="e">
        <f>AND('BBP complete'!F151,"AAAAAH/v230=")</f>
        <v>#VALUE!</v>
      </c>
      <c r="DW22" t="e">
        <f>AND('BBP complete'!G151,"AAAAAH/v234=")</f>
        <v>#VALUE!</v>
      </c>
      <c r="DX22" t="e">
        <f>AND('BBP complete'!H151,"AAAAAH/v238=")</f>
        <v>#VALUE!</v>
      </c>
      <c r="DY22" t="e">
        <f>AND('BBP complete'!I151,"AAAAAH/v24A=")</f>
        <v>#VALUE!</v>
      </c>
      <c r="DZ22" s="60" t="e">
        <v>#VALUE!</v>
      </c>
      <c r="EA22" t="e">
        <f>AND('BBP complete'!A152,"AAAAAH/v24I=")</f>
        <v>#VALUE!</v>
      </c>
      <c r="EB22" t="e">
        <f>AND('BBP complete'!B152,"AAAAAH/v24M=")</f>
        <v>#VALUE!</v>
      </c>
      <c r="EC22" t="e">
        <f>AND('BBP complete'!C152,"AAAAAH/v24Q=")</f>
        <v>#VALUE!</v>
      </c>
      <c r="ED22" t="e">
        <f>AND('BBP complete'!D152,"AAAAAH/v24U=")</f>
        <v>#VALUE!</v>
      </c>
      <c r="EE22" t="e">
        <f>AND('BBP complete'!E152,"AAAAAH/v24Y=")</f>
        <v>#VALUE!</v>
      </c>
      <c r="EF22" t="e">
        <f>AND('BBP complete'!F152,"AAAAAH/v24c=")</f>
        <v>#VALUE!</v>
      </c>
      <c r="EG22" t="e">
        <f>AND('BBP complete'!G152,"AAAAAH/v24g=")</f>
        <v>#VALUE!</v>
      </c>
      <c r="EH22" t="e">
        <f>AND('BBP complete'!H152,"AAAAAH/v24k=")</f>
        <v>#VALUE!</v>
      </c>
      <c r="EI22" t="e">
        <f>AND('BBP complete'!I152,"AAAAAH/v24o=")</f>
        <v>#VALUE!</v>
      </c>
      <c r="EJ22" s="60" t="e">
        <v>#VALUE!</v>
      </c>
      <c r="EK22" t="e">
        <f>AND('BBP complete'!A153,"AAAAAH/v24w=")</f>
        <v>#VALUE!</v>
      </c>
      <c r="EL22" t="e">
        <f>AND('BBP complete'!B153,"AAAAAH/v240=")</f>
        <v>#VALUE!</v>
      </c>
      <c r="EM22" t="e">
        <f>AND('BBP complete'!C153,"AAAAAH/v244=")</f>
        <v>#VALUE!</v>
      </c>
      <c r="EN22" t="e">
        <f>AND('BBP complete'!D153,"AAAAAH/v248=")</f>
        <v>#VALUE!</v>
      </c>
      <c r="EO22" t="e">
        <f>AND('BBP complete'!E153,"AAAAAH/v25A=")</f>
        <v>#VALUE!</v>
      </c>
      <c r="EP22" t="e">
        <f>AND('BBP complete'!F153,"AAAAAH/v25E=")</f>
        <v>#VALUE!</v>
      </c>
      <c r="EQ22" t="e">
        <f>AND('BBP complete'!G153,"AAAAAH/v25I=")</f>
        <v>#VALUE!</v>
      </c>
      <c r="ER22" t="e">
        <f>AND('BBP complete'!H153,"AAAAAH/v25M=")</f>
        <v>#VALUE!</v>
      </c>
      <c r="ES22" t="e">
        <f>AND('BBP complete'!I153,"AAAAAH/v25Q=")</f>
        <v>#VALUE!</v>
      </c>
      <c r="ET22" s="60" t="e">
        <v>#VALUE!</v>
      </c>
      <c r="EU22" t="e">
        <f>AND('BBP complete'!A154,"AAAAAH/v25Y=")</f>
        <v>#VALUE!</v>
      </c>
      <c r="EV22" t="e">
        <f>AND('BBP complete'!B154,"AAAAAH/v25c=")</f>
        <v>#VALUE!</v>
      </c>
      <c r="EW22" t="e">
        <f>AND('BBP complete'!C154,"AAAAAH/v25g=")</f>
        <v>#VALUE!</v>
      </c>
      <c r="EX22" t="e">
        <f>AND('BBP complete'!D154,"AAAAAH/v25k=")</f>
        <v>#VALUE!</v>
      </c>
      <c r="EY22" t="e">
        <f>AND('BBP complete'!E154,"AAAAAH/v25o=")</f>
        <v>#VALUE!</v>
      </c>
      <c r="EZ22" t="e">
        <f>AND('BBP complete'!F154,"AAAAAH/v25s=")</f>
        <v>#VALUE!</v>
      </c>
      <c r="FA22" t="e">
        <f>AND('BBP complete'!G154,"AAAAAH/v25w=")</f>
        <v>#VALUE!</v>
      </c>
      <c r="FB22" t="e">
        <f>AND('BBP complete'!H154,"AAAAAH/v250=")</f>
        <v>#VALUE!</v>
      </c>
      <c r="FC22" t="e">
        <f>AND('BBP complete'!I154,"AAAAAH/v254=")</f>
        <v>#VALUE!</v>
      </c>
      <c r="FD22" s="60" t="e">
        <v>#VALUE!</v>
      </c>
      <c r="FE22" t="e">
        <f>AND('BBP complete'!A155,"AAAAAH/v26A=")</f>
        <v>#VALUE!</v>
      </c>
      <c r="FF22" t="e">
        <f>AND('BBP complete'!B155,"AAAAAH/v26E=")</f>
        <v>#VALUE!</v>
      </c>
      <c r="FG22" t="e">
        <f>AND('BBP complete'!C155,"AAAAAH/v26I=")</f>
        <v>#VALUE!</v>
      </c>
      <c r="FH22" t="e">
        <f>AND('BBP complete'!D155,"AAAAAH/v26M=")</f>
        <v>#VALUE!</v>
      </c>
      <c r="FI22" t="e">
        <f>AND('BBP complete'!E155,"AAAAAH/v26Q=")</f>
        <v>#VALUE!</v>
      </c>
      <c r="FJ22" t="e">
        <f>AND('BBP complete'!F155,"AAAAAH/v26U=")</f>
        <v>#VALUE!</v>
      </c>
      <c r="FK22" t="e">
        <f>AND('BBP complete'!G155,"AAAAAH/v26Y=")</f>
        <v>#VALUE!</v>
      </c>
      <c r="FL22" t="e">
        <f>AND('BBP complete'!H155,"AAAAAH/v26c=")</f>
        <v>#VALUE!</v>
      </c>
      <c r="FM22" t="e">
        <f>AND('BBP complete'!I155,"AAAAAH/v26g=")</f>
        <v>#VALUE!</v>
      </c>
      <c r="FN22" s="60" t="e">
        <v>#VALUE!</v>
      </c>
      <c r="FO22" t="e">
        <f>AND('BBP complete'!A156,"AAAAAH/v26o=")</f>
        <v>#VALUE!</v>
      </c>
      <c r="FP22" t="e">
        <f>AND('BBP complete'!B156,"AAAAAH/v26s=")</f>
        <v>#VALUE!</v>
      </c>
      <c r="FQ22" t="e">
        <f>AND('BBP complete'!C156,"AAAAAH/v26w=")</f>
        <v>#VALUE!</v>
      </c>
      <c r="FR22" t="e">
        <f>AND('BBP complete'!D156,"AAAAAH/v260=")</f>
        <v>#VALUE!</v>
      </c>
      <c r="FS22" t="e">
        <f>AND('BBP complete'!E156,"AAAAAH/v264=")</f>
        <v>#VALUE!</v>
      </c>
      <c r="FT22" t="e">
        <f>AND('BBP complete'!F156,"AAAAAH/v268=")</f>
        <v>#VALUE!</v>
      </c>
      <c r="FU22" t="e">
        <f>AND('BBP complete'!G156,"AAAAAH/v27A=")</f>
        <v>#VALUE!</v>
      </c>
      <c r="FV22" t="e">
        <f>AND('BBP complete'!H156,"AAAAAH/v27E=")</f>
        <v>#VALUE!</v>
      </c>
      <c r="FW22" t="e">
        <f>AND('BBP complete'!I156,"AAAAAH/v27I=")</f>
        <v>#VALUE!</v>
      </c>
      <c r="FX22" s="60" t="e">
        <v>#VALUE!</v>
      </c>
      <c r="FY22" t="e">
        <f>AND('BBP complete'!A157,"AAAAAH/v27Q=")</f>
        <v>#VALUE!</v>
      </c>
      <c r="FZ22" t="e">
        <f>AND('BBP complete'!B157,"AAAAAH/v27U=")</f>
        <v>#VALUE!</v>
      </c>
      <c r="GA22" t="e">
        <f>AND('BBP complete'!C157,"AAAAAH/v27Y=")</f>
        <v>#VALUE!</v>
      </c>
      <c r="GB22" t="e">
        <f>AND('BBP complete'!D157,"AAAAAH/v27c=")</f>
        <v>#VALUE!</v>
      </c>
      <c r="GC22" t="e">
        <f>AND('BBP complete'!E157,"AAAAAH/v27g=")</f>
        <v>#VALUE!</v>
      </c>
      <c r="GD22" t="e">
        <f>AND('BBP complete'!F157,"AAAAAH/v27k=")</f>
        <v>#VALUE!</v>
      </c>
      <c r="GE22" t="e">
        <f>AND('BBP complete'!G157,"AAAAAH/v27o=")</f>
        <v>#VALUE!</v>
      </c>
      <c r="GF22" t="e">
        <f>AND('BBP complete'!H157,"AAAAAH/v27s=")</f>
        <v>#VALUE!</v>
      </c>
      <c r="GG22" t="e">
        <f>AND('BBP complete'!I157,"AAAAAH/v27w=")</f>
        <v>#VALUE!</v>
      </c>
      <c r="GH22" s="60" t="e">
        <v>#VALUE!</v>
      </c>
      <c r="GI22" t="e">
        <f>AND('BBP complete'!A158,"AAAAAH/v274=")</f>
        <v>#VALUE!</v>
      </c>
      <c r="GJ22" t="e">
        <f>AND('BBP complete'!B158,"AAAAAH/v278=")</f>
        <v>#VALUE!</v>
      </c>
      <c r="GK22" t="e">
        <f>AND('BBP complete'!C158,"AAAAAH/v28A=")</f>
        <v>#VALUE!</v>
      </c>
      <c r="GL22" t="e">
        <f>AND('BBP complete'!D158,"AAAAAH/v28E=")</f>
        <v>#VALUE!</v>
      </c>
      <c r="GM22" t="e">
        <f>AND('BBP complete'!E158,"AAAAAH/v28I=")</f>
        <v>#VALUE!</v>
      </c>
      <c r="GN22" t="e">
        <f>AND('BBP complete'!F158,"AAAAAH/v28M=")</f>
        <v>#VALUE!</v>
      </c>
      <c r="GO22" t="e">
        <f>AND('BBP complete'!G158,"AAAAAH/v28Q=")</f>
        <v>#VALUE!</v>
      </c>
      <c r="GP22" t="e">
        <f>AND('BBP complete'!H158,"AAAAAH/v28U=")</f>
        <v>#VALUE!</v>
      </c>
      <c r="GQ22" t="e">
        <f>AND('BBP complete'!I158,"AAAAAH/v28Y=")</f>
        <v>#VALUE!</v>
      </c>
      <c r="GR22" s="60" t="e">
        <v>#VALUE!</v>
      </c>
      <c r="GS22" t="e">
        <f>AND('BBP complete'!A159,"AAAAAH/v28g=")</f>
        <v>#VALUE!</v>
      </c>
      <c r="GT22" t="e">
        <f>AND('BBP complete'!B159,"AAAAAH/v28k=")</f>
        <v>#VALUE!</v>
      </c>
      <c r="GU22" t="e">
        <f>AND('BBP complete'!C159,"AAAAAH/v28o=")</f>
        <v>#VALUE!</v>
      </c>
      <c r="GV22" t="e">
        <f>AND('BBP complete'!D159,"AAAAAH/v28s=")</f>
        <v>#VALUE!</v>
      </c>
      <c r="GW22" t="e">
        <f>AND('BBP complete'!E159,"AAAAAH/v28w=")</f>
        <v>#VALUE!</v>
      </c>
      <c r="GX22" t="e">
        <f>AND('BBP complete'!F159,"AAAAAH/v280=")</f>
        <v>#VALUE!</v>
      </c>
      <c r="GY22" t="e">
        <f>AND('BBP complete'!G159,"AAAAAH/v284=")</f>
        <v>#VALUE!</v>
      </c>
      <c r="GZ22" t="e">
        <f>AND('BBP complete'!H159,"AAAAAH/v288=")</f>
        <v>#VALUE!</v>
      </c>
      <c r="HA22" t="e">
        <f>AND('BBP complete'!I159,"AAAAAH/v29A=")</f>
        <v>#VALUE!</v>
      </c>
      <c r="HB22" s="60" t="e">
        <v>#VALUE!</v>
      </c>
      <c r="HC22" t="e">
        <f>AND('BBP complete'!A160,"AAAAAH/v29I=")</f>
        <v>#VALUE!</v>
      </c>
      <c r="HD22" t="e">
        <f>AND('BBP complete'!B160,"AAAAAH/v29M=")</f>
        <v>#VALUE!</v>
      </c>
      <c r="HE22" t="e">
        <f>AND('BBP complete'!C160,"AAAAAH/v29Q=")</f>
        <v>#VALUE!</v>
      </c>
      <c r="HF22" t="e">
        <f>AND('BBP complete'!D160,"AAAAAH/v29U=")</f>
        <v>#VALUE!</v>
      </c>
      <c r="HG22" t="e">
        <f>AND('BBP complete'!E160,"AAAAAH/v29Y=")</f>
        <v>#VALUE!</v>
      </c>
      <c r="HH22" t="e">
        <f>AND('BBP complete'!F160,"AAAAAH/v29c=")</f>
        <v>#VALUE!</v>
      </c>
      <c r="HI22" t="e">
        <f>AND('BBP complete'!G160,"AAAAAH/v29g=")</f>
        <v>#VALUE!</v>
      </c>
      <c r="HJ22" t="e">
        <f>AND('BBP complete'!H160,"AAAAAH/v29k=")</f>
        <v>#VALUE!</v>
      </c>
      <c r="HK22" t="e">
        <f>AND('BBP complete'!I160,"AAAAAH/v29o=")</f>
        <v>#VALUE!</v>
      </c>
      <c r="HL22" s="60" t="e">
        <v>#VALUE!</v>
      </c>
      <c r="HM22" t="e">
        <f>AND('BBP complete'!A161,"AAAAAH/v29w=")</f>
        <v>#VALUE!</v>
      </c>
      <c r="HN22" t="e">
        <f>AND('BBP complete'!B161,"AAAAAH/v290=")</f>
        <v>#VALUE!</v>
      </c>
      <c r="HO22" t="e">
        <f>AND('BBP complete'!C161,"AAAAAH/v294=")</f>
        <v>#VALUE!</v>
      </c>
      <c r="HP22" t="e">
        <f>AND('BBP complete'!D161,"AAAAAH/v298=")</f>
        <v>#VALUE!</v>
      </c>
      <c r="HQ22" t="e">
        <f>AND('BBP complete'!E161,"AAAAAH/v2+A=")</f>
        <v>#VALUE!</v>
      </c>
      <c r="HR22" t="e">
        <f>AND('BBP complete'!F161,"AAAAAH/v2+E=")</f>
        <v>#VALUE!</v>
      </c>
      <c r="HS22" t="e">
        <f>AND('BBP complete'!G161,"AAAAAH/v2+I=")</f>
        <v>#VALUE!</v>
      </c>
      <c r="HT22" t="e">
        <f>AND('BBP complete'!H161,"AAAAAH/v2+M=")</f>
        <v>#VALUE!</v>
      </c>
      <c r="HU22" t="e">
        <f>AND('BBP complete'!I161,"AAAAAH/v2+Q=")</f>
        <v>#VALUE!</v>
      </c>
      <c r="HV22" s="60" t="e">
        <v>#VALUE!</v>
      </c>
      <c r="HW22" t="e">
        <f>AND('BBP complete'!A162,"AAAAAH/v2+Y=")</f>
        <v>#VALUE!</v>
      </c>
      <c r="HX22" t="e">
        <f>AND('BBP complete'!B162,"AAAAAH/v2+c=")</f>
        <v>#VALUE!</v>
      </c>
      <c r="HY22" t="e">
        <f>AND('BBP complete'!C162,"AAAAAH/v2+g=")</f>
        <v>#VALUE!</v>
      </c>
      <c r="HZ22" t="e">
        <f>AND('BBP complete'!D162,"AAAAAH/v2+k=")</f>
        <v>#VALUE!</v>
      </c>
      <c r="IA22" t="e">
        <f>AND('BBP complete'!E162,"AAAAAH/v2+o=")</f>
        <v>#VALUE!</v>
      </c>
      <c r="IB22" t="e">
        <f>AND('BBP complete'!F162,"AAAAAH/v2+s=")</f>
        <v>#VALUE!</v>
      </c>
      <c r="IC22" t="e">
        <f>AND('BBP complete'!G162,"AAAAAH/v2+w=")</f>
        <v>#VALUE!</v>
      </c>
      <c r="ID22" t="e">
        <f>AND('BBP complete'!H162,"AAAAAH/v2+0=")</f>
        <v>#VALUE!</v>
      </c>
      <c r="IE22" t="e">
        <f>AND('BBP complete'!I162,"AAAAAH/v2+4=")</f>
        <v>#VALUE!</v>
      </c>
      <c r="IF22" s="60" t="e">
        <v>#VALUE!</v>
      </c>
      <c r="IG22" t="e">
        <f>AND('BBP complete'!A163,"AAAAAH/v2/A=")</f>
        <v>#VALUE!</v>
      </c>
      <c r="IH22" t="e">
        <f>AND('BBP complete'!B163,"AAAAAH/v2/E=")</f>
        <v>#VALUE!</v>
      </c>
      <c r="II22" t="e">
        <f>AND('BBP complete'!C163,"AAAAAH/v2/I=")</f>
        <v>#VALUE!</v>
      </c>
      <c r="IJ22" t="e">
        <f>AND('BBP complete'!D163,"AAAAAH/v2/M=")</f>
        <v>#VALUE!</v>
      </c>
      <c r="IK22" t="e">
        <f>AND('BBP complete'!E163,"AAAAAH/v2/Q=")</f>
        <v>#VALUE!</v>
      </c>
      <c r="IL22" t="e">
        <f>AND('BBP complete'!F163,"AAAAAH/v2/U=")</f>
        <v>#VALUE!</v>
      </c>
      <c r="IM22" t="e">
        <f>AND('BBP complete'!G163,"AAAAAH/v2/Y=")</f>
        <v>#VALUE!</v>
      </c>
      <c r="IN22" t="e">
        <f>AND('BBP complete'!H163,"AAAAAH/v2/c=")</f>
        <v>#VALUE!</v>
      </c>
      <c r="IO22" t="e">
        <f>AND('BBP complete'!I163,"AAAAAH/v2/g=")</f>
        <v>#VALUE!</v>
      </c>
      <c r="IP22" s="60" t="e">
        <v>#VALUE!</v>
      </c>
      <c r="IQ22" t="e">
        <f>AND('BBP complete'!A164,"AAAAAH/v2/o=")</f>
        <v>#VALUE!</v>
      </c>
      <c r="IR22" t="e">
        <f>AND('BBP complete'!B164,"AAAAAH/v2/s=")</f>
        <v>#VALUE!</v>
      </c>
      <c r="IS22" t="e">
        <f>AND('BBP complete'!C164,"AAAAAH/v2/w=")</f>
        <v>#VALUE!</v>
      </c>
      <c r="IT22" t="e">
        <f>AND('BBP complete'!D164,"AAAAAH/v2/0=")</f>
        <v>#VALUE!</v>
      </c>
      <c r="IU22" t="e">
        <f>AND('BBP complete'!E164,"AAAAAH/v2/4=")</f>
        <v>#VALUE!</v>
      </c>
      <c r="IV22" t="e">
        <f>AND('BBP complete'!F164,"AAAAAH/v2/8=")</f>
        <v>#VALUE!</v>
      </c>
    </row>
    <row r="23" spans="1:256" ht="15" customHeight="1" x14ac:dyDescent="0.25">
      <c r="A23" t="e">
        <f>AND('BBP complete'!G164,"AAAAAHuXlAA=")</f>
        <v>#VALUE!</v>
      </c>
      <c r="B23" t="e">
        <f>AND('BBP complete'!H164,"AAAAAHuXlAE=")</f>
        <v>#VALUE!</v>
      </c>
      <c r="C23" t="e">
        <f>AND('BBP complete'!I164,"AAAAAHuXlAI=")</f>
        <v>#VALUE!</v>
      </c>
      <c r="D23" s="60" t="e">
        <v>#VALUE!</v>
      </c>
      <c r="E23" t="e">
        <f>AND('BBP complete'!A165,"AAAAAHuXlAQ=")</f>
        <v>#VALUE!</v>
      </c>
      <c r="F23" t="e">
        <f>AND('BBP complete'!B165,"AAAAAHuXlAU=")</f>
        <v>#VALUE!</v>
      </c>
      <c r="G23" t="e">
        <f>AND('BBP complete'!C165,"AAAAAHuXlAY=")</f>
        <v>#VALUE!</v>
      </c>
      <c r="H23" t="e">
        <f>AND('BBP complete'!D165,"AAAAAHuXlAc=")</f>
        <v>#VALUE!</v>
      </c>
      <c r="I23" t="e">
        <f>AND('BBP complete'!E165,"AAAAAHuXlAg=")</f>
        <v>#VALUE!</v>
      </c>
      <c r="J23" t="e">
        <f>AND('BBP complete'!F165,"AAAAAHuXlAk=")</f>
        <v>#VALUE!</v>
      </c>
      <c r="K23" t="e">
        <f>AND('BBP complete'!G165,"AAAAAHuXlAo=")</f>
        <v>#VALUE!</v>
      </c>
      <c r="L23" t="e">
        <f>AND('BBP complete'!H165,"AAAAAHuXlAs=")</f>
        <v>#VALUE!</v>
      </c>
      <c r="M23" t="e">
        <f>AND('BBP complete'!I165,"AAAAAHuXlAw=")</f>
        <v>#VALUE!</v>
      </c>
      <c r="N23" s="60" t="e">
        <v>#VALUE!</v>
      </c>
      <c r="O23" t="e">
        <f>AND('BBP complete'!A166,"AAAAAHuXlA4=")</f>
        <v>#VALUE!</v>
      </c>
      <c r="P23" t="e">
        <f>AND('BBP complete'!B166,"AAAAAHuXlA8=")</f>
        <v>#VALUE!</v>
      </c>
      <c r="Q23" t="e">
        <f>AND('BBP complete'!C166,"AAAAAHuXlBA=")</f>
        <v>#VALUE!</v>
      </c>
      <c r="R23" t="e">
        <f>AND('BBP complete'!D166,"AAAAAHuXlBE=")</f>
        <v>#VALUE!</v>
      </c>
      <c r="S23" t="e">
        <f>AND('BBP complete'!E166,"AAAAAHuXlBI=")</f>
        <v>#VALUE!</v>
      </c>
      <c r="T23" t="e">
        <f>AND('BBP complete'!F166,"AAAAAHuXlBM=")</f>
        <v>#VALUE!</v>
      </c>
      <c r="U23" t="e">
        <f>AND('BBP complete'!G166,"AAAAAHuXlBQ=")</f>
        <v>#VALUE!</v>
      </c>
      <c r="V23" t="e">
        <f>AND('BBP complete'!H166,"AAAAAHuXlBU=")</f>
        <v>#VALUE!</v>
      </c>
      <c r="W23" t="e">
        <f>AND('BBP complete'!I166,"AAAAAHuXlBY=")</f>
        <v>#VALUE!</v>
      </c>
      <c r="X23" s="60" t="e">
        <v>#VALUE!</v>
      </c>
      <c r="Y23" t="e">
        <f>AND('BBP complete'!A167,"AAAAAHuXlBg=")</f>
        <v>#VALUE!</v>
      </c>
      <c r="Z23" t="e">
        <f>AND('BBP complete'!B167,"AAAAAHuXlBk=")</f>
        <v>#VALUE!</v>
      </c>
      <c r="AA23" t="e">
        <f>AND('BBP complete'!C167,"AAAAAHuXlBo=")</f>
        <v>#VALUE!</v>
      </c>
      <c r="AB23" t="e">
        <f>AND('BBP complete'!D167,"AAAAAHuXlBs=")</f>
        <v>#VALUE!</v>
      </c>
      <c r="AC23" t="e">
        <f>AND('BBP complete'!E167,"AAAAAHuXlBw=")</f>
        <v>#VALUE!</v>
      </c>
      <c r="AD23" t="e">
        <f>AND('BBP complete'!F167,"AAAAAHuXlB0=")</f>
        <v>#VALUE!</v>
      </c>
      <c r="AE23" t="e">
        <f>AND('BBP complete'!G167,"AAAAAHuXlB4=")</f>
        <v>#VALUE!</v>
      </c>
      <c r="AF23" t="e">
        <f>AND('BBP complete'!H167,"AAAAAHuXlB8=")</f>
        <v>#VALUE!</v>
      </c>
      <c r="AG23" t="e">
        <f>AND('BBP complete'!I167,"AAAAAHuXlCA=")</f>
        <v>#VALUE!</v>
      </c>
      <c r="AH23" s="60" t="e">
        <v>#VALUE!</v>
      </c>
      <c r="AI23" t="e">
        <f>AND('BBP complete'!A168,"AAAAAHuXlCI=")</f>
        <v>#VALUE!</v>
      </c>
      <c r="AJ23" t="e">
        <f>AND('BBP complete'!B168,"AAAAAHuXlCM=")</f>
        <v>#VALUE!</v>
      </c>
      <c r="AK23" t="e">
        <f>AND('BBP complete'!C168,"AAAAAHuXlCQ=")</f>
        <v>#VALUE!</v>
      </c>
      <c r="AL23" t="e">
        <f>AND('BBP complete'!D168,"AAAAAHuXlCU=")</f>
        <v>#VALUE!</v>
      </c>
      <c r="AM23" t="e">
        <f>AND('BBP complete'!E168,"AAAAAHuXlCY=")</f>
        <v>#VALUE!</v>
      </c>
      <c r="AN23" t="e">
        <f>AND('BBP complete'!F168,"AAAAAHuXlCc=")</f>
        <v>#VALUE!</v>
      </c>
      <c r="AO23" t="e">
        <f>AND('BBP complete'!G168,"AAAAAHuXlCg=")</f>
        <v>#VALUE!</v>
      </c>
      <c r="AP23" t="e">
        <f>AND('BBP complete'!H168,"AAAAAHuXlCk=")</f>
        <v>#VALUE!</v>
      </c>
      <c r="AQ23" t="e">
        <f>AND('BBP complete'!I168,"AAAAAHuXlCo=")</f>
        <v>#VALUE!</v>
      </c>
      <c r="AR23" s="60" t="e">
        <v>#VALUE!</v>
      </c>
      <c r="AS23" t="e">
        <f>AND('BBP complete'!A169,"AAAAAHuXlCw=")</f>
        <v>#VALUE!</v>
      </c>
      <c r="AT23" t="e">
        <f>AND('BBP complete'!B169,"AAAAAHuXlC0=")</f>
        <v>#VALUE!</v>
      </c>
      <c r="AU23" t="e">
        <f>AND('BBP complete'!C169,"AAAAAHuXlC4=")</f>
        <v>#VALUE!</v>
      </c>
      <c r="AV23" t="e">
        <f>AND('BBP complete'!D169,"AAAAAHuXlC8=")</f>
        <v>#VALUE!</v>
      </c>
      <c r="AW23" t="e">
        <f>AND('BBP complete'!E169,"AAAAAHuXlDA=")</f>
        <v>#VALUE!</v>
      </c>
      <c r="AX23" t="e">
        <f>AND('BBP complete'!F169,"AAAAAHuXlDE=")</f>
        <v>#VALUE!</v>
      </c>
      <c r="AY23" t="e">
        <f>AND('BBP complete'!G169,"AAAAAHuXlDI=")</f>
        <v>#VALUE!</v>
      </c>
      <c r="AZ23" t="e">
        <f>AND('BBP complete'!H169,"AAAAAHuXlDM=")</f>
        <v>#VALUE!</v>
      </c>
      <c r="BA23" t="e">
        <f>AND('BBP complete'!I169,"AAAAAHuXlDQ=")</f>
        <v>#VALUE!</v>
      </c>
      <c r="BB23" s="60" t="e">
        <v>#VALUE!</v>
      </c>
      <c r="BC23" t="e">
        <f>AND('BBP complete'!A170,"AAAAAHuXlDY=")</f>
        <v>#VALUE!</v>
      </c>
      <c r="BD23" t="e">
        <f>AND('BBP complete'!B170,"AAAAAHuXlDc=")</f>
        <v>#VALUE!</v>
      </c>
      <c r="BE23" t="e">
        <f>AND('BBP complete'!C170,"AAAAAHuXlDg=")</f>
        <v>#VALUE!</v>
      </c>
      <c r="BF23" t="e">
        <f>AND('BBP complete'!D170,"AAAAAHuXlDk=")</f>
        <v>#VALUE!</v>
      </c>
      <c r="BG23" t="e">
        <f>AND('BBP complete'!E170,"AAAAAHuXlDo=")</f>
        <v>#VALUE!</v>
      </c>
      <c r="BH23" t="e">
        <f>AND('BBP complete'!F170,"AAAAAHuXlDs=")</f>
        <v>#VALUE!</v>
      </c>
      <c r="BI23" t="e">
        <f>AND('BBP complete'!G170,"AAAAAHuXlDw=")</f>
        <v>#VALUE!</v>
      </c>
      <c r="BJ23" t="e">
        <f>AND('BBP complete'!H170,"AAAAAHuXlD0=")</f>
        <v>#VALUE!</v>
      </c>
      <c r="BK23" t="e">
        <f>AND('BBP complete'!I170,"AAAAAHuXlD4=")</f>
        <v>#VALUE!</v>
      </c>
      <c r="BL23" s="60" t="e">
        <v>#VALUE!</v>
      </c>
      <c r="BM23" t="e">
        <f>AND('BBP complete'!A171,"AAAAAHuXlEA=")</f>
        <v>#VALUE!</v>
      </c>
      <c r="BN23" t="e">
        <f>AND('BBP complete'!B171,"AAAAAHuXlEE=")</f>
        <v>#VALUE!</v>
      </c>
      <c r="BO23" t="e">
        <f>AND('BBP complete'!C171,"AAAAAHuXlEI=")</f>
        <v>#VALUE!</v>
      </c>
      <c r="BP23" t="e">
        <f>AND('BBP complete'!D171,"AAAAAHuXlEM=")</f>
        <v>#VALUE!</v>
      </c>
      <c r="BQ23" t="e">
        <f>AND('BBP complete'!E171,"AAAAAHuXlEQ=")</f>
        <v>#VALUE!</v>
      </c>
      <c r="BR23" t="e">
        <f>AND('BBP complete'!F171,"AAAAAHuXlEU=")</f>
        <v>#VALUE!</v>
      </c>
      <c r="BS23" t="e">
        <f>AND('BBP complete'!G171,"AAAAAHuXlEY=")</f>
        <v>#VALUE!</v>
      </c>
      <c r="BT23" t="e">
        <f>AND('BBP complete'!H171,"AAAAAHuXlEc=")</f>
        <v>#VALUE!</v>
      </c>
      <c r="BU23" t="e">
        <f>AND('BBP complete'!I171,"AAAAAHuXlEg=")</f>
        <v>#VALUE!</v>
      </c>
      <c r="BV23" s="60" t="e">
        <v>#VALUE!</v>
      </c>
      <c r="BW23" t="e">
        <f>AND('BBP complete'!A172,"AAAAAHuXlEo=")</f>
        <v>#VALUE!</v>
      </c>
      <c r="BX23" t="e">
        <f>AND('BBP complete'!B172,"AAAAAHuXlEs=")</f>
        <v>#VALUE!</v>
      </c>
      <c r="BY23" t="e">
        <f>AND('BBP complete'!C172,"AAAAAHuXlEw=")</f>
        <v>#VALUE!</v>
      </c>
      <c r="BZ23" t="e">
        <f>AND('BBP complete'!D172,"AAAAAHuXlE0=")</f>
        <v>#VALUE!</v>
      </c>
      <c r="CA23" t="e">
        <f>AND('BBP complete'!E172,"AAAAAHuXlE4=")</f>
        <v>#VALUE!</v>
      </c>
      <c r="CB23" t="e">
        <f>AND('BBP complete'!F172,"AAAAAHuXlE8=")</f>
        <v>#VALUE!</v>
      </c>
      <c r="CC23" t="e">
        <f>AND('BBP complete'!G172,"AAAAAHuXlFA=")</f>
        <v>#VALUE!</v>
      </c>
      <c r="CD23" t="e">
        <f>AND('BBP complete'!H172,"AAAAAHuXlFE=")</f>
        <v>#VALUE!</v>
      </c>
      <c r="CE23" t="e">
        <f>AND('BBP complete'!I172,"AAAAAHuXlFI=")</f>
        <v>#VALUE!</v>
      </c>
      <c r="CF23" s="60" t="e">
        <v>#VALUE!</v>
      </c>
      <c r="CG23" t="e">
        <f>AND('BBP complete'!A173,"AAAAAHuXlFQ=")</f>
        <v>#VALUE!</v>
      </c>
      <c r="CH23" t="e">
        <f>AND('BBP complete'!B173,"AAAAAHuXlFU=")</f>
        <v>#VALUE!</v>
      </c>
      <c r="CI23" t="e">
        <f>AND('BBP complete'!C173,"AAAAAHuXlFY=")</f>
        <v>#VALUE!</v>
      </c>
      <c r="CJ23" t="e">
        <f>AND('BBP complete'!D173,"AAAAAHuXlFc=")</f>
        <v>#VALUE!</v>
      </c>
      <c r="CK23" t="e">
        <f>AND('BBP complete'!E173,"AAAAAHuXlFg=")</f>
        <v>#VALUE!</v>
      </c>
      <c r="CL23" t="e">
        <f>AND('BBP complete'!F173,"AAAAAHuXlFk=")</f>
        <v>#VALUE!</v>
      </c>
      <c r="CM23" t="e">
        <f>AND('BBP complete'!G173,"AAAAAHuXlFo=")</f>
        <v>#VALUE!</v>
      </c>
      <c r="CN23" t="e">
        <f>AND('BBP complete'!H173,"AAAAAHuXlFs=")</f>
        <v>#VALUE!</v>
      </c>
      <c r="CO23" t="e">
        <f>AND('BBP complete'!I173,"AAAAAHuXlFw=")</f>
        <v>#VALUE!</v>
      </c>
      <c r="CP23" s="60" t="e">
        <v>#VALUE!</v>
      </c>
      <c r="CQ23" t="e">
        <f>AND('BBP complete'!A174,"AAAAAHuXlF4=")</f>
        <v>#VALUE!</v>
      </c>
      <c r="CR23" t="e">
        <f>AND('BBP complete'!B174,"AAAAAHuXlF8=")</f>
        <v>#VALUE!</v>
      </c>
      <c r="CS23" t="e">
        <f>AND('BBP complete'!C174,"AAAAAHuXlGA=")</f>
        <v>#VALUE!</v>
      </c>
      <c r="CT23" t="e">
        <f>AND('BBP complete'!D174,"AAAAAHuXlGE=")</f>
        <v>#VALUE!</v>
      </c>
      <c r="CU23" t="e">
        <f>AND('BBP complete'!E174,"AAAAAHuXlGI=")</f>
        <v>#VALUE!</v>
      </c>
      <c r="CV23" t="e">
        <f>AND('BBP complete'!F174,"AAAAAHuXlGM=")</f>
        <v>#VALUE!</v>
      </c>
      <c r="CW23" t="e">
        <f>AND('BBP complete'!G174,"AAAAAHuXlGQ=")</f>
        <v>#VALUE!</v>
      </c>
      <c r="CX23" t="e">
        <f>AND('BBP complete'!H174,"AAAAAHuXlGU=")</f>
        <v>#VALUE!</v>
      </c>
      <c r="CY23" t="e">
        <f>AND('BBP complete'!I174,"AAAAAHuXlGY=")</f>
        <v>#VALUE!</v>
      </c>
      <c r="CZ23" s="60" t="e">
        <v>#VALUE!</v>
      </c>
      <c r="DA23" t="e">
        <f>AND('BBP complete'!A175,"AAAAAHuXlGg=")</f>
        <v>#VALUE!</v>
      </c>
      <c r="DB23" t="e">
        <f>AND('BBP complete'!B175,"AAAAAHuXlGk=")</f>
        <v>#VALUE!</v>
      </c>
      <c r="DC23" t="e">
        <f>AND('BBP complete'!C175,"AAAAAHuXlGo=")</f>
        <v>#VALUE!</v>
      </c>
      <c r="DD23" t="e">
        <f>AND('BBP complete'!D175,"AAAAAHuXlGs=")</f>
        <v>#VALUE!</v>
      </c>
      <c r="DE23" t="e">
        <f>AND('BBP complete'!E175,"AAAAAHuXlGw=")</f>
        <v>#VALUE!</v>
      </c>
      <c r="DF23" t="e">
        <f>AND('BBP complete'!F175,"AAAAAHuXlG0=")</f>
        <v>#VALUE!</v>
      </c>
      <c r="DG23" t="e">
        <f>AND('BBP complete'!G175,"AAAAAHuXlG4=")</f>
        <v>#VALUE!</v>
      </c>
      <c r="DH23" t="e">
        <f>AND('BBP complete'!H175,"AAAAAHuXlG8=")</f>
        <v>#VALUE!</v>
      </c>
      <c r="DI23" t="e">
        <f>AND('BBP complete'!I175,"AAAAAHuXlHA=")</f>
        <v>#VALUE!</v>
      </c>
      <c r="DJ23" s="60" t="e">
        <v>#VALUE!</v>
      </c>
      <c r="DK23" t="e">
        <f>AND('BBP complete'!A176,"AAAAAHuXlHI=")</f>
        <v>#VALUE!</v>
      </c>
      <c r="DL23" t="e">
        <f>AND('BBP complete'!B176,"AAAAAHuXlHM=")</f>
        <v>#VALUE!</v>
      </c>
      <c r="DM23" t="e">
        <f>AND('BBP complete'!C176,"AAAAAHuXlHQ=")</f>
        <v>#VALUE!</v>
      </c>
      <c r="DN23" t="e">
        <f>AND('BBP complete'!D176,"AAAAAHuXlHU=")</f>
        <v>#VALUE!</v>
      </c>
      <c r="DO23" t="e">
        <f>AND('BBP complete'!E176,"AAAAAHuXlHY=")</f>
        <v>#VALUE!</v>
      </c>
      <c r="DP23" t="e">
        <f>AND('BBP complete'!F176,"AAAAAHuXlHc=")</f>
        <v>#VALUE!</v>
      </c>
      <c r="DQ23" t="e">
        <f>AND('BBP complete'!G176,"AAAAAHuXlHg=")</f>
        <v>#VALUE!</v>
      </c>
      <c r="DR23" t="e">
        <f>AND('BBP complete'!H176,"AAAAAHuXlHk=")</f>
        <v>#VALUE!</v>
      </c>
      <c r="DS23" t="e">
        <f>AND('BBP complete'!I176,"AAAAAHuXlHo=")</f>
        <v>#VALUE!</v>
      </c>
      <c r="DT23" s="60" t="e">
        <v>#VALUE!</v>
      </c>
      <c r="DU23" t="e">
        <f>AND('BBP complete'!A177,"AAAAAHuXlHw=")</f>
        <v>#VALUE!</v>
      </c>
      <c r="DV23" t="e">
        <f>AND('BBP complete'!B177,"AAAAAHuXlH0=")</f>
        <v>#VALUE!</v>
      </c>
      <c r="DW23" t="e">
        <f>AND('BBP complete'!C177,"AAAAAHuXlH4=")</f>
        <v>#VALUE!</v>
      </c>
      <c r="DX23" t="e">
        <f>AND('BBP complete'!D177,"AAAAAHuXlH8=")</f>
        <v>#VALUE!</v>
      </c>
      <c r="DY23" t="e">
        <f>AND('BBP complete'!E177,"AAAAAHuXlIA=")</f>
        <v>#VALUE!</v>
      </c>
      <c r="DZ23" t="e">
        <f>AND('BBP complete'!F177,"AAAAAHuXlIE=")</f>
        <v>#VALUE!</v>
      </c>
      <c r="EA23" t="e">
        <f>AND('BBP complete'!G177,"AAAAAHuXlII=")</f>
        <v>#VALUE!</v>
      </c>
      <c r="EB23" t="e">
        <f>AND('BBP complete'!H177,"AAAAAHuXlIM=")</f>
        <v>#VALUE!</v>
      </c>
      <c r="EC23" t="e">
        <f>AND('BBP complete'!I177,"AAAAAHuXlIQ=")</f>
        <v>#VALUE!</v>
      </c>
      <c r="ED23" s="60" t="e">
        <v>#VALUE!</v>
      </c>
      <c r="EE23" t="e">
        <f>AND('BBP complete'!A178,"AAAAAHuXlIY=")</f>
        <v>#VALUE!</v>
      </c>
      <c r="EF23" t="e">
        <f>AND('BBP complete'!B178,"AAAAAHuXlIc=")</f>
        <v>#VALUE!</v>
      </c>
      <c r="EG23" t="e">
        <f>AND('BBP complete'!C178,"AAAAAHuXlIg=")</f>
        <v>#VALUE!</v>
      </c>
      <c r="EH23" t="e">
        <f>AND('BBP complete'!D178,"AAAAAHuXlIk=")</f>
        <v>#VALUE!</v>
      </c>
      <c r="EI23" t="e">
        <f>AND('BBP complete'!E178,"AAAAAHuXlIo=")</f>
        <v>#VALUE!</v>
      </c>
      <c r="EJ23" t="e">
        <f>AND('BBP complete'!F178,"AAAAAHuXlIs=")</f>
        <v>#VALUE!</v>
      </c>
      <c r="EK23" t="e">
        <f>AND('BBP complete'!G178,"AAAAAHuXlIw=")</f>
        <v>#VALUE!</v>
      </c>
      <c r="EL23" t="e">
        <f>AND('BBP complete'!H178,"AAAAAHuXlI0=")</f>
        <v>#VALUE!</v>
      </c>
      <c r="EM23" t="e">
        <f>AND('BBP complete'!I178,"AAAAAHuXlI4=")</f>
        <v>#VALUE!</v>
      </c>
      <c r="EN23" s="60" t="e">
        <v>#VALUE!</v>
      </c>
      <c r="EO23" t="e">
        <f>AND('BBP complete'!A179,"AAAAAHuXlJA=")</f>
        <v>#VALUE!</v>
      </c>
      <c r="EP23" t="e">
        <f>AND('BBP complete'!B179,"AAAAAHuXlJE=")</f>
        <v>#VALUE!</v>
      </c>
      <c r="EQ23" t="e">
        <f>AND('BBP complete'!C179,"AAAAAHuXlJI=")</f>
        <v>#VALUE!</v>
      </c>
      <c r="ER23" t="e">
        <f>AND('BBP complete'!D179,"AAAAAHuXlJM=")</f>
        <v>#VALUE!</v>
      </c>
      <c r="ES23" t="e">
        <f>AND('BBP complete'!E179,"AAAAAHuXlJQ=")</f>
        <v>#VALUE!</v>
      </c>
      <c r="ET23" t="e">
        <f>AND('BBP complete'!F179,"AAAAAHuXlJU=")</f>
        <v>#VALUE!</v>
      </c>
      <c r="EU23" t="e">
        <f>AND('BBP complete'!G179,"AAAAAHuXlJY=")</f>
        <v>#VALUE!</v>
      </c>
      <c r="EV23" t="e">
        <f>AND('BBP complete'!H179,"AAAAAHuXlJc=")</f>
        <v>#VALUE!</v>
      </c>
      <c r="EW23" t="e">
        <f>AND('BBP complete'!I179,"AAAAAHuXlJg=")</f>
        <v>#VALUE!</v>
      </c>
      <c r="EX23" s="60" t="e">
        <v>#VALUE!</v>
      </c>
      <c r="EY23" t="e">
        <f>AND('BBP complete'!A180,"AAAAAHuXlJo=")</f>
        <v>#VALUE!</v>
      </c>
      <c r="EZ23" t="e">
        <f>AND('BBP complete'!B180,"AAAAAHuXlJs=")</f>
        <v>#VALUE!</v>
      </c>
      <c r="FA23" t="e">
        <f>AND('BBP complete'!C180,"AAAAAHuXlJw=")</f>
        <v>#VALUE!</v>
      </c>
      <c r="FB23" t="e">
        <f>AND('BBP complete'!D180,"AAAAAHuXlJ0=")</f>
        <v>#VALUE!</v>
      </c>
      <c r="FC23" t="e">
        <f>AND('BBP complete'!E180,"AAAAAHuXlJ4=")</f>
        <v>#VALUE!</v>
      </c>
      <c r="FD23" t="e">
        <f>AND('BBP complete'!F180,"AAAAAHuXlJ8=")</f>
        <v>#VALUE!</v>
      </c>
      <c r="FE23" t="e">
        <f>AND('BBP complete'!G180,"AAAAAHuXlKA=")</f>
        <v>#VALUE!</v>
      </c>
      <c r="FF23" t="e">
        <f>AND('BBP complete'!H180,"AAAAAHuXlKE=")</f>
        <v>#VALUE!</v>
      </c>
      <c r="FG23" t="e">
        <f>AND('BBP complete'!I180,"AAAAAHuXlKI=")</f>
        <v>#VALUE!</v>
      </c>
      <c r="FH23" s="60" t="e">
        <v>#VALUE!</v>
      </c>
      <c r="FI23" t="e">
        <f>AND('BBP complete'!A181,"AAAAAHuXlKQ=")</f>
        <v>#VALUE!</v>
      </c>
      <c r="FJ23" t="e">
        <f>AND('BBP complete'!B181,"AAAAAHuXlKU=")</f>
        <v>#VALUE!</v>
      </c>
      <c r="FK23" t="e">
        <f>AND('BBP complete'!C181,"AAAAAHuXlKY=")</f>
        <v>#VALUE!</v>
      </c>
      <c r="FL23" t="e">
        <f>AND('BBP complete'!D181,"AAAAAHuXlKc=")</f>
        <v>#VALUE!</v>
      </c>
      <c r="FM23" t="e">
        <f>AND('BBP complete'!E181,"AAAAAHuXlKg=")</f>
        <v>#VALUE!</v>
      </c>
      <c r="FN23" t="e">
        <f>AND('BBP complete'!F181,"AAAAAHuXlKk=")</f>
        <v>#VALUE!</v>
      </c>
      <c r="FO23" t="e">
        <f>AND('BBP complete'!G181,"AAAAAHuXlKo=")</f>
        <v>#VALUE!</v>
      </c>
      <c r="FP23" t="e">
        <f>AND('BBP complete'!H181,"AAAAAHuXlKs=")</f>
        <v>#VALUE!</v>
      </c>
      <c r="FQ23" t="e">
        <f>AND('BBP complete'!I181,"AAAAAHuXlKw=")</f>
        <v>#VALUE!</v>
      </c>
      <c r="FR23" s="60" t="e">
        <v>#VALUE!</v>
      </c>
      <c r="FS23" t="e">
        <f>AND('BBP complete'!A182,"AAAAAHuXlK4=")</f>
        <v>#VALUE!</v>
      </c>
      <c r="FT23" t="e">
        <f>AND('BBP complete'!B182,"AAAAAHuXlK8=")</f>
        <v>#VALUE!</v>
      </c>
      <c r="FU23" t="e">
        <f>AND('BBP complete'!C182,"AAAAAHuXlLA=")</f>
        <v>#VALUE!</v>
      </c>
      <c r="FV23" t="e">
        <f>AND('BBP complete'!D182,"AAAAAHuXlLE=")</f>
        <v>#VALUE!</v>
      </c>
      <c r="FW23" t="e">
        <f>AND('BBP complete'!E182,"AAAAAHuXlLI=")</f>
        <v>#VALUE!</v>
      </c>
      <c r="FX23" t="e">
        <f>AND('BBP complete'!F182,"AAAAAHuXlLM=")</f>
        <v>#VALUE!</v>
      </c>
      <c r="FY23" t="e">
        <f>AND('BBP complete'!G182,"AAAAAHuXlLQ=")</f>
        <v>#VALUE!</v>
      </c>
      <c r="FZ23" t="e">
        <f>AND('BBP complete'!H182,"AAAAAHuXlLU=")</f>
        <v>#VALUE!</v>
      </c>
      <c r="GA23" t="e">
        <f>AND('BBP complete'!I182,"AAAAAHuXlLY=")</f>
        <v>#VALUE!</v>
      </c>
      <c r="GB23" s="60" t="e">
        <v>#VALUE!</v>
      </c>
      <c r="GC23" t="e">
        <f>AND('BBP complete'!A183,"AAAAAHuXlLg=")</f>
        <v>#VALUE!</v>
      </c>
      <c r="GD23" t="e">
        <f>AND('BBP complete'!B183,"AAAAAHuXlLk=")</f>
        <v>#VALUE!</v>
      </c>
      <c r="GE23" t="e">
        <f>AND('BBP complete'!C183,"AAAAAHuXlLo=")</f>
        <v>#VALUE!</v>
      </c>
      <c r="GF23" t="e">
        <f>AND('BBP complete'!D183,"AAAAAHuXlLs=")</f>
        <v>#VALUE!</v>
      </c>
      <c r="GG23" t="e">
        <f>AND('BBP complete'!E183,"AAAAAHuXlLw=")</f>
        <v>#VALUE!</v>
      </c>
      <c r="GH23" t="e">
        <f>AND('BBP complete'!F183,"AAAAAHuXlL0=")</f>
        <v>#VALUE!</v>
      </c>
      <c r="GI23" t="e">
        <f>AND('BBP complete'!G183,"AAAAAHuXlL4=")</f>
        <v>#VALUE!</v>
      </c>
      <c r="GJ23" t="e">
        <f>AND('BBP complete'!H183,"AAAAAHuXlL8=")</f>
        <v>#VALUE!</v>
      </c>
      <c r="GK23" t="e">
        <f>AND('BBP complete'!I183,"AAAAAHuXlMA=")</f>
        <v>#VALUE!</v>
      </c>
      <c r="GL23" s="60" t="e">
        <v>#VALUE!</v>
      </c>
      <c r="GM23" t="e">
        <f>AND('BBP complete'!A184,"AAAAAHuXlMI=")</f>
        <v>#VALUE!</v>
      </c>
      <c r="GN23" t="e">
        <f>AND('BBP complete'!B184,"AAAAAHuXlMM=")</f>
        <v>#VALUE!</v>
      </c>
      <c r="GO23" t="e">
        <f>AND('BBP complete'!C184,"AAAAAHuXlMQ=")</f>
        <v>#VALUE!</v>
      </c>
      <c r="GP23" t="e">
        <f>AND('BBP complete'!D184,"AAAAAHuXlMU=")</f>
        <v>#VALUE!</v>
      </c>
      <c r="GQ23" t="e">
        <f>AND('BBP complete'!E184,"AAAAAHuXlMY=")</f>
        <v>#VALUE!</v>
      </c>
      <c r="GR23" t="e">
        <f>AND('BBP complete'!F184,"AAAAAHuXlMc=")</f>
        <v>#VALUE!</v>
      </c>
      <c r="GS23" t="e">
        <f>AND('BBP complete'!G184,"AAAAAHuXlMg=")</f>
        <v>#VALUE!</v>
      </c>
      <c r="GT23" t="e">
        <f>AND('BBP complete'!H184,"AAAAAHuXlMk=")</f>
        <v>#VALUE!</v>
      </c>
      <c r="GU23" t="e">
        <f>AND('BBP complete'!I184,"AAAAAHuXlMo=")</f>
        <v>#VALUE!</v>
      </c>
      <c r="GV23" s="60" t="e">
        <v>#VALUE!</v>
      </c>
      <c r="GW23" t="e">
        <f>AND('BBP complete'!A185,"AAAAAHuXlMw=")</f>
        <v>#VALUE!</v>
      </c>
      <c r="GX23" t="e">
        <f>AND('BBP complete'!B185,"AAAAAHuXlM0=")</f>
        <v>#VALUE!</v>
      </c>
      <c r="GY23" t="e">
        <f>AND('BBP complete'!C185,"AAAAAHuXlM4=")</f>
        <v>#VALUE!</v>
      </c>
      <c r="GZ23" t="e">
        <f>AND('BBP complete'!D185,"AAAAAHuXlM8=")</f>
        <v>#VALUE!</v>
      </c>
      <c r="HA23" t="e">
        <f>AND('BBP complete'!E185,"AAAAAHuXlNA=")</f>
        <v>#VALUE!</v>
      </c>
      <c r="HB23" t="e">
        <f>AND('BBP complete'!F185,"AAAAAHuXlNE=")</f>
        <v>#VALUE!</v>
      </c>
      <c r="HC23" t="e">
        <f>AND('BBP complete'!G185,"AAAAAHuXlNI=")</f>
        <v>#VALUE!</v>
      </c>
      <c r="HD23" t="e">
        <f>AND('BBP complete'!H185,"AAAAAHuXlNM=")</f>
        <v>#VALUE!</v>
      </c>
      <c r="HE23" t="e">
        <f>AND('BBP complete'!I185,"AAAAAHuXlNQ=")</f>
        <v>#VALUE!</v>
      </c>
      <c r="HF23" s="60" t="e">
        <v>#VALUE!</v>
      </c>
      <c r="HG23" t="e">
        <f>AND('BBP complete'!A186,"AAAAAHuXlNY=")</f>
        <v>#VALUE!</v>
      </c>
      <c r="HH23" t="e">
        <f>AND('BBP complete'!B186,"AAAAAHuXlNc=")</f>
        <v>#VALUE!</v>
      </c>
      <c r="HI23" t="e">
        <f>AND('BBP complete'!C186,"AAAAAHuXlNg=")</f>
        <v>#VALUE!</v>
      </c>
      <c r="HJ23" t="e">
        <f>AND('BBP complete'!D186,"AAAAAHuXlNk=")</f>
        <v>#VALUE!</v>
      </c>
      <c r="HK23" t="e">
        <f>AND('BBP complete'!E186,"AAAAAHuXlNo=")</f>
        <v>#VALUE!</v>
      </c>
      <c r="HL23" t="e">
        <f>AND('BBP complete'!F186,"AAAAAHuXlNs=")</f>
        <v>#VALUE!</v>
      </c>
      <c r="HM23" t="e">
        <f>AND('BBP complete'!G186,"AAAAAHuXlNw=")</f>
        <v>#VALUE!</v>
      </c>
      <c r="HN23" t="e">
        <f>AND('BBP complete'!H186,"AAAAAHuXlN0=")</f>
        <v>#VALUE!</v>
      </c>
      <c r="HO23" t="e">
        <f>AND('BBP complete'!I186,"AAAAAHuXlN4=")</f>
        <v>#VALUE!</v>
      </c>
      <c r="HP23" s="60" t="e">
        <v>#VALUE!</v>
      </c>
      <c r="HQ23" t="e">
        <f>AND('BBP complete'!A187,"AAAAAHuXlOA=")</f>
        <v>#VALUE!</v>
      </c>
      <c r="HR23" t="e">
        <f>AND('BBP complete'!B187,"AAAAAHuXlOE=")</f>
        <v>#VALUE!</v>
      </c>
      <c r="HS23" t="e">
        <f>AND('BBP complete'!C187,"AAAAAHuXlOI=")</f>
        <v>#VALUE!</v>
      </c>
      <c r="HT23" t="e">
        <f>AND('BBP complete'!D187,"AAAAAHuXlOM=")</f>
        <v>#VALUE!</v>
      </c>
      <c r="HU23" t="e">
        <f>AND('BBP complete'!E187,"AAAAAHuXlOQ=")</f>
        <v>#VALUE!</v>
      </c>
      <c r="HV23" t="e">
        <f>AND('BBP complete'!F187,"AAAAAHuXlOU=")</f>
        <v>#VALUE!</v>
      </c>
      <c r="HW23" t="e">
        <f>AND('BBP complete'!G187,"AAAAAHuXlOY=")</f>
        <v>#VALUE!</v>
      </c>
      <c r="HX23" t="e">
        <f>AND('BBP complete'!H187,"AAAAAHuXlOc=")</f>
        <v>#VALUE!</v>
      </c>
      <c r="HY23" t="e">
        <f>AND('BBP complete'!I187,"AAAAAHuXlOg=")</f>
        <v>#VALUE!</v>
      </c>
      <c r="HZ23" s="60" t="e">
        <v>#VALUE!</v>
      </c>
      <c r="IA23" t="e">
        <f>AND('BBP complete'!A188,"AAAAAHuXlOo=")</f>
        <v>#VALUE!</v>
      </c>
      <c r="IB23" t="e">
        <f>AND('BBP complete'!B188,"AAAAAHuXlOs=")</f>
        <v>#VALUE!</v>
      </c>
      <c r="IC23" t="e">
        <f>AND('BBP complete'!C188,"AAAAAHuXlOw=")</f>
        <v>#VALUE!</v>
      </c>
      <c r="ID23" t="e">
        <f>AND('BBP complete'!D188,"AAAAAHuXlO0=")</f>
        <v>#VALUE!</v>
      </c>
      <c r="IE23" t="e">
        <f>AND('BBP complete'!E188,"AAAAAHuXlO4=")</f>
        <v>#VALUE!</v>
      </c>
      <c r="IF23" t="e">
        <f>AND('BBP complete'!F188,"AAAAAHuXlO8=")</f>
        <v>#VALUE!</v>
      </c>
      <c r="IG23" t="e">
        <f>AND('BBP complete'!G188,"AAAAAHuXlPA=")</f>
        <v>#VALUE!</v>
      </c>
      <c r="IH23" t="e">
        <f>AND('BBP complete'!H188,"AAAAAHuXlPE=")</f>
        <v>#VALUE!</v>
      </c>
      <c r="II23" t="e">
        <f>AND('BBP complete'!I188,"AAAAAHuXlPI=")</f>
        <v>#VALUE!</v>
      </c>
      <c r="IJ23" s="60" t="e">
        <v>#VALUE!</v>
      </c>
      <c r="IK23" t="e">
        <f>AND('BBP complete'!A189,"AAAAAHuXlPQ=")</f>
        <v>#VALUE!</v>
      </c>
      <c r="IL23" t="e">
        <f>AND('BBP complete'!B189,"AAAAAHuXlPU=")</f>
        <v>#VALUE!</v>
      </c>
      <c r="IM23" t="e">
        <f>AND('BBP complete'!C189,"AAAAAHuXlPY=")</f>
        <v>#VALUE!</v>
      </c>
      <c r="IN23" t="e">
        <f>AND('BBP complete'!D189,"AAAAAHuXlPc=")</f>
        <v>#VALUE!</v>
      </c>
      <c r="IO23" t="e">
        <f>AND('BBP complete'!E189,"AAAAAHuXlPg=")</f>
        <v>#VALUE!</v>
      </c>
      <c r="IP23" t="e">
        <f>AND('BBP complete'!F189,"AAAAAHuXlPk=")</f>
        <v>#VALUE!</v>
      </c>
      <c r="IQ23" t="e">
        <f>AND('BBP complete'!G189,"AAAAAHuXlPo=")</f>
        <v>#VALUE!</v>
      </c>
      <c r="IR23" t="e">
        <f>AND('BBP complete'!H189,"AAAAAHuXlPs=")</f>
        <v>#VALUE!</v>
      </c>
      <c r="IS23" t="e">
        <f>AND('BBP complete'!I189,"AAAAAHuXlPw=")</f>
        <v>#VALUE!</v>
      </c>
      <c r="IT23" s="60" t="e">
        <v>#VALUE!</v>
      </c>
      <c r="IU23" t="e">
        <f>AND('BBP complete'!A190,"AAAAAHuXlP4=")</f>
        <v>#VALUE!</v>
      </c>
      <c r="IV23" t="e">
        <f>AND('BBP complete'!B190,"AAAAAHuXlP8=")</f>
        <v>#VALUE!</v>
      </c>
    </row>
    <row r="24" spans="1:256" ht="15" customHeight="1" x14ac:dyDescent="0.25">
      <c r="A24" t="e">
        <f>AND('BBP complete'!C190,"AAAAAH/7YwA=")</f>
        <v>#VALUE!</v>
      </c>
      <c r="B24" t="e">
        <f>AND('BBP complete'!D190,"AAAAAH/7YwE=")</f>
        <v>#VALUE!</v>
      </c>
      <c r="C24" t="e">
        <f>AND('BBP complete'!E190,"AAAAAH/7YwI=")</f>
        <v>#VALUE!</v>
      </c>
      <c r="D24" t="e">
        <f>AND('BBP complete'!F190,"AAAAAH/7YwM=")</f>
        <v>#VALUE!</v>
      </c>
      <c r="E24" t="e">
        <f>AND('BBP complete'!G190,"AAAAAH/7YwQ=")</f>
        <v>#VALUE!</v>
      </c>
      <c r="F24" t="e">
        <f>AND('BBP complete'!H190,"AAAAAH/7YwU=")</f>
        <v>#VALUE!</v>
      </c>
      <c r="G24" t="e">
        <f>AND('BBP complete'!I190,"AAAAAH/7YwY=")</f>
        <v>#VALUE!</v>
      </c>
      <c r="H24" s="60" t="e">
        <v>#VALUE!</v>
      </c>
      <c r="I24" t="e">
        <f>AND('BBP complete'!A191,"AAAAAH/7Ywg=")</f>
        <v>#VALUE!</v>
      </c>
      <c r="J24" t="e">
        <f>AND('BBP complete'!B191,"AAAAAH/7Ywk=")</f>
        <v>#VALUE!</v>
      </c>
      <c r="K24" t="e">
        <f>AND('BBP complete'!C191,"AAAAAH/7Ywo=")</f>
        <v>#VALUE!</v>
      </c>
      <c r="L24" t="e">
        <f>AND('BBP complete'!D191,"AAAAAH/7Yws=")</f>
        <v>#VALUE!</v>
      </c>
      <c r="M24" t="e">
        <f>AND('BBP complete'!E191,"AAAAAH/7Yww=")</f>
        <v>#VALUE!</v>
      </c>
      <c r="N24" t="e">
        <f>AND('BBP complete'!F191,"AAAAAH/7Yw0=")</f>
        <v>#VALUE!</v>
      </c>
      <c r="O24" t="e">
        <f>AND('BBP complete'!G191,"AAAAAH/7Yw4=")</f>
        <v>#VALUE!</v>
      </c>
      <c r="P24" t="e">
        <f>AND('BBP complete'!H191,"AAAAAH/7Yw8=")</f>
        <v>#VALUE!</v>
      </c>
      <c r="Q24" t="e">
        <f>AND('BBP complete'!I191,"AAAAAH/7YxA=")</f>
        <v>#VALUE!</v>
      </c>
      <c r="R24" s="60" t="e">
        <v>#VALUE!</v>
      </c>
      <c r="S24" t="e">
        <f>AND('BBP complete'!A192,"AAAAAH/7YxI=")</f>
        <v>#VALUE!</v>
      </c>
      <c r="T24" t="e">
        <f>AND('BBP complete'!B192,"AAAAAH/7YxM=")</f>
        <v>#VALUE!</v>
      </c>
      <c r="U24" t="e">
        <f>AND('BBP complete'!C192,"AAAAAH/7YxQ=")</f>
        <v>#VALUE!</v>
      </c>
      <c r="V24" t="e">
        <f>AND('BBP complete'!D192,"AAAAAH/7YxU=")</f>
        <v>#VALUE!</v>
      </c>
      <c r="W24" t="e">
        <f>AND('BBP complete'!E192,"AAAAAH/7YxY=")</f>
        <v>#VALUE!</v>
      </c>
      <c r="X24" t="e">
        <f>AND('BBP complete'!F192,"AAAAAH/7Yxc=")</f>
        <v>#VALUE!</v>
      </c>
      <c r="Y24" t="e">
        <f>AND('BBP complete'!G192,"AAAAAH/7Yxg=")</f>
        <v>#VALUE!</v>
      </c>
      <c r="Z24" t="e">
        <f>AND('BBP complete'!H192,"AAAAAH/7Yxk=")</f>
        <v>#VALUE!</v>
      </c>
      <c r="AA24" t="e">
        <f>AND('BBP complete'!I192,"AAAAAH/7Yxo=")</f>
        <v>#VALUE!</v>
      </c>
      <c r="AB24" s="60" t="e">
        <v>#VALUE!</v>
      </c>
      <c r="AC24" t="e">
        <f>AND('BBP complete'!A193,"AAAAAH/7Yxw=")</f>
        <v>#VALUE!</v>
      </c>
      <c r="AD24" t="e">
        <f>AND('BBP complete'!B193,"AAAAAH/7Yx0=")</f>
        <v>#VALUE!</v>
      </c>
      <c r="AE24" t="e">
        <f>AND('BBP complete'!C193,"AAAAAH/7Yx4=")</f>
        <v>#VALUE!</v>
      </c>
      <c r="AF24" t="e">
        <f>AND('BBP complete'!D193,"AAAAAH/7Yx8=")</f>
        <v>#VALUE!</v>
      </c>
      <c r="AG24" t="e">
        <f>AND('BBP complete'!E193,"AAAAAH/7YyA=")</f>
        <v>#VALUE!</v>
      </c>
      <c r="AH24" t="e">
        <f>AND('BBP complete'!F193,"AAAAAH/7YyE=")</f>
        <v>#VALUE!</v>
      </c>
      <c r="AI24" t="e">
        <f>AND('BBP complete'!G193,"AAAAAH/7YyI=")</f>
        <v>#VALUE!</v>
      </c>
      <c r="AJ24" t="e">
        <f>AND('BBP complete'!H193,"AAAAAH/7YyM=")</f>
        <v>#VALUE!</v>
      </c>
      <c r="AK24" t="e">
        <f>AND('BBP complete'!I193,"AAAAAH/7YyQ=")</f>
        <v>#VALUE!</v>
      </c>
      <c r="AL24" s="60" t="e">
        <v>#VALUE!</v>
      </c>
      <c r="AM24" t="e">
        <f>AND('BBP complete'!A194,"AAAAAH/7YyY=")</f>
        <v>#VALUE!</v>
      </c>
      <c r="AN24" t="e">
        <f>AND('BBP complete'!B194,"AAAAAH/7Yyc=")</f>
        <v>#VALUE!</v>
      </c>
      <c r="AO24" t="e">
        <f>AND('BBP complete'!C194,"AAAAAH/7Yyg=")</f>
        <v>#VALUE!</v>
      </c>
      <c r="AP24" t="e">
        <f>AND('BBP complete'!D194,"AAAAAH/7Yyk=")</f>
        <v>#VALUE!</v>
      </c>
      <c r="AQ24" t="e">
        <f>AND('BBP complete'!E194,"AAAAAH/7Yyo=")</f>
        <v>#VALUE!</v>
      </c>
      <c r="AR24" t="e">
        <f>AND('BBP complete'!F194,"AAAAAH/7Yys=")</f>
        <v>#VALUE!</v>
      </c>
      <c r="AS24" t="e">
        <f>AND('BBP complete'!G194,"AAAAAH/7Yyw=")</f>
        <v>#VALUE!</v>
      </c>
      <c r="AT24" t="e">
        <f>AND('BBP complete'!H194,"AAAAAH/7Yy0=")</f>
        <v>#VALUE!</v>
      </c>
      <c r="AU24" t="e">
        <f>AND('BBP complete'!I194,"AAAAAH/7Yy4=")</f>
        <v>#VALUE!</v>
      </c>
      <c r="AV24" s="60" t="e">
        <v>#VALUE!</v>
      </c>
      <c r="AW24" t="e">
        <f>AND('BBP complete'!A195,"AAAAAH/7YzA=")</f>
        <v>#VALUE!</v>
      </c>
      <c r="AX24" t="e">
        <f>AND('BBP complete'!B195,"AAAAAH/7YzE=")</f>
        <v>#VALUE!</v>
      </c>
      <c r="AY24" t="e">
        <f>AND('BBP complete'!C195,"AAAAAH/7YzI=")</f>
        <v>#VALUE!</v>
      </c>
      <c r="AZ24" t="e">
        <f>AND('BBP complete'!D195,"AAAAAH/7YzM=")</f>
        <v>#VALUE!</v>
      </c>
      <c r="BA24" t="e">
        <f>AND('BBP complete'!E195,"AAAAAH/7YzQ=")</f>
        <v>#VALUE!</v>
      </c>
      <c r="BB24" t="e">
        <f>AND('BBP complete'!F195,"AAAAAH/7YzU=")</f>
        <v>#VALUE!</v>
      </c>
      <c r="BC24" t="e">
        <f>AND('BBP complete'!G195,"AAAAAH/7YzY=")</f>
        <v>#VALUE!</v>
      </c>
      <c r="BD24" t="e">
        <f>AND('BBP complete'!H195,"AAAAAH/7Yzc=")</f>
        <v>#VALUE!</v>
      </c>
      <c r="BE24" t="e">
        <f>AND('BBP complete'!I195,"AAAAAH/7Yzg=")</f>
        <v>#VALUE!</v>
      </c>
      <c r="BF24" s="60" t="e">
        <v>#VALUE!</v>
      </c>
      <c r="BG24" t="e">
        <f>AND('BBP complete'!A196,"AAAAAH/7Yzo=")</f>
        <v>#VALUE!</v>
      </c>
      <c r="BH24" t="e">
        <f>AND('BBP complete'!B196,"AAAAAH/7Yzs=")</f>
        <v>#VALUE!</v>
      </c>
      <c r="BI24" t="e">
        <f>AND('BBP complete'!C196,"AAAAAH/7Yzw=")</f>
        <v>#VALUE!</v>
      </c>
      <c r="BJ24" t="e">
        <f>AND('BBP complete'!D196,"AAAAAH/7Yz0=")</f>
        <v>#VALUE!</v>
      </c>
      <c r="BK24" t="e">
        <f>AND('BBP complete'!E196,"AAAAAH/7Yz4=")</f>
        <v>#VALUE!</v>
      </c>
      <c r="BL24" t="e">
        <f>AND('BBP complete'!F196,"AAAAAH/7Yz8=")</f>
        <v>#VALUE!</v>
      </c>
      <c r="BM24" t="e">
        <f>AND('BBP complete'!G196,"AAAAAH/7Y0A=")</f>
        <v>#VALUE!</v>
      </c>
      <c r="BN24" t="e">
        <f>AND('BBP complete'!H196,"AAAAAH/7Y0E=")</f>
        <v>#VALUE!</v>
      </c>
      <c r="BO24" t="e">
        <f>AND('BBP complete'!I196,"AAAAAH/7Y0I=")</f>
        <v>#VALUE!</v>
      </c>
      <c r="BP24" s="60" t="e">
        <v>#VALUE!</v>
      </c>
      <c r="BQ24" t="e">
        <f>AND('BBP complete'!A197,"AAAAAH/7Y0Q=")</f>
        <v>#VALUE!</v>
      </c>
      <c r="BR24" t="e">
        <f>AND('BBP complete'!B197,"AAAAAH/7Y0U=")</f>
        <v>#VALUE!</v>
      </c>
      <c r="BS24" t="e">
        <f>AND('BBP complete'!C197,"AAAAAH/7Y0Y=")</f>
        <v>#VALUE!</v>
      </c>
      <c r="BT24" t="e">
        <f>AND('BBP complete'!D197,"AAAAAH/7Y0c=")</f>
        <v>#VALUE!</v>
      </c>
      <c r="BU24" t="e">
        <f>AND('BBP complete'!E197,"AAAAAH/7Y0g=")</f>
        <v>#VALUE!</v>
      </c>
      <c r="BV24" t="e">
        <f>AND('BBP complete'!F197,"AAAAAH/7Y0k=")</f>
        <v>#VALUE!</v>
      </c>
      <c r="BW24" t="e">
        <f>AND('BBP complete'!G197,"AAAAAH/7Y0o=")</f>
        <v>#VALUE!</v>
      </c>
      <c r="BX24" t="e">
        <f>AND('BBP complete'!H197,"AAAAAH/7Y0s=")</f>
        <v>#VALUE!</v>
      </c>
      <c r="BY24" t="e">
        <f>AND('BBP complete'!I197,"AAAAAH/7Y0w=")</f>
        <v>#VALUE!</v>
      </c>
      <c r="BZ24" s="60" t="e">
        <v>#VALUE!</v>
      </c>
      <c r="CA24" t="e">
        <f>AND('BBP complete'!A198,"AAAAAH/7Y04=")</f>
        <v>#VALUE!</v>
      </c>
      <c r="CB24" t="e">
        <f>AND('BBP complete'!B198,"AAAAAH/7Y08=")</f>
        <v>#VALUE!</v>
      </c>
      <c r="CC24" t="e">
        <f>AND('BBP complete'!C198,"AAAAAH/7Y1A=")</f>
        <v>#VALUE!</v>
      </c>
      <c r="CD24" t="e">
        <f>AND('BBP complete'!D198,"AAAAAH/7Y1E=")</f>
        <v>#VALUE!</v>
      </c>
      <c r="CE24" t="e">
        <f>AND('BBP complete'!E198,"AAAAAH/7Y1I=")</f>
        <v>#VALUE!</v>
      </c>
      <c r="CF24" t="e">
        <f>AND('BBP complete'!F198,"AAAAAH/7Y1M=")</f>
        <v>#VALUE!</v>
      </c>
      <c r="CG24" t="e">
        <f>AND('BBP complete'!G198,"AAAAAH/7Y1Q=")</f>
        <v>#VALUE!</v>
      </c>
      <c r="CH24" t="e">
        <f>AND('BBP complete'!H198,"AAAAAH/7Y1U=")</f>
        <v>#VALUE!</v>
      </c>
      <c r="CI24" t="e">
        <f>AND('BBP complete'!I198,"AAAAAH/7Y1Y=")</f>
        <v>#VALUE!</v>
      </c>
      <c r="CJ24" s="60" t="e">
        <v>#VALUE!</v>
      </c>
      <c r="CK24" t="e">
        <f>AND('BBP complete'!A199,"AAAAAH/7Y1g=")</f>
        <v>#VALUE!</v>
      </c>
      <c r="CL24" t="e">
        <f>AND('BBP complete'!B199,"AAAAAH/7Y1k=")</f>
        <v>#VALUE!</v>
      </c>
      <c r="CM24" t="e">
        <f>AND('BBP complete'!C199,"AAAAAH/7Y1o=")</f>
        <v>#VALUE!</v>
      </c>
      <c r="CN24" t="e">
        <f>AND('BBP complete'!D199,"AAAAAH/7Y1s=")</f>
        <v>#VALUE!</v>
      </c>
      <c r="CO24" t="e">
        <f>AND('BBP complete'!E199,"AAAAAH/7Y1w=")</f>
        <v>#VALUE!</v>
      </c>
      <c r="CP24" t="e">
        <f>AND('BBP complete'!F199,"AAAAAH/7Y10=")</f>
        <v>#VALUE!</v>
      </c>
      <c r="CQ24" t="e">
        <f>AND('BBP complete'!G199,"AAAAAH/7Y14=")</f>
        <v>#VALUE!</v>
      </c>
      <c r="CR24" t="e">
        <f>AND('BBP complete'!H199,"AAAAAH/7Y18=")</f>
        <v>#VALUE!</v>
      </c>
      <c r="CS24" t="e">
        <f>AND('BBP complete'!I199,"AAAAAH/7Y2A=")</f>
        <v>#VALUE!</v>
      </c>
      <c r="CT24" s="60" t="e">
        <v>#VALUE!</v>
      </c>
      <c r="CU24" t="e">
        <f>AND('BBP complete'!A200,"AAAAAH/7Y2I=")</f>
        <v>#VALUE!</v>
      </c>
      <c r="CV24" t="e">
        <f>AND('BBP complete'!B200,"AAAAAH/7Y2M=")</f>
        <v>#VALUE!</v>
      </c>
      <c r="CW24" t="e">
        <f>AND('BBP complete'!C200,"AAAAAH/7Y2Q=")</f>
        <v>#VALUE!</v>
      </c>
      <c r="CX24" t="e">
        <f>AND('BBP complete'!D200,"AAAAAH/7Y2U=")</f>
        <v>#VALUE!</v>
      </c>
      <c r="CY24" t="e">
        <f>AND('BBP complete'!E200,"AAAAAH/7Y2Y=")</f>
        <v>#VALUE!</v>
      </c>
      <c r="CZ24" t="e">
        <f>AND('BBP complete'!F200,"AAAAAH/7Y2c=")</f>
        <v>#VALUE!</v>
      </c>
      <c r="DA24" t="e">
        <f>AND('BBP complete'!G200,"AAAAAH/7Y2g=")</f>
        <v>#VALUE!</v>
      </c>
      <c r="DB24" t="e">
        <f>AND('BBP complete'!H200,"AAAAAH/7Y2k=")</f>
        <v>#VALUE!</v>
      </c>
      <c r="DC24" t="e">
        <f>AND('BBP complete'!I200,"AAAAAH/7Y2o=")</f>
        <v>#VALUE!</v>
      </c>
      <c r="DD24" s="60" t="e">
        <v>#VALUE!</v>
      </c>
      <c r="DE24" t="e">
        <f>AND('BBP complete'!A201,"AAAAAH/7Y2w=")</f>
        <v>#VALUE!</v>
      </c>
      <c r="DF24" t="e">
        <f>AND('BBP complete'!B201,"AAAAAH/7Y20=")</f>
        <v>#VALUE!</v>
      </c>
      <c r="DG24" t="e">
        <f>AND('BBP complete'!C201,"AAAAAH/7Y24=")</f>
        <v>#VALUE!</v>
      </c>
      <c r="DH24" t="e">
        <f>AND('BBP complete'!D201,"AAAAAH/7Y28=")</f>
        <v>#VALUE!</v>
      </c>
      <c r="DI24" t="e">
        <f>AND('BBP complete'!E201,"AAAAAH/7Y3A=")</f>
        <v>#VALUE!</v>
      </c>
      <c r="DJ24" t="e">
        <f>AND('BBP complete'!F201,"AAAAAH/7Y3E=")</f>
        <v>#VALUE!</v>
      </c>
      <c r="DK24" t="e">
        <f>AND('BBP complete'!G201,"AAAAAH/7Y3I=")</f>
        <v>#VALUE!</v>
      </c>
      <c r="DL24" t="e">
        <f>AND('BBP complete'!H201,"AAAAAH/7Y3M=")</f>
        <v>#VALUE!</v>
      </c>
      <c r="DM24" t="e">
        <f>AND('BBP complete'!I201,"AAAAAH/7Y3Q=")</f>
        <v>#VALUE!</v>
      </c>
      <c r="DN24" s="60" t="e">
        <v>#VALUE!</v>
      </c>
      <c r="DO24" t="e">
        <f>AND('BBP complete'!A202,"AAAAAH/7Y3Y=")</f>
        <v>#VALUE!</v>
      </c>
      <c r="DP24" t="e">
        <f>AND('BBP complete'!B202,"AAAAAH/7Y3c=")</f>
        <v>#VALUE!</v>
      </c>
      <c r="DQ24" t="e">
        <f>AND('BBP complete'!C202,"AAAAAH/7Y3g=")</f>
        <v>#VALUE!</v>
      </c>
      <c r="DR24" t="e">
        <f>AND('BBP complete'!D202,"AAAAAH/7Y3k=")</f>
        <v>#VALUE!</v>
      </c>
      <c r="DS24" t="e">
        <f>AND('BBP complete'!E202,"AAAAAH/7Y3o=")</f>
        <v>#VALUE!</v>
      </c>
      <c r="DT24" t="e">
        <f>AND('BBP complete'!F202,"AAAAAH/7Y3s=")</f>
        <v>#VALUE!</v>
      </c>
      <c r="DU24" t="e">
        <f>AND('BBP complete'!G202,"AAAAAH/7Y3w=")</f>
        <v>#VALUE!</v>
      </c>
      <c r="DV24" t="e">
        <f>AND('BBP complete'!H202,"AAAAAH/7Y30=")</f>
        <v>#VALUE!</v>
      </c>
      <c r="DW24" t="e">
        <f>AND('BBP complete'!I202,"AAAAAH/7Y34=")</f>
        <v>#VALUE!</v>
      </c>
      <c r="DX24" s="60" t="e">
        <v>#VALUE!</v>
      </c>
      <c r="DY24" t="e">
        <f>AND('BBP complete'!A203,"AAAAAH/7Y4A=")</f>
        <v>#VALUE!</v>
      </c>
      <c r="DZ24" t="e">
        <f>AND('BBP complete'!B203,"AAAAAH/7Y4E=")</f>
        <v>#VALUE!</v>
      </c>
      <c r="EA24" t="e">
        <f>AND('BBP complete'!C203,"AAAAAH/7Y4I=")</f>
        <v>#VALUE!</v>
      </c>
      <c r="EB24" t="e">
        <f>AND('BBP complete'!D203,"AAAAAH/7Y4M=")</f>
        <v>#VALUE!</v>
      </c>
      <c r="EC24" t="e">
        <f>AND('BBP complete'!E203,"AAAAAH/7Y4Q=")</f>
        <v>#VALUE!</v>
      </c>
      <c r="ED24" t="e">
        <f>AND('BBP complete'!F203,"AAAAAH/7Y4U=")</f>
        <v>#VALUE!</v>
      </c>
      <c r="EE24" t="e">
        <f>AND('BBP complete'!G203,"AAAAAH/7Y4Y=")</f>
        <v>#VALUE!</v>
      </c>
      <c r="EF24" t="e">
        <f>AND('BBP complete'!H203,"AAAAAH/7Y4c=")</f>
        <v>#VALUE!</v>
      </c>
      <c r="EG24" t="e">
        <f>AND('BBP complete'!I203,"AAAAAH/7Y4g=")</f>
        <v>#VALUE!</v>
      </c>
      <c r="EH24" s="60" t="e">
        <v>#VALUE!</v>
      </c>
      <c r="EI24" t="e">
        <f>AND('BBP complete'!A204,"AAAAAH/7Y4o=")</f>
        <v>#VALUE!</v>
      </c>
      <c r="EJ24" t="e">
        <f>AND('BBP complete'!B204,"AAAAAH/7Y4s=")</f>
        <v>#VALUE!</v>
      </c>
      <c r="EK24" t="e">
        <f>AND('BBP complete'!C204,"AAAAAH/7Y4w=")</f>
        <v>#VALUE!</v>
      </c>
      <c r="EL24" t="e">
        <f>AND('BBP complete'!D204,"AAAAAH/7Y40=")</f>
        <v>#VALUE!</v>
      </c>
      <c r="EM24" t="e">
        <f>AND('BBP complete'!E204,"AAAAAH/7Y44=")</f>
        <v>#VALUE!</v>
      </c>
      <c r="EN24" t="e">
        <f>AND('BBP complete'!F204,"AAAAAH/7Y48=")</f>
        <v>#VALUE!</v>
      </c>
      <c r="EO24" t="e">
        <f>AND('BBP complete'!G204,"AAAAAH/7Y5A=")</f>
        <v>#VALUE!</v>
      </c>
      <c r="EP24" t="e">
        <f>AND('BBP complete'!H204,"AAAAAH/7Y5E=")</f>
        <v>#VALUE!</v>
      </c>
      <c r="EQ24" t="e">
        <f>AND('BBP complete'!I204,"AAAAAH/7Y5I=")</f>
        <v>#VALUE!</v>
      </c>
      <c r="ER24" s="60" t="e">
        <v>#VALUE!</v>
      </c>
      <c r="ES24" t="e">
        <f>AND('BBP complete'!A205,"AAAAAH/7Y5Q=")</f>
        <v>#VALUE!</v>
      </c>
      <c r="ET24" t="e">
        <f>AND('BBP complete'!B205,"AAAAAH/7Y5U=")</f>
        <v>#VALUE!</v>
      </c>
      <c r="EU24" t="e">
        <f>AND('BBP complete'!C205,"AAAAAH/7Y5Y=")</f>
        <v>#VALUE!</v>
      </c>
      <c r="EV24" t="e">
        <f>AND('BBP complete'!D205,"AAAAAH/7Y5c=")</f>
        <v>#VALUE!</v>
      </c>
      <c r="EW24" t="e">
        <f>AND('BBP complete'!E205,"AAAAAH/7Y5g=")</f>
        <v>#VALUE!</v>
      </c>
      <c r="EX24" t="e">
        <f>AND('BBP complete'!F205,"AAAAAH/7Y5k=")</f>
        <v>#VALUE!</v>
      </c>
      <c r="EY24" t="e">
        <f>AND('BBP complete'!G205,"AAAAAH/7Y5o=")</f>
        <v>#VALUE!</v>
      </c>
      <c r="EZ24" t="e">
        <f>AND('BBP complete'!H205,"AAAAAH/7Y5s=")</f>
        <v>#VALUE!</v>
      </c>
      <c r="FA24" t="e">
        <f>AND('BBP complete'!I205,"AAAAAH/7Y5w=")</f>
        <v>#VALUE!</v>
      </c>
      <c r="FB24" s="60" t="e">
        <v>#VALUE!</v>
      </c>
      <c r="FC24" t="e">
        <f>AND('BBP complete'!A206,"AAAAAH/7Y54=")</f>
        <v>#VALUE!</v>
      </c>
      <c r="FD24" t="e">
        <f>AND('BBP complete'!B206,"AAAAAH/7Y58=")</f>
        <v>#VALUE!</v>
      </c>
      <c r="FE24" t="e">
        <f>AND('BBP complete'!C206,"AAAAAH/7Y6A=")</f>
        <v>#VALUE!</v>
      </c>
      <c r="FF24" t="e">
        <f>AND('BBP complete'!D206,"AAAAAH/7Y6E=")</f>
        <v>#VALUE!</v>
      </c>
      <c r="FG24" t="e">
        <f>AND('BBP complete'!E206,"AAAAAH/7Y6I=")</f>
        <v>#VALUE!</v>
      </c>
      <c r="FH24" t="e">
        <f>AND('BBP complete'!F206,"AAAAAH/7Y6M=")</f>
        <v>#VALUE!</v>
      </c>
      <c r="FI24" t="e">
        <f>AND('BBP complete'!G206,"AAAAAH/7Y6Q=")</f>
        <v>#VALUE!</v>
      </c>
      <c r="FJ24" t="e">
        <f>AND('BBP complete'!H206,"AAAAAH/7Y6U=")</f>
        <v>#VALUE!</v>
      </c>
      <c r="FK24" t="e">
        <f>AND('BBP complete'!I206,"AAAAAH/7Y6Y=")</f>
        <v>#VALUE!</v>
      </c>
      <c r="FL24" s="60" t="e">
        <v>#VALUE!</v>
      </c>
      <c r="FM24" t="e">
        <f>AND('BBP complete'!A207,"AAAAAH/7Y6g=")</f>
        <v>#VALUE!</v>
      </c>
      <c r="FN24" t="e">
        <f>AND('BBP complete'!B207,"AAAAAH/7Y6k=")</f>
        <v>#VALUE!</v>
      </c>
      <c r="FO24" t="e">
        <f>AND('BBP complete'!C207,"AAAAAH/7Y6o=")</f>
        <v>#VALUE!</v>
      </c>
      <c r="FP24" t="e">
        <f>AND('BBP complete'!D207,"AAAAAH/7Y6s=")</f>
        <v>#VALUE!</v>
      </c>
      <c r="FQ24" t="e">
        <f>AND('BBP complete'!E207,"AAAAAH/7Y6w=")</f>
        <v>#VALUE!</v>
      </c>
      <c r="FR24" t="e">
        <f>AND('BBP complete'!F207,"AAAAAH/7Y60=")</f>
        <v>#VALUE!</v>
      </c>
      <c r="FS24" t="e">
        <f>AND('BBP complete'!G207,"AAAAAH/7Y64=")</f>
        <v>#VALUE!</v>
      </c>
      <c r="FT24" t="e">
        <f>AND('BBP complete'!H207,"AAAAAH/7Y68=")</f>
        <v>#VALUE!</v>
      </c>
      <c r="FU24" t="e">
        <f>AND('BBP complete'!I207,"AAAAAH/7Y7A=")</f>
        <v>#VALUE!</v>
      </c>
      <c r="FV24" s="60" t="e">
        <v>#VALUE!</v>
      </c>
      <c r="FW24" t="e">
        <f>AND('BBP complete'!A208,"AAAAAH/7Y7I=")</f>
        <v>#VALUE!</v>
      </c>
      <c r="FX24" t="e">
        <f>AND('BBP complete'!B208,"AAAAAH/7Y7M=")</f>
        <v>#VALUE!</v>
      </c>
      <c r="FY24" t="e">
        <f>AND('BBP complete'!C208,"AAAAAH/7Y7Q=")</f>
        <v>#VALUE!</v>
      </c>
      <c r="FZ24" t="e">
        <f>AND('BBP complete'!D208,"AAAAAH/7Y7U=")</f>
        <v>#VALUE!</v>
      </c>
      <c r="GA24" t="e">
        <f>AND('BBP complete'!E208,"AAAAAH/7Y7Y=")</f>
        <v>#VALUE!</v>
      </c>
      <c r="GB24" t="e">
        <f>AND('BBP complete'!F208,"AAAAAH/7Y7c=")</f>
        <v>#VALUE!</v>
      </c>
      <c r="GC24" t="e">
        <f>AND('BBP complete'!G208,"AAAAAH/7Y7g=")</f>
        <v>#VALUE!</v>
      </c>
      <c r="GD24" t="e">
        <f>AND('BBP complete'!H208,"AAAAAH/7Y7k=")</f>
        <v>#VALUE!</v>
      </c>
      <c r="GE24" t="e">
        <f>AND('BBP complete'!I208,"AAAAAH/7Y7o=")</f>
        <v>#VALUE!</v>
      </c>
      <c r="GF24" s="60" t="e">
        <v>#VALUE!</v>
      </c>
      <c r="GG24" t="e">
        <f>AND('BBP complete'!A209,"AAAAAH/7Y7w=")</f>
        <v>#VALUE!</v>
      </c>
      <c r="GH24" t="e">
        <f>AND('BBP complete'!B209,"AAAAAH/7Y70=")</f>
        <v>#VALUE!</v>
      </c>
      <c r="GI24" t="e">
        <f>AND('BBP complete'!C209,"AAAAAH/7Y74=")</f>
        <v>#VALUE!</v>
      </c>
      <c r="GJ24" t="e">
        <f>AND('BBP complete'!D209,"AAAAAH/7Y78=")</f>
        <v>#VALUE!</v>
      </c>
      <c r="GK24" t="e">
        <f>AND('BBP complete'!E209,"AAAAAH/7Y8A=")</f>
        <v>#VALUE!</v>
      </c>
      <c r="GL24" t="e">
        <f>AND('BBP complete'!F209,"AAAAAH/7Y8E=")</f>
        <v>#VALUE!</v>
      </c>
      <c r="GM24" t="e">
        <f>AND('BBP complete'!G209,"AAAAAH/7Y8I=")</f>
        <v>#VALUE!</v>
      </c>
      <c r="GN24" t="e">
        <f>AND('BBP complete'!H209,"AAAAAH/7Y8M=")</f>
        <v>#VALUE!</v>
      </c>
      <c r="GO24" t="e">
        <f>AND('BBP complete'!I209,"AAAAAH/7Y8Q=")</f>
        <v>#VALUE!</v>
      </c>
      <c r="GP24" s="60" t="e">
        <v>#VALUE!</v>
      </c>
      <c r="GQ24" t="e">
        <f>AND('BBP complete'!A210,"AAAAAH/7Y8Y=")</f>
        <v>#VALUE!</v>
      </c>
      <c r="GR24" t="e">
        <f>AND('BBP complete'!B210,"AAAAAH/7Y8c=")</f>
        <v>#VALUE!</v>
      </c>
      <c r="GS24" t="e">
        <f>AND('BBP complete'!C210,"AAAAAH/7Y8g=")</f>
        <v>#VALUE!</v>
      </c>
      <c r="GT24" t="e">
        <f>AND('BBP complete'!D210,"AAAAAH/7Y8k=")</f>
        <v>#VALUE!</v>
      </c>
      <c r="GU24" t="e">
        <f>AND('BBP complete'!E210,"AAAAAH/7Y8o=")</f>
        <v>#VALUE!</v>
      </c>
      <c r="GV24" t="e">
        <f>AND('BBP complete'!F210,"AAAAAH/7Y8s=")</f>
        <v>#VALUE!</v>
      </c>
      <c r="GW24" t="e">
        <f>AND('BBP complete'!G210,"AAAAAH/7Y8w=")</f>
        <v>#VALUE!</v>
      </c>
      <c r="GX24" t="e">
        <f>AND('BBP complete'!H210,"AAAAAH/7Y80=")</f>
        <v>#VALUE!</v>
      </c>
      <c r="GY24" t="e">
        <f>AND('BBP complete'!I210,"AAAAAH/7Y84=")</f>
        <v>#VALUE!</v>
      </c>
      <c r="GZ24" s="60" t="e">
        <v>#VALUE!</v>
      </c>
      <c r="HA24" t="e">
        <f>AND('BBP complete'!A211,"AAAAAH/7Y9A=")</f>
        <v>#VALUE!</v>
      </c>
      <c r="HB24" t="e">
        <f>AND('BBP complete'!B211,"AAAAAH/7Y9E=")</f>
        <v>#VALUE!</v>
      </c>
      <c r="HC24" t="e">
        <f>AND('BBP complete'!C211,"AAAAAH/7Y9I=")</f>
        <v>#VALUE!</v>
      </c>
      <c r="HD24" t="e">
        <f>AND('BBP complete'!D211,"AAAAAH/7Y9M=")</f>
        <v>#VALUE!</v>
      </c>
      <c r="HE24" t="e">
        <f>AND('BBP complete'!E211,"AAAAAH/7Y9Q=")</f>
        <v>#VALUE!</v>
      </c>
      <c r="HF24" t="e">
        <f>AND('BBP complete'!F211,"AAAAAH/7Y9U=")</f>
        <v>#VALUE!</v>
      </c>
      <c r="HG24" t="e">
        <f>AND('BBP complete'!G211,"AAAAAH/7Y9Y=")</f>
        <v>#VALUE!</v>
      </c>
      <c r="HH24" t="e">
        <f>AND('BBP complete'!H211,"AAAAAH/7Y9c=")</f>
        <v>#VALUE!</v>
      </c>
      <c r="HI24" t="e">
        <f>AND('BBP complete'!I211,"AAAAAH/7Y9g=")</f>
        <v>#VALUE!</v>
      </c>
      <c r="HJ24" s="60" t="e">
        <v>#VALUE!</v>
      </c>
      <c r="HK24" t="e">
        <f>AND('BBP complete'!A212,"AAAAAH/7Y9o=")</f>
        <v>#VALUE!</v>
      </c>
      <c r="HL24" t="e">
        <f>AND('BBP complete'!B212,"AAAAAH/7Y9s=")</f>
        <v>#VALUE!</v>
      </c>
      <c r="HM24" t="e">
        <f>AND('BBP complete'!C212,"AAAAAH/7Y9w=")</f>
        <v>#VALUE!</v>
      </c>
      <c r="HN24" t="e">
        <f>AND('BBP complete'!D212,"AAAAAH/7Y90=")</f>
        <v>#VALUE!</v>
      </c>
      <c r="HO24" t="e">
        <f>AND('BBP complete'!E212,"AAAAAH/7Y94=")</f>
        <v>#VALUE!</v>
      </c>
      <c r="HP24" t="e">
        <f>AND('BBP complete'!F212,"AAAAAH/7Y98=")</f>
        <v>#VALUE!</v>
      </c>
      <c r="HQ24" t="e">
        <f>AND('BBP complete'!G212,"AAAAAH/7Y+A=")</f>
        <v>#VALUE!</v>
      </c>
      <c r="HR24" t="e">
        <f>AND('BBP complete'!H212,"AAAAAH/7Y+E=")</f>
        <v>#VALUE!</v>
      </c>
      <c r="HS24" t="e">
        <f>AND('BBP complete'!I212,"AAAAAH/7Y+I=")</f>
        <v>#VALUE!</v>
      </c>
      <c r="HT24" s="60" t="e">
        <v>#VALUE!</v>
      </c>
      <c r="HU24" t="e">
        <f>AND('BBP complete'!A213,"AAAAAH/7Y+Q=")</f>
        <v>#VALUE!</v>
      </c>
      <c r="HV24" t="e">
        <f>AND('BBP complete'!B213,"AAAAAH/7Y+U=")</f>
        <v>#VALUE!</v>
      </c>
      <c r="HW24" t="e">
        <f>AND('BBP complete'!C213,"AAAAAH/7Y+Y=")</f>
        <v>#VALUE!</v>
      </c>
      <c r="HX24" t="e">
        <f>AND('BBP complete'!D213,"AAAAAH/7Y+c=")</f>
        <v>#VALUE!</v>
      </c>
      <c r="HY24" t="e">
        <f>AND('BBP complete'!E213,"AAAAAH/7Y+g=")</f>
        <v>#VALUE!</v>
      </c>
      <c r="HZ24" t="e">
        <f>AND('BBP complete'!F213,"AAAAAH/7Y+k=")</f>
        <v>#VALUE!</v>
      </c>
      <c r="IA24" t="e">
        <f>AND('BBP complete'!G213,"AAAAAH/7Y+o=")</f>
        <v>#VALUE!</v>
      </c>
      <c r="IB24" t="e">
        <f>AND('BBP complete'!H213,"AAAAAH/7Y+s=")</f>
        <v>#VALUE!</v>
      </c>
      <c r="IC24" t="e">
        <f>AND('BBP complete'!I213,"AAAAAH/7Y+w=")</f>
        <v>#VALUE!</v>
      </c>
      <c r="ID24" s="60" t="e">
        <v>#VALUE!</v>
      </c>
      <c r="IE24" t="e">
        <f>AND('BBP complete'!A214,"AAAAAH/7Y+4=")</f>
        <v>#VALUE!</v>
      </c>
      <c r="IF24" t="e">
        <f>AND('BBP complete'!B214,"AAAAAH/7Y+8=")</f>
        <v>#VALUE!</v>
      </c>
      <c r="IG24" t="e">
        <f>AND('BBP complete'!C214,"AAAAAH/7Y/A=")</f>
        <v>#VALUE!</v>
      </c>
      <c r="IH24" t="e">
        <f>AND('BBP complete'!D214,"AAAAAH/7Y/E=")</f>
        <v>#VALUE!</v>
      </c>
      <c r="II24" t="e">
        <f>AND('BBP complete'!E214,"AAAAAH/7Y/I=")</f>
        <v>#VALUE!</v>
      </c>
      <c r="IJ24" t="e">
        <f>AND('BBP complete'!F214,"AAAAAH/7Y/M=")</f>
        <v>#VALUE!</v>
      </c>
      <c r="IK24" t="e">
        <f>AND('BBP complete'!G214,"AAAAAH/7Y/Q=")</f>
        <v>#VALUE!</v>
      </c>
      <c r="IL24" t="e">
        <f>AND('BBP complete'!H214,"AAAAAH/7Y/U=")</f>
        <v>#VALUE!</v>
      </c>
      <c r="IM24" t="e">
        <f>AND('BBP complete'!I214,"AAAAAH/7Y/Y=")</f>
        <v>#VALUE!</v>
      </c>
      <c r="IN24" s="60" t="e">
        <v>#VALUE!</v>
      </c>
      <c r="IO24" t="e">
        <f>AND('BBP complete'!A215,"AAAAAH/7Y/g=")</f>
        <v>#VALUE!</v>
      </c>
      <c r="IP24" t="e">
        <f>AND('BBP complete'!B215,"AAAAAH/7Y/k=")</f>
        <v>#VALUE!</v>
      </c>
      <c r="IQ24" t="e">
        <f>AND('BBP complete'!C215,"AAAAAH/7Y/o=")</f>
        <v>#VALUE!</v>
      </c>
      <c r="IR24" t="e">
        <f>AND('BBP complete'!D215,"AAAAAH/7Y/s=")</f>
        <v>#VALUE!</v>
      </c>
      <c r="IS24" t="e">
        <f>AND('BBP complete'!E215,"AAAAAH/7Y/w=")</f>
        <v>#VALUE!</v>
      </c>
      <c r="IT24" t="e">
        <f>AND('BBP complete'!F215,"AAAAAH/7Y/0=")</f>
        <v>#VALUE!</v>
      </c>
      <c r="IU24" t="e">
        <f>AND('BBP complete'!G215,"AAAAAH/7Y/4=")</f>
        <v>#VALUE!</v>
      </c>
      <c r="IV24" t="e">
        <f>AND('BBP complete'!H215,"AAAAAH/7Y/8=")</f>
        <v>#VALUE!</v>
      </c>
    </row>
    <row r="25" spans="1:256" ht="15" customHeight="1" x14ac:dyDescent="0.25">
      <c r="A25" t="e">
        <f>AND('BBP complete'!I215,"AAAAAH/f+QA=")</f>
        <v>#VALUE!</v>
      </c>
      <c r="B25" s="60" t="e">
        <v>#VALUE!</v>
      </c>
      <c r="C25" t="e">
        <f>AND('BBP complete'!A216,"AAAAAH/f+QI=")</f>
        <v>#VALUE!</v>
      </c>
      <c r="D25" t="e">
        <f>AND('BBP complete'!B216,"AAAAAH/f+QM=")</f>
        <v>#VALUE!</v>
      </c>
      <c r="E25" t="e">
        <f>AND('BBP complete'!C216,"AAAAAH/f+QQ=")</f>
        <v>#VALUE!</v>
      </c>
      <c r="F25" t="e">
        <f>AND('BBP complete'!D216,"AAAAAH/f+QU=")</f>
        <v>#VALUE!</v>
      </c>
      <c r="G25" t="e">
        <f>AND('BBP complete'!E216,"AAAAAH/f+QY=")</f>
        <v>#VALUE!</v>
      </c>
      <c r="H25" t="e">
        <f>AND('BBP complete'!F216,"AAAAAH/f+Qc=")</f>
        <v>#VALUE!</v>
      </c>
      <c r="I25" t="e">
        <f>AND('BBP complete'!G216,"AAAAAH/f+Qg=")</f>
        <v>#VALUE!</v>
      </c>
      <c r="J25" t="e">
        <f>AND('BBP complete'!H216,"AAAAAH/f+Qk=")</f>
        <v>#VALUE!</v>
      </c>
      <c r="K25" t="e">
        <f>AND('BBP complete'!I216,"AAAAAH/f+Qo=")</f>
        <v>#VALUE!</v>
      </c>
      <c r="L25" s="60" t="e">
        <v>#VALUE!</v>
      </c>
      <c r="M25" t="e">
        <f>AND('BBP complete'!A217,"AAAAAH/f+Qw=")</f>
        <v>#VALUE!</v>
      </c>
      <c r="N25" t="e">
        <f>AND('BBP complete'!B217,"AAAAAH/f+Q0=")</f>
        <v>#VALUE!</v>
      </c>
      <c r="O25" t="e">
        <f>AND('BBP complete'!C217,"AAAAAH/f+Q4=")</f>
        <v>#VALUE!</v>
      </c>
      <c r="P25" t="e">
        <f>AND('BBP complete'!D217,"AAAAAH/f+Q8=")</f>
        <v>#VALUE!</v>
      </c>
      <c r="Q25" t="e">
        <f>AND('BBP complete'!E217,"AAAAAH/f+RA=")</f>
        <v>#VALUE!</v>
      </c>
      <c r="R25" t="e">
        <f>AND('BBP complete'!F217,"AAAAAH/f+RE=")</f>
        <v>#VALUE!</v>
      </c>
      <c r="S25" t="e">
        <f>AND('BBP complete'!G217,"AAAAAH/f+RI=")</f>
        <v>#VALUE!</v>
      </c>
      <c r="T25" t="e">
        <f>AND('BBP complete'!H217,"AAAAAH/f+RM=")</f>
        <v>#VALUE!</v>
      </c>
      <c r="U25" t="e">
        <f>AND('BBP complete'!I217,"AAAAAH/f+RQ=")</f>
        <v>#VALUE!</v>
      </c>
      <c r="V25" s="60" t="e">
        <v>#VALUE!</v>
      </c>
      <c r="W25" t="e">
        <f>AND('BBP complete'!A218,"AAAAAH/f+RY=")</f>
        <v>#VALUE!</v>
      </c>
      <c r="X25" t="e">
        <f>AND('BBP complete'!B218,"AAAAAH/f+Rc=")</f>
        <v>#VALUE!</v>
      </c>
      <c r="Y25" t="e">
        <f>AND('BBP complete'!C218,"AAAAAH/f+Rg=")</f>
        <v>#VALUE!</v>
      </c>
      <c r="Z25" t="e">
        <f>AND('BBP complete'!D218,"AAAAAH/f+Rk=")</f>
        <v>#VALUE!</v>
      </c>
      <c r="AA25" t="e">
        <f>AND('BBP complete'!E218,"AAAAAH/f+Ro=")</f>
        <v>#VALUE!</v>
      </c>
      <c r="AB25" t="e">
        <f>AND('BBP complete'!F218,"AAAAAH/f+Rs=")</f>
        <v>#VALUE!</v>
      </c>
      <c r="AC25" t="e">
        <f>AND('BBP complete'!G218,"AAAAAH/f+Rw=")</f>
        <v>#VALUE!</v>
      </c>
      <c r="AD25" t="e">
        <f>AND('BBP complete'!H218,"AAAAAH/f+R0=")</f>
        <v>#VALUE!</v>
      </c>
      <c r="AE25" t="e">
        <f>AND('BBP complete'!I218,"AAAAAH/f+R4=")</f>
        <v>#VALUE!</v>
      </c>
      <c r="AF25" s="60" t="e">
        <v>#VALUE!</v>
      </c>
      <c r="AG25" t="e">
        <f>AND('BBP complete'!A219,"AAAAAH/f+SA=")</f>
        <v>#VALUE!</v>
      </c>
      <c r="AH25" t="e">
        <f>AND('BBP complete'!B219,"AAAAAH/f+SE=")</f>
        <v>#VALUE!</v>
      </c>
      <c r="AI25" t="e">
        <f>AND('BBP complete'!C219,"AAAAAH/f+SI=")</f>
        <v>#VALUE!</v>
      </c>
      <c r="AJ25" t="e">
        <f>AND('BBP complete'!D219,"AAAAAH/f+SM=")</f>
        <v>#VALUE!</v>
      </c>
      <c r="AK25" t="e">
        <f>AND('BBP complete'!E219,"AAAAAH/f+SQ=")</f>
        <v>#VALUE!</v>
      </c>
      <c r="AL25" t="e">
        <f>AND('BBP complete'!F219,"AAAAAH/f+SU=")</f>
        <v>#VALUE!</v>
      </c>
      <c r="AM25" t="e">
        <f>AND('BBP complete'!G219,"AAAAAH/f+SY=")</f>
        <v>#VALUE!</v>
      </c>
      <c r="AN25" t="e">
        <f>AND('BBP complete'!H219,"AAAAAH/f+Sc=")</f>
        <v>#VALUE!</v>
      </c>
      <c r="AO25" t="e">
        <f>AND('BBP complete'!I219,"AAAAAH/f+Sg=")</f>
        <v>#VALUE!</v>
      </c>
      <c r="AP25" s="60" t="e">
        <v>#VALUE!</v>
      </c>
      <c r="AQ25" t="e">
        <f>AND('BBP complete'!A220,"AAAAAH/f+So=")</f>
        <v>#VALUE!</v>
      </c>
      <c r="AR25" t="e">
        <f>AND('BBP complete'!B220,"AAAAAH/f+Ss=")</f>
        <v>#VALUE!</v>
      </c>
      <c r="AS25" t="e">
        <f>AND('BBP complete'!C220,"AAAAAH/f+Sw=")</f>
        <v>#VALUE!</v>
      </c>
      <c r="AT25" t="e">
        <f>AND('BBP complete'!D220,"AAAAAH/f+S0=")</f>
        <v>#VALUE!</v>
      </c>
      <c r="AU25" t="e">
        <f>AND('BBP complete'!E220,"AAAAAH/f+S4=")</f>
        <v>#VALUE!</v>
      </c>
      <c r="AV25" t="e">
        <f>AND('BBP complete'!F220,"AAAAAH/f+S8=")</f>
        <v>#VALUE!</v>
      </c>
      <c r="AW25" t="e">
        <f>AND('BBP complete'!G220,"AAAAAH/f+TA=")</f>
        <v>#VALUE!</v>
      </c>
      <c r="AX25" t="e">
        <f>AND('BBP complete'!H220,"AAAAAH/f+TE=")</f>
        <v>#VALUE!</v>
      </c>
      <c r="AY25" t="e">
        <f>AND('BBP complete'!I220,"AAAAAH/f+TI=")</f>
        <v>#VALUE!</v>
      </c>
      <c r="AZ25" s="60" t="e">
        <v>#VALUE!</v>
      </c>
      <c r="BA25" t="e">
        <f>AND('BBP complete'!A221,"AAAAAH/f+TQ=")</f>
        <v>#VALUE!</v>
      </c>
      <c r="BB25" t="e">
        <f>AND('BBP complete'!B221,"AAAAAH/f+TU=")</f>
        <v>#VALUE!</v>
      </c>
      <c r="BC25" t="e">
        <f>AND('BBP complete'!C221,"AAAAAH/f+TY=")</f>
        <v>#VALUE!</v>
      </c>
      <c r="BD25" t="e">
        <f>AND('BBP complete'!D221,"AAAAAH/f+Tc=")</f>
        <v>#VALUE!</v>
      </c>
      <c r="BE25" t="e">
        <f>AND('BBP complete'!E221,"AAAAAH/f+Tg=")</f>
        <v>#VALUE!</v>
      </c>
      <c r="BF25" t="e">
        <f>AND('BBP complete'!F221,"AAAAAH/f+Tk=")</f>
        <v>#VALUE!</v>
      </c>
      <c r="BG25" t="e">
        <f>AND('BBP complete'!G221,"AAAAAH/f+To=")</f>
        <v>#VALUE!</v>
      </c>
      <c r="BH25" t="e">
        <f>AND('BBP complete'!H221,"AAAAAH/f+Ts=")</f>
        <v>#VALUE!</v>
      </c>
      <c r="BI25" t="e">
        <f>AND('BBP complete'!I221,"AAAAAH/f+Tw=")</f>
        <v>#VALUE!</v>
      </c>
      <c r="BJ25" s="60" t="e">
        <v>#VALUE!</v>
      </c>
      <c r="BK25" t="e">
        <f>AND('BBP complete'!A222,"AAAAAH/f+T4=")</f>
        <v>#VALUE!</v>
      </c>
      <c r="BL25" t="e">
        <f>AND('BBP complete'!B222,"AAAAAH/f+T8=")</f>
        <v>#VALUE!</v>
      </c>
      <c r="BM25" t="e">
        <f>AND('BBP complete'!C222,"AAAAAH/f+UA=")</f>
        <v>#VALUE!</v>
      </c>
      <c r="BN25" t="e">
        <f>AND('BBP complete'!D222,"AAAAAH/f+UE=")</f>
        <v>#VALUE!</v>
      </c>
      <c r="BO25" t="e">
        <f>AND('BBP complete'!E222,"AAAAAH/f+UI=")</f>
        <v>#VALUE!</v>
      </c>
      <c r="BP25" t="e">
        <f>AND('BBP complete'!F222,"AAAAAH/f+UM=")</f>
        <v>#VALUE!</v>
      </c>
      <c r="BQ25" t="e">
        <f>AND('BBP complete'!G222,"AAAAAH/f+UQ=")</f>
        <v>#VALUE!</v>
      </c>
      <c r="BR25" t="e">
        <f>AND('BBP complete'!H222,"AAAAAH/f+UU=")</f>
        <v>#VALUE!</v>
      </c>
      <c r="BS25" t="e">
        <f>AND('BBP complete'!I222,"AAAAAH/f+UY=")</f>
        <v>#VALUE!</v>
      </c>
      <c r="BT25" s="60" t="e">
        <v>#VALUE!</v>
      </c>
      <c r="BU25" t="e">
        <f>AND('BBP complete'!A223,"AAAAAH/f+Ug=")</f>
        <v>#VALUE!</v>
      </c>
      <c r="BV25" t="e">
        <f>AND('BBP complete'!B223,"AAAAAH/f+Uk=")</f>
        <v>#VALUE!</v>
      </c>
      <c r="BW25" t="e">
        <f>AND('BBP complete'!C223,"AAAAAH/f+Uo=")</f>
        <v>#VALUE!</v>
      </c>
      <c r="BX25" t="e">
        <f>AND('BBP complete'!D223,"AAAAAH/f+Us=")</f>
        <v>#VALUE!</v>
      </c>
      <c r="BY25" t="e">
        <f>AND('BBP complete'!E223,"AAAAAH/f+Uw=")</f>
        <v>#VALUE!</v>
      </c>
      <c r="BZ25" t="e">
        <f>AND('BBP complete'!F223,"AAAAAH/f+U0=")</f>
        <v>#VALUE!</v>
      </c>
      <c r="CA25" t="e">
        <f>AND('BBP complete'!G223,"AAAAAH/f+U4=")</f>
        <v>#VALUE!</v>
      </c>
      <c r="CB25" t="e">
        <f>AND('BBP complete'!H223,"AAAAAH/f+U8=")</f>
        <v>#VALUE!</v>
      </c>
      <c r="CC25" t="e">
        <f>AND('BBP complete'!I223,"AAAAAH/f+VA=")</f>
        <v>#VALUE!</v>
      </c>
      <c r="CD25" s="60" t="e">
        <v>#VALUE!</v>
      </c>
      <c r="CE25" t="e">
        <f>AND('BBP complete'!A224,"AAAAAH/f+VI=")</f>
        <v>#VALUE!</v>
      </c>
      <c r="CF25" t="e">
        <f>AND('BBP complete'!B224,"AAAAAH/f+VM=")</f>
        <v>#VALUE!</v>
      </c>
      <c r="CG25" t="e">
        <f>AND('BBP complete'!C224,"AAAAAH/f+VQ=")</f>
        <v>#VALUE!</v>
      </c>
      <c r="CH25" t="e">
        <f>AND('BBP complete'!D224,"AAAAAH/f+VU=")</f>
        <v>#VALUE!</v>
      </c>
      <c r="CI25" t="e">
        <f>AND('BBP complete'!E224,"AAAAAH/f+VY=")</f>
        <v>#VALUE!</v>
      </c>
      <c r="CJ25" t="e">
        <f>AND('BBP complete'!F224,"AAAAAH/f+Vc=")</f>
        <v>#VALUE!</v>
      </c>
      <c r="CK25" t="e">
        <f>AND('BBP complete'!G224,"AAAAAH/f+Vg=")</f>
        <v>#VALUE!</v>
      </c>
      <c r="CL25" t="e">
        <f>AND('BBP complete'!H224,"AAAAAH/f+Vk=")</f>
        <v>#VALUE!</v>
      </c>
      <c r="CM25" t="e">
        <f>AND('BBP complete'!I224,"AAAAAH/f+Vo=")</f>
        <v>#VALUE!</v>
      </c>
      <c r="CN25" s="60" t="e">
        <v>#VALUE!</v>
      </c>
      <c r="CO25" t="e">
        <f>AND('BBP complete'!A225,"AAAAAH/f+Vw=")</f>
        <v>#VALUE!</v>
      </c>
      <c r="CP25" t="e">
        <f>AND('BBP complete'!B225,"AAAAAH/f+V0=")</f>
        <v>#VALUE!</v>
      </c>
      <c r="CQ25" t="e">
        <f>AND('BBP complete'!C225,"AAAAAH/f+V4=")</f>
        <v>#VALUE!</v>
      </c>
      <c r="CR25" t="e">
        <f>AND('BBP complete'!D225,"AAAAAH/f+V8=")</f>
        <v>#VALUE!</v>
      </c>
      <c r="CS25" t="e">
        <f>AND('BBP complete'!E225,"AAAAAH/f+WA=")</f>
        <v>#VALUE!</v>
      </c>
      <c r="CT25" t="e">
        <f>AND('BBP complete'!F225,"AAAAAH/f+WE=")</f>
        <v>#VALUE!</v>
      </c>
      <c r="CU25" t="e">
        <f>AND('BBP complete'!G225,"AAAAAH/f+WI=")</f>
        <v>#VALUE!</v>
      </c>
      <c r="CV25" t="e">
        <f>AND('BBP complete'!H225,"AAAAAH/f+WM=")</f>
        <v>#VALUE!</v>
      </c>
      <c r="CW25" t="e">
        <f>AND('BBP complete'!I225,"AAAAAH/f+WQ=")</f>
        <v>#VALUE!</v>
      </c>
      <c r="CX25" s="60" t="e">
        <v>#VALUE!</v>
      </c>
      <c r="CY25" t="e">
        <f>AND('BBP complete'!A226,"AAAAAH/f+WY=")</f>
        <v>#VALUE!</v>
      </c>
      <c r="CZ25" t="e">
        <f>AND('BBP complete'!B226,"AAAAAH/f+Wc=")</f>
        <v>#VALUE!</v>
      </c>
      <c r="DA25" t="e">
        <f>AND('BBP complete'!C226,"AAAAAH/f+Wg=")</f>
        <v>#VALUE!</v>
      </c>
      <c r="DB25" t="e">
        <f>AND('BBP complete'!D226,"AAAAAH/f+Wk=")</f>
        <v>#VALUE!</v>
      </c>
      <c r="DC25" t="e">
        <f>AND('BBP complete'!E226,"AAAAAH/f+Wo=")</f>
        <v>#VALUE!</v>
      </c>
      <c r="DD25" t="e">
        <f>AND('BBP complete'!F226,"AAAAAH/f+Ws=")</f>
        <v>#VALUE!</v>
      </c>
      <c r="DE25" t="e">
        <f>AND('BBP complete'!G226,"AAAAAH/f+Ww=")</f>
        <v>#VALUE!</v>
      </c>
      <c r="DF25" t="e">
        <f>AND('BBP complete'!H226,"AAAAAH/f+W0=")</f>
        <v>#VALUE!</v>
      </c>
      <c r="DG25" t="e">
        <f>AND('BBP complete'!I226,"AAAAAH/f+W4=")</f>
        <v>#VALUE!</v>
      </c>
      <c r="DH25" s="60" t="e">
        <v>#VALUE!</v>
      </c>
      <c r="DI25" t="e">
        <f>AND('BBP complete'!A227,"AAAAAH/f+XA=")</f>
        <v>#VALUE!</v>
      </c>
      <c r="DJ25" t="e">
        <f>AND('BBP complete'!B227,"AAAAAH/f+XE=")</f>
        <v>#VALUE!</v>
      </c>
      <c r="DK25" t="e">
        <f>AND('BBP complete'!C227,"AAAAAH/f+XI=")</f>
        <v>#VALUE!</v>
      </c>
      <c r="DL25" t="e">
        <f>AND('BBP complete'!D227,"AAAAAH/f+XM=")</f>
        <v>#VALUE!</v>
      </c>
      <c r="DM25" t="e">
        <f>AND('BBP complete'!E227,"AAAAAH/f+XQ=")</f>
        <v>#VALUE!</v>
      </c>
      <c r="DN25" t="e">
        <f>AND('BBP complete'!F227,"AAAAAH/f+XU=")</f>
        <v>#VALUE!</v>
      </c>
      <c r="DO25" t="e">
        <f>AND('BBP complete'!G227,"AAAAAH/f+XY=")</f>
        <v>#VALUE!</v>
      </c>
      <c r="DP25" t="e">
        <f>AND('BBP complete'!H227,"AAAAAH/f+Xc=")</f>
        <v>#VALUE!</v>
      </c>
      <c r="DQ25" t="e">
        <f>AND('BBP complete'!I227,"AAAAAH/f+Xg=")</f>
        <v>#VALUE!</v>
      </c>
      <c r="DR25" s="60" t="e">
        <v>#VALUE!</v>
      </c>
      <c r="DS25" t="e">
        <f>AND('BBP complete'!A228,"AAAAAH/f+Xo=")</f>
        <v>#VALUE!</v>
      </c>
      <c r="DT25" t="e">
        <f>AND('BBP complete'!B228,"AAAAAH/f+Xs=")</f>
        <v>#VALUE!</v>
      </c>
      <c r="DU25" t="e">
        <f>AND('BBP complete'!C228,"AAAAAH/f+Xw=")</f>
        <v>#VALUE!</v>
      </c>
      <c r="DV25" t="e">
        <f>AND('BBP complete'!D228,"AAAAAH/f+X0=")</f>
        <v>#VALUE!</v>
      </c>
      <c r="DW25" t="e">
        <f>AND('BBP complete'!E228,"AAAAAH/f+X4=")</f>
        <v>#VALUE!</v>
      </c>
      <c r="DX25" t="e">
        <f>AND('BBP complete'!F228,"AAAAAH/f+X8=")</f>
        <v>#VALUE!</v>
      </c>
      <c r="DY25" t="e">
        <f>AND('BBP complete'!G228,"AAAAAH/f+YA=")</f>
        <v>#VALUE!</v>
      </c>
      <c r="DZ25" t="e">
        <f>AND('BBP complete'!H228,"AAAAAH/f+YE=")</f>
        <v>#VALUE!</v>
      </c>
      <c r="EA25" t="e">
        <f>AND('BBP complete'!I228,"AAAAAH/f+YI=")</f>
        <v>#VALUE!</v>
      </c>
      <c r="EB25" s="60" t="e">
        <v>#VALUE!</v>
      </c>
      <c r="EC25" t="e">
        <f>AND('BBP complete'!A229,"AAAAAH/f+YQ=")</f>
        <v>#VALUE!</v>
      </c>
      <c r="ED25" t="e">
        <f>AND('BBP complete'!B229,"AAAAAH/f+YU=")</f>
        <v>#VALUE!</v>
      </c>
      <c r="EE25" t="e">
        <f>AND('BBP complete'!C229,"AAAAAH/f+YY=")</f>
        <v>#VALUE!</v>
      </c>
      <c r="EF25" t="e">
        <f>AND('BBP complete'!D229,"AAAAAH/f+Yc=")</f>
        <v>#VALUE!</v>
      </c>
      <c r="EG25" t="e">
        <f>AND('BBP complete'!E229,"AAAAAH/f+Yg=")</f>
        <v>#VALUE!</v>
      </c>
      <c r="EH25" t="e">
        <f>AND('BBP complete'!F229,"AAAAAH/f+Yk=")</f>
        <v>#VALUE!</v>
      </c>
      <c r="EI25" t="e">
        <f>AND('BBP complete'!G229,"AAAAAH/f+Yo=")</f>
        <v>#VALUE!</v>
      </c>
      <c r="EJ25" t="e">
        <f>AND('BBP complete'!H229,"AAAAAH/f+Ys=")</f>
        <v>#VALUE!</v>
      </c>
      <c r="EK25" t="e">
        <f>AND('BBP complete'!I229,"AAAAAH/f+Yw=")</f>
        <v>#VALUE!</v>
      </c>
      <c r="EL25" s="60" t="e">
        <v>#VALUE!</v>
      </c>
      <c r="EM25" t="e">
        <f>AND('BBP complete'!A230,"AAAAAH/f+Y4=")</f>
        <v>#VALUE!</v>
      </c>
      <c r="EN25" t="e">
        <f>AND('BBP complete'!B230,"AAAAAH/f+Y8=")</f>
        <v>#VALUE!</v>
      </c>
      <c r="EO25" t="e">
        <f>AND('BBP complete'!C230,"AAAAAH/f+ZA=")</f>
        <v>#VALUE!</v>
      </c>
      <c r="EP25" t="e">
        <f>AND('BBP complete'!D230,"AAAAAH/f+ZE=")</f>
        <v>#VALUE!</v>
      </c>
      <c r="EQ25" t="e">
        <f>AND('BBP complete'!E230,"AAAAAH/f+ZI=")</f>
        <v>#VALUE!</v>
      </c>
      <c r="ER25" t="e">
        <f>AND('BBP complete'!F230,"AAAAAH/f+ZM=")</f>
        <v>#VALUE!</v>
      </c>
      <c r="ES25" t="e">
        <f>AND('BBP complete'!G230,"AAAAAH/f+ZQ=")</f>
        <v>#VALUE!</v>
      </c>
      <c r="ET25" t="e">
        <f>AND('BBP complete'!H230,"AAAAAH/f+ZU=")</f>
        <v>#VALUE!</v>
      </c>
      <c r="EU25" t="e">
        <f>AND('BBP complete'!I230,"AAAAAH/f+ZY=")</f>
        <v>#VALUE!</v>
      </c>
      <c r="EV25" s="60" t="e">
        <v>#VALUE!</v>
      </c>
      <c r="EW25" t="e">
        <f>AND('BBP complete'!A231,"AAAAAH/f+Zg=")</f>
        <v>#VALUE!</v>
      </c>
      <c r="EX25" t="e">
        <f>AND('BBP complete'!B231,"AAAAAH/f+Zk=")</f>
        <v>#VALUE!</v>
      </c>
      <c r="EY25" t="e">
        <f>AND('BBP complete'!C231,"AAAAAH/f+Zo=")</f>
        <v>#VALUE!</v>
      </c>
      <c r="EZ25" t="e">
        <f>AND('BBP complete'!D231,"AAAAAH/f+Zs=")</f>
        <v>#VALUE!</v>
      </c>
      <c r="FA25" t="e">
        <f>AND('BBP complete'!E231,"AAAAAH/f+Zw=")</f>
        <v>#VALUE!</v>
      </c>
      <c r="FB25" t="e">
        <f>AND('BBP complete'!F231,"AAAAAH/f+Z0=")</f>
        <v>#VALUE!</v>
      </c>
      <c r="FC25" t="e">
        <f>AND('BBP complete'!G231,"AAAAAH/f+Z4=")</f>
        <v>#VALUE!</v>
      </c>
      <c r="FD25" t="e">
        <f>AND('BBP complete'!H231,"AAAAAH/f+Z8=")</f>
        <v>#VALUE!</v>
      </c>
      <c r="FE25" t="e">
        <f>AND('BBP complete'!I231,"AAAAAH/f+aA=")</f>
        <v>#VALUE!</v>
      </c>
      <c r="FF25" s="60" t="e">
        <v>#VALUE!</v>
      </c>
      <c r="FG25" t="e">
        <f>AND('BBP complete'!A232,"AAAAAH/f+aI=")</f>
        <v>#VALUE!</v>
      </c>
      <c r="FH25" t="e">
        <f>AND('BBP complete'!B232,"AAAAAH/f+aM=")</f>
        <v>#VALUE!</v>
      </c>
      <c r="FI25" t="e">
        <f>AND('BBP complete'!C232,"AAAAAH/f+aQ=")</f>
        <v>#VALUE!</v>
      </c>
      <c r="FJ25" t="e">
        <f>AND('BBP complete'!D232,"AAAAAH/f+aU=")</f>
        <v>#VALUE!</v>
      </c>
      <c r="FK25" t="e">
        <f>AND('BBP complete'!E232,"AAAAAH/f+aY=")</f>
        <v>#VALUE!</v>
      </c>
      <c r="FL25" t="e">
        <f>AND('BBP complete'!F232,"AAAAAH/f+ac=")</f>
        <v>#VALUE!</v>
      </c>
      <c r="FM25" t="e">
        <f>AND('BBP complete'!G232,"AAAAAH/f+ag=")</f>
        <v>#VALUE!</v>
      </c>
      <c r="FN25" t="e">
        <f>AND('BBP complete'!H232,"AAAAAH/f+ak=")</f>
        <v>#VALUE!</v>
      </c>
      <c r="FO25" t="e">
        <f>AND('BBP complete'!I232,"AAAAAH/f+ao=")</f>
        <v>#VALUE!</v>
      </c>
      <c r="FP25" s="60" t="e">
        <v>#VALUE!</v>
      </c>
      <c r="FQ25" t="e">
        <f>AND('BBP complete'!A233,"AAAAAH/f+aw=")</f>
        <v>#VALUE!</v>
      </c>
      <c r="FR25" t="e">
        <f>AND('BBP complete'!B233,"AAAAAH/f+a0=")</f>
        <v>#VALUE!</v>
      </c>
      <c r="FS25" t="e">
        <f>AND('BBP complete'!C233,"AAAAAH/f+a4=")</f>
        <v>#VALUE!</v>
      </c>
      <c r="FT25" t="e">
        <f>AND('BBP complete'!D233,"AAAAAH/f+a8=")</f>
        <v>#VALUE!</v>
      </c>
      <c r="FU25" t="e">
        <f>AND('BBP complete'!E233,"AAAAAH/f+bA=")</f>
        <v>#VALUE!</v>
      </c>
      <c r="FV25" t="e">
        <f>AND('BBP complete'!F233,"AAAAAH/f+bE=")</f>
        <v>#VALUE!</v>
      </c>
      <c r="FW25" t="e">
        <f>AND('BBP complete'!G233,"AAAAAH/f+bI=")</f>
        <v>#VALUE!</v>
      </c>
      <c r="FX25" t="e">
        <f>AND('BBP complete'!H233,"AAAAAH/f+bM=")</f>
        <v>#VALUE!</v>
      </c>
      <c r="FY25" t="e">
        <f>AND('BBP complete'!I233,"AAAAAH/f+bQ=")</f>
        <v>#VALUE!</v>
      </c>
      <c r="FZ25" s="60" t="e">
        <v>#VALUE!</v>
      </c>
      <c r="GA25" t="e">
        <f>AND('BBP complete'!A234,"AAAAAH/f+bY=")</f>
        <v>#VALUE!</v>
      </c>
      <c r="GB25" t="e">
        <f>AND('BBP complete'!B234,"AAAAAH/f+bc=")</f>
        <v>#VALUE!</v>
      </c>
      <c r="GC25" t="e">
        <f>AND('BBP complete'!C234,"AAAAAH/f+bg=")</f>
        <v>#VALUE!</v>
      </c>
      <c r="GD25" t="e">
        <f>AND('BBP complete'!D234,"AAAAAH/f+bk=")</f>
        <v>#VALUE!</v>
      </c>
      <c r="GE25" t="e">
        <f>AND('BBP complete'!E234,"AAAAAH/f+bo=")</f>
        <v>#VALUE!</v>
      </c>
      <c r="GF25" t="e">
        <f>AND('BBP complete'!F234,"AAAAAH/f+bs=")</f>
        <v>#VALUE!</v>
      </c>
      <c r="GG25" t="e">
        <f>AND('BBP complete'!G234,"AAAAAH/f+bw=")</f>
        <v>#VALUE!</v>
      </c>
      <c r="GH25" t="e">
        <f>AND('BBP complete'!H234,"AAAAAH/f+b0=")</f>
        <v>#VALUE!</v>
      </c>
      <c r="GI25" t="e">
        <f>AND('BBP complete'!I234,"AAAAAH/f+b4=")</f>
        <v>#VALUE!</v>
      </c>
      <c r="GJ25" s="60" t="e">
        <v>#VALUE!</v>
      </c>
      <c r="GK25" t="e">
        <f>AND('BBP complete'!A235,"AAAAAH/f+cA=")</f>
        <v>#VALUE!</v>
      </c>
      <c r="GL25" t="e">
        <f>AND('BBP complete'!B235,"AAAAAH/f+cE=")</f>
        <v>#VALUE!</v>
      </c>
      <c r="GM25" t="e">
        <f>AND('BBP complete'!C235,"AAAAAH/f+cI=")</f>
        <v>#VALUE!</v>
      </c>
      <c r="GN25" t="e">
        <f>AND('BBP complete'!D235,"AAAAAH/f+cM=")</f>
        <v>#VALUE!</v>
      </c>
      <c r="GO25" t="e">
        <f>AND('BBP complete'!E235,"AAAAAH/f+cQ=")</f>
        <v>#VALUE!</v>
      </c>
      <c r="GP25" t="e">
        <f>AND('BBP complete'!F235,"AAAAAH/f+cU=")</f>
        <v>#VALUE!</v>
      </c>
      <c r="GQ25" t="e">
        <f>AND('BBP complete'!G235,"AAAAAH/f+cY=")</f>
        <v>#VALUE!</v>
      </c>
      <c r="GR25" t="e">
        <f>AND('BBP complete'!H235,"AAAAAH/f+cc=")</f>
        <v>#VALUE!</v>
      </c>
      <c r="GS25" t="e">
        <f>AND('BBP complete'!I235,"AAAAAH/f+cg=")</f>
        <v>#VALUE!</v>
      </c>
      <c r="GT25" s="60" t="e">
        <v>#VALUE!</v>
      </c>
      <c r="GU25" t="e">
        <f>AND('BBP complete'!A236,"AAAAAH/f+co=")</f>
        <v>#VALUE!</v>
      </c>
      <c r="GV25" t="e">
        <f>AND('BBP complete'!B236,"AAAAAH/f+cs=")</f>
        <v>#VALUE!</v>
      </c>
      <c r="GW25" t="e">
        <f>AND('BBP complete'!C236,"AAAAAH/f+cw=")</f>
        <v>#VALUE!</v>
      </c>
      <c r="GX25" t="e">
        <f>AND('BBP complete'!D236,"AAAAAH/f+c0=")</f>
        <v>#VALUE!</v>
      </c>
      <c r="GY25" t="e">
        <f>AND('BBP complete'!E236,"AAAAAH/f+c4=")</f>
        <v>#VALUE!</v>
      </c>
      <c r="GZ25" t="e">
        <f>AND('BBP complete'!F236,"AAAAAH/f+c8=")</f>
        <v>#VALUE!</v>
      </c>
      <c r="HA25" t="e">
        <f>AND('BBP complete'!G236,"AAAAAH/f+dA=")</f>
        <v>#VALUE!</v>
      </c>
      <c r="HB25" t="e">
        <f>AND('BBP complete'!H236,"AAAAAH/f+dE=")</f>
        <v>#VALUE!</v>
      </c>
      <c r="HC25" t="e">
        <f>AND('BBP complete'!I236,"AAAAAH/f+dI=")</f>
        <v>#VALUE!</v>
      </c>
      <c r="HD25" s="60" t="e">
        <v>#VALUE!</v>
      </c>
      <c r="HE25" t="e">
        <f>AND('BBP complete'!A237,"AAAAAH/f+dQ=")</f>
        <v>#VALUE!</v>
      </c>
      <c r="HF25" t="e">
        <f>AND('BBP complete'!B237,"AAAAAH/f+dU=")</f>
        <v>#VALUE!</v>
      </c>
      <c r="HG25" t="e">
        <f>AND('BBP complete'!C237,"AAAAAH/f+dY=")</f>
        <v>#VALUE!</v>
      </c>
      <c r="HH25" t="e">
        <f>AND('BBP complete'!D237,"AAAAAH/f+dc=")</f>
        <v>#VALUE!</v>
      </c>
      <c r="HI25" t="e">
        <f>AND('BBP complete'!E237,"AAAAAH/f+dg=")</f>
        <v>#VALUE!</v>
      </c>
      <c r="HJ25" t="e">
        <f>AND('BBP complete'!F237,"AAAAAH/f+dk=")</f>
        <v>#VALUE!</v>
      </c>
      <c r="HK25" t="e">
        <f>AND('BBP complete'!G237,"AAAAAH/f+do=")</f>
        <v>#VALUE!</v>
      </c>
      <c r="HL25" t="e">
        <f>AND('BBP complete'!H237,"AAAAAH/f+ds=")</f>
        <v>#VALUE!</v>
      </c>
      <c r="HM25" t="e">
        <f>AND('BBP complete'!I237,"AAAAAH/f+dw=")</f>
        <v>#VALUE!</v>
      </c>
      <c r="HN25" s="60" t="e">
        <v>#VALUE!</v>
      </c>
      <c r="HO25" t="e">
        <f>AND('BBP complete'!A238,"AAAAAH/f+d4=")</f>
        <v>#VALUE!</v>
      </c>
      <c r="HP25" t="e">
        <f>AND('BBP complete'!B238,"AAAAAH/f+d8=")</f>
        <v>#VALUE!</v>
      </c>
      <c r="HQ25" t="e">
        <f>AND('BBP complete'!C238,"AAAAAH/f+eA=")</f>
        <v>#VALUE!</v>
      </c>
      <c r="HR25" t="e">
        <f>AND('BBP complete'!D238,"AAAAAH/f+eE=")</f>
        <v>#VALUE!</v>
      </c>
      <c r="HS25" t="e">
        <f>AND('BBP complete'!E238,"AAAAAH/f+eI=")</f>
        <v>#VALUE!</v>
      </c>
      <c r="HT25" t="e">
        <f>AND('BBP complete'!F238,"AAAAAH/f+eM=")</f>
        <v>#VALUE!</v>
      </c>
      <c r="HU25" t="e">
        <f>AND('BBP complete'!G238,"AAAAAH/f+eQ=")</f>
        <v>#VALUE!</v>
      </c>
      <c r="HV25" t="e">
        <f>AND('BBP complete'!H238,"AAAAAH/f+eU=")</f>
        <v>#VALUE!</v>
      </c>
      <c r="HW25" t="e">
        <f>AND('BBP complete'!I238,"AAAAAH/f+eY=")</f>
        <v>#VALUE!</v>
      </c>
      <c r="HX25" s="60" t="e">
        <v>#VALUE!</v>
      </c>
      <c r="HY25" t="e">
        <f>AND('BBP complete'!A239,"AAAAAH/f+eg=")</f>
        <v>#VALUE!</v>
      </c>
      <c r="HZ25" t="e">
        <f>AND('BBP complete'!B239,"AAAAAH/f+ek=")</f>
        <v>#VALUE!</v>
      </c>
      <c r="IA25" t="e">
        <f>AND('BBP complete'!C239,"AAAAAH/f+eo=")</f>
        <v>#VALUE!</v>
      </c>
      <c r="IB25" t="e">
        <f>AND('BBP complete'!D239,"AAAAAH/f+es=")</f>
        <v>#VALUE!</v>
      </c>
      <c r="IC25" t="e">
        <f>AND('BBP complete'!E239,"AAAAAH/f+ew=")</f>
        <v>#VALUE!</v>
      </c>
      <c r="ID25" t="e">
        <f>AND('BBP complete'!F239,"AAAAAH/f+e0=")</f>
        <v>#VALUE!</v>
      </c>
      <c r="IE25" t="e">
        <f>AND('BBP complete'!G239,"AAAAAH/f+e4=")</f>
        <v>#VALUE!</v>
      </c>
      <c r="IF25" t="e">
        <f>AND('BBP complete'!H239,"AAAAAH/f+e8=")</f>
        <v>#VALUE!</v>
      </c>
      <c r="IG25" t="e">
        <f>AND('BBP complete'!I239,"AAAAAH/f+fA=")</f>
        <v>#VALUE!</v>
      </c>
      <c r="IH25" s="60" t="e">
        <v>#VALUE!</v>
      </c>
      <c r="II25" t="e">
        <f>AND('BBP complete'!A240,"AAAAAH/f+fI=")</f>
        <v>#VALUE!</v>
      </c>
      <c r="IJ25" t="e">
        <f>AND('BBP complete'!B240,"AAAAAH/f+fM=")</f>
        <v>#VALUE!</v>
      </c>
      <c r="IK25" t="e">
        <f>AND('BBP complete'!C240,"AAAAAH/f+fQ=")</f>
        <v>#VALUE!</v>
      </c>
      <c r="IL25" t="e">
        <f>AND('BBP complete'!D240,"AAAAAH/f+fU=")</f>
        <v>#VALUE!</v>
      </c>
      <c r="IM25" t="e">
        <f>AND('BBP complete'!E240,"AAAAAH/f+fY=")</f>
        <v>#VALUE!</v>
      </c>
      <c r="IN25" t="e">
        <f>AND('BBP complete'!F240,"AAAAAH/f+fc=")</f>
        <v>#VALUE!</v>
      </c>
      <c r="IO25" t="e">
        <f>AND('BBP complete'!G240,"AAAAAH/f+fg=")</f>
        <v>#VALUE!</v>
      </c>
      <c r="IP25" t="e">
        <f>AND('BBP complete'!H240,"AAAAAH/f+fk=")</f>
        <v>#VALUE!</v>
      </c>
      <c r="IQ25" t="e">
        <f>AND('BBP complete'!I240,"AAAAAH/f+fo=")</f>
        <v>#VALUE!</v>
      </c>
      <c r="IR25" s="60" t="e">
        <v>#VALUE!</v>
      </c>
      <c r="IS25" t="e">
        <f>AND('BBP complete'!A241,"AAAAAH/f+fw=")</f>
        <v>#VALUE!</v>
      </c>
      <c r="IT25" t="e">
        <f>AND('BBP complete'!B241,"AAAAAH/f+f0=")</f>
        <v>#VALUE!</v>
      </c>
      <c r="IU25" t="e">
        <f>AND('BBP complete'!C241,"AAAAAH/f+f4=")</f>
        <v>#VALUE!</v>
      </c>
      <c r="IV25" t="e">
        <f>AND('BBP complete'!D241,"AAAAAH/f+f8=")</f>
        <v>#VALUE!</v>
      </c>
    </row>
    <row r="26" spans="1:256" ht="15" customHeight="1" x14ac:dyDescent="0.25">
      <c r="A26" t="e">
        <f>AND('BBP complete'!E241,"AAAAAH3ZWwA=")</f>
        <v>#VALUE!</v>
      </c>
      <c r="B26" t="e">
        <f>AND('BBP complete'!F241,"AAAAAH3ZWwE=")</f>
        <v>#VALUE!</v>
      </c>
      <c r="C26" t="e">
        <f>AND('BBP complete'!G241,"AAAAAH3ZWwI=")</f>
        <v>#VALUE!</v>
      </c>
      <c r="D26" t="e">
        <f>AND('BBP complete'!H241,"AAAAAH3ZWwM=")</f>
        <v>#VALUE!</v>
      </c>
      <c r="E26" t="e">
        <f>AND('BBP complete'!I241,"AAAAAH3ZWwQ=")</f>
        <v>#VALUE!</v>
      </c>
      <c r="F26" s="60" t="e">
        <v>#VALUE!</v>
      </c>
      <c r="G26" t="e">
        <f>AND('BBP complete'!A242,"AAAAAH3ZWwY=")</f>
        <v>#VALUE!</v>
      </c>
      <c r="H26" t="e">
        <f>AND('BBP complete'!B242,"AAAAAH3ZWwc=")</f>
        <v>#VALUE!</v>
      </c>
      <c r="I26" t="e">
        <f>AND('BBP complete'!C242,"AAAAAH3ZWwg=")</f>
        <v>#VALUE!</v>
      </c>
      <c r="J26" t="e">
        <f>AND('BBP complete'!D242,"AAAAAH3ZWwk=")</f>
        <v>#VALUE!</v>
      </c>
      <c r="K26" t="e">
        <f>AND('BBP complete'!E242,"AAAAAH3ZWwo=")</f>
        <v>#VALUE!</v>
      </c>
      <c r="L26" t="e">
        <f>AND('BBP complete'!F242,"AAAAAH3ZWws=")</f>
        <v>#VALUE!</v>
      </c>
      <c r="M26" t="e">
        <f>AND('BBP complete'!G242,"AAAAAH3ZWww=")</f>
        <v>#VALUE!</v>
      </c>
      <c r="N26" t="e">
        <f>AND('BBP complete'!H242,"AAAAAH3ZWw0=")</f>
        <v>#VALUE!</v>
      </c>
      <c r="O26" t="e">
        <f>AND('BBP complete'!I242,"AAAAAH3ZWw4=")</f>
        <v>#VALUE!</v>
      </c>
      <c r="P26" s="60" t="e">
        <v>#VALUE!</v>
      </c>
      <c r="Q26" t="e">
        <f>AND('BBP complete'!A243,"AAAAAH3ZWxA=")</f>
        <v>#VALUE!</v>
      </c>
      <c r="R26" t="e">
        <f>AND('BBP complete'!B243,"AAAAAH3ZWxE=")</f>
        <v>#VALUE!</v>
      </c>
      <c r="S26" t="e">
        <f>AND('BBP complete'!C243,"AAAAAH3ZWxI=")</f>
        <v>#VALUE!</v>
      </c>
      <c r="T26" t="e">
        <f>AND('BBP complete'!D243,"AAAAAH3ZWxM=")</f>
        <v>#VALUE!</v>
      </c>
      <c r="U26" t="e">
        <f>AND('BBP complete'!E243,"AAAAAH3ZWxQ=")</f>
        <v>#VALUE!</v>
      </c>
      <c r="V26" t="e">
        <f>AND('BBP complete'!F243,"AAAAAH3ZWxU=")</f>
        <v>#VALUE!</v>
      </c>
      <c r="W26" t="e">
        <f>AND('BBP complete'!G243,"AAAAAH3ZWxY=")</f>
        <v>#VALUE!</v>
      </c>
      <c r="X26" t="e">
        <f>AND('BBP complete'!H243,"AAAAAH3ZWxc=")</f>
        <v>#VALUE!</v>
      </c>
      <c r="Y26" t="e">
        <f>AND('BBP complete'!I243,"AAAAAH3ZWxg=")</f>
        <v>#VALUE!</v>
      </c>
      <c r="Z26" s="60" t="e">
        <v>#VALUE!</v>
      </c>
      <c r="AA26" t="e">
        <f>AND('BBP complete'!A244,"AAAAAH3ZWxo=")</f>
        <v>#VALUE!</v>
      </c>
      <c r="AB26" t="e">
        <f>AND('BBP complete'!B244,"AAAAAH3ZWxs=")</f>
        <v>#VALUE!</v>
      </c>
      <c r="AC26" t="e">
        <f>AND('BBP complete'!C244,"AAAAAH3ZWxw=")</f>
        <v>#VALUE!</v>
      </c>
      <c r="AD26" t="e">
        <f>AND('BBP complete'!D244,"AAAAAH3ZWx0=")</f>
        <v>#VALUE!</v>
      </c>
      <c r="AE26" t="e">
        <f>AND('BBP complete'!E244,"AAAAAH3ZWx4=")</f>
        <v>#VALUE!</v>
      </c>
      <c r="AF26" t="e">
        <f>AND('BBP complete'!F244,"AAAAAH3ZWx8=")</f>
        <v>#VALUE!</v>
      </c>
      <c r="AG26" t="e">
        <f>AND('BBP complete'!G244,"AAAAAH3ZWyA=")</f>
        <v>#VALUE!</v>
      </c>
      <c r="AH26" t="e">
        <f>AND('BBP complete'!H244,"AAAAAH3ZWyE=")</f>
        <v>#VALUE!</v>
      </c>
      <c r="AI26" t="e">
        <f>AND('BBP complete'!I244,"AAAAAH3ZWyI=")</f>
        <v>#VALUE!</v>
      </c>
      <c r="AJ26" s="60" t="e">
        <v>#VALUE!</v>
      </c>
      <c r="AK26" t="e">
        <f>AND('BBP complete'!A245,"AAAAAH3ZWyQ=")</f>
        <v>#VALUE!</v>
      </c>
      <c r="AL26" t="e">
        <f>AND('BBP complete'!B245,"AAAAAH3ZWyU=")</f>
        <v>#VALUE!</v>
      </c>
      <c r="AM26" t="e">
        <f>AND('BBP complete'!C245,"AAAAAH3ZWyY=")</f>
        <v>#VALUE!</v>
      </c>
      <c r="AN26" t="e">
        <f>AND('BBP complete'!D245,"AAAAAH3ZWyc=")</f>
        <v>#VALUE!</v>
      </c>
      <c r="AO26" t="e">
        <f>AND('BBP complete'!E245,"AAAAAH3ZWyg=")</f>
        <v>#VALUE!</v>
      </c>
      <c r="AP26" t="e">
        <f>AND('BBP complete'!F245,"AAAAAH3ZWyk=")</f>
        <v>#VALUE!</v>
      </c>
      <c r="AQ26" t="e">
        <f>AND('BBP complete'!G245,"AAAAAH3ZWyo=")</f>
        <v>#VALUE!</v>
      </c>
      <c r="AR26" t="e">
        <f>AND('BBP complete'!H245,"AAAAAH3ZWys=")</f>
        <v>#VALUE!</v>
      </c>
      <c r="AS26" t="e">
        <f>AND('BBP complete'!I245,"AAAAAH3ZWyw=")</f>
        <v>#VALUE!</v>
      </c>
      <c r="AT26" s="60" t="e">
        <v>#VALUE!</v>
      </c>
      <c r="AU26" t="e">
        <f>AND('BBP complete'!A246,"AAAAAH3ZWy4=")</f>
        <v>#VALUE!</v>
      </c>
      <c r="AV26" t="e">
        <f>AND('BBP complete'!B246,"AAAAAH3ZWy8=")</f>
        <v>#VALUE!</v>
      </c>
      <c r="AW26" t="e">
        <f>AND('BBP complete'!C246,"AAAAAH3ZWzA=")</f>
        <v>#VALUE!</v>
      </c>
      <c r="AX26" t="e">
        <f>AND('BBP complete'!D246,"AAAAAH3ZWzE=")</f>
        <v>#VALUE!</v>
      </c>
      <c r="AY26" t="e">
        <f>AND('BBP complete'!E246,"AAAAAH3ZWzI=")</f>
        <v>#VALUE!</v>
      </c>
      <c r="AZ26" t="e">
        <f>AND('BBP complete'!F246,"AAAAAH3ZWzM=")</f>
        <v>#VALUE!</v>
      </c>
      <c r="BA26" t="e">
        <f>AND('BBP complete'!G246,"AAAAAH3ZWzQ=")</f>
        <v>#VALUE!</v>
      </c>
      <c r="BB26" t="e">
        <f>AND('BBP complete'!H246,"AAAAAH3ZWzU=")</f>
        <v>#VALUE!</v>
      </c>
      <c r="BC26" t="e">
        <f>AND('BBP complete'!I246,"AAAAAH3ZWzY=")</f>
        <v>#VALUE!</v>
      </c>
      <c r="BD26" s="60" t="e">
        <v>#VALUE!</v>
      </c>
      <c r="BE26" t="e">
        <f>AND('BBP complete'!A247,"AAAAAH3ZWzg=")</f>
        <v>#VALUE!</v>
      </c>
      <c r="BF26" t="e">
        <f>AND('BBP complete'!B247,"AAAAAH3ZWzk=")</f>
        <v>#VALUE!</v>
      </c>
      <c r="BG26" t="e">
        <f>AND('BBP complete'!C247,"AAAAAH3ZWzo=")</f>
        <v>#VALUE!</v>
      </c>
      <c r="BH26" t="e">
        <f>AND('BBP complete'!D247,"AAAAAH3ZWzs=")</f>
        <v>#VALUE!</v>
      </c>
      <c r="BI26" t="e">
        <f>AND('BBP complete'!E247,"AAAAAH3ZWzw=")</f>
        <v>#VALUE!</v>
      </c>
      <c r="BJ26" t="e">
        <f>AND('BBP complete'!F247,"AAAAAH3ZWz0=")</f>
        <v>#VALUE!</v>
      </c>
      <c r="BK26" t="e">
        <f>AND('BBP complete'!G247,"AAAAAH3ZWz4=")</f>
        <v>#VALUE!</v>
      </c>
      <c r="BL26" t="e">
        <f>AND('BBP complete'!H247,"AAAAAH3ZWz8=")</f>
        <v>#VALUE!</v>
      </c>
      <c r="BM26" t="e">
        <f>AND('BBP complete'!I247,"AAAAAH3ZW0A=")</f>
        <v>#VALUE!</v>
      </c>
      <c r="BN26" s="60" t="e">
        <v>#VALUE!</v>
      </c>
      <c r="BO26" t="e">
        <f>AND('BBP complete'!A248,"AAAAAH3ZW0I=")</f>
        <v>#VALUE!</v>
      </c>
      <c r="BP26" t="e">
        <f>AND('BBP complete'!B248,"AAAAAH3ZW0M=")</f>
        <v>#VALUE!</v>
      </c>
      <c r="BQ26" t="e">
        <f>AND('BBP complete'!C248,"AAAAAH3ZW0Q=")</f>
        <v>#VALUE!</v>
      </c>
      <c r="BR26" t="e">
        <f>AND('BBP complete'!D248,"AAAAAH3ZW0U=")</f>
        <v>#VALUE!</v>
      </c>
      <c r="BS26" t="e">
        <f>AND('BBP complete'!E248,"AAAAAH3ZW0Y=")</f>
        <v>#VALUE!</v>
      </c>
      <c r="BT26" t="e">
        <f>AND('BBP complete'!F248,"AAAAAH3ZW0c=")</f>
        <v>#VALUE!</v>
      </c>
      <c r="BU26" t="e">
        <f>AND('BBP complete'!G248,"AAAAAH3ZW0g=")</f>
        <v>#VALUE!</v>
      </c>
      <c r="BV26" t="e">
        <f>AND('BBP complete'!H248,"AAAAAH3ZW0k=")</f>
        <v>#VALUE!</v>
      </c>
      <c r="BW26" t="e">
        <f>AND('BBP complete'!I248,"AAAAAH3ZW0o=")</f>
        <v>#VALUE!</v>
      </c>
      <c r="BX26" s="60" t="e">
        <v>#VALUE!</v>
      </c>
      <c r="BY26" t="e">
        <f>AND('BBP complete'!A249,"AAAAAH3ZW0w=")</f>
        <v>#VALUE!</v>
      </c>
      <c r="BZ26" t="e">
        <f>AND('BBP complete'!B249,"AAAAAH3ZW00=")</f>
        <v>#VALUE!</v>
      </c>
      <c r="CA26" t="e">
        <f>AND('BBP complete'!C249,"AAAAAH3ZW04=")</f>
        <v>#VALUE!</v>
      </c>
      <c r="CB26" t="e">
        <f>AND('BBP complete'!D249,"AAAAAH3ZW08=")</f>
        <v>#VALUE!</v>
      </c>
      <c r="CC26" t="e">
        <f>AND('BBP complete'!E249,"AAAAAH3ZW1A=")</f>
        <v>#VALUE!</v>
      </c>
      <c r="CD26" t="e">
        <f>AND('BBP complete'!F249,"AAAAAH3ZW1E=")</f>
        <v>#VALUE!</v>
      </c>
      <c r="CE26" t="e">
        <f>AND('BBP complete'!G249,"AAAAAH3ZW1I=")</f>
        <v>#VALUE!</v>
      </c>
      <c r="CF26" t="e">
        <f>AND('BBP complete'!H249,"AAAAAH3ZW1M=")</f>
        <v>#VALUE!</v>
      </c>
      <c r="CG26" t="e">
        <f>AND('BBP complete'!I249,"AAAAAH3ZW1Q=")</f>
        <v>#VALUE!</v>
      </c>
      <c r="CH26" s="60" t="e">
        <v>#VALUE!</v>
      </c>
      <c r="CI26" t="e">
        <f>AND('BBP complete'!A250,"AAAAAH3ZW1Y=")</f>
        <v>#VALUE!</v>
      </c>
      <c r="CJ26" t="e">
        <f>AND('BBP complete'!B250,"AAAAAH3ZW1c=")</f>
        <v>#VALUE!</v>
      </c>
      <c r="CK26" t="e">
        <f>AND('BBP complete'!C250,"AAAAAH3ZW1g=")</f>
        <v>#VALUE!</v>
      </c>
      <c r="CL26" t="e">
        <f>AND('BBP complete'!D250,"AAAAAH3ZW1k=")</f>
        <v>#VALUE!</v>
      </c>
      <c r="CM26" t="e">
        <f>AND('BBP complete'!E250,"AAAAAH3ZW1o=")</f>
        <v>#VALUE!</v>
      </c>
      <c r="CN26" t="e">
        <f>AND('BBP complete'!F250,"AAAAAH3ZW1s=")</f>
        <v>#VALUE!</v>
      </c>
      <c r="CO26" t="e">
        <f>AND('BBP complete'!G250,"AAAAAH3ZW1w=")</f>
        <v>#VALUE!</v>
      </c>
      <c r="CP26" t="e">
        <f>AND('BBP complete'!H250,"AAAAAH3ZW10=")</f>
        <v>#VALUE!</v>
      </c>
      <c r="CQ26" t="e">
        <f>AND('BBP complete'!I250,"AAAAAH3ZW14=")</f>
        <v>#VALUE!</v>
      </c>
      <c r="CR26" s="60" t="e">
        <v>#VALUE!</v>
      </c>
      <c r="CS26" t="e">
        <f>AND('BBP complete'!A251,"AAAAAH3ZW2A=")</f>
        <v>#VALUE!</v>
      </c>
      <c r="CT26" t="e">
        <f>AND('BBP complete'!B251,"AAAAAH3ZW2E=")</f>
        <v>#VALUE!</v>
      </c>
      <c r="CU26" t="e">
        <f>AND('BBP complete'!C251,"AAAAAH3ZW2I=")</f>
        <v>#VALUE!</v>
      </c>
      <c r="CV26" t="e">
        <f>AND('BBP complete'!D251,"AAAAAH3ZW2M=")</f>
        <v>#VALUE!</v>
      </c>
      <c r="CW26" t="e">
        <f>AND('BBP complete'!E251,"AAAAAH3ZW2Q=")</f>
        <v>#VALUE!</v>
      </c>
      <c r="CX26" t="e">
        <f>AND('BBP complete'!F251,"AAAAAH3ZW2U=")</f>
        <v>#VALUE!</v>
      </c>
      <c r="CY26" t="e">
        <f>AND('BBP complete'!G251,"AAAAAH3ZW2Y=")</f>
        <v>#VALUE!</v>
      </c>
      <c r="CZ26" t="e">
        <f>AND('BBP complete'!H251,"AAAAAH3ZW2c=")</f>
        <v>#VALUE!</v>
      </c>
      <c r="DA26" t="e">
        <f>AND('BBP complete'!I251,"AAAAAH3ZW2g=")</f>
        <v>#VALUE!</v>
      </c>
      <c r="DB26" s="60" t="e">
        <v>#VALUE!</v>
      </c>
      <c r="DC26" t="e">
        <f>AND('BBP complete'!A252,"AAAAAH3ZW2o=")</f>
        <v>#VALUE!</v>
      </c>
      <c r="DD26" t="e">
        <f>AND('BBP complete'!B252,"AAAAAH3ZW2s=")</f>
        <v>#VALUE!</v>
      </c>
      <c r="DE26" t="e">
        <f>AND('BBP complete'!C252,"AAAAAH3ZW2w=")</f>
        <v>#VALUE!</v>
      </c>
      <c r="DF26" t="e">
        <f>AND('BBP complete'!D252,"AAAAAH3ZW20=")</f>
        <v>#VALUE!</v>
      </c>
      <c r="DG26" t="e">
        <f>AND('BBP complete'!E252,"AAAAAH3ZW24=")</f>
        <v>#VALUE!</v>
      </c>
      <c r="DH26" t="e">
        <f>AND('BBP complete'!F252,"AAAAAH3ZW28=")</f>
        <v>#VALUE!</v>
      </c>
      <c r="DI26" t="e">
        <f>AND('BBP complete'!G252,"AAAAAH3ZW3A=")</f>
        <v>#VALUE!</v>
      </c>
      <c r="DJ26" t="e">
        <f>AND('BBP complete'!H252,"AAAAAH3ZW3E=")</f>
        <v>#VALUE!</v>
      </c>
      <c r="DK26" t="e">
        <f>AND('BBP complete'!I252,"AAAAAH3ZW3I=")</f>
        <v>#VALUE!</v>
      </c>
      <c r="DL26" s="60" t="e">
        <v>#VALUE!</v>
      </c>
      <c r="DM26" t="e">
        <f>AND('BBP complete'!A253,"AAAAAH3ZW3Q=")</f>
        <v>#VALUE!</v>
      </c>
      <c r="DN26" t="e">
        <f>AND('BBP complete'!B253,"AAAAAH3ZW3U=")</f>
        <v>#VALUE!</v>
      </c>
      <c r="DO26" t="e">
        <f>AND('BBP complete'!C253,"AAAAAH3ZW3Y=")</f>
        <v>#VALUE!</v>
      </c>
      <c r="DP26" t="e">
        <f>AND('BBP complete'!D253,"AAAAAH3ZW3c=")</f>
        <v>#VALUE!</v>
      </c>
      <c r="DQ26" t="e">
        <f>AND('BBP complete'!E253,"AAAAAH3ZW3g=")</f>
        <v>#VALUE!</v>
      </c>
      <c r="DR26" t="e">
        <f>AND('BBP complete'!F253,"AAAAAH3ZW3k=")</f>
        <v>#VALUE!</v>
      </c>
      <c r="DS26" t="e">
        <f>AND('BBP complete'!G253,"AAAAAH3ZW3o=")</f>
        <v>#VALUE!</v>
      </c>
      <c r="DT26" t="e">
        <f>AND('BBP complete'!H253,"AAAAAH3ZW3s=")</f>
        <v>#VALUE!</v>
      </c>
      <c r="DU26" t="e">
        <f>AND('BBP complete'!I253,"AAAAAH3ZW3w=")</f>
        <v>#VALUE!</v>
      </c>
      <c r="DV26" s="60" t="e">
        <v>#VALUE!</v>
      </c>
      <c r="DW26" t="e">
        <f>AND('BBP complete'!A254,"AAAAAH3ZW34=")</f>
        <v>#VALUE!</v>
      </c>
      <c r="DX26" t="e">
        <f>AND('BBP complete'!B254,"AAAAAH3ZW38=")</f>
        <v>#VALUE!</v>
      </c>
      <c r="DY26" t="e">
        <f>AND('BBP complete'!C254,"AAAAAH3ZW4A=")</f>
        <v>#VALUE!</v>
      </c>
      <c r="DZ26" t="e">
        <f>AND('BBP complete'!D254,"AAAAAH3ZW4E=")</f>
        <v>#VALUE!</v>
      </c>
      <c r="EA26" t="e">
        <f>AND('BBP complete'!E254,"AAAAAH3ZW4I=")</f>
        <v>#VALUE!</v>
      </c>
      <c r="EB26" t="e">
        <f>AND('BBP complete'!F254,"AAAAAH3ZW4M=")</f>
        <v>#VALUE!</v>
      </c>
      <c r="EC26" t="e">
        <f>AND('BBP complete'!G254,"AAAAAH3ZW4Q=")</f>
        <v>#VALUE!</v>
      </c>
      <c r="ED26" t="e">
        <f>AND('BBP complete'!H254,"AAAAAH3ZW4U=")</f>
        <v>#VALUE!</v>
      </c>
      <c r="EE26" t="e">
        <f>AND('BBP complete'!I254,"AAAAAH3ZW4Y=")</f>
        <v>#VALUE!</v>
      </c>
      <c r="EF26" s="60" t="e">
        <v>#VALUE!</v>
      </c>
      <c r="EG26" t="e">
        <f>AND('BBP complete'!A255,"AAAAAH3ZW4g=")</f>
        <v>#VALUE!</v>
      </c>
      <c r="EH26" t="e">
        <f>AND('BBP complete'!B255,"AAAAAH3ZW4k=")</f>
        <v>#VALUE!</v>
      </c>
      <c r="EI26" t="e">
        <f>AND('BBP complete'!C255,"AAAAAH3ZW4o=")</f>
        <v>#VALUE!</v>
      </c>
      <c r="EJ26" t="e">
        <f>AND('BBP complete'!D255,"AAAAAH3ZW4s=")</f>
        <v>#VALUE!</v>
      </c>
      <c r="EK26" t="e">
        <f>AND('BBP complete'!E255,"AAAAAH3ZW4w=")</f>
        <v>#VALUE!</v>
      </c>
      <c r="EL26" t="e">
        <f>AND('BBP complete'!F255,"AAAAAH3ZW40=")</f>
        <v>#VALUE!</v>
      </c>
      <c r="EM26" t="e">
        <f>AND('BBP complete'!G255,"AAAAAH3ZW44=")</f>
        <v>#VALUE!</v>
      </c>
      <c r="EN26" t="e">
        <f>AND('BBP complete'!H255,"AAAAAH3ZW48=")</f>
        <v>#VALUE!</v>
      </c>
      <c r="EO26" t="e">
        <f>AND('BBP complete'!I255,"AAAAAH3ZW5A=")</f>
        <v>#VALUE!</v>
      </c>
      <c r="EP26" s="60" t="e">
        <v>#VALUE!</v>
      </c>
      <c r="EQ26" t="e">
        <f>AND('BBP complete'!A256,"AAAAAH3ZW5I=")</f>
        <v>#VALUE!</v>
      </c>
      <c r="ER26" t="e">
        <f>AND('BBP complete'!B256,"AAAAAH3ZW5M=")</f>
        <v>#VALUE!</v>
      </c>
      <c r="ES26" t="e">
        <f>AND('BBP complete'!C256,"AAAAAH3ZW5Q=")</f>
        <v>#VALUE!</v>
      </c>
      <c r="ET26" t="e">
        <f>AND('BBP complete'!D256,"AAAAAH3ZW5U=")</f>
        <v>#VALUE!</v>
      </c>
      <c r="EU26" t="e">
        <f>AND('BBP complete'!E256,"AAAAAH3ZW5Y=")</f>
        <v>#VALUE!</v>
      </c>
      <c r="EV26" t="e">
        <f>AND('BBP complete'!F256,"AAAAAH3ZW5c=")</f>
        <v>#VALUE!</v>
      </c>
      <c r="EW26" t="e">
        <f>AND('BBP complete'!G256,"AAAAAH3ZW5g=")</f>
        <v>#VALUE!</v>
      </c>
      <c r="EX26" t="e">
        <f>AND('BBP complete'!H256,"AAAAAH3ZW5k=")</f>
        <v>#VALUE!</v>
      </c>
      <c r="EY26" t="e">
        <f>AND('BBP complete'!I256,"AAAAAH3ZW5o=")</f>
        <v>#VALUE!</v>
      </c>
      <c r="EZ26" s="60" t="e">
        <v>#VALUE!</v>
      </c>
      <c r="FA26" t="e">
        <f>AND('BBP complete'!A257,"AAAAAH3ZW5w=")</f>
        <v>#VALUE!</v>
      </c>
      <c r="FB26" t="e">
        <f>AND('BBP complete'!B257,"AAAAAH3ZW50=")</f>
        <v>#VALUE!</v>
      </c>
      <c r="FC26" t="e">
        <f>AND('BBP complete'!C257,"AAAAAH3ZW54=")</f>
        <v>#VALUE!</v>
      </c>
      <c r="FD26" t="e">
        <f>AND('BBP complete'!D257,"AAAAAH3ZW58=")</f>
        <v>#VALUE!</v>
      </c>
      <c r="FE26" t="e">
        <f>AND('BBP complete'!E257,"AAAAAH3ZW6A=")</f>
        <v>#VALUE!</v>
      </c>
      <c r="FF26" t="e">
        <f>AND('BBP complete'!F257,"AAAAAH3ZW6E=")</f>
        <v>#VALUE!</v>
      </c>
      <c r="FG26" t="e">
        <f>AND('BBP complete'!G257,"AAAAAH3ZW6I=")</f>
        <v>#VALUE!</v>
      </c>
      <c r="FH26" t="e">
        <f>AND('BBP complete'!H257,"AAAAAH3ZW6M=")</f>
        <v>#VALUE!</v>
      </c>
      <c r="FI26" t="e">
        <f>AND('BBP complete'!I257,"AAAAAH3ZW6Q=")</f>
        <v>#VALUE!</v>
      </c>
      <c r="FJ26" s="60" t="e">
        <v>#VALUE!</v>
      </c>
      <c r="FK26" t="e">
        <f>AND('BBP complete'!A258,"AAAAAH3ZW6Y=")</f>
        <v>#VALUE!</v>
      </c>
      <c r="FL26" t="e">
        <f>AND('BBP complete'!B258,"AAAAAH3ZW6c=")</f>
        <v>#VALUE!</v>
      </c>
      <c r="FM26" t="e">
        <f>AND('BBP complete'!C258,"AAAAAH3ZW6g=")</f>
        <v>#VALUE!</v>
      </c>
      <c r="FN26" t="e">
        <f>AND('BBP complete'!D258,"AAAAAH3ZW6k=")</f>
        <v>#VALUE!</v>
      </c>
      <c r="FO26" t="e">
        <f>AND('BBP complete'!E258,"AAAAAH3ZW6o=")</f>
        <v>#VALUE!</v>
      </c>
      <c r="FP26" t="e">
        <f>AND('BBP complete'!F258,"AAAAAH3ZW6s=")</f>
        <v>#VALUE!</v>
      </c>
      <c r="FQ26" t="e">
        <f>AND('BBP complete'!G258,"AAAAAH3ZW6w=")</f>
        <v>#VALUE!</v>
      </c>
      <c r="FR26" t="e">
        <f>AND('BBP complete'!H258,"AAAAAH3ZW60=")</f>
        <v>#VALUE!</v>
      </c>
      <c r="FS26" t="e">
        <f>AND('BBP complete'!I258,"AAAAAH3ZW64=")</f>
        <v>#VALUE!</v>
      </c>
      <c r="FT26" s="60" t="e">
        <v>#VALUE!</v>
      </c>
      <c r="FU26" t="e">
        <f>AND('BBP complete'!A259,"AAAAAH3ZW7A=")</f>
        <v>#VALUE!</v>
      </c>
      <c r="FV26" t="e">
        <f>AND('BBP complete'!B259,"AAAAAH3ZW7E=")</f>
        <v>#VALUE!</v>
      </c>
      <c r="FW26" t="e">
        <f>AND('BBP complete'!C259,"AAAAAH3ZW7I=")</f>
        <v>#VALUE!</v>
      </c>
      <c r="FX26" t="e">
        <f>AND('BBP complete'!D259,"AAAAAH3ZW7M=")</f>
        <v>#VALUE!</v>
      </c>
      <c r="FY26" t="e">
        <f>AND('BBP complete'!E259,"AAAAAH3ZW7Q=")</f>
        <v>#VALUE!</v>
      </c>
      <c r="FZ26" t="e">
        <f>AND('BBP complete'!F259,"AAAAAH3ZW7U=")</f>
        <v>#VALUE!</v>
      </c>
      <c r="GA26" t="e">
        <f>AND('BBP complete'!G259,"AAAAAH3ZW7Y=")</f>
        <v>#VALUE!</v>
      </c>
      <c r="GB26" t="e">
        <f>AND('BBP complete'!H259,"AAAAAH3ZW7c=")</f>
        <v>#VALUE!</v>
      </c>
      <c r="GC26" t="e">
        <f>AND('BBP complete'!I259,"AAAAAH3ZW7g=")</f>
        <v>#VALUE!</v>
      </c>
      <c r="GD26" s="60" t="e">
        <v>#VALUE!</v>
      </c>
      <c r="GE26" t="e">
        <f>AND('BBP complete'!A260,"AAAAAH3ZW7o=")</f>
        <v>#VALUE!</v>
      </c>
      <c r="GF26" t="e">
        <f>AND('BBP complete'!B260,"AAAAAH3ZW7s=")</f>
        <v>#VALUE!</v>
      </c>
      <c r="GG26" t="e">
        <f>AND('BBP complete'!C260,"AAAAAH3ZW7w=")</f>
        <v>#VALUE!</v>
      </c>
      <c r="GH26" t="e">
        <f>AND('BBP complete'!D260,"AAAAAH3ZW70=")</f>
        <v>#VALUE!</v>
      </c>
      <c r="GI26" t="e">
        <f>AND('BBP complete'!E260,"AAAAAH3ZW74=")</f>
        <v>#VALUE!</v>
      </c>
      <c r="GJ26" t="e">
        <f>AND('BBP complete'!F260,"AAAAAH3ZW78=")</f>
        <v>#VALUE!</v>
      </c>
      <c r="GK26" t="e">
        <f>AND('BBP complete'!G260,"AAAAAH3ZW8A=")</f>
        <v>#VALUE!</v>
      </c>
      <c r="GL26" t="e">
        <f>AND('BBP complete'!H260,"AAAAAH3ZW8E=")</f>
        <v>#VALUE!</v>
      </c>
      <c r="GM26" t="e">
        <f>AND('BBP complete'!I260,"AAAAAH3ZW8I=")</f>
        <v>#VALUE!</v>
      </c>
      <c r="GN26" s="60" t="e">
        <v>#VALUE!</v>
      </c>
      <c r="GO26" t="e">
        <f>AND('BBP complete'!A261,"AAAAAH3ZW8Q=")</f>
        <v>#VALUE!</v>
      </c>
      <c r="GP26" t="e">
        <f>AND('BBP complete'!B261,"AAAAAH3ZW8U=")</f>
        <v>#VALUE!</v>
      </c>
      <c r="GQ26" t="e">
        <f>AND('BBP complete'!C261,"AAAAAH3ZW8Y=")</f>
        <v>#VALUE!</v>
      </c>
      <c r="GR26" t="e">
        <f>AND('BBP complete'!D261,"AAAAAH3ZW8c=")</f>
        <v>#VALUE!</v>
      </c>
      <c r="GS26" t="e">
        <f>AND('BBP complete'!E261,"AAAAAH3ZW8g=")</f>
        <v>#VALUE!</v>
      </c>
      <c r="GT26" t="e">
        <f>AND('BBP complete'!F261,"AAAAAH3ZW8k=")</f>
        <v>#VALUE!</v>
      </c>
      <c r="GU26" t="e">
        <f>AND('BBP complete'!G261,"AAAAAH3ZW8o=")</f>
        <v>#VALUE!</v>
      </c>
      <c r="GV26" t="e">
        <f>AND('BBP complete'!H261,"AAAAAH3ZW8s=")</f>
        <v>#VALUE!</v>
      </c>
      <c r="GW26" t="e">
        <f>AND('BBP complete'!I261,"AAAAAH3ZW8w=")</f>
        <v>#VALUE!</v>
      </c>
      <c r="GX26" s="60" t="e">
        <v>#VALUE!</v>
      </c>
      <c r="GY26" t="e">
        <f>AND('BBP complete'!A262,"AAAAAH3ZW84=")</f>
        <v>#VALUE!</v>
      </c>
      <c r="GZ26" t="e">
        <f>AND('BBP complete'!B262,"AAAAAH3ZW88=")</f>
        <v>#VALUE!</v>
      </c>
      <c r="HA26" t="e">
        <f>AND('BBP complete'!C262,"AAAAAH3ZW9A=")</f>
        <v>#VALUE!</v>
      </c>
      <c r="HB26" t="e">
        <f>AND('BBP complete'!D262,"AAAAAH3ZW9E=")</f>
        <v>#VALUE!</v>
      </c>
      <c r="HC26" t="e">
        <f>AND('BBP complete'!E262,"AAAAAH3ZW9I=")</f>
        <v>#VALUE!</v>
      </c>
      <c r="HD26" t="e">
        <f>AND('BBP complete'!F262,"AAAAAH3ZW9M=")</f>
        <v>#VALUE!</v>
      </c>
      <c r="HE26" t="e">
        <f>AND('BBP complete'!G262,"AAAAAH3ZW9Q=")</f>
        <v>#VALUE!</v>
      </c>
      <c r="HF26" t="e">
        <f>AND('BBP complete'!H262,"AAAAAH3ZW9U=")</f>
        <v>#VALUE!</v>
      </c>
      <c r="HG26" t="e">
        <f>AND('BBP complete'!I262,"AAAAAH3ZW9Y=")</f>
        <v>#VALUE!</v>
      </c>
      <c r="HH26" s="60" t="e">
        <v>#VALUE!</v>
      </c>
      <c r="HI26" t="e">
        <f>AND('BBP complete'!A263,"AAAAAH3ZW9g=")</f>
        <v>#VALUE!</v>
      </c>
      <c r="HJ26" t="e">
        <f>AND('BBP complete'!B263,"AAAAAH3ZW9k=")</f>
        <v>#VALUE!</v>
      </c>
      <c r="HK26" t="e">
        <f>AND('BBP complete'!C263,"AAAAAH3ZW9o=")</f>
        <v>#VALUE!</v>
      </c>
      <c r="HL26" t="e">
        <f>AND('BBP complete'!D263,"AAAAAH3ZW9s=")</f>
        <v>#VALUE!</v>
      </c>
      <c r="HM26" t="e">
        <f>AND('BBP complete'!E263,"AAAAAH3ZW9w=")</f>
        <v>#VALUE!</v>
      </c>
      <c r="HN26" t="e">
        <f>AND('BBP complete'!F263,"AAAAAH3ZW90=")</f>
        <v>#VALUE!</v>
      </c>
      <c r="HO26" t="e">
        <f>AND('BBP complete'!G263,"AAAAAH3ZW94=")</f>
        <v>#VALUE!</v>
      </c>
      <c r="HP26" t="e">
        <f>AND('BBP complete'!H263,"AAAAAH3ZW98=")</f>
        <v>#VALUE!</v>
      </c>
      <c r="HQ26" t="e">
        <f>AND('BBP complete'!I263,"AAAAAH3ZW+A=")</f>
        <v>#VALUE!</v>
      </c>
      <c r="HR26" s="60" t="e">
        <v>#VALUE!</v>
      </c>
      <c r="HS26" t="e">
        <f>AND('BBP complete'!A264,"AAAAAH3ZW+I=")</f>
        <v>#VALUE!</v>
      </c>
      <c r="HT26" t="e">
        <f>AND('BBP complete'!B264,"AAAAAH3ZW+M=")</f>
        <v>#VALUE!</v>
      </c>
      <c r="HU26" t="e">
        <f>AND('BBP complete'!C264,"AAAAAH3ZW+Q=")</f>
        <v>#VALUE!</v>
      </c>
      <c r="HV26" t="e">
        <f>AND('BBP complete'!D264,"AAAAAH3ZW+U=")</f>
        <v>#VALUE!</v>
      </c>
      <c r="HW26" t="e">
        <f>AND('BBP complete'!E264,"AAAAAH3ZW+Y=")</f>
        <v>#VALUE!</v>
      </c>
      <c r="HX26" t="e">
        <f>AND('BBP complete'!F264,"AAAAAH3ZW+c=")</f>
        <v>#VALUE!</v>
      </c>
      <c r="HY26" t="e">
        <f>AND('BBP complete'!G264,"AAAAAH3ZW+g=")</f>
        <v>#VALUE!</v>
      </c>
      <c r="HZ26" t="e">
        <f>AND('BBP complete'!H264,"AAAAAH3ZW+k=")</f>
        <v>#VALUE!</v>
      </c>
      <c r="IA26" t="e">
        <f>AND('BBP complete'!I264,"AAAAAH3ZW+o=")</f>
        <v>#VALUE!</v>
      </c>
      <c r="IB26" s="60" t="e">
        <v>#VALUE!</v>
      </c>
      <c r="IC26" t="e">
        <f>AND('BBP complete'!A265,"AAAAAH3ZW+w=")</f>
        <v>#VALUE!</v>
      </c>
      <c r="ID26" t="e">
        <f>AND('BBP complete'!B265,"AAAAAH3ZW+0=")</f>
        <v>#VALUE!</v>
      </c>
      <c r="IE26" t="e">
        <f>AND('BBP complete'!C265,"AAAAAH3ZW+4=")</f>
        <v>#VALUE!</v>
      </c>
      <c r="IF26" t="e">
        <f>AND('BBP complete'!D265,"AAAAAH3ZW+8=")</f>
        <v>#VALUE!</v>
      </c>
      <c r="IG26" t="e">
        <f>AND('BBP complete'!E265,"AAAAAH3ZW/A=")</f>
        <v>#VALUE!</v>
      </c>
      <c r="IH26" t="e">
        <f>AND('BBP complete'!F265,"AAAAAH3ZW/E=")</f>
        <v>#VALUE!</v>
      </c>
      <c r="II26" t="e">
        <f>AND('BBP complete'!G265,"AAAAAH3ZW/I=")</f>
        <v>#VALUE!</v>
      </c>
      <c r="IJ26" t="e">
        <f>AND('BBP complete'!H265,"AAAAAH3ZW/M=")</f>
        <v>#VALUE!</v>
      </c>
      <c r="IK26" t="e">
        <f>AND('BBP complete'!I265,"AAAAAH3ZW/Q=")</f>
        <v>#VALUE!</v>
      </c>
      <c r="IL26" s="60" t="e">
        <v>#VALUE!</v>
      </c>
      <c r="IM26" t="e">
        <f>AND('BBP complete'!A266,"AAAAAH3ZW/Y=")</f>
        <v>#VALUE!</v>
      </c>
      <c r="IN26" t="e">
        <f>AND('BBP complete'!B266,"AAAAAH3ZW/c=")</f>
        <v>#VALUE!</v>
      </c>
      <c r="IO26" t="e">
        <f>AND('BBP complete'!C266,"AAAAAH3ZW/g=")</f>
        <v>#VALUE!</v>
      </c>
      <c r="IP26" t="e">
        <f>AND('BBP complete'!D266,"AAAAAH3ZW/k=")</f>
        <v>#VALUE!</v>
      </c>
      <c r="IQ26" t="e">
        <f>AND('BBP complete'!E266,"AAAAAH3ZW/o=")</f>
        <v>#VALUE!</v>
      </c>
      <c r="IR26" t="e">
        <f>AND('BBP complete'!F266,"AAAAAH3ZW/s=")</f>
        <v>#VALUE!</v>
      </c>
      <c r="IS26" t="e">
        <f>AND('BBP complete'!G266,"AAAAAH3ZW/w=")</f>
        <v>#VALUE!</v>
      </c>
      <c r="IT26" t="e">
        <f>AND('BBP complete'!H266,"AAAAAH3ZW/0=")</f>
        <v>#VALUE!</v>
      </c>
      <c r="IU26" t="e">
        <f>AND('BBP complete'!I266,"AAAAAH3ZW/4=")</f>
        <v>#VALUE!</v>
      </c>
      <c r="IV26" s="60" t="e">
        <v>#VALUE!</v>
      </c>
    </row>
    <row r="27" spans="1:256" ht="15" customHeight="1" x14ac:dyDescent="0.25">
      <c r="A27" t="e">
        <f>AND('BBP complete'!A267,"AAAAAFePvgA=")</f>
        <v>#VALUE!</v>
      </c>
      <c r="B27" t="e">
        <f>AND('BBP complete'!B267,"AAAAAFePvgE=")</f>
        <v>#VALUE!</v>
      </c>
      <c r="C27" t="e">
        <f>AND('BBP complete'!C267,"AAAAAFePvgI=")</f>
        <v>#VALUE!</v>
      </c>
      <c r="D27" t="e">
        <f>AND('BBP complete'!D267,"AAAAAFePvgM=")</f>
        <v>#VALUE!</v>
      </c>
      <c r="E27" t="e">
        <f>AND('BBP complete'!E267,"AAAAAFePvgQ=")</f>
        <v>#VALUE!</v>
      </c>
      <c r="F27" t="e">
        <f>AND('BBP complete'!F267,"AAAAAFePvgU=")</f>
        <v>#VALUE!</v>
      </c>
      <c r="G27" t="e">
        <f>AND('BBP complete'!G267,"AAAAAFePvgY=")</f>
        <v>#VALUE!</v>
      </c>
      <c r="H27" t="e">
        <f>AND('BBP complete'!H267,"AAAAAFePvgc=")</f>
        <v>#VALUE!</v>
      </c>
      <c r="I27" t="e">
        <f>AND('BBP complete'!I267,"AAAAAFePvgg=")</f>
        <v>#VALUE!</v>
      </c>
      <c r="J27" s="60" t="e">
        <v>#VALUE!</v>
      </c>
      <c r="K27" t="e">
        <f>AND('BBP complete'!A268,"AAAAAFePvgo=")</f>
        <v>#VALUE!</v>
      </c>
      <c r="L27" t="e">
        <f>AND('BBP complete'!B268,"AAAAAFePvgs=")</f>
        <v>#VALUE!</v>
      </c>
      <c r="M27" t="e">
        <f>AND('BBP complete'!C268,"AAAAAFePvgw=")</f>
        <v>#VALUE!</v>
      </c>
      <c r="N27" t="e">
        <f>AND('BBP complete'!D268,"AAAAAFePvg0=")</f>
        <v>#VALUE!</v>
      </c>
      <c r="O27" t="e">
        <f>AND('BBP complete'!E268,"AAAAAFePvg4=")</f>
        <v>#VALUE!</v>
      </c>
      <c r="P27" t="e">
        <f>AND('BBP complete'!F268,"AAAAAFePvg8=")</f>
        <v>#VALUE!</v>
      </c>
      <c r="Q27" t="e">
        <f>AND('BBP complete'!G268,"AAAAAFePvhA=")</f>
        <v>#VALUE!</v>
      </c>
      <c r="R27" t="e">
        <f>AND('BBP complete'!H268,"AAAAAFePvhE=")</f>
        <v>#VALUE!</v>
      </c>
      <c r="S27" t="e">
        <f>AND('BBP complete'!I268,"AAAAAFePvhI=")</f>
        <v>#VALUE!</v>
      </c>
      <c r="T27" s="60" t="e">
        <v>#VALUE!</v>
      </c>
      <c r="U27" t="e">
        <f>AND('BBP complete'!A269,"AAAAAFePvhQ=")</f>
        <v>#VALUE!</v>
      </c>
      <c r="V27" t="e">
        <f>AND('BBP complete'!B269,"AAAAAFePvhU=")</f>
        <v>#VALUE!</v>
      </c>
      <c r="W27" t="e">
        <f>AND('BBP complete'!C269,"AAAAAFePvhY=")</f>
        <v>#VALUE!</v>
      </c>
      <c r="X27" t="e">
        <f>AND('BBP complete'!D269,"AAAAAFePvhc=")</f>
        <v>#VALUE!</v>
      </c>
      <c r="Y27" t="e">
        <f>AND('BBP complete'!E269,"AAAAAFePvhg=")</f>
        <v>#VALUE!</v>
      </c>
      <c r="Z27" t="e">
        <f>AND('BBP complete'!F269,"AAAAAFePvhk=")</f>
        <v>#VALUE!</v>
      </c>
      <c r="AA27" t="e">
        <f>AND('BBP complete'!G269,"AAAAAFePvho=")</f>
        <v>#VALUE!</v>
      </c>
      <c r="AB27" t="e">
        <f>AND('BBP complete'!H269,"AAAAAFePvhs=")</f>
        <v>#VALUE!</v>
      </c>
      <c r="AC27" t="e">
        <f>AND('BBP complete'!I269,"AAAAAFePvhw=")</f>
        <v>#VALUE!</v>
      </c>
      <c r="AD27" s="60" t="e">
        <v>#VALUE!</v>
      </c>
      <c r="AE27" t="e">
        <f>AND('BBP complete'!A270,"AAAAAFePvh4=")</f>
        <v>#VALUE!</v>
      </c>
      <c r="AF27" t="e">
        <f>AND('BBP complete'!B270,"AAAAAFePvh8=")</f>
        <v>#VALUE!</v>
      </c>
      <c r="AG27" t="e">
        <f>AND('BBP complete'!C270,"AAAAAFePviA=")</f>
        <v>#VALUE!</v>
      </c>
      <c r="AH27" t="e">
        <f>AND('BBP complete'!D270,"AAAAAFePviE=")</f>
        <v>#VALUE!</v>
      </c>
      <c r="AI27" t="e">
        <f>AND('BBP complete'!E270,"AAAAAFePviI=")</f>
        <v>#VALUE!</v>
      </c>
      <c r="AJ27" t="e">
        <f>AND('BBP complete'!F270,"AAAAAFePviM=")</f>
        <v>#VALUE!</v>
      </c>
      <c r="AK27" t="e">
        <f>AND('BBP complete'!G270,"AAAAAFePviQ=")</f>
        <v>#VALUE!</v>
      </c>
      <c r="AL27" t="e">
        <f>AND('BBP complete'!H270,"AAAAAFePviU=")</f>
        <v>#VALUE!</v>
      </c>
      <c r="AM27" t="e">
        <f>AND('BBP complete'!I270,"AAAAAFePviY=")</f>
        <v>#VALUE!</v>
      </c>
      <c r="AN27" s="60" t="e">
        <v>#VALUE!</v>
      </c>
      <c r="AO27" t="e">
        <f>AND('BBP complete'!A271,"AAAAAFePvig=")</f>
        <v>#VALUE!</v>
      </c>
      <c r="AP27" t="e">
        <f>AND('BBP complete'!B271,"AAAAAFePvik=")</f>
        <v>#VALUE!</v>
      </c>
      <c r="AQ27" t="e">
        <f>AND('BBP complete'!C271,"AAAAAFePvio=")</f>
        <v>#VALUE!</v>
      </c>
      <c r="AR27" t="e">
        <f>AND('BBP complete'!D271,"AAAAAFePvis=")</f>
        <v>#VALUE!</v>
      </c>
      <c r="AS27" t="e">
        <f>AND('BBP complete'!E271,"AAAAAFePviw=")</f>
        <v>#VALUE!</v>
      </c>
      <c r="AT27" t="e">
        <f>AND('BBP complete'!F271,"AAAAAFePvi0=")</f>
        <v>#VALUE!</v>
      </c>
      <c r="AU27" t="e">
        <f>AND('BBP complete'!G271,"AAAAAFePvi4=")</f>
        <v>#VALUE!</v>
      </c>
      <c r="AV27" t="e">
        <f>AND('BBP complete'!H271,"AAAAAFePvi8=")</f>
        <v>#VALUE!</v>
      </c>
      <c r="AW27" t="e">
        <f>AND('BBP complete'!I271,"AAAAAFePvjA=")</f>
        <v>#VALUE!</v>
      </c>
      <c r="AX27" s="60" t="e">
        <v>#VALUE!</v>
      </c>
      <c r="AY27" t="e">
        <f>AND('BBP complete'!A272,"AAAAAFePvjI=")</f>
        <v>#VALUE!</v>
      </c>
      <c r="AZ27" t="e">
        <f>AND('BBP complete'!B272,"AAAAAFePvjM=")</f>
        <v>#VALUE!</v>
      </c>
      <c r="BA27" t="e">
        <f>AND('BBP complete'!C272,"AAAAAFePvjQ=")</f>
        <v>#VALUE!</v>
      </c>
      <c r="BB27" t="e">
        <f>AND('BBP complete'!D272,"AAAAAFePvjU=")</f>
        <v>#VALUE!</v>
      </c>
      <c r="BC27" t="e">
        <f>AND('BBP complete'!E272,"AAAAAFePvjY=")</f>
        <v>#VALUE!</v>
      </c>
      <c r="BD27" t="e">
        <f>AND('BBP complete'!F272,"AAAAAFePvjc=")</f>
        <v>#VALUE!</v>
      </c>
      <c r="BE27" t="e">
        <f>AND('BBP complete'!G272,"AAAAAFePvjg=")</f>
        <v>#VALUE!</v>
      </c>
      <c r="BF27" t="e">
        <f>AND('BBP complete'!H272,"AAAAAFePvjk=")</f>
        <v>#VALUE!</v>
      </c>
      <c r="BG27" t="e">
        <f>AND('BBP complete'!I272,"AAAAAFePvjo=")</f>
        <v>#VALUE!</v>
      </c>
      <c r="BH27" s="60" t="e">
        <v>#VALUE!</v>
      </c>
      <c r="BI27" t="e">
        <f>AND('BBP complete'!A273,"AAAAAFePvjw=")</f>
        <v>#VALUE!</v>
      </c>
      <c r="BJ27" t="e">
        <f>AND('BBP complete'!B273,"AAAAAFePvj0=")</f>
        <v>#VALUE!</v>
      </c>
      <c r="BK27" t="e">
        <f>AND('BBP complete'!C273,"AAAAAFePvj4=")</f>
        <v>#VALUE!</v>
      </c>
      <c r="BL27" t="e">
        <f>AND('BBP complete'!D273,"AAAAAFePvj8=")</f>
        <v>#VALUE!</v>
      </c>
      <c r="BM27" t="e">
        <f>AND('BBP complete'!E273,"AAAAAFePvkA=")</f>
        <v>#VALUE!</v>
      </c>
      <c r="BN27" t="e">
        <f>AND('BBP complete'!F273,"AAAAAFePvkE=")</f>
        <v>#VALUE!</v>
      </c>
      <c r="BO27" t="e">
        <f>AND('BBP complete'!G273,"AAAAAFePvkI=")</f>
        <v>#VALUE!</v>
      </c>
      <c r="BP27" t="e">
        <f>AND('BBP complete'!H273,"AAAAAFePvkM=")</f>
        <v>#VALUE!</v>
      </c>
      <c r="BQ27" t="e">
        <f>AND('BBP complete'!I273,"AAAAAFePvkQ=")</f>
        <v>#VALUE!</v>
      </c>
      <c r="BR27" s="60" t="e">
        <v>#VALUE!</v>
      </c>
      <c r="BS27" t="e">
        <f>AND('BBP complete'!A274,"AAAAAFePvkY=")</f>
        <v>#VALUE!</v>
      </c>
      <c r="BT27" t="e">
        <f>AND('BBP complete'!B274,"AAAAAFePvkc=")</f>
        <v>#VALUE!</v>
      </c>
      <c r="BU27" t="e">
        <f>AND('BBP complete'!C274,"AAAAAFePvkg=")</f>
        <v>#VALUE!</v>
      </c>
      <c r="BV27" t="e">
        <f>AND('BBP complete'!D274,"AAAAAFePvkk=")</f>
        <v>#VALUE!</v>
      </c>
      <c r="BW27" t="e">
        <f>AND('BBP complete'!E274,"AAAAAFePvko=")</f>
        <v>#VALUE!</v>
      </c>
      <c r="BX27" t="e">
        <f>AND('BBP complete'!F274,"AAAAAFePvks=")</f>
        <v>#VALUE!</v>
      </c>
      <c r="BY27" t="e">
        <f>AND('BBP complete'!G274,"AAAAAFePvkw=")</f>
        <v>#VALUE!</v>
      </c>
      <c r="BZ27" t="e">
        <f>AND('BBP complete'!H274,"AAAAAFePvk0=")</f>
        <v>#VALUE!</v>
      </c>
      <c r="CA27" t="e">
        <f>AND('BBP complete'!I274,"AAAAAFePvk4=")</f>
        <v>#VALUE!</v>
      </c>
      <c r="CB27" s="60" t="e">
        <v>#VALUE!</v>
      </c>
      <c r="CC27" t="e">
        <f>AND('BBP complete'!A275,"AAAAAFePvlA=")</f>
        <v>#VALUE!</v>
      </c>
      <c r="CD27" t="e">
        <f>AND('BBP complete'!B275,"AAAAAFePvlE=")</f>
        <v>#VALUE!</v>
      </c>
      <c r="CE27" t="e">
        <f>AND('BBP complete'!C275,"AAAAAFePvlI=")</f>
        <v>#VALUE!</v>
      </c>
      <c r="CF27" t="e">
        <f>AND('BBP complete'!D275,"AAAAAFePvlM=")</f>
        <v>#VALUE!</v>
      </c>
      <c r="CG27" t="e">
        <f>AND('BBP complete'!E275,"AAAAAFePvlQ=")</f>
        <v>#VALUE!</v>
      </c>
      <c r="CH27" t="e">
        <f>AND('BBP complete'!F275,"AAAAAFePvlU=")</f>
        <v>#VALUE!</v>
      </c>
      <c r="CI27" t="e">
        <f>AND('BBP complete'!G275,"AAAAAFePvlY=")</f>
        <v>#VALUE!</v>
      </c>
      <c r="CJ27" t="e">
        <f>AND('BBP complete'!H275,"AAAAAFePvlc=")</f>
        <v>#VALUE!</v>
      </c>
      <c r="CK27" t="e">
        <f>AND('BBP complete'!I275,"AAAAAFePvlg=")</f>
        <v>#VALUE!</v>
      </c>
      <c r="CL27" s="60" t="e">
        <v>#VALUE!</v>
      </c>
      <c r="CM27" t="e">
        <f>AND('BBP complete'!A276,"AAAAAFePvlo=")</f>
        <v>#VALUE!</v>
      </c>
      <c r="CN27" t="e">
        <f>AND('BBP complete'!B276,"AAAAAFePvls=")</f>
        <v>#VALUE!</v>
      </c>
      <c r="CO27" t="e">
        <f>AND('BBP complete'!C276,"AAAAAFePvlw=")</f>
        <v>#VALUE!</v>
      </c>
      <c r="CP27" t="e">
        <f>AND('BBP complete'!D276,"AAAAAFePvl0=")</f>
        <v>#VALUE!</v>
      </c>
      <c r="CQ27" t="e">
        <f>AND('BBP complete'!E276,"AAAAAFePvl4=")</f>
        <v>#VALUE!</v>
      </c>
      <c r="CR27" t="e">
        <f>AND('BBP complete'!F276,"AAAAAFePvl8=")</f>
        <v>#VALUE!</v>
      </c>
      <c r="CS27" t="e">
        <f>AND('BBP complete'!G276,"AAAAAFePvmA=")</f>
        <v>#VALUE!</v>
      </c>
      <c r="CT27" t="e">
        <f>AND('BBP complete'!H276,"AAAAAFePvmE=")</f>
        <v>#VALUE!</v>
      </c>
      <c r="CU27" t="e">
        <f>AND('BBP complete'!I276,"AAAAAFePvmI=")</f>
        <v>#VALUE!</v>
      </c>
      <c r="CV27" s="60" t="e">
        <v>#VALUE!</v>
      </c>
      <c r="CW27" t="e">
        <f>AND('BBP complete'!A277,"AAAAAFePvmQ=")</f>
        <v>#VALUE!</v>
      </c>
      <c r="CX27" t="e">
        <f>AND('BBP complete'!B277,"AAAAAFePvmU=")</f>
        <v>#VALUE!</v>
      </c>
      <c r="CY27" t="e">
        <f>AND('BBP complete'!C277,"AAAAAFePvmY=")</f>
        <v>#VALUE!</v>
      </c>
      <c r="CZ27" t="e">
        <f>AND('BBP complete'!D277,"AAAAAFePvmc=")</f>
        <v>#VALUE!</v>
      </c>
      <c r="DA27" t="e">
        <f>AND('BBP complete'!E277,"AAAAAFePvmg=")</f>
        <v>#VALUE!</v>
      </c>
      <c r="DB27" t="e">
        <f>AND('BBP complete'!F277,"AAAAAFePvmk=")</f>
        <v>#VALUE!</v>
      </c>
      <c r="DC27" t="e">
        <f>AND('BBP complete'!G277,"AAAAAFePvmo=")</f>
        <v>#VALUE!</v>
      </c>
      <c r="DD27" t="e">
        <f>AND('BBP complete'!H277,"AAAAAFePvms=")</f>
        <v>#VALUE!</v>
      </c>
      <c r="DE27" t="e">
        <f>AND('BBP complete'!I277,"AAAAAFePvmw=")</f>
        <v>#VALUE!</v>
      </c>
      <c r="DF27" s="60" t="e">
        <v>#VALUE!</v>
      </c>
      <c r="DG27" t="e">
        <f>AND('BBP complete'!A278,"AAAAAFePvm4=")</f>
        <v>#VALUE!</v>
      </c>
      <c r="DH27" t="e">
        <f>AND('BBP complete'!B278,"AAAAAFePvm8=")</f>
        <v>#VALUE!</v>
      </c>
      <c r="DI27" t="e">
        <f>AND('BBP complete'!C278,"AAAAAFePvnA=")</f>
        <v>#VALUE!</v>
      </c>
      <c r="DJ27" t="e">
        <f>AND('BBP complete'!D278,"AAAAAFePvnE=")</f>
        <v>#VALUE!</v>
      </c>
      <c r="DK27" t="e">
        <f>AND('BBP complete'!E278,"AAAAAFePvnI=")</f>
        <v>#VALUE!</v>
      </c>
      <c r="DL27" t="e">
        <f>AND('BBP complete'!F278,"AAAAAFePvnM=")</f>
        <v>#VALUE!</v>
      </c>
      <c r="DM27" t="e">
        <f>AND('BBP complete'!G278,"AAAAAFePvnQ=")</f>
        <v>#VALUE!</v>
      </c>
      <c r="DN27" t="e">
        <f>AND('BBP complete'!H278,"AAAAAFePvnU=")</f>
        <v>#VALUE!</v>
      </c>
      <c r="DO27" t="e">
        <f>AND('BBP complete'!I278,"AAAAAFePvnY=")</f>
        <v>#VALUE!</v>
      </c>
      <c r="DP27" s="60" t="e">
        <v>#VALUE!</v>
      </c>
      <c r="DQ27" t="e">
        <f>AND('BBP complete'!A279,"AAAAAFePvng=")</f>
        <v>#VALUE!</v>
      </c>
      <c r="DR27" t="e">
        <f>AND('BBP complete'!B279,"AAAAAFePvnk=")</f>
        <v>#VALUE!</v>
      </c>
      <c r="DS27" t="e">
        <f>AND('BBP complete'!C279,"AAAAAFePvno=")</f>
        <v>#VALUE!</v>
      </c>
      <c r="DT27" t="e">
        <f>AND('BBP complete'!D279,"AAAAAFePvns=")</f>
        <v>#VALUE!</v>
      </c>
      <c r="DU27" t="e">
        <f>AND('BBP complete'!E279,"AAAAAFePvnw=")</f>
        <v>#VALUE!</v>
      </c>
      <c r="DV27" t="e">
        <f>AND('BBP complete'!F279,"AAAAAFePvn0=")</f>
        <v>#VALUE!</v>
      </c>
      <c r="DW27" t="e">
        <f>AND('BBP complete'!G279,"AAAAAFePvn4=")</f>
        <v>#VALUE!</v>
      </c>
      <c r="DX27" t="e">
        <f>AND('BBP complete'!H279,"AAAAAFePvn8=")</f>
        <v>#VALUE!</v>
      </c>
      <c r="DY27" t="e">
        <f>AND('BBP complete'!I279,"AAAAAFePvoA=")</f>
        <v>#VALUE!</v>
      </c>
      <c r="DZ27" s="60" t="e">
        <v>#VALUE!</v>
      </c>
      <c r="EA27" t="e">
        <f>AND('BBP complete'!A280,"AAAAAFePvoI=")</f>
        <v>#VALUE!</v>
      </c>
      <c r="EB27" t="e">
        <f>AND('BBP complete'!B280,"AAAAAFePvoM=")</f>
        <v>#VALUE!</v>
      </c>
      <c r="EC27" t="e">
        <f>AND('BBP complete'!C280,"AAAAAFePvoQ=")</f>
        <v>#VALUE!</v>
      </c>
      <c r="ED27" t="e">
        <f>AND('BBP complete'!D280,"AAAAAFePvoU=")</f>
        <v>#VALUE!</v>
      </c>
      <c r="EE27" t="e">
        <f>AND('BBP complete'!E280,"AAAAAFePvoY=")</f>
        <v>#VALUE!</v>
      </c>
      <c r="EF27" t="e">
        <f>AND('BBP complete'!F280,"AAAAAFePvoc=")</f>
        <v>#VALUE!</v>
      </c>
      <c r="EG27" t="e">
        <f>AND('BBP complete'!G280,"AAAAAFePvog=")</f>
        <v>#VALUE!</v>
      </c>
      <c r="EH27" t="e">
        <f>AND('BBP complete'!H280,"AAAAAFePvok=")</f>
        <v>#VALUE!</v>
      </c>
      <c r="EI27" t="e">
        <f>AND('BBP complete'!I280,"AAAAAFePvoo=")</f>
        <v>#VALUE!</v>
      </c>
      <c r="EJ27" s="60" t="e">
        <v>#VALUE!</v>
      </c>
      <c r="EK27" t="e">
        <f>AND('BBP complete'!A281,"AAAAAFePvow=")</f>
        <v>#VALUE!</v>
      </c>
      <c r="EL27" t="e">
        <f>AND('BBP complete'!B281,"AAAAAFePvo0=")</f>
        <v>#VALUE!</v>
      </c>
      <c r="EM27" t="e">
        <f>AND('BBP complete'!C281,"AAAAAFePvo4=")</f>
        <v>#VALUE!</v>
      </c>
      <c r="EN27" t="e">
        <f>AND('BBP complete'!D281,"AAAAAFePvo8=")</f>
        <v>#VALUE!</v>
      </c>
      <c r="EO27" t="e">
        <f>AND('BBP complete'!E281,"AAAAAFePvpA=")</f>
        <v>#VALUE!</v>
      </c>
      <c r="EP27" t="e">
        <f>AND('BBP complete'!F281,"AAAAAFePvpE=")</f>
        <v>#VALUE!</v>
      </c>
      <c r="EQ27" t="e">
        <f>AND('BBP complete'!G281,"AAAAAFePvpI=")</f>
        <v>#VALUE!</v>
      </c>
      <c r="ER27" t="e">
        <f>AND('BBP complete'!H281,"AAAAAFePvpM=")</f>
        <v>#VALUE!</v>
      </c>
      <c r="ES27" t="e">
        <f>AND('BBP complete'!I281,"AAAAAFePvpQ=")</f>
        <v>#VALUE!</v>
      </c>
      <c r="ET27" s="60" t="e">
        <v>#VALUE!</v>
      </c>
      <c r="EU27" t="e">
        <f>AND('BBP complete'!A282,"AAAAAFePvpY=")</f>
        <v>#VALUE!</v>
      </c>
      <c r="EV27" t="e">
        <f>AND('BBP complete'!B282,"AAAAAFePvpc=")</f>
        <v>#VALUE!</v>
      </c>
      <c r="EW27" t="e">
        <f>AND('BBP complete'!C282,"AAAAAFePvpg=")</f>
        <v>#VALUE!</v>
      </c>
      <c r="EX27" t="e">
        <f>AND('BBP complete'!D282,"AAAAAFePvpk=")</f>
        <v>#VALUE!</v>
      </c>
      <c r="EY27" t="e">
        <f>AND('BBP complete'!E282,"AAAAAFePvpo=")</f>
        <v>#VALUE!</v>
      </c>
      <c r="EZ27" t="e">
        <f>AND('BBP complete'!F282,"AAAAAFePvps=")</f>
        <v>#VALUE!</v>
      </c>
      <c r="FA27" t="e">
        <f>AND('BBP complete'!G282,"AAAAAFePvpw=")</f>
        <v>#VALUE!</v>
      </c>
      <c r="FB27" t="e">
        <f>AND('BBP complete'!H282,"AAAAAFePvp0=")</f>
        <v>#VALUE!</v>
      </c>
      <c r="FC27" t="e">
        <f>AND('BBP complete'!I282,"AAAAAFePvp4=")</f>
        <v>#VALUE!</v>
      </c>
      <c r="FD27" s="60" t="e">
        <v>#VALUE!</v>
      </c>
      <c r="FE27" t="e">
        <f>AND('BBP complete'!A283,"AAAAAFePvqA=")</f>
        <v>#VALUE!</v>
      </c>
      <c r="FF27" t="e">
        <f>AND('BBP complete'!B283,"AAAAAFePvqE=")</f>
        <v>#VALUE!</v>
      </c>
      <c r="FG27" t="e">
        <f>AND('BBP complete'!C283,"AAAAAFePvqI=")</f>
        <v>#VALUE!</v>
      </c>
      <c r="FH27" t="e">
        <f>AND('BBP complete'!D283,"AAAAAFePvqM=")</f>
        <v>#VALUE!</v>
      </c>
      <c r="FI27" t="e">
        <f>AND('BBP complete'!E283,"AAAAAFePvqQ=")</f>
        <v>#VALUE!</v>
      </c>
      <c r="FJ27" t="e">
        <f>AND('BBP complete'!F283,"AAAAAFePvqU=")</f>
        <v>#VALUE!</v>
      </c>
      <c r="FK27" t="e">
        <f>AND('BBP complete'!G283,"AAAAAFePvqY=")</f>
        <v>#VALUE!</v>
      </c>
      <c r="FL27" t="e">
        <f>AND('BBP complete'!H283,"AAAAAFePvqc=")</f>
        <v>#VALUE!</v>
      </c>
      <c r="FM27" t="e">
        <f>AND('BBP complete'!I283,"AAAAAFePvqg=")</f>
        <v>#VALUE!</v>
      </c>
      <c r="FN27" s="60" t="e">
        <v>#VALUE!</v>
      </c>
      <c r="FO27" t="e">
        <f>AND('BBP complete'!A284,"AAAAAFePvqo=")</f>
        <v>#VALUE!</v>
      </c>
      <c r="FP27" t="e">
        <f>AND('BBP complete'!B284,"AAAAAFePvqs=")</f>
        <v>#VALUE!</v>
      </c>
      <c r="FQ27" t="e">
        <f>AND('BBP complete'!C284,"AAAAAFePvqw=")</f>
        <v>#VALUE!</v>
      </c>
      <c r="FR27" t="e">
        <f>AND('BBP complete'!D284,"AAAAAFePvq0=")</f>
        <v>#VALUE!</v>
      </c>
      <c r="FS27" t="e">
        <f>AND('BBP complete'!E284,"AAAAAFePvq4=")</f>
        <v>#VALUE!</v>
      </c>
      <c r="FT27" t="e">
        <f>AND('BBP complete'!F284,"AAAAAFePvq8=")</f>
        <v>#VALUE!</v>
      </c>
      <c r="FU27" t="e">
        <f>AND('BBP complete'!G284,"AAAAAFePvrA=")</f>
        <v>#VALUE!</v>
      </c>
      <c r="FV27" t="e">
        <f>AND('BBP complete'!H284,"AAAAAFePvrE=")</f>
        <v>#VALUE!</v>
      </c>
      <c r="FW27" t="e">
        <f>AND('BBP complete'!I284,"AAAAAFePvrI=")</f>
        <v>#VALUE!</v>
      </c>
      <c r="FX27" s="60" t="e">
        <v>#VALUE!</v>
      </c>
      <c r="FY27" t="e">
        <f>AND('BBP complete'!A285,"AAAAAFePvrQ=")</f>
        <v>#VALUE!</v>
      </c>
      <c r="FZ27" t="e">
        <f>AND('BBP complete'!B285,"AAAAAFePvrU=")</f>
        <v>#VALUE!</v>
      </c>
      <c r="GA27" t="e">
        <f>AND('BBP complete'!C285,"AAAAAFePvrY=")</f>
        <v>#VALUE!</v>
      </c>
      <c r="GB27" t="e">
        <f>AND('BBP complete'!D285,"AAAAAFePvrc=")</f>
        <v>#VALUE!</v>
      </c>
      <c r="GC27" t="e">
        <f>AND('BBP complete'!E285,"AAAAAFePvrg=")</f>
        <v>#VALUE!</v>
      </c>
      <c r="GD27" t="e">
        <f>AND('BBP complete'!F285,"AAAAAFePvrk=")</f>
        <v>#VALUE!</v>
      </c>
      <c r="GE27" t="e">
        <f>AND('BBP complete'!G285,"AAAAAFePvro=")</f>
        <v>#VALUE!</v>
      </c>
      <c r="GF27" t="e">
        <f>AND('BBP complete'!H285,"AAAAAFePvrs=")</f>
        <v>#VALUE!</v>
      </c>
      <c r="GG27" t="e">
        <f>AND('BBP complete'!I285,"AAAAAFePvrw=")</f>
        <v>#VALUE!</v>
      </c>
      <c r="GH27" s="60" t="e">
        <v>#VALUE!</v>
      </c>
      <c r="GI27" t="e">
        <f>AND('BBP complete'!A286,"AAAAAFePvr4=")</f>
        <v>#VALUE!</v>
      </c>
      <c r="GJ27" t="e">
        <f>AND('BBP complete'!B286,"AAAAAFePvr8=")</f>
        <v>#VALUE!</v>
      </c>
      <c r="GK27" t="e">
        <f>AND('BBP complete'!C286,"AAAAAFePvsA=")</f>
        <v>#VALUE!</v>
      </c>
      <c r="GL27" t="e">
        <f>AND('BBP complete'!D286,"AAAAAFePvsE=")</f>
        <v>#VALUE!</v>
      </c>
      <c r="GM27" t="e">
        <f>AND('BBP complete'!E286,"AAAAAFePvsI=")</f>
        <v>#VALUE!</v>
      </c>
      <c r="GN27" t="e">
        <f>AND('BBP complete'!F286,"AAAAAFePvsM=")</f>
        <v>#VALUE!</v>
      </c>
      <c r="GO27" t="e">
        <f>AND('BBP complete'!G286,"AAAAAFePvsQ=")</f>
        <v>#VALUE!</v>
      </c>
      <c r="GP27" t="e">
        <f>AND('BBP complete'!H286,"AAAAAFePvsU=")</f>
        <v>#VALUE!</v>
      </c>
      <c r="GQ27" t="e">
        <f>AND('BBP complete'!I286,"AAAAAFePvsY=")</f>
        <v>#VALUE!</v>
      </c>
      <c r="GR27" s="60" t="e">
        <v>#VALUE!</v>
      </c>
      <c r="GS27" t="e">
        <f>AND('BBP complete'!A287,"AAAAAFePvsg=")</f>
        <v>#VALUE!</v>
      </c>
      <c r="GT27" t="e">
        <f>AND('BBP complete'!B287,"AAAAAFePvsk=")</f>
        <v>#VALUE!</v>
      </c>
      <c r="GU27" t="e">
        <f>AND('BBP complete'!C287,"AAAAAFePvso=")</f>
        <v>#VALUE!</v>
      </c>
      <c r="GV27" t="e">
        <f>AND('BBP complete'!D287,"AAAAAFePvss=")</f>
        <v>#VALUE!</v>
      </c>
      <c r="GW27" t="e">
        <f>AND('BBP complete'!E287,"AAAAAFePvsw=")</f>
        <v>#VALUE!</v>
      </c>
      <c r="GX27" t="e">
        <f>AND('BBP complete'!F287,"AAAAAFePvs0=")</f>
        <v>#VALUE!</v>
      </c>
      <c r="GY27" t="e">
        <f>AND('BBP complete'!G287,"AAAAAFePvs4=")</f>
        <v>#VALUE!</v>
      </c>
      <c r="GZ27" t="e">
        <f>AND('BBP complete'!H287,"AAAAAFePvs8=")</f>
        <v>#VALUE!</v>
      </c>
      <c r="HA27" t="e">
        <f>AND('BBP complete'!I287,"AAAAAFePvtA=")</f>
        <v>#VALUE!</v>
      </c>
      <c r="HB27" s="60" t="e">
        <v>#VALUE!</v>
      </c>
      <c r="HC27" t="e">
        <f>AND('BBP complete'!A288,"AAAAAFePvtI=")</f>
        <v>#VALUE!</v>
      </c>
      <c r="HD27" t="e">
        <f>AND('BBP complete'!B288,"AAAAAFePvtM=")</f>
        <v>#VALUE!</v>
      </c>
      <c r="HE27" t="e">
        <f>AND('BBP complete'!C288,"AAAAAFePvtQ=")</f>
        <v>#VALUE!</v>
      </c>
      <c r="HF27" t="e">
        <f>AND('BBP complete'!D288,"AAAAAFePvtU=")</f>
        <v>#VALUE!</v>
      </c>
      <c r="HG27" t="e">
        <f>AND('BBP complete'!E288,"AAAAAFePvtY=")</f>
        <v>#VALUE!</v>
      </c>
      <c r="HH27" t="e">
        <f>AND('BBP complete'!F288,"AAAAAFePvtc=")</f>
        <v>#VALUE!</v>
      </c>
      <c r="HI27" t="e">
        <f>AND('BBP complete'!G288,"AAAAAFePvtg=")</f>
        <v>#VALUE!</v>
      </c>
      <c r="HJ27" t="e">
        <f>AND('BBP complete'!H288,"AAAAAFePvtk=")</f>
        <v>#VALUE!</v>
      </c>
      <c r="HK27" t="e">
        <f>AND('BBP complete'!I288,"AAAAAFePvto=")</f>
        <v>#VALUE!</v>
      </c>
      <c r="HL27" s="60" t="e">
        <v>#VALUE!</v>
      </c>
      <c r="HM27" t="e">
        <f>AND('BBP complete'!A289,"AAAAAFePvtw=")</f>
        <v>#VALUE!</v>
      </c>
      <c r="HN27" t="e">
        <f>AND('BBP complete'!B289,"AAAAAFePvt0=")</f>
        <v>#VALUE!</v>
      </c>
      <c r="HO27" t="e">
        <f>AND('BBP complete'!C289,"AAAAAFePvt4=")</f>
        <v>#VALUE!</v>
      </c>
      <c r="HP27" t="e">
        <f>AND('BBP complete'!D289,"AAAAAFePvt8=")</f>
        <v>#VALUE!</v>
      </c>
      <c r="HQ27" t="e">
        <f>AND('BBP complete'!E289,"AAAAAFePvuA=")</f>
        <v>#VALUE!</v>
      </c>
      <c r="HR27" t="e">
        <f>AND('BBP complete'!F289,"AAAAAFePvuE=")</f>
        <v>#VALUE!</v>
      </c>
      <c r="HS27" t="e">
        <f>AND('BBP complete'!G289,"AAAAAFePvuI=")</f>
        <v>#VALUE!</v>
      </c>
      <c r="HT27" t="e">
        <f>AND('BBP complete'!H289,"AAAAAFePvuM=")</f>
        <v>#VALUE!</v>
      </c>
      <c r="HU27" t="e">
        <f>AND('BBP complete'!I289,"AAAAAFePvuQ=")</f>
        <v>#VALUE!</v>
      </c>
      <c r="HV27" s="60" t="e">
        <v>#VALUE!</v>
      </c>
      <c r="HW27" t="e">
        <f>AND('BBP complete'!A290,"AAAAAFePvuY=")</f>
        <v>#VALUE!</v>
      </c>
      <c r="HX27" t="e">
        <f>AND('BBP complete'!B290,"AAAAAFePvuc=")</f>
        <v>#VALUE!</v>
      </c>
      <c r="HY27" t="e">
        <f>AND('BBP complete'!C290,"AAAAAFePvug=")</f>
        <v>#VALUE!</v>
      </c>
      <c r="HZ27" t="e">
        <f>AND('BBP complete'!D290,"AAAAAFePvuk=")</f>
        <v>#VALUE!</v>
      </c>
      <c r="IA27" t="e">
        <f>AND('BBP complete'!E290,"AAAAAFePvuo=")</f>
        <v>#VALUE!</v>
      </c>
      <c r="IB27" t="e">
        <f>AND('BBP complete'!F290,"AAAAAFePvus=")</f>
        <v>#VALUE!</v>
      </c>
      <c r="IC27" t="e">
        <f>AND('BBP complete'!G290,"AAAAAFePvuw=")</f>
        <v>#VALUE!</v>
      </c>
      <c r="ID27" t="e">
        <f>AND('BBP complete'!H290,"AAAAAFePvu0=")</f>
        <v>#VALUE!</v>
      </c>
      <c r="IE27" t="e">
        <f>AND('BBP complete'!I290,"AAAAAFePvu4=")</f>
        <v>#VALUE!</v>
      </c>
      <c r="IF27" s="60" t="e">
        <v>#VALUE!</v>
      </c>
      <c r="IG27" t="e">
        <f>AND('BBP complete'!A291,"AAAAAFePvvA=")</f>
        <v>#VALUE!</v>
      </c>
      <c r="IH27" t="e">
        <f>AND('BBP complete'!B291,"AAAAAFePvvE=")</f>
        <v>#VALUE!</v>
      </c>
      <c r="II27" t="e">
        <f>AND('BBP complete'!C291,"AAAAAFePvvI=")</f>
        <v>#VALUE!</v>
      </c>
      <c r="IJ27" t="e">
        <f>AND('BBP complete'!D291,"AAAAAFePvvM=")</f>
        <v>#VALUE!</v>
      </c>
      <c r="IK27" t="e">
        <f>AND('BBP complete'!E291,"AAAAAFePvvQ=")</f>
        <v>#VALUE!</v>
      </c>
      <c r="IL27" t="e">
        <f>AND('BBP complete'!F291,"AAAAAFePvvU=")</f>
        <v>#VALUE!</v>
      </c>
      <c r="IM27" t="e">
        <f>AND('BBP complete'!G291,"AAAAAFePvvY=")</f>
        <v>#VALUE!</v>
      </c>
      <c r="IN27" t="e">
        <f>AND('BBP complete'!H291,"AAAAAFePvvc=")</f>
        <v>#VALUE!</v>
      </c>
      <c r="IO27" t="e">
        <f>AND('BBP complete'!I291,"AAAAAFePvvg=")</f>
        <v>#VALUE!</v>
      </c>
      <c r="IP27" s="60" t="e">
        <v>#VALUE!</v>
      </c>
      <c r="IQ27" t="e">
        <f>AND('BBP complete'!A292,"AAAAAFePvvo=")</f>
        <v>#VALUE!</v>
      </c>
      <c r="IR27" t="e">
        <f>AND('BBP complete'!B292,"AAAAAFePvvs=")</f>
        <v>#VALUE!</v>
      </c>
      <c r="IS27" t="e">
        <f>AND('BBP complete'!C292,"AAAAAFePvvw=")</f>
        <v>#VALUE!</v>
      </c>
      <c r="IT27" t="e">
        <f>AND('BBP complete'!D292,"AAAAAFePvv0=")</f>
        <v>#VALUE!</v>
      </c>
      <c r="IU27" t="e">
        <f>AND('BBP complete'!E292,"AAAAAFePvv4=")</f>
        <v>#VALUE!</v>
      </c>
      <c r="IV27" t="e">
        <f>AND('BBP complete'!F292,"AAAAAFePvv8=")</f>
        <v>#VALUE!</v>
      </c>
    </row>
    <row r="28" spans="1:256" ht="15" customHeight="1" x14ac:dyDescent="0.25">
      <c r="A28" t="e">
        <f>AND('BBP complete'!G292,"AAAAAD/n6wA=")</f>
        <v>#VALUE!</v>
      </c>
      <c r="B28" t="e">
        <f>AND('BBP complete'!H292,"AAAAAD/n6wE=")</f>
        <v>#VALUE!</v>
      </c>
      <c r="C28" t="e">
        <f>AND('BBP complete'!I292,"AAAAAD/n6wI=")</f>
        <v>#VALUE!</v>
      </c>
      <c r="D28" s="60" t="e">
        <v>#VALUE!</v>
      </c>
      <c r="E28" t="e">
        <f>AND('BBP complete'!A293,"AAAAAD/n6wQ=")</f>
        <v>#VALUE!</v>
      </c>
      <c r="F28" t="e">
        <f>AND('BBP complete'!B293,"AAAAAD/n6wU=")</f>
        <v>#VALUE!</v>
      </c>
      <c r="G28" t="e">
        <f>AND('BBP complete'!C293,"AAAAAD/n6wY=")</f>
        <v>#VALUE!</v>
      </c>
      <c r="H28" t="e">
        <f>AND('BBP complete'!D293,"AAAAAD/n6wc=")</f>
        <v>#VALUE!</v>
      </c>
      <c r="I28" t="e">
        <f>AND('BBP complete'!E293,"AAAAAD/n6wg=")</f>
        <v>#VALUE!</v>
      </c>
      <c r="J28" t="e">
        <f>AND('BBP complete'!F293,"AAAAAD/n6wk=")</f>
        <v>#VALUE!</v>
      </c>
      <c r="K28" t="e">
        <f>AND('BBP complete'!G293,"AAAAAD/n6wo=")</f>
        <v>#VALUE!</v>
      </c>
      <c r="L28" t="e">
        <f>AND('BBP complete'!H293,"AAAAAD/n6ws=")</f>
        <v>#VALUE!</v>
      </c>
      <c r="M28" t="e">
        <f>AND('BBP complete'!I293,"AAAAAD/n6ww=")</f>
        <v>#VALUE!</v>
      </c>
      <c r="N28" s="60" t="e">
        <v>#VALUE!</v>
      </c>
      <c r="O28" t="e">
        <f>AND('BBP complete'!A294,"AAAAAD/n6w4=")</f>
        <v>#VALUE!</v>
      </c>
      <c r="P28" t="e">
        <f>AND('BBP complete'!B294,"AAAAAD/n6w8=")</f>
        <v>#VALUE!</v>
      </c>
      <c r="Q28" t="e">
        <f>AND('BBP complete'!C294,"AAAAAD/n6xA=")</f>
        <v>#VALUE!</v>
      </c>
      <c r="R28" t="e">
        <f>AND('BBP complete'!D294,"AAAAAD/n6xE=")</f>
        <v>#VALUE!</v>
      </c>
      <c r="S28" t="e">
        <f>AND('BBP complete'!E294,"AAAAAD/n6xI=")</f>
        <v>#VALUE!</v>
      </c>
      <c r="T28" t="e">
        <f>AND('BBP complete'!F294,"AAAAAD/n6xM=")</f>
        <v>#VALUE!</v>
      </c>
      <c r="U28" t="e">
        <f>AND('BBP complete'!G294,"AAAAAD/n6xQ=")</f>
        <v>#VALUE!</v>
      </c>
      <c r="V28" t="e">
        <f>AND('BBP complete'!H294,"AAAAAD/n6xU=")</f>
        <v>#VALUE!</v>
      </c>
      <c r="W28" t="e">
        <f>AND('BBP complete'!I294,"AAAAAD/n6xY=")</f>
        <v>#VALUE!</v>
      </c>
      <c r="X28" s="60" t="e">
        <v>#VALUE!</v>
      </c>
      <c r="Y28" t="e">
        <f>AND('BBP complete'!A295,"AAAAAD/n6xg=")</f>
        <v>#VALUE!</v>
      </c>
      <c r="Z28" t="e">
        <f>AND('BBP complete'!B295,"AAAAAD/n6xk=")</f>
        <v>#VALUE!</v>
      </c>
      <c r="AA28" t="e">
        <f>AND('BBP complete'!C295,"AAAAAD/n6xo=")</f>
        <v>#VALUE!</v>
      </c>
      <c r="AB28" t="e">
        <f>AND('BBP complete'!D295,"AAAAAD/n6xs=")</f>
        <v>#VALUE!</v>
      </c>
      <c r="AC28" t="e">
        <f>AND('BBP complete'!E295,"AAAAAD/n6xw=")</f>
        <v>#VALUE!</v>
      </c>
      <c r="AD28" t="e">
        <f>AND('BBP complete'!F295,"AAAAAD/n6x0=")</f>
        <v>#VALUE!</v>
      </c>
      <c r="AE28" t="e">
        <f>AND('BBP complete'!G295,"AAAAAD/n6x4=")</f>
        <v>#VALUE!</v>
      </c>
      <c r="AF28" t="e">
        <f>AND('BBP complete'!H295,"AAAAAD/n6x8=")</f>
        <v>#VALUE!</v>
      </c>
      <c r="AG28" t="e">
        <f>AND('BBP complete'!I295,"AAAAAD/n6yA=")</f>
        <v>#VALUE!</v>
      </c>
      <c r="AH28" s="60" t="e">
        <v>#VALUE!</v>
      </c>
      <c r="AI28" t="e">
        <f>AND('BBP complete'!A296,"AAAAAD/n6yI=")</f>
        <v>#VALUE!</v>
      </c>
      <c r="AJ28" t="e">
        <f>AND('BBP complete'!B296,"AAAAAD/n6yM=")</f>
        <v>#VALUE!</v>
      </c>
      <c r="AK28" t="e">
        <f>AND('BBP complete'!C296,"AAAAAD/n6yQ=")</f>
        <v>#VALUE!</v>
      </c>
      <c r="AL28" t="e">
        <f>AND('BBP complete'!D296,"AAAAAD/n6yU=")</f>
        <v>#VALUE!</v>
      </c>
      <c r="AM28" t="e">
        <f>AND('BBP complete'!E296,"AAAAAD/n6yY=")</f>
        <v>#VALUE!</v>
      </c>
      <c r="AN28" t="e">
        <f>AND('BBP complete'!F296,"AAAAAD/n6yc=")</f>
        <v>#VALUE!</v>
      </c>
      <c r="AO28" t="e">
        <f>AND('BBP complete'!G296,"AAAAAD/n6yg=")</f>
        <v>#VALUE!</v>
      </c>
      <c r="AP28" t="e">
        <f>AND('BBP complete'!H296,"AAAAAD/n6yk=")</f>
        <v>#VALUE!</v>
      </c>
      <c r="AQ28" t="e">
        <f>AND('BBP complete'!I296,"AAAAAD/n6yo=")</f>
        <v>#VALUE!</v>
      </c>
      <c r="AR28" s="60" t="e">
        <v>#VALUE!</v>
      </c>
      <c r="AS28" t="e">
        <f>AND('BBP complete'!A297,"AAAAAD/n6yw=")</f>
        <v>#VALUE!</v>
      </c>
      <c r="AT28" t="e">
        <f>AND('BBP complete'!B297,"AAAAAD/n6y0=")</f>
        <v>#VALUE!</v>
      </c>
      <c r="AU28" t="e">
        <f>AND('BBP complete'!C297,"AAAAAD/n6y4=")</f>
        <v>#VALUE!</v>
      </c>
      <c r="AV28" t="e">
        <f>AND('BBP complete'!D297,"AAAAAD/n6y8=")</f>
        <v>#VALUE!</v>
      </c>
      <c r="AW28" t="e">
        <f>AND('BBP complete'!E297,"AAAAAD/n6zA=")</f>
        <v>#VALUE!</v>
      </c>
      <c r="AX28" t="e">
        <f>AND('BBP complete'!F297,"AAAAAD/n6zE=")</f>
        <v>#VALUE!</v>
      </c>
      <c r="AY28" t="e">
        <f>AND('BBP complete'!G297,"AAAAAD/n6zI=")</f>
        <v>#VALUE!</v>
      </c>
      <c r="AZ28" t="e">
        <f>AND('BBP complete'!H297,"AAAAAD/n6zM=")</f>
        <v>#VALUE!</v>
      </c>
      <c r="BA28" t="e">
        <f>AND('BBP complete'!I297,"AAAAAD/n6zQ=")</f>
        <v>#VALUE!</v>
      </c>
      <c r="BB28" s="60" t="e">
        <v>#VALUE!</v>
      </c>
      <c r="BC28" t="e">
        <f>AND('BBP complete'!A298,"AAAAAD/n6zY=")</f>
        <v>#VALUE!</v>
      </c>
      <c r="BD28" t="e">
        <f>AND('BBP complete'!B298,"AAAAAD/n6zc=")</f>
        <v>#VALUE!</v>
      </c>
      <c r="BE28" t="e">
        <f>AND('BBP complete'!C298,"AAAAAD/n6zg=")</f>
        <v>#VALUE!</v>
      </c>
      <c r="BF28" t="e">
        <f>AND('BBP complete'!D298,"AAAAAD/n6zk=")</f>
        <v>#VALUE!</v>
      </c>
      <c r="BG28" t="e">
        <f>AND('BBP complete'!E298,"AAAAAD/n6zo=")</f>
        <v>#VALUE!</v>
      </c>
      <c r="BH28" t="e">
        <f>AND('BBP complete'!F298,"AAAAAD/n6zs=")</f>
        <v>#VALUE!</v>
      </c>
      <c r="BI28" t="e">
        <f>AND('BBP complete'!G298,"AAAAAD/n6zw=")</f>
        <v>#VALUE!</v>
      </c>
      <c r="BJ28" t="e">
        <f>AND('BBP complete'!H298,"AAAAAD/n6z0=")</f>
        <v>#VALUE!</v>
      </c>
      <c r="BK28" t="e">
        <f>AND('BBP complete'!I298,"AAAAAD/n6z4=")</f>
        <v>#VALUE!</v>
      </c>
      <c r="BL28" s="60" t="e">
        <v>#VALUE!</v>
      </c>
      <c r="BM28" t="e">
        <f>AND('BBP complete'!A299,"AAAAAD/n60A=")</f>
        <v>#VALUE!</v>
      </c>
      <c r="BN28" t="e">
        <f>AND('BBP complete'!B299,"AAAAAD/n60E=")</f>
        <v>#VALUE!</v>
      </c>
      <c r="BO28" t="e">
        <f>AND('BBP complete'!C299,"AAAAAD/n60I=")</f>
        <v>#VALUE!</v>
      </c>
      <c r="BP28" t="e">
        <f>AND('BBP complete'!D299,"AAAAAD/n60M=")</f>
        <v>#VALUE!</v>
      </c>
      <c r="BQ28" t="e">
        <f>AND('BBP complete'!E299,"AAAAAD/n60Q=")</f>
        <v>#VALUE!</v>
      </c>
      <c r="BR28" t="e">
        <f>AND('BBP complete'!F299,"AAAAAD/n60U=")</f>
        <v>#VALUE!</v>
      </c>
      <c r="BS28" t="e">
        <f>AND('BBP complete'!G299,"AAAAAD/n60Y=")</f>
        <v>#VALUE!</v>
      </c>
      <c r="BT28" t="e">
        <f>AND('BBP complete'!H299,"AAAAAD/n60c=")</f>
        <v>#VALUE!</v>
      </c>
      <c r="BU28" t="e">
        <f>AND('BBP complete'!I299,"AAAAAD/n60g=")</f>
        <v>#VALUE!</v>
      </c>
      <c r="BV28" s="60" t="e">
        <v>#VALUE!</v>
      </c>
      <c r="BW28" t="e">
        <f>AND('BBP complete'!A300,"AAAAAD/n60o=")</f>
        <v>#VALUE!</v>
      </c>
      <c r="BX28" t="e">
        <f>AND('BBP complete'!B300,"AAAAAD/n60s=")</f>
        <v>#VALUE!</v>
      </c>
      <c r="BY28" t="e">
        <f>AND('BBP complete'!C300,"AAAAAD/n60w=")</f>
        <v>#VALUE!</v>
      </c>
      <c r="BZ28" t="e">
        <f>AND('BBP complete'!D300,"AAAAAD/n600=")</f>
        <v>#VALUE!</v>
      </c>
      <c r="CA28" t="e">
        <f>AND('BBP complete'!E300,"AAAAAD/n604=")</f>
        <v>#VALUE!</v>
      </c>
      <c r="CB28" t="e">
        <f>AND('BBP complete'!F300,"AAAAAD/n608=")</f>
        <v>#VALUE!</v>
      </c>
      <c r="CC28" t="e">
        <f>AND('BBP complete'!G300,"AAAAAD/n61A=")</f>
        <v>#VALUE!</v>
      </c>
      <c r="CD28" t="e">
        <f>AND('BBP complete'!H300,"AAAAAD/n61E=")</f>
        <v>#VALUE!</v>
      </c>
      <c r="CE28" t="e">
        <f>AND('BBP complete'!I300,"AAAAAD/n61I=")</f>
        <v>#VALUE!</v>
      </c>
      <c r="CF28" s="60" t="e">
        <v>#VALUE!</v>
      </c>
      <c r="CG28" t="e">
        <f>AND('BBP complete'!A301,"AAAAAD/n61Q=")</f>
        <v>#VALUE!</v>
      </c>
      <c r="CH28" t="e">
        <f>AND('BBP complete'!B301,"AAAAAD/n61U=")</f>
        <v>#VALUE!</v>
      </c>
      <c r="CI28" t="e">
        <f>AND('BBP complete'!C301,"AAAAAD/n61Y=")</f>
        <v>#VALUE!</v>
      </c>
      <c r="CJ28" t="e">
        <f>AND('BBP complete'!D301,"AAAAAD/n61c=")</f>
        <v>#VALUE!</v>
      </c>
      <c r="CK28" t="e">
        <f>AND('BBP complete'!E301,"AAAAAD/n61g=")</f>
        <v>#VALUE!</v>
      </c>
      <c r="CL28" t="e">
        <f>AND('BBP complete'!F301,"AAAAAD/n61k=")</f>
        <v>#VALUE!</v>
      </c>
      <c r="CM28" t="e">
        <f>AND('BBP complete'!G301,"AAAAAD/n61o=")</f>
        <v>#VALUE!</v>
      </c>
      <c r="CN28" t="e">
        <f>AND('BBP complete'!H301,"AAAAAD/n61s=")</f>
        <v>#VALUE!</v>
      </c>
      <c r="CO28" t="e">
        <f>AND('BBP complete'!I301,"AAAAAD/n61w=")</f>
        <v>#VALUE!</v>
      </c>
      <c r="CP28" s="60" t="e">
        <v>#VALUE!</v>
      </c>
      <c r="CQ28" t="e">
        <f>AND('BBP complete'!A302,"AAAAAD/n614=")</f>
        <v>#VALUE!</v>
      </c>
      <c r="CR28" t="e">
        <f>AND('BBP complete'!B302,"AAAAAD/n618=")</f>
        <v>#VALUE!</v>
      </c>
      <c r="CS28" t="e">
        <f>AND('BBP complete'!C302,"AAAAAD/n62A=")</f>
        <v>#VALUE!</v>
      </c>
      <c r="CT28" t="e">
        <f>AND('BBP complete'!D302,"AAAAAD/n62E=")</f>
        <v>#VALUE!</v>
      </c>
      <c r="CU28" t="e">
        <f>AND('BBP complete'!E302,"AAAAAD/n62I=")</f>
        <v>#VALUE!</v>
      </c>
      <c r="CV28" t="e">
        <f>AND('BBP complete'!F302,"AAAAAD/n62M=")</f>
        <v>#VALUE!</v>
      </c>
      <c r="CW28" t="e">
        <f>AND('BBP complete'!G302,"AAAAAD/n62Q=")</f>
        <v>#VALUE!</v>
      </c>
      <c r="CX28" t="e">
        <f>AND('BBP complete'!H302,"AAAAAD/n62U=")</f>
        <v>#VALUE!</v>
      </c>
      <c r="CY28" t="e">
        <f>AND('BBP complete'!I302,"AAAAAD/n62Y=")</f>
        <v>#VALUE!</v>
      </c>
      <c r="CZ28" s="60" t="e">
        <v>#VALUE!</v>
      </c>
      <c r="DA28" t="e">
        <f>AND('BBP complete'!A303,"AAAAAD/n62g=")</f>
        <v>#VALUE!</v>
      </c>
      <c r="DB28" t="e">
        <f>AND('BBP complete'!B303,"AAAAAD/n62k=")</f>
        <v>#VALUE!</v>
      </c>
      <c r="DC28" t="e">
        <f>AND('BBP complete'!C303,"AAAAAD/n62o=")</f>
        <v>#VALUE!</v>
      </c>
      <c r="DD28" t="e">
        <f>AND('BBP complete'!D303,"AAAAAD/n62s=")</f>
        <v>#VALUE!</v>
      </c>
      <c r="DE28" t="e">
        <f>AND('BBP complete'!E303,"AAAAAD/n62w=")</f>
        <v>#VALUE!</v>
      </c>
      <c r="DF28" t="e">
        <f>AND('BBP complete'!F303,"AAAAAD/n620=")</f>
        <v>#VALUE!</v>
      </c>
      <c r="DG28" t="e">
        <f>AND('BBP complete'!G303,"AAAAAD/n624=")</f>
        <v>#VALUE!</v>
      </c>
      <c r="DH28" t="e">
        <f>AND('BBP complete'!H303,"AAAAAD/n628=")</f>
        <v>#VALUE!</v>
      </c>
      <c r="DI28" t="e">
        <f>AND('BBP complete'!I303,"AAAAAD/n63A=")</f>
        <v>#VALUE!</v>
      </c>
      <c r="DJ28" s="60" t="e">
        <v>#VALUE!</v>
      </c>
      <c r="DK28" t="e">
        <f>AND('BBP complete'!A304,"AAAAAD/n63I=")</f>
        <v>#VALUE!</v>
      </c>
      <c r="DL28" t="e">
        <f>AND('BBP complete'!B304,"AAAAAD/n63M=")</f>
        <v>#VALUE!</v>
      </c>
      <c r="DM28" t="e">
        <f>AND('BBP complete'!C304,"AAAAAD/n63Q=")</f>
        <v>#VALUE!</v>
      </c>
      <c r="DN28" t="e">
        <f>AND('BBP complete'!D304,"AAAAAD/n63U=")</f>
        <v>#VALUE!</v>
      </c>
      <c r="DO28" t="e">
        <f>AND('BBP complete'!E304,"AAAAAD/n63Y=")</f>
        <v>#VALUE!</v>
      </c>
      <c r="DP28" t="e">
        <f>AND('BBP complete'!F304,"AAAAAD/n63c=")</f>
        <v>#VALUE!</v>
      </c>
      <c r="DQ28" t="e">
        <f>AND('BBP complete'!G304,"AAAAAD/n63g=")</f>
        <v>#VALUE!</v>
      </c>
      <c r="DR28" t="e">
        <f>AND('BBP complete'!H304,"AAAAAD/n63k=")</f>
        <v>#VALUE!</v>
      </c>
      <c r="DS28" t="e">
        <f>AND('BBP complete'!I304,"AAAAAD/n63o=")</f>
        <v>#VALUE!</v>
      </c>
      <c r="DT28" s="60" t="e">
        <v>#VALUE!</v>
      </c>
      <c r="DU28" t="e">
        <f>AND('BBP complete'!A305,"AAAAAD/n63w=")</f>
        <v>#VALUE!</v>
      </c>
      <c r="DV28" t="e">
        <f>AND('BBP complete'!B305,"AAAAAD/n630=")</f>
        <v>#VALUE!</v>
      </c>
      <c r="DW28" t="e">
        <f>AND('BBP complete'!C305,"AAAAAD/n634=")</f>
        <v>#VALUE!</v>
      </c>
      <c r="DX28" t="e">
        <f>AND('BBP complete'!D305,"AAAAAD/n638=")</f>
        <v>#VALUE!</v>
      </c>
      <c r="DY28" t="e">
        <f>AND('BBP complete'!E305,"AAAAAD/n64A=")</f>
        <v>#VALUE!</v>
      </c>
      <c r="DZ28" t="e">
        <f>AND('BBP complete'!F305,"AAAAAD/n64E=")</f>
        <v>#VALUE!</v>
      </c>
      <c r="EA28" t="e">
        <f>AND('BBP complete'!G305,"AAAAAD/n64I=")</f>
        <v>#VALUE!</v>
      </c>
      <c r="EB28" t="e">
        <f>AND('BBP complete'!H305,"AAAAAD/n64M=")</f>
        <v>#VALUE!</v>
      </c>
      <c r="EC28" t="e">
        <f>AND('BBP complete'!I305,"AAAAAD/n64Q=")</f>
        <v>#VALUE!</v>
      </c>
      <c r="ED28" s="60" t="e">
        <v>#VALUE!</v>
      </c>
      <c r="EE28" t="e">
        <f>AND('BBP complete'!A306,"AAAAAD/n64Y=")</f>
        <v>#VALUE!</v>
      </c>
      <c r="EF28" t="e">
        <f>AND('BBP complete'!B306,"AAAAAD/n64c=")</f>
        <v>#VALUE!</v>
      </c>
      <c r="EG28" t="e">
        <f>AND('BBP complete'!C306,"AAAAAD/n64g=")</f>
        <v>#VALUE!</v>
      </c>
      <c r="EH28" t="e">
        <f>AND('BBP complete'!D306,"AAAAAD/n64k=")</f>
        <v>#VALUE!</v>
      </c>
      <c r="EI28" t="e">
        <f>AND('BBP complete'!E306,"AAAAAD/n64o=")</f>
        <v>#VALUE!</v>
      </c>
      <c r="EJ28" t="e">
        <f>AND('BBP complete'!F306,"AAAAAD/n64s=")</f>
        <v>#VALUE!</v>
      </c>
      <c r="EK28" t="e">
        <f>AND('BBP complete'!G306,"AAAAAD/n64w=")</f>
        <v>#VALUE!</v>
      </c>
      <c r="EL28" t="e">
        <f>AND('BBP complete'!H306,"AAAAAD/n640=")</f>
        <v>#VALUE!</v>
      </c>
      <c r="EM28" t="e">
        <f>AND('BBP complete'!I306,"AAAAAD/n644=")</f>
        <v>#VALUE!</v>
      </c>
      <c r="EN28" s="60" t="e">
        <v>#VALUE!</v>
      </c>
      <c r="EO28" t="e">
        <f>AND('BBP complete'!A307,"AAAAAD/n65A=")</f>
        <v>#VALUE!</v>
      </c>
      <c r="EP28" t="e">
        <f>AND('BBP complete'!B307,"AAAAAD/n65E=")</f>
        <v>#VALUE!</v>
      </c>
      <c r="EQ28" t="e">
        <f>AND('BBP complete'!C307,"AAAAAD/n65I=")</f>
        <v>#VALUE!</v>
      </c>
      <c r="ER28" t="e">
        <f>AND('BBP complete'!D307,"AAAAAD/n65M=")</f>
        <v>#VALUE!</v>
      </c>
      <c r="ES28" t="e">
        <f>AND('BBP complete'!E307,"AAAAAD/n65Q=")</f>
        <v>#VALUE!</v>
      </c>
      <c r="ET28" t="e">
        <f>AND('BBP complete'!F307,"AAAAAD/n65U=")</f>
        <v>#VALUE!</v>
      </c>
      <c r="EU28" t="e">
        <f>AND('BBP complete'!G307,"AAAAAD/n65Y=")</f>
        <v>#VALUE!</v>
      </c>
      <c r="EV28" t="e">
        <f>AND('BBP complete'!H307,"AAAAAD/n65c=")</f>
        <v>#VALUE!</v>
      </c>
      <c r="EW28" t="e">
        <f>AND('BBP complete'!I307,"AAAAAD/n65g=")</f>
        <v>#VALUE!</v>
      </c>
      <c r="EX28" s="60" t="e">
        <v>#VALUE!</v>
      </c>
      <c r="EY28" t="e">
        <f>AND('BBP complete'!A308,"AAAAAD/n65o=")</f>
        <v>#VALUE!</v>
      </c>
      <c r="EZ28" t="e">
        <f>AND('BBP complete'!B308,"AAAAAD/n65s=")</f>
        <v>#VALUE!</v>
      </c>
      <c r="FA28" t="e">
        <f>AND('BBP complete'!C308,"AAAAAD/n65w=")</f>
        <v>#VALUE!</v>
      </c>
      <c r="FB28" t="e">
        <f>AND('BBP complete'!D308,"AAAAAD/n650=")</f>
        <v>#VALUE!</v>
      </c>
      <c r="FC28" t="e">
        <f>AND('BBP complete'!E308,"AAAAAD/n654=")</f>
        <v>#VALUE!</v>
      </c>
      <c r="FD28" t="e">
        <f>AND('BBP complete'!F308,"AAAAAD/n658=")</f>
        <v>#VALUE!</v>
      </c>
      <c r="FE28" t="e">
        <f>AND('BBP complete'!G308,"AAAAAD/n66A=")</f>
        <v>#VALUE!</v>
      </c>
      <c r="FF28" t="e">
        <f>AND('BBP complete'!H308,"AAAAAD/n66E=")</f>
        <v>#VALUE!</v>
      </c>
      <c r="FG28" t="e">
        <f>AND('BBP complete'!I308,"AAAAAD/n66I=")</f>
        <v>#VALUE!</v>
      </c>
      <c r="FH28" s="60" t="e">
        <v>#VALUE!</v>
      </c>
      <c r="FI28" t="e">
        <f>AND('BBP complete'!A309,"AAAAAD/n66Q=")</f>
        <v>#VALUE!</v>
      </c>
      <c r="FJ28" t="e">
        <f>AND('BBP complete'!B309,"AAAAAD/n66U=")</f>
        <v>#VALUE!</v>
      </c>
      <c r="FK28" t="e">
        <f>AND('BBP complete'!C309,"AAAAAD/n66Y=")</f>
        <v>#VALUE!</v>
      </c>
      <c r="FL28" t="e">
        <f>AND('BBP complete'!D309,"AAAAAD/n66c=")</f>
        <v>#VALUE!</v>
      </c>
      <c r="FM28" t="e">
        <f>AND('BBP complete'!E309,"AAAAAD/n66g=")</f>
        <v>#VALUE!</v>
      </c>
      <c r="FN28" t="e">
        <f>AND('BBP complete'!F309,"AAAAAD/n66k=")</f>
        <v>#VALUE!</v>
      </c>
      <c r="FO28" t="e">
        <f>AND('BBP complete'!G309,"AAAAAD/n66o=")</f>
        <v>#VALUE!</v>
      </c>
      <c r="FP28" t="e">
        <f>AND('BBP complete'!H309,"AAAAAD/n66s=")</f>
        <v>#VALUE!</v>
      </c>
      <c r="FQ28" t="e">
        <f>AND('BBP complete'!I309,"AAAAAD/n66w=")</f>
        <v>#VALUE!</v>
      </c>
      <c r="FR28" s="60" t="e">
        <v>#VALUE!</v>
      </c>
      <c r="FS28" t="e">
        <f>AND('BBP complete'!A310,"AAAAAD/n664=")</f>
        <v>#VALUE!</v>
      </c>
      <c r="FT28" t="e">
        <f>AND('BBP complete'!B310,"AAAAAD/n668=")</f>
        <v>#VALUE!</v>
      </c>
      <c r="FU28" t="e">
        <f>AND('BBP complete'!C310,"AAAAAD/n67A=")</f>
        <v>#VALUE!</v>
      </c>
      <c r="FV28" t="e">
        <f>AND('BBP complete'!D310,"AAAAAD/n67E=")</f>
        <v>#VALUE!</v>
      </c>
      <c r="FW28" t="e">
        <f>AND('BBP complete'!E310,"AAAAAD/n67I=")</f>
        <v>#VALUE!</v>
      </c>
      <c r="FX28" t="e">
        <f>AND('BBP complete'!F310,"AAAAAD/n67M=")</f>
        <v>#VALUE!</v>
      </c>
      <c r="FY28" t="e">
        <f>AND('BBP complete'!G310,"AAAAAD/n67Q=")</f>
        <v>#VALUE!</v>
      </c>
      <c r="FZ28" t="e">
        <f>AND('BBP complete'!H310,"AAAAAD/n67U=")</f>
        <v>#VALUE!</v>
      </c>
      <c r="GA28" t="e">
        <f>AND('BBP complete'!I310,"AAAAAD/n67Y=")</f>
        <v>#VALUE!</v>
      </c>
      <c r="GB28" s="60" t="e">
        <v>#VALUE!</v>
      </c>
      <c r="GC28" t="e">
        <f>AND('BBP complete'!A311,"AAAAAD/n67g=")</f>
        <v>#VALUE!</v>
      </c>
      <c r="GD28" t="e">
        <f>AND('BBP complete'!B311,"AAAAAD/n67k=")</f>
        <v>#VALUE!</v>
      </c>
      <c r="GE28" t="e">
        <f>AND('BBP complete'!C311,"AAAAAD/n67o=")</f>
        <v>#VALUE!</v>
      </c>
      <c r="GF28" t="e">
        <f>AND('BBP complete'!D311,"AAAAAD/n67s=")</f>
        <v>#VALUE!</v>
      </c>
      <c r="GG28" t="e">
        <f>AND('BBP complete'!E311,"AAAAAD/n67w=")</f>
        <v>#VALUE!</v>
      </c>
      <c r="GH28" t="e">
        <f>AND('BBP complete'!F311,"AAAAAD/n670=")</f>
        <v>#VALUE!</v>
      </c>
      <c r="GI28" t="e">
        <f>AND('BBP complete'!G311,"AAAAAD/n674=")</f>
        <v>#VALUE!</v>
      </c>
      <c r="GJ28" t="e">
        <f>AND('BBP complete'!H311,"AAAAAD/n678=")</f>
        <v>#VALUE!</v>
      </c>
      <c r="GK28" t="e">
        <f>AND('BBP complete'!I311,"AAAAAD/n68A=")</f>
        <v>#VALUE!</v>
      </c>
      <c r="GL28" s="60" t="e">
        <v>#VALUE!</v>
      </c>
      <c r="GM28" t="e">
        <f>AND('BBP complete'!A312,"AAAAAD/n68I=")</f>
        <v>#VALUE!</v>
      </c>
      <c r="GN28" t="e">
        <f>AND('BBP complete'!B312,"AAAAAD/n68M=")</f>
        <v>#VALUE!</v>
      </c>
      <c r="GO28" t="e">
        <f>AND('BBP complete'!C312,"AAAAAD/n68Q=")</f>
        <v>#VALUE!</v>
      </c>
      <c r="GP28" t="e">
        <f>AND('BBP complete'!D312,"AAAAAD/n68U=")</f>
        <v>#VALUE!</v>
      </c>
      <c r="GQ28" t="e">
        <f>AND('BBP complete'!E312,"AAAAAD/n68Y=")</f>
        <v>#VALUE!</v>
      </c>
      <c r="GR28" t="e">
        <f>AND('BBP complete'!F312,"AAAAAD/n68c=")</f>
        <v>#VALUE!</v>
      </c>
      <c r="GS28" t="e">
        <f>AND('BBP complete'!G312,"AAAAAD/n68g=")</f>
        <v>#VALUE!</v>
      </c>
      <c r="GT28" t="e">
        <f>AND('BBP complete'!H312,"AAAAAD/n68k=")</f>
        <v>#VALUE!</v>
      </c>
      <c r="GU28" t="e">
        <f>AND('BBP complete'!I312,"AAAAAD/n68o=")</f>
        <v>#VALUE!</v>
      </c>
      <c r="GV28" s="60" t="e">
        <v>#VALUE!</v>
      </c>
      <c r="GW28" t="e">
        <f>AND('BBP complete'!A313,"AAAAAD/n68w=")</f>
        <v>#VALUE!</v>
      </c>
      <c r="GX28" t="e">
        <f>AND('BBP complete'!B313,"AAAAAD/n680=")</f>
        <v>#VALUE!</v>
      </c>
      <c r="GY28" t="e">
        <f>AND('BBP complete'!C313,"AAAAAD/n684=")</f>
        <v>#VALUE!</v>
      </c>
      <c r="GZ28" t="e">
        <f>AND('BBP complete'!D313,"AAAAAD/n688=")</f>
        <v>#VALUE!</v>
      </c>
      <c r="HA28" t="e">
        <f>AND('BBP complete'!E313,"AAAAAD/n69A=")</f>
        <v>#VALUE!</v>
      </c>
      <c r="HB28" t="e">
        <f>AND('BBP complete'!F313,"AAAAAD/n69E=")</f>
        <v>#VALUE!</v>
      </c>
      <c r="HC28" t="e">
        <f>AND('BBP complete'!G313,"AAAAAD/n69I=")</f>
        <v>#VALUE!</v>
      </c>
      <c r="HD28" t="e">
        <f>AND('BBP complete'!H313,"AAAAAD/n69M=")</f>
        <v>#VALUE!</v>
      </c>
      <c r="HE28" t="e">
        <f>AND('BBP complete'!I313,"AAAAAD/n69Q=")</f>
        <v>#VALUE!</v>
      </c>
      <c r="HF28" s="60" t="e">
        <v>#VALUE!</v>
      </c>
      <c r="HG28" t="e">
        <f>AND('BBP complete'!A314,"AAAAAD/n69Y=")</f>
        <v>#VALUE!</v>
      </c>
      <c r="HH28" t="e">
        <f>AND('BBP complete'!B314,"AAAAAD/n69c=")</f>
        <v>#VALUE!</v>
      </c>
      <c r="HI28" t="e">
        <f>AND('BBP complete'!C314,"AAAAAD/n69g=")</f>
        <v>#VALUE!</v>
      </c>
      <c r="HJ28" t="e">
        <f>AND('BBP complete'!D314,"AAAAAD/n69k=")</f>
        <v>#VALUE!</v>
      </c>
      <c r="HK28" t="e">
        <f>AND('BBP complete'!E314,"AAAAAD/n69o=")</f>
        <v>#VALUE!</v>
      </c>
      <c r="HL28" t="e">
        <f>AND('BBP complete'!F314,"AAAAAD/n69s=")</f>
        <v>#VALUE!</v>
      </c>
      <c r="HM28" t="e">
        <f>AND('BBP complete'!G314,"AAAAAD/n69w=")</f>
        <v>#VALUE!</v>
      </c>
      <c r="HN28" t="e">
        <f>AND('BBP complete'!H314,"AAAAAD/n690=")</f>
        <v>#VALUE!</v>
      </c>
      <c r="HO28" t="e">
        <f>AND('BBP complete'!I314,"AAAAAD/n694=")</f>
        <v>#VALUE!</v>
      </c>
      <c r="HP28" s="60" t="e">
        <v>#VALUE!</v>
      </c>
      <c r="HQ28" t="e">
        <f>AND('BBP complete'!A315,"AAAAAD/n6+A=")</f>
        <v>#VALUE!</v>
      </c>
      <c r="HR28" t="e">
        <f>AND('BBP complete'!B315,"AAAAAD/n6+E=")</f>
        <v>#VALUE!</v>
      </c>
      <c r="HS28" t="e">
        <f>AND('BBP complete'!C315,"AAAAAD/n6+I=")</f>
        <v>#VALUE!</v>
      </c>
      <c r="HT28" t="e">
        <f>AND('BBP complete'!D315,"AAAAAD/n6+M=")</f>
        <v>#VALUE!</v>
      </c>
      <c r="HU28" t="e">
        <f>AND('BBP complete'!E315,"AAAAAD/n6+Q=")</f>
        <v>#VALUE!</v>
      </c>
      <c r="HV28" t="e">
        <f>AND('BBP complete'!F315,"AAAAAD/n6+U=")</f>
        <v>#VALUE!</v>
      </c>
      <c r="HW28" t="e">
        <f>AND('BBP complete'!G315,"AAAAAD/n6+Y=")</f>
        <v>#VALUE!</v>
      </c>
      <c r="HX28" t="e">
        <f>AND('BBP complete'!H315,"AAAAAD/n6+c=")</f>
        <v>#VALUE!</v>
      </c>
      <c r="HY28" t="e">
        <f>AND('BBP complete'!I315,"AAAAAD/n6+g=")</f>
        <v>#VALUE!</v>
      </c>
      <c r="HZ28" s="60" t="e">
        <v>#VALUE!</v>
      </c>
      <c r="IA28" t="e">
        <f>AND('BBP complete'!A316,"AAAAAD/n6+o=")</f>
        <v>#VALUE!</v>
      </c>
      <c r="IB28" t="e">
        <f>AND('BBP complete'!B316,"AAAAAD/n6+s=")</f>
        <v>#VALUE!</v>
      </c>
      <c r="IC28" t="e">
        <f>AND('BBP complete'!C316,"AAAAAD/n6+w=")</f>
        <v>#VALUE!</v>
      </c>
      <c r="ID28" t="e">
        <f>AND('BBP complete'!D316,"AAAAAD/n6+0=")</f>
        <v>#VALUE!</v>
      </c>
      <c r="IE28" t="e">
        <f>AND('BBP complete'!E316,"AAAAAD/n6+4=")</f>
        <v>#VALUE!</v>
      </c>
      <c r="IF28" t="e">
        <f>AND('BBP complete'!F316,"AAAAAD/n6+8=")</f>
        <v>#VALUE!</v>
      </c>
      <c r="IG28" t="e">
        <f>AND('BBP complete'!G316,"AAAAAD/n6/A=")</f>
        <v>#VALUE!</v>
      </c>
      <c r="IH28" t="e">
        <f>AND('BBP complete'!H316,"AAAAAD/n6/E=")</f>
        <v>#VALUE!</v>
      </c>
      <c r="II28" t="e">
        <f>AND('BBP complete'!I316,"AAAAAD/n6/I=")</f>
        <v>#VALUE!</v>
      </c>
      <c r="IJ28" s="60" t="e">
        <f>IF('BBP complete'!#REF!,"AAAAAD/n6/M=",0)</f>
        <v>#REF!</v>
      </c>
      <c r="IK28" t="e">
        <f>AND('BBP complete'!A317,"AAAAAD/n6/Q=")</f>
        <v>#VALUE!</v>
      </c>
      <c r="IL28" t="e">
        <f>AND('BBP complete'!B317,"AAAAAD/n6/U=")</f>
        <v>#VALUE!</v>
      </c>
      <c r="IM28" t="e">
        <f>AND('BBP complete'!C317,"AAAAAD/n6/Y=")</f>
        <v>#VALUE!</v>
      </c>
      <c r="IN28" t="e">
        <f>AND('BBP complete'!D317,"AAAAAD/n6/c=")</f>
        <v>#VALUE!</v>
      </c>
      <c r="IO28" t="e">
        <f>AND('BBP complete'!E317,"AAAAAD/n6/g=")</f>
        <v>#VALUE!</v>
      </c>
      <c r="IP28" t="e">
        <f>AND('BBP complete'!F317,"AAAAAD/n6/k=")</f>
        <v>#VALUE!</v>
      </c>
      <c r="IQ28" t="e">
        <f>AND('BBP complete'!G317,"AAAAAD/n6/o=")</f>
        <v>#VALUE!</v>
      </c>
      <c r="IR28" t="e">
        <f>AND('BBP complete'!H317,"AAAAAD/n6/s=")</f>
        <v>#VALUE!</v>
      </c>
      <c r="IS28" t="e">
        <f>AND('BBP complete'!I317,"AAAAAD/n6/w=")</f>
        <v>#VALUE!</v>
      </c>
      <c r="IT28" s="60">
        <f>IF('BBP complete'!J:J,"AAAAAD/n6/0=",0)</f>
        <v>0</v>
      </c>
    </row>
    <row r="29" spans="1:256" ht="15" customHeight="1" x14ac:dyDescent="0.25">
      <c r="A29" t="e">
        <f>AND('BBP complete'!#REF!,"AAAAAH7d/wA=")</f>
        <v>#REF!</v>
      </c>
      <c r="B29" t="e">
        <f>AND('BBP complete'!#REF!,"AAAAAH7d/wE=")</f>
        <v>#REF!</v>
      </c>
      <c r="C29" t="e">
        <f>AND('BBP complete'!#REF!,"AAAAAH7d/wI=")</f>
        <v>#REF!</v>
      </c>
      <c r="D29" t="e">
        <f>AND('BBP complete'!K1,"AAAAAH7d/wM=")</f>
        <v>#VALUE!</v>
      </c>
      <c r="E29" t="e">
        <f>AND('BBP complete'!L1,"AAAAAH7d/wQ=")</f>
        <v>#VALUE!</v>
      </c>
      <c r="F29" t="e">
        <f>AND('BBP complete'!M1,"AAAAAH7d/wU=")</f>
        <v>#VALUE!</v>
      </c>
      <c r="G29" t="e">
        <f>AND('BBP complete'!N1,"AAAAAH7d/wY=")</f>
        <v>#VALUE!</v>
      </c>
      <c r="H29" t="e">
        <f>AND('BBP complete'!P1,"AAAAAH7d/wc=")</f>
        <v>#VALUE!</v>
      </c>
      <c r="I29" t="e">
        <f>AND('BBP complete'!#REF!,"AAAAAH7d/wg=")</f>
        <v>#REF!</v>
      </c>
      <c r="J29" t="e">
        <f>AND('BBP complete'!#REF!,"AAAAAH7d/wk=")</f>
        <v>#REF!</v>
      </c>
      <c r="K29" t="e">
        <f>AND('BBP complete'!#REF!,"AAAAAH7d/wo=")</f>
        <v>#REF!</v>
      </c>
      <c r="L29" t="e">
        <f>AND('BBP complete'!K319,"AAAAAH7d/ws=")</f>
        <v>#VALUE!</v>
      </c>
      <c r="M29" t="e">
        <f>AND('BBP complete'!L319,"AAAAAH7d/ww=")</f>
        <v>#VALUE!</v>
      </c>
      <c r="N29" t="e">
        <f>AND('BBP complete'!#REF!,"AAAAAH7d/w0=")</f>
        <v>#REF!</v>
      </c>
      <c r="O29" t="e">
        <f>AND('BBP complete'!N2,"AAAAAH7d/w4=")</f>
        <v>#VALUE!</v>
      </c>
      <c r="P29" t="e">
        <f>AND('BBP complete'!P2,"AAAAAH7d/w8=")</f>
        <v>#VALUE!</v>
      </c>
      <c r="Q29" t="e">
        <f>AND('BBP complete'!#REF!,"AAAAAH7d/xA=")</f>
        <v>#REF!</v>
      </c>
      <c r="R29" t="e">
        <f>AND('BBP complete'!#REF!,"AAAAAH7d/xE=")</f>
        <v>#REF!</v>
      </c>
      <c r="S29" t="e">
        <f>AND('BBP complete'!#REF!,"AAAAAH7d/xI=")</f>
        <v>#REF!</v>
      </c>
      <c r="T29" t="e">
        <f>AND('BBP complete'!K320,"AAAAAH7d/xM=")</f>
        <v>#VALUE!</v>
      </c>
      <c r="U29" t="e">
        <f>AND('BBP complete'!L320,"AAAAAH7d/xQ=")</f>
        <v>#VALUE!</v>
      </c>
      <c r="V29" t="e">
        <f>AND('BBP complete'!M3,"AAAAAH7d/xU=")</f>
        <v>#VALUE!</v>
      </c>
      <c r="W29" t="e">
        <f>AND('BBP complete'!N3,"AAAAAH7d/xY=")</f>
        <v>#VALUE!</v>
      </c>
      <c r="X29" t="e">
        <f>AND('BBP complete'!P3,"AAAAAH7d/xc=")</f>
        <v>#VALUE!</v>
      </c>
      <c r="Y29" t="e">
        <f>AND('BBP complete'!#REF!,"AAAAAH7d/xg=")</f>
        <v>#REF!</v>
      </c>
      <c r="Z29" t="e">
        <f>AND('BBP complete'!#REF!,"AAAAAH7d/xk=")</f>
        <v>#REF!</v>
      </c>
      <c r="AA29" t="e">
        <f>AND('BBP complete'!#REF!,"AAAAAH7d/xo=")</f>
        <v>#REF!</v>
      </c>
      <c r="AB29" t="e">
        <f>AND('BBP complete'!K321,"AAAAAH7d/xs=")</f>
        <v>#VALUE!</v>
      </c>
      <c r="AC29" t="e">
        <f>AND('BBP complete'!L321,"AAAAAH7d/xw=")</f>
        <v>#VALUE!</v>
      </c>
      <c r="AD29" t="e">
        <f>AND('BBP complete'!M4,"AAAAAH7d/x0=")</f>
        <v>#VALUE!</v>
      </c>
      <c r="AE29" t="e">
        <f>AND('BBP complete'!N4,"AAAAAH7d/x4=")</f>
        <v>#VALUE!</v>
      </c>
      <c r="AF29" t="e">
        <f>AND('BBP complete'!P6,"AAAAAH7d/x8=")</f>
        <v>#VALUE!</v>
      </c>
      <c r="AG29" t="e">
        <f>AND('BBP complete'!#REF!,"AAAAAH7d/yA=")</f>
        <v>#REF!</v>
      </c>
      <c r="AH29" t="e">
        <f>AND('BBP complete'!#REF!,"AAAAAH7d/yE=")</f>
        <v>#REF!</v>
      </c>
      <c r="AI29" t="e">
        <f>AND('BBP complete'!#REF!,"AAAAAH7d/yI=")</f>
        <v>#REF!</v>
      </c>
      <c r="AJ29" t="e">
        <f>AND('BBP complete'!K322,"AAAAAH7d/yM=")</f>
        <v>#VALUE!</v>
      </c>
      <c r="AK29" t="e">
        <f>AND('BBP complete'!L322,"AAAAAH7d/yQ=")</f>
        <v>#VALUE!</v>
      </c>
      <c r="AL29" t="e">
        <f>AND('BBP complete'!M5,"AAAAAH7d/yU=")</f>
        <v>#VALUE!</v>
      </c>
      <c r="AM29" t="e">
        <f>AND('BBP complete'!N5,"AAAAAH7d/yY=")</f>
        <v>#VALUE!</v>
      </c>
      <c r="AN29" t="e">
        <f>AND('BBP complete'!P7,"AAAAAH7d/yc=")</f>
        <v>#VALUE!</v>
      </c>
      <c r="AO29" t="e">
        <f>AND('BBP complete'!#REF!,"AAAAAH7d/yg=")</f>
        <v>#REF!</v>
      </c>
      <c r="AP29" t="e">
        <f>AND('BBP complete'!#REF!,"AAAAAH7d/yk=")</f>
        <v>#REF!</v>
      </c>
      <c r="AQ29" t="e">
        <f>AND('BBP complete'!#REF!,"AAAAAH7d/yo=")</f>
        <v>#REF!</v>
      </c>
      <c r="AR29" t="e">
        <f>AND('BBP complete'!K323,"AAAAAH7d/ys=")</f>
        <v>#VALUE!</v>
      </c>
      <c r="AS29" t="e">
        <f>AND('BBP complete'!L323,"AAAAAH7d/yw=")</f>
        <v>#VALUE!</v>
      </c>
      <c r="AT29" t="e">
        <f>AND('BBP complete'!M6,"AAAAAH7d/y0=")</f>
        <v>#VALUE!</v>
      </c>
      <c r="AU29" t="e">
        <f>AND('BBP complete'!N6,"AAAAAH7d/y4=")</f>
        <v>#VALUE!</v>
      </c>
      <c r="AV29" t="e">
        <f>AND('BBP complete'!P8,"AAAAAH7d/y8=")</f>
        <v>#VALUE!</v>
      </c>
      <c r="AW29" t="e">
        <f>AND('BBP complete'!#REF!,"AAAAAH7d/zA=")</f>
        <v>#REF!</v>
      </c>
      <c r="AX29" t="e">
        <f>AND('BBP complete'!#REF!,"AAAAAH7d/zE=")</f>
        <v>#REF!</v>
      </c>
      <c r="AY29" t="e">
        <f>AND('BBP complete'!#REF!,"AAAAAH7d/zI=")</f>
        <v>#REF!</v>
      </c>
      <c r="AZ29" t="e">
        <f>AND('BBP complete'!K324,"AAAAAH7d/zM=")</f>
        <v>#VALUE!</v>
      </c>
      <c r="BA29" t="e">
        <f>AND('BBP complete'!L324,"AAAAAH7d/zQ=")</f>
        <v>#VALUE!</v>
      </c>
      <c r="BB29" t="e">
        <f>AND('BBP complete'!M7,"AAAAAH7d/zU=")</f>
        <v>#VALUE!</v>
      </c>
      <c r="BC29" t="e">
        <f>AND('BBP complete'!N7,"AAAAAH7d/zY=")</f>
        <v>#VALUE!</v>
      </c>
      <c r="BD29" t="e">
        <f>AND('BBP complete'!P9,"AAAAAH7d/zc=")</f>
        <v>#VALUE!</v>
      </c>
      <c r="BE29" t="e">
        <f>AND('BBP complete'!#REF!,"AAAAAH7d/zg=")</f>
        <v>#REF!</v>
      </c>
      <c r="BF29" t="e">
        <f>AND('BBP complete'!#REF!,"AAAAAH7d/zk=")</f>
        <v>#REF!</v>
      </c>
      <c r="BG29" t="e">
        <f>AND('BBP complete'!#REF!,"AAAAAH7d/zo=")</f>
        <v>#REF!</v>
      </c>
      <c r="BH29" t="e">
        <f>AND('BBP complete'!K325,"AAAAAH7d/zs=")</f>
        <v>#VALUE!</v>
      </c>
      <c r="BI29" t="e">
        <f>AND('BBP complete'!L325,"AAAAAH7d/zw=")</f>
        <v>#VALUE!</v>
      </c>
      <c r="BJ29" t="e">
        <f>AND('BBP complete'!M8,"AAAAAH7d/z0=")</f>
        <v>#VALUE!</v>
      </c>
      <c r="BK29" t="e">
        <f>AND('BBP complete'!N8,"AAAAAH7d/z4=")</f>
        <v>#VALUE!</v>
      </c>
      <c r="BL29" t="e">
        <f>AND('BBP complete'!P10,"AAAAAH7d/z8=")</f>
        <v>#VALUE!</v>
      </c>
      <c r="BM29" t="e">
        <f>AND('BBP complete'!#REF!,"AAAAAH7d/0A=")</f>
        <v>#REF!</v>
      </c>
      <c r="BN29" t="e">
        <f>AND('BBP complete'!#REF!,"AAAAAH7d/0E=")</f>
        <v>#REF!</v>
      </c>
      <c r="BO29" t="e">
        <f>AND('BBP complete'!#REF!,"AAAAAH7d/0I=")</f>
        <v>#REF!</v>
      </c>
      <c r="BP29" t="e">
        <f>AND('BBP complete'!K326,"AAAAAH7d/0M=")</f>
        <v>#VALUE!</v>
      </c>
      <c r="BQ29" t="e">
        <f>AND('BBP complete'!L326,"AAAAAH7d/0Q=")</f>
        <v>#VALUE!</v>
      </c>
      <c r="BR29" t="e">
        <f>AND('BBP complete'!M9,"AAAAAH7d/0U=")</f>
        <v>#VALUE!</v>
      </c>
      <c r="BS29" t="e">
        <f>AND('BBP complete'!N9,"AAAAAH7d/0Y=")</f>
        <v>#VALUE!</v>
      </c>
      <c r="BT29" t="e">
        <f>AND('BBP complete'!P13,"AAAAAH7d/0c=")</f>
        <v>#VALUE!</v>
      </c>
      <c r="BU29" t="e">
        <f>AND('BBP complete'!#REF!,"AAAAAH7d/0g=")</f>
        <v>#REF!</v>
      </c>
      <c r="BV29" t="e">
        <f>AND('BBP complete'!#REF!,"AAAAAH7d/0k=")</f>
        <v>#REF!</v>
      </c>
      <c r="BW29" t="e">
        <f>AND('BBP complete'!#REF!,"AAAAAH7d/0o=")</f>
        <v>#REF!</v>
      </c>
      <c r="BX29" t="e">
        <f>AND('BBP complete'!K327,"AAAAAH7d/0s=")</f>
        <v>#VALUE!</v>
      </c>
      <c r="BY29" t="e">
        <f>AND('BBP complete'!L327,"AAAAAH7d/0w=")</f>
        <v>#VALUE!</v>
      </c>
      <c r="BZ29" t="e">
        <f>AND('BBP complete'!M10,"AAAAAH7d/00=")</f>
        <v>#VALUE!</v>
      </c>
      <c r="CA29" t="e">
        <f>AND('BBP complete'!N10,"AAAAAH7d/04=")</f>
        <v>#VALUE!</v>
      </c>
      <c r="CB29" t="e">
        <f>AND('BBP complete'!P14,"AAAAAH7d/08=")</f>
        <v>#VALUE!</v>
      </c>
      <c r="CC29" t="e">
        <f>AND('BBP complete'!#REF!,"AAAAAH7d/1A=")</f>
        <v>#REF!</v>
      </c>
      <c r="CD29" t="e">
        <f>AND('BBP complete'!#REF!,"AAAAAH7d/1E=")</f>
        <v>#REF!</v>
      </c>
      <c r="CE29" t="e">
        <f>AND('BBP complete'!#REF!,"AAAAAH7d/1I=")</f>
        <v>#REF!</v>
      </c>
      <c r="CF29" t="e">
        <f>AND('BBP complete'!K328,"AAAAAH7d/1M=")</f>
        <v>#VALUE!</v>
      </c>
      <c r="CG29" t="e">
        <f>AND('BBP complete'!L328,"AAAAAH7d/1Q=")</f>
        <v>#VALUE!</v>
      </c>
      <c r="CH29" t="e">
        <f>AND('BBP complete'!M11,"AAAAAH7d/1U=")</f>
        <v>#VALUE!</v>
      </c>
      <c r="CI29" t="e">
        <f>AND('BBP complete'!N11,"AAAAAH7d/1Y=")</f>
        <v>#VALUE!</v>
      </c>
      <c r="CJ29" t="e">
        <f>AND('BBP complete'!P15,"AAAAAH7d/1c=")</f>
        <v>#VALUE!</v>
      </c>
      <c r="CK29" t="e">
        <f>AND('BBP complete'!#REF!,"AAAAAH7d/1g=")</f>
        <v>#REF!</v>
      </c>
      <c r="CL29" t="e">
        <f>AND('BBP complete'!#REF!,"AAAAAH7d/1k=")</f>
        <v>#REF!</v>
      </c>
      <c r="CM29" t="e">
        <f>AND('BBP complete'!#REF!,"AAAAAH7d/1o=")</f>
        <v>#REF!</v>
      </c>
      <c r="CN29" t="e">
        <f>AND('BBP complete'!K329,"AAAAAH7d/1s=")</f>
        <v>#VALUE!</v>
      </c>
      <c r="CO29" t="e">
        <f>AND('BBP complete'!L329,"AAAAAH7d/1w=")</f>
        <v>#VALUE!</v>
      </c>
      <c r="CP29" t="e">
        <f>AND('BBP complete'!M12,"AAAAAH7d/10=")</f>
        <v>#VALUE!</v>
      </c>
      <c r="CQ29" t="e">
        <f>AND('BBP complete'!N12,"AAAAAH7d/14=")</f>
        <v>#VALUE!</v>
      </c>
      <c r="CR29" t="e">
        <f>AND('BBP complete'!P16,"AAAAAH7d/18=")</f>
        <v>#VALUE!</v>
      </c>
      <c r="CS29" t="e">
        <f>AND('BBP complete'!#REF!,"AAAAAH7d/2A=")</f>
        <v>#REF!</v>
      </c>
      <c r="CT29" t="e">
        <f>AND('BBP complete'!#REF!,"AAAAAH7d/2E=")</f>
        <v>#REF!</v>
      </c>
      <c r="CU29" t="e">
        <f>AND('BBP complete'!#REF!,"AAAAAH7d/2I=")</f>
        <v>#REF!</v>
      </c>
      <c r="CV29" t="e">
        <f>AND('BBP complete'!K330,"AAAAAH7d/2M=")</f>
        <v>#VALUE!</v>
      </c>
      <c r="CW29" t="e">
        <f>AND('BBP complete'!L330,"AAAAAH7d/2Q=")</f>
        <v>#VALUE!</v>
      </c>
      <c r="CX29" t="e">
        <f>AND('BBP complete'!M13,"AAAAAH7d/2U=")</f>
        <v>#VALUE!</v>
      </c>
      <c r="CY29" t="e">
        <f>AND('BBP complete'!N13,"AAAAAH7d/2Y=")</f>
        <v>#VALUE!</v>
      </c>
      <c r="CZ29" t="e">
        <f>AND('BBP complete'!P17,"AAAAAH7d/2c=")</f>
        <v>#VALUE!</v>
      </c>
      <c r="DA29" t="e">
        <f>AND('BBP complete'!#REF!,"AAAAAH7d/2g=")</f>
        <v>#REF!</v>
      </c>
      <c r="DB29" t="e">
        <f>AND('BBP complete'!#REF!,"AAAAAH7d/2k=")</f>
        <v>#REF!</v>
      </c>
      <c r="DC29" t="e">
        <f>AND('BBP complete'!#REF!,"AAAAAH7d/2o=")</f>
        <v>#REF!</v>
      </c>
      <c r="DD29" t="e">
        <f>AND('BBP complete'!K331,"AAAAAH7d/2s=")</f>
        <v>#VALUE!</v>
      </c>
      <c r="DE29" t="e">
        <f>AND('BBP complete'!L331,"AAAAAH7d/2w=")</f>
        <v>#VALUE!</v>
      </c>
      <c r="DF29" t="e">
        <f>AND('BBP complete'!M14,"AAAAAH7d/20=")</f>
        <v>#VALUE!</v>
      </c>
      <c r="DG29" t="e">
        <f>AND('BBP complete'!N14,"AAAAAH7d/24=")</f>
        <v>#VALUE!</v>
      </c>
      <c r="DH29" t="e">
        <f>AND('BBP complete'!P18,"AAAAAH7d/28=")</f>
        <v>#VALUE!</v>
      </c>
      <c r="DI29" t="e">
        <f>AND('BBP complete'!#REF!,"AAAAAH7d/3A=")</f>
        <v>#REF!</v>
      </c>
      <c r="DJ29" t="e">
        <f>AND('BBP complete'!#REF!,"AAAAAH7d/3E=")</f>
        <v>#REF!</v>
      </c>
      <c r="DK29" t="e">
        <f>AND('BBP complete'!#REF!,"AAAAAH7d/3I=")</f>
        <v>#REF!</v>
      </c>
      <c r="DL29" t="e">
        <f>AND('BBP complete'!K332,"AAAAAH7d/3M=")</f>
        <v>#VALUE!</v>
      </c>
      <c r="DM29" t="e">
        <f>AND('BBP complete'!L332,"AAAAAH7d/3Q=")</f>
        <v>#VALUE!</v>
      </c>
      <c r="DN29" t="e">
        <f>AND('BBP complete'!M15,"AAAAAH7d/3U=")</f>
        <v>#VALUE!</v>
      </c>
      <c r="DO29" t="e">
        <f>AND('BBP complete'!N15,"AAAAAH7d/3Y=")</f>
        <v>#VALUE!</v>
      </c>
      <c r="DP29" t="e">
        <f>AND('BBP complete'!P19,"AAAAAH7d/3c=")</f>
        <v>#VALUE!</v>
      </c>
      <c r="DQ29" t="e">
        <f>AND('BBP complete'!#REF!,"AAAAAH7d/3g=")</f>
        <v>#REF!</v>
      </c>
      <c r="DR29" t="e">
        <f>AND('BBP complete'!#REF!,"AAAAAH7d/3k=")</f>
        <v>#REF!</v>
      </c>
      <c r="DS29" t="e">
        <f>AND('BBP complete'!#REF!,"AAAAAH7d/3o=")</f>
        <v>#REF!</v>
      </c>
      <c r="DT29" t="e">
        <f>AND('BBP complete'!K333,"AAAAAH7d/3s=")</f>
        <v>#VALUE!</v>
      </c>
      <c r="DU29" t="e">
        <f>AND('BBP complete'!L333,"AAAAAH7d/3w=")</f>
        <v>#VALUE!</v>
      </c>
      <c r="DV29" t="e">
        <f>AND('BBP complete'!M16,"AAAAAH7d/30=")</f>
        <v>#VALUE!</v>
      </c>
      <c r="DW29" t="e">
        <f>AND('BBP complete'!N16,"AAAAAH7d/34=")</f>
        <v>#VALUE!</v>
      </c>
      <c r="DX29" t="e">
        <f>AND('BBP complete'!P20,"AAAAAH7d/38=")</f>
        <v>#VALUE!</v>
      </c>
      <c r="DY29" t="e">
        <f>AND('BBP complete'!#REF!,"AAAAAH7d/4A=")</f>
        <v>#REF!</v>
      </c>
      <c r="DZ29" t="e">
        <f>AND('BBP complete'!#REF!,"AAAAAH7d/4E=")</f>
        <v>#REF!</v>
      </c>
      <c r="EA29" t="e">
        <f>AND('BBP complete'!#REF!,"AAAAAH7d/4I=")</f>
        <v>#REF!</v>
      </c>
      <c r="EB29" t="e">
        <f>AND('BBP complete'!K334,"AAAAAH7d/4M=")</f>
        <v>#VALUE!</v>
      </c>
      <c r="EC29" t="e">
        <f>AND('BBP complete'!L334,"AAAAAH7d/4Q=")</f>
        <v>#VALUE!</v>
      </c>
      <c r="ED29" t="e">
        <f>AND('BBP complete'!M17,"AAAAAH7d/4U=")</f>
        <v>#VALUE!</v>
      </c>
      <c r="EE29" t="e">
        <f>AND('BBP complete'!N17,"AAAAAH7d/4Y=")</f>
        <v>#VALUE!</v>
      </c>
      <c r="EF29" t="e">
        <f>AND('BBP complete'!P21,"AAAAAH7d/4c=")</f>
        <v>#VALUE!</v>
      </c>
      <c r="EG29" t="e">
        <f>AND('BBP complete'!#REF!,"AAAAAH7d/4g=")</f>
        <v>#REF!</v>
      </c>
      <c r="EH29" t="e">
        <f>AND('BBP complete'!#REF!,"AAAAAH7d/4k=")</f>
        <v>#REF!</v>
      </c>
      <c r="EI29" t="e">
        <f>AND('BBP complete'!#REF!,"AAAAAH7d/4o=")</f>
        <v>#REF!</v>
      </c>
      <c r="EJ29" t="e">
        <f>AND('BBP complete'!K335,"AAAAAH7d/4s=")</f>
        <v>#VALUE!</v>
      </c>
      <c r="EK29" t="e">
        <f>AND('BBP complete'!L335,"AAAAAH7d/4w=")</f>
        <v>#VALUE!</v>
      </c>
      <c r="EL29" t="e">
        <f>AND('BBP complete'!M18,"AAAAAH7d/40=")</f>
        <v>#VALUE!</v>
      </c>
      <c r="EM29" t="e">
        <f>AND('BBP complete'!N18,"AAAAAH7d/44=")</f>
        <v>#VALUE!</v>
      </c>
      <c r="EN29" t="e">
        <f>AND('BBP complete'!P22,"AAAAAH7d/48=")</f>
        <v>#VALUE!</v>
      </c>
      <c r="EO29" t="e">
        <f>AND('BBP complete'!#REF!,"AAAAAH7d/5A=")</f>
        <v>#REF!</v>
      </c>
      <c r="EP29" t="e">
        <f>AND('BBP complete'!#REF!,"AAAAAH7d/5E=")</f>
        <v>#REF!</v>
      </c>
      <c r="EQ29" t="e">
        <f>AND('BBP complete'!#REF!,"AAAAAH7d/5I=")</f>
        <v>#REF!</v>
      </c>
      <c r="ER29" t="e">
        <f>AND('BBP complete'!K336,"AAAAAH7d/5M=")</f>
        <v>#VALUE!</v>
      </c>
      <c r="ES29" t="e">
        <f>AND('BBP complete'!L336,"AAAAAH7d/5Q=")</f>
        <v>#VALUE!</v>
      </c>
      <c r="ET29" t="e">
        <f>AND('BBP complete'!M19,"AAAAAH7d/5U=")</f>
        <v>#VALUE!</v>
      </c>
      <c r="EU29" t="e">
        <f>AND('BBP complete'!N19,"AAAAAH7d/5Y=")</f>
        <v>#VALUE!</v>
      </c>
      <c r="EV29" t="e">
        <f>AND('BBP complete'!P23,"AAAAAH7d/5c=")</f>
        <v>#VALUE!</v>
      </c>
      <c r="EW29" t="e">
        <f>AND('BBP complete'!#REF!,"AAAAAH7d/5g=")</f>
        <v>#REF!</v>
      </c>
      <c r="EX29" t="e">
        <f>AND('BBP complete'!#REF!,"AAAAAH7d/5k=")</f>
        <v>#REF!</v>
      </c>
      <c r="EY29" t="e">
        <f>AND('BBP complete'!#REF!,"AAAAAH7d/5o=")</f>
        <v>#REF!</v>
      </c>
      <c r="EZ29" t="e">
        <f>AND('BBP complete'!K337,"AAAAAH7d/5s=")</f>
        <v>#VALUE!</v>
      </c>
      <c r="FA29" t="e">
        <f>AND('BBP complete'!L337,"AAAAAH7d/5w=")</f>
        <v>#VALUE!</v>
      </c>
      <c r="FB29" t="e">
        <f>AND('BBP complete'!M20,"AAAAAH7d/50=")</f>
        <v>#VALUE!</v>
      </c>
      <c r="FC29" t="e">
        <f>AND('BBP complete'!N20,"AAAAAH7d/54=")</f>
        <v>#VALUE!</v>
      </c>
      <c r="FD29" t="e">
        <f>AND('BBP complete'!P24,"AAAAAH7d/58=")</f>
        <v>#VALUE!</v>
      </c>
      <c r="FE29" t="e">
        <f>AND('BBP complete'!#REF!,"AAAAAH7d/6A=")</f>
        <v>#REF!</v>
      </c>
      <c r="FF29" t="e">
        <f>AND('BBP complete'!#REF!,"AAAAAH7d/6E=")</f>
        <v>#REF!</v>
      </c>
      <c r="FG29" t="e">
        <f>AND('BBP complete'!#REF!,"AAAAAH7d/6I=")</f>
        <v>#REF!</v>
      </c>
      <c r="FH29" t="e">
        <f>AND('BBP complete'!K338,"AAAAAH7d/6M=")</f>
        <v>#VALUE!</v>
      </c>
      <c r="FI29" t="e">
        <f>AND('BBP complete'!L338,"AAAAAH7d/6Q=")</f>
        <v>#VALUE!</v>
      </c>
      <c r="FJ29" t="e">
        <f>AND('BBP complete'!M21,"AAAAAH7d/6U=")</f>
        <v>#VALUE!</v>
      </c>
      <c r="FK29" t="e">
        <f>AND('BBP complete'!N21,"AAAAAH7d/6Y=")</f>
        <v>#VALUE!</v>
      </c>
      <c r="FL29" t="e">
        <f>AND('BBP complete'!P25,"AAAAAH7d/6c=")</f>
        <v>#VALUE!</v>
      </c>
      <c r="FM29" t="e">
        <f>AND('BBP complete'!#REF!,"AAAAAH7d/6g=")</f>
        <v>#REF!</v>
      </c>
      <c r="FN29" t="e">
        <f>AND('BBP complete'!#REF!,"AAAAAH7d/6k=")</f>
        <v>#REF!</v>
      </c>
      <c r="FO29" t="e">
        <f>AND('BBP complete'!#REF!,"AAAAAH7d/6o=")</f>
        <v>#REF!</v>
      </c>
      <c r="FP29" t="e">
        <f>AND('BBP complete'!K339,"AAAAAH7d/6s=")</f>
        <v>#VALUE!</v>
      </c>
      <c r="FQ29" t="e">
        <f>AND('BBP complete'!L339,"AAAAAH7d/6w=")</f>
        <v>#VALUE!</v>
      </c>
      <c r="FR29" t="e">
        <f>AND('BBP complete'!M22,"AAAAAH7d/60=")</f>
        <v>#VALUE!</v>
      </c>
      <c r="FS29" t="e">
        <f>AND('BBP complete'!N22,"AAAAAH7d/64=")</f>
        <v>#VALUE!</v>
      </c>
      <c r="FT29" t="e">
        <f>AND('BBP complete'!P26,"AAAAAH7d/68=")</f>
        <v>#VALUE!</v>
      </c>
      <c r="FU29" t="e">
        <f>AND('BBP complete'!#REF!,"AAAAAH7d/7A=")</f>
        <v>#REF!</v>
      </c>
      <c r="FV29" t="e">
        <f>AND('BBP complete'!#REF!,"AAAAAH7d/7E=")</f>
        <v>#REF!</v>
      </c>
      <c r="FW29" t="e">
        <f>AND('BBP complete'!#REF!,"AAAAAH7d/7I=")</f>
        <v>#REF!</v>
      </c>
      <c r="FX29" t="e">
        <f>AND('BBP complete'!K340,"AAAAAH7d/7M=")</f>
        <v>#VALUE!</v>
      </c>
      <c r="FY29" t="e">
        <f>AND('BBP complete'!L340,"AAAAAH7d/7Q=")</f>
        <v>#VALUE!</v>
      </c>
      <c r="FZ29" t="e">
        <f>AND('BBP complete'!M23,"AAAAAH7d/7U=")</f>
        <v>#VALUE!</v>
      </c>
      <c r="GA29" t="e">
        <f>AND('BBP complete'!N23,"AAAAAH7d/7Y=")</f>
        <v>#VALUE!</v>
      </c>
      <c r="GB29" t="e">
        <f>AND('BBP complete'!P27,"AAAAAH7d/7c=")</f>
        <v>#VALUE!</v>
      </c>
      <c r="GC29" t="e">
        <f>AND('BBP complete'!#REF!,"AAAAAH7d/7g=")</f>
        <v>#REF!</v>
      </c>
      <c r="GD29" t="e">
        <f>AND('BBP complete'!#REF!,"AAAAAH7d/7k=")</f>
        <v>#REF!</v>
      </c>
      <c r="GE29" t="e">
        <f>AND('BBP complete'!#REF!,"AAAAAH7d/7o=")</f>
        <v>#REF!</v>
      </c>
      <c r="GF29" t="e">
        <f>AND('BBP complete'!K341,"AAAAAH7d/7s=")</f>
        <v>#VALUE!</v>
      </c>
      <c r="GG29" t="e">
        <f>AND('BBP complete'!L341,"AAAAAH7d/7w=")</f>
        <v>#VALUE!</v>
      </c>
      <c r="GH29" t="e">
        <f>AND('BBP complete'!M24,"AAAAAH7d/70=")</f>
        <v>#VALUE!</v>
      </c>
      <c r="GI29" t="e">
        <f>AND('BBP complete'!N24,"AAAAAH7d/74=")</f>
        <v>#VALUE!</v>
      </c>
      <c r="GJ29" t="e">
        <f>AND('BBP complete'!P28,"AAAAAH7d/78=")</f>
        <v>#VALUE!</v>
      </c>
      <c r="GK29" t="e">
        <f>AND('BBP complete'!#REF!,"AAAAAH7d/8A=")</f>
        <v>#REF!</v>
      </c>
      <c r="GL29" t="e">
        <f>AND('BBP complete'!#REF!,"AAAAAH7d/8E=")</f>
        <v>#REF!</v>
      </c>
      <c r="GM29" t="e">
        <f>AND('BBP complete'!#REF!,"AAAAAH7d/8I=")</f>
        <v>#REF!</v>
      </c>
      <c r="GN29" t="e">
        <f>AND('BBP complete'!K342,"AAAAAH7d/8M=")</f>
        <v>#VALUE!</v>
      </c>
      <c r="GO29" t="e">
        <f>AND('BBP complete'!L342,"AAAAAH7d/8Q=")</f>
        <v>#VALUE!</v>
      </c>
      <c r="GP29" t="e">
        <f>AND('BBP complete'!M25,"AAAAAH7d/8U=")</f>
        <v>#VALUE!</v>
      </c>
      <c r="GQ29" t="e">
        <f>AND('BBP complete'!N25,"AAAAAH7d/8Y=")</f>
        <v>#VALUE!</v>
      </c>
      <c r="GR29" t="e">
        <f>AND('BBP complete'!P29,"AAAAAH7d/8c=")</f>
        <v>#VALUE!</v>
      </c>
      <c r="GS29" t="e">
        <f>AND('BBP complete'!#REF!,"AAAAAH7d/8g=")</f>
        <v>#REF!</v>
      </c>
      <c r="GT29" t="e">
        <f>AND('BBP complete'!#REF!,"AAAAAH7d/8k=")</f>
        <v>#REF!</v>
      </c>
      <c r="GU29" t="e">
        <f>AND('BBP complete'!#REF!,"AAAAAH7d/8o=")</f>
        <v>#REF!</v>
      </c>
      <c r="GV29" t="e">
        <f>AND('BBP complete'!K343,"AAAAAH7d/8s=")</f>
        <v>#VALUE!</v>
      </c>
      <c r="GW29" t="e">
        <f>AND('BBP complete'!L343,"AAAAAH7d/8w=")</f>
        <v>#VALUE!</v>
      </c>
      <c r="GX29" t="e">
        <f>AND('BBP complete'!M26,"AAAAAH7d/80=")</f>
        <v>#VALUE!</v>
      </c>
      <c r="GY29" t="e">
        <f>AND('BBP complete'!N26,"AAAAAH7d/84=")</f>
        <v>#VALUE!</v>
      </c>
      <c r="GZ29" t="e">
        <f>AND('BBP complete'!P30,"AAAAAH7d/88=")</f>
        <v>#VALUE!</v>
      </c>
      <c r="HA29" t="e">
        <f>AND('BBP complete'!#REF!,"AAAAAH7d/9A=")</f>
        <v>#REF!</v>
      </c>
      <c r="HB29" t="e">
        <f>AND('BBP complete'!#REF!,"AAAAAH7d/9E=")</f>
        <v>#REF!</v>
      </c>
      <c r="HC29" t="e">
        <f>AND('BBP complete'!#REF!,"AAAAAH7d/9I=")</f>
        <v>#REF!</v>
      </c>
      <c r="HD29" t="e">
        <f>AND('BBP complete'!K344,"AAAAAH7d/9M=")</f>
        <v>#VALUE!</v>
      </c>
      <c r="HE29" t="e">
        <f>AND('BBP complete'!L344,"AAAAAH7d/9Q=")</f>
        <v>#VALUE!</v>
      </c>
      <c r="HF29" t="e">
        <f>AND('BBP complete'!M27,"AAAAAH7d/9U=")</f>
        <v>#VALUE!</v>
      </c>
      <c r="HG29" t="e">
        <f>AND('BBP complete'!N27,"AAAAAH7d/9Y=")</f>
        <v>#VALUE!</v>
      </c>
      <c r="HH29" t="e">
        <f>AND('BBP complete'!P31,"AAAAAH7d/9c=")</f>
        <v>#VALUE!</v>
      </c>
      <c r="HI29" t="e">
        <f>AND('BBP complete'!#REF!,"AAAAAH7d/9g=")</f>
        <v>#REF!</v>
      </c>
      <c r="HJ29" t="e">
        <f>AND('BBP complete'!#REF!,"AAAAAH7d/9k=")</f>
        <v>#REF!</v>
      </c>
      <c r="HK29" t="e">
        <f>AND('BBP complete'!#REF!,"AAAAAH7d/9o=")</f>
        <v>#REF!</v>
      </c>
      <c r="HL29" t="e">
        <f>AND('BBP complete'!K345,"AAAAAH7d/9s=")</f>
        <v>#VALUE!</v>
      </c>
      <c r="HM29" t="e">
        <f>AND('BBP complete'!L345,"AAAAAH7d/9w=")</f>
        <v>#VALUE!</v>
      </c>
      <c r="HN29" t="e">
        <f>AND('BBP complete'!M28,"AAAAAH7d/90=")</f>
        <v>#VALUE!</v>
      </c>
      <c r="HO29" t="e">
        <f>AND('BBP complete'!N28,"AAAAAH7d/94=")</f>
        <v>#VALUE!</v>
      </c>
      <c r="HP29" t="e">
        <f>AND('BBP complete'!P32,"AAAAAH7d/98=")</f>
        <v>#VALUE!</v>
      </c>
      <c r="HQ29" t="e">
        <f>AND('BBP complete'!#REF!,"AAAAAH7d/+A=")</f>
        <v>#REF!</v>
      </c>
      <c r="HR29" t="e">
        <f>AND('BBP complete'!#REF!,"AAAAAH7d/+E=")</f>
        <v>#REF!</v>
      </c>
      <c r="HS29" t="e">
        <f>AND('BBP complete'!#REF!,"AAAAAH7d/+I=")</f>
        <v>#REF!</v>
      </c>
      <c r="HT29" t="e">
        <f>AND('BBP complete'!K346,"AAAAAH7d/+M=")</f>
        <v>#VALUE!</v>
      </c>
      <c r="HU29" t="e">
        <f>AND('BBP complete'!L346,"AAAAAH7d/+Q=")</f>
        <v>#VALUE!</v>
      </c>
      <c r="HV29" t="e">
        <f>AND('BBP complete'!M29,"AAAAAH7d/+U=")</f>
        <v>#VALUE!</v>
      </c>
      <c r="HW29" t="e">
        <f>AND('BBP complete'!N29,"AAAAAH7d/+Y=")</f>
        <v>#VALUE!</v>
      </c>
      <c r="HX29" t="e">
        <f>AND('BBP complete'!P33,"AAAAAH7d/+c=")</f>
        <v>#VALUE!</v>
      </c>
      <c r="HY29" t="e">
        <f>AND('BBP complete'!#REF!,"AAAAAH7d/+g=")</f>
        <v>#REF!</v>
      </c>
      <c r="HZ29" t="e">
        <f>AND('BBP complete'!#REF!,"AAAAAH7d/+k=")</f>
        <v>#REF!</v>
      </c>
      <c r="IA29" t="e">
        <f>AND('BBP complete'!#REF!,"AAAAAH7d/+o=")</f>
        <v>#REF!</v>
      </c>
      <c r="IB29" t="e">
        <f>AND('BBP complete'!K347,"AAAAAH7d/+s=")</f>
        <v>#VALUE!</v>
      </c>
      <c r="IC29" t="e">
        <f>AND('BBP complete'!L347,"AAAAAH7d/+w=")</f>
        <v>#VALUE!</v>
      </c>
      <c r="ID29" t="e">
        <f>AND('BBP complete'!M30,"AAAAAH7d/+0=")</f>
        <v>#VALUE!</v>
      </c>
      <c r="IE29" t="e">
        <f>AND('BBP complete'!N30,"AAAAAH7d/+4=")</f>
        <v>#VALUE!</v>
      </c>
      <c r="IF29" t="e">
        <f>AND('BBP complete'!P34,"AAAAAH7d/+8=")</f>
        <v>#VALUE!</v>
      </c>
      <c r="IG29" t="e">
        <f>AND('BBP complete'!#REF!,"AAAAAH7d//A=")</f>
        <v>#REF!</v>
      </c>
      <c r="IH29" t="e">
        <f>AND('BBP complete'!#REF!,"AAAAAH7d//E=")</f>
        <v>#REF!</v>
      </c>
      <c r="II29" t="e">
        <f>AND('BBP complete'!#REF!,"AAAAAH7d//I=")</f>
        <v>#REF!</v>
      </c>
      <c r="IJ29" t="e">
        <f>AND('BBP complete'!K348,"AAAAAH7d//M=")</f>
        <v>#VALUE!</v>
      </c>
      <c r="IK29" t="e">
        <f>AND('BBP complete'!L348,"AAAAAH7d//Q=")</f>
        <v>#VALUE!</v>
      </c>
      <c r="IL29" t="e">
        <f>AND('BBP complete'!M31,"AAAAAH7d//U=")</f>
        <v>#VALUE!</v>
      </c>
      <c r="IM29" t="e">
        <f>AND('BBP complete'!N31,"AAAAAH7d//Y=")</f>
        <v>#VALUE!</v>
      </c>
      <c r="IN29" t="e">
        <f>AND('BBP complete'!P35,"AAAAAH7d//c=")</f>
        <v>#VALUE!</v>
      </c>
      <c r="IO29" t="e">
        <f>AND('BBP complete'!#REF!,"AAAAAH7d//g=")</f>
        <v>#REF!</v>
      </c>
      <c r="IP29" t="e">
        <f>AND('BBP complete'!#REF!,"AAAAAH7d//k=")</f>
        <v>#REF!</v>
      </c>
      <c r="IQ29" t="e">
        <f>AND('BBP complete'!#REF!,"AAAAAH7d//o=")</f>
        <v>#REF!</v>
      </c>
      <c r="IR29" t="e">
        <f>AND('BBP complete'!K349,"AAAAAH7d//s=")</f>
        <v>#VALUE!</v>
      </c>
      <c r="IS29" t="e">
        <f>AND('BBP complete'!L349,"AAAAAH7d//w=")</f>
        <v>#VALUE!</v>
      </c>
      <c r="IT29" t="e">
        <f>AND('BBP complete'!M32,"AAAAAH7d//0=")</f>
        <v>#VALUE!</v>
      </c>
      <c r="IU29" t="e">
        <f>AND('BBP complete'!N32,"AAAAAH7d//4=")</f>
        <v>#VALUE!</v>
      </c>
      <c r="IV29" t="e">
        <f>AND('BBP complete'!P36,"AAAAAH7d//8=")</f>
        <v>#VALUE!</v>
      </c>
    </row>
    <row r="30" spans="1:256" ht="15" customHeight="1" x14ac:dyDescent="0.25">
      <c r="A30" t="e">
        <f>AND('BBP complete'!#REF!,"AAAAAC7QywA=")</f>
        <v>#REF!</v>
      </c>
      <c r="B30" t="e">
        <f>AND('BBP complete'!#REF!,"AAAAAC7QywE=")</f>
        <v>#REF!</v>
      </c>
      <c r="C30" t="e">
        <f>AND('BBP complete'!#REF!,"AAAAAC7QywI=")</f>
        <v>#REF!</v>
      </c>
      <c r="D30" t="e">
        <f>AND('BBP complete'!K350,"AAAAAC7QywM=")</f>
        <v>#VALUE!</v>
      </c>
      <c r="E30" t="e">
        <f>AND('BBP complete'!L350,"AAAAAC7QywQ=")</f>
        <v>#VALUE!</v>
      </c>
      <c r="F30" t="e">
        <f>AND('BBP complete'!M33,"AAAAAC7QywU=")</f>
        <v>#VALUE!</v>
      </c>
      <c r="G30" t="e">
        <f>AND('BBP complete'!N33,"AAAAAC7QywY=")</f>
        <v>#VALUE!</v>
      </c>
      <c r="H30" t="e">
        <f>AND('BBP complete'!P37,"AAAAAC7Qywc=")</f>
        <v>#VALUE!</v>
      </c>
      <c r="I30" t="e">
        <f>AND('BBP complete'!#REF!,"AAAAAC7Qywg=")</f>
        <v>#REF!</v>
      </c>
      <c r="J30" t="e">
        <f>AND('BBP complete'!#REF!,"AAAAAC7Qywk=")</f>
        <v>#REF!</v>
      </c>
      <c r="K30" t="e">
        <f>AND('BBP complete'!#REF!,"AAAAAC7Qywo=")</f>
        <v>#REF!</v>
      </c>
      <c r="L30" t="e">
        <f>AND('BBP complete'!K351,"AAAAAC7Qyws=")</f>
        <v>#VALUE!</v>
      </c>
      <c r="M30" t="e">
        <f>AND('BBP complete'!L351,"AAAAAC7Qyww=")</f>
        <v>#VALUE!</v>
      </c>
      <c r="N30" t="e">
        <f>AND('BBP complete'!M34,"AAAAAC7Qyw0=")</f>
        <v>#VALUE!</v>
      </c>
      <c r="O30" t="e">
        <f>AND('BBP complete'!N34,"AAAAAC7Qyw4=")</f>
        <v>#VALUE!</v>
      </c>
      <c r="P30" t="e">
        <f>AND('BBP complete'!P40,"AAAAAC7Qyw8=")</f>
        <v>#VALUE!</v>
      </c>
      <c r="Q30" t="e">
        <f>AND('BBP complete'!#REF!,"AAAAAC7QyxA=")</f>
        <v>#REF!</v>
      </c>
      <c r="R30" t="e">
        <f>AND('BBP complete'!#REF!,"AAAAAC7QyxE=")</f>
        <v>#REF!</v>
      </c>
      <c r="S30" t="e">
        <f>AND('BBP complete'!#REF!,"AAAAAC7QyxI=")</f>
        <v>#REF!</v>
      </c>
      <c r="T30" t="e">
        <f>AND('BBP complete'!K352,"AAAAAC7QyxM=")</f>
        <v>#VALUE!</v>
      </c>
      <c r="U30" t="e">
        <f>AND('BBP complete'!L352,"AAAAAC7QyxQ=")</f>
        <v>#VALUE!</v>
      </c>
      <c r="V30" t="e">
        <f>AND('BBP complete'!M35,"AAAAAC7QyxU=")</f>
        <v>#VALUE!</v>
      </c>
      <c r="W30" t="e">
        <f>AND('BBP complete'!N35,"AAAAAC7QyxY=")</f>
        <v>#VALUE!</v>
      </c>
      <c r="X30" t="e">
        <f>AND('BBP complete'!P41,"AAAAAC7Qyxc=")</f>
        <v>#VALUE!</v>
      </c>
      <c r="Y30" t="e">
        <f>AND('BBP complete'!#REF!,"AAAAAC7Qyxg=")</f>
        <v>#REF!</v>
      </c>
      <c r="Z30" t="e">
        <f>AND('BBP complete'!#REF!,"AAAAAC7Qyxk=")</f>
        <v>#REF!</v>
      </c>
      <c r="AA30" t="e">
        <f>AND('BBP complete'!#REF!,"AAAAAC7Qyxo=")</f>
        <v>#REF!</v>
      </c>
      <c r="AB30" t="e">
        <f>AND('BBP complete'!K353,"AAAAAC7Qyxs=")</f>
        <v>#VALUE!</v>
      </c>
      <c r="AC30" t="e">
        <f>AND('BBP complete'!L353,"AAAAAC7Qyxw=")</f>
        <v>#VALUE!</v>
      </c>
      <c r="AD30" t="e">
        <f>AND('BBP complete'!M36,"AAAAAC7Qyx0=")</f>
        <v>#VALUE!</v>
      </c>
      <c r="AE30" t="e">
        <f>AND('BBP complete'!N36,"AAAAAC7Qyx4=")</f>
        <v>#VALUE!</v>
      </c>
      <c r="AF30" t="e">
        <f>AND('BBP complete'!P42,"AAAAAC7Qyx8=")</f>
        <v>#VALUE!</v>
      </c>
      <c r="AG30" t="e">
        <f>AND('BBP complete'!#REF!,"AAAAAC7QyyA=")</f>
        <v>#REF!</v>
      </c>
      <c r="AH30" t="e">
        <f>AND('BBP complete'!#REF!,"AAAAAC7QyyE=")</f>
        <v>#REF!</v>
      </c>
      <c r="AI30" t="e">
        <f>AND('BBP complete'!#REF!,"AAAAAC7QyyI=")</f>
        <v>#REF!</v>
      </c>
      <c r="AJ30" t="e">
        <f>AND('BBP complete'!K354,"AAAAAC7QyyM=")</f>
        <v>#VALUE!</v>
      </c>
      <c r="AK30" t="e">
        <f>AND('BBP complete'!L354,"AAAAAC7QyyQ=")</f>
        <v>#VALUE!</v>
      </c>
      <c r="AL30" t="e">
        <f>AND('BBP complete'!M37,"AAAAAC7QyyU=")</f>
        <v>#VALUE!</v>
      </c>
      <c r="AM30" t="e">
        <f>AND('BBP complete'!N37,"AAAAAC7QyyY=")</f>
        <v>#VALUE!</v>
      </c>
      <c r="AN30" t="e">
        <f>AND('BBP complete'!P43,"AAAAAC7Qyyc=")</f>
        <v>#VALUE!</v>
      </c>
      <c r="AO30" t="e">
        <f>AND('BBP complete'!#REF!,"AAAAAC7Qyyg=")</f>
        <v>#REF!</v>
      </c>
      <c r="AP30" t="e">
        <f>AND('BBP complete'!#REF!,"AAAAAC7Qyyk=")</f>
        <v>#REF!</v>
      </c>
      <c r="AQ30" t="e">
        <f>AND('BBP complete'!#REF!,"AAAAAC7Qyyo=")</f>
        <v>#REF!</v>
      </c>
      <c r="AR30" t="e">
        <f>AND('BBP complete'!K355,"AAAAAC7Qyys=")</f>
        <v>#VALUE!</v>
      </c>
      <c r="AS30" t="e">
        <f>AND('BBP complete'!L355,"AAAAAC7Qyyw=")</f>
        <v>#VALUE!</v>
      </c>
      <c r="AT30" t="e">
        <f>AND('BBP complete'!M38,"AAAAAC7Qyy0=")</f>
        <v>#VALUE!</v>
      </c>
      <c r="AU30" t="e">
        <f>AND('BBP complete'!N38,"AAAAAC7Qyy4=")</f>
        <v>#VALUE!</v>
      </c>
      <c r="AV30" t="e">
        <f>AND('BBP complete'!P44,"AAAAAC7Qyy8=")</f>
        <v>#VALUE!</v>
      </c>
      <c r="AW30" t="e">
        <f>AND('BBP complete'!#REF!,"AAAAAC7QyzA=")</f>
        <v>#REF!</v>
      </c>
      <c r="AX30" t="e">
        <f>AND('BBP complete'!#REF!,"AAAAAC7QyzE=")</f>
        <v>#REF!</v>
      </c>
      <c r="AY30" t="e">
        <f>AND('BBP complete'!#REF!,"AAAAAC7QyzI=")</f>
        <v>#REF!</v>
      </c>
      <c r="AZ30" t="e">
        <f>AND('BBP complete'!K356,"AAAAAC7QyzM=")</f>
        <v>#VALUE!</v>
      </c>
      <c r="BA30" t="e">
        <f>AND('BBP complete'!L356,"AAAAAC7QyzQ=")</f>
        <v>#VALUE!</v>
      </c>
      <c r="BB30" t="e">
        <f>AND('BBP complete'!M39,"AAAAAC7QyzU=")</f>
        <v>#VALUE!</v>
      </c>
      <c r="BC30" t="e">
        <f>AND('BBP complete'!N39,"AAAAAC7QyzY=")</f>
        <v>#VALUE!</v>
      </c>
      <c r="BD30" t="e">
        <f>AND('BBP complete'!P45,"AAAAAC7Qyzc=")</f>
        <v>#VALUE!</v>
      </c>
      <c r="BE30" t="e">
        <f>AND('BBP complete'!#REF!,"AAAAAC7Qyzg=")</f>
        <v>#REF!</v>
      </c>
      <c r="BF30" t="e">
        <f>AND('BBP complete'!#REF!,"AAAAAC7Qyzk=")</f>
        <v>#REF!</v>
      </c>
      <c r="BG30" t="e">
        <f>AND('BBP complete'!#REF!,"AAAAAC7Qyzo=")</f>
        <v>#REF!</v>
      </c>
      <c r="BH30" t="e">
        <f>AND('BBP complete'!K357,"AAAAAC7Qyzs=")</f>
        <v>#VALUE!</v>
      </c>
      <c r="BI30" t="e">
        <f>AND('BBP complete'!L357,"AAAAAC7Qyzw=")</f>
        <v>#VALUE!</v>
      </c>
      <c r="BJ30" t="e">
        <f>AND('BBP complete'!M40,"AAAAAC7Qyz0=")</f>
        <v>#VALUE!</v>
      </c>
      <c r="BK30" t="e">
        <f>AND('BBP complete'!N40,"AAAAAC7Qyz4=")</f>
        <v>#VALUE!</v>
      </c>
      <c r="BL30" t="e">
        <f>AND('BBP complete'!P46,"AAAAAC7Qyz8=")</f>
        <v>#VALUE!</v>
      </c>
      <c r="BM30" t="e">
        <f>AND('BBP complete'!#REF!,"AAAAAC7Qy0A=")</f>
        <v>#REF!</v>
      </c>
      <c r="BN30" t="e">
        <f>AND('BBP complete'!#REF!,"AAAAAC7Qy0E=")</f>
        <v>#REF!</v>
      </c>
      <c r="BO30" t="e">
        <f>AND('BBP complete'!#REF!,"AAAAAC7Qy0I=")</f>
        <v>#REF!</v>
      </c>
      <c r="BP30" t="e">
        <f>AND('BBP complete'!K358,"AAAAAC7Qy0M=")</f>
        <v>#VALUE!</v>
      </c>
      <c r="BQ30" t="e">
        <f>AND('BBP complete'!L358,"AAAAAC7Qy0Q=")</f>
        <v>#VALUE!</v>
      </c>
      <c r="BR30" t="e">
        <f>AND('BBP complete'!M41,"AAAAAC7Qy0U=")</f>
        <v>#VALUE!</v>
      </c>
      <c r="BS30" t="e">
        <f>AND('BBP complete'!N41,"AAAAAC7Qy0Y=")</f>
        <v>#VALUE!</v>
      </c>
      <c r="BT30" t="e">
        <f>AND('BBP complete'!P47,"AAAAAC7Qy0c=")</f>
        <v>#VALUE!</v>
      </c>
      <c r="BU30" t="e">
        <f>AND('BBP complete'!#REF!,"AAAAAC7Qy0g=")</f>
        <v>#REF!</v>
      </c>
      <c r="BV30" t="e">
        <f>AND('BBP complete'!#REF!,"AAAAAC7Qy0k=")</f>
        <v>#REF!</v>
      </c>
      <c r="BW30" t="e">
        <f>AND('BBP complete'!#REF!,"AAAAAC7Qy0o=")</f>
        <v>#REF!</v>
      </c>
      <c r="BX30" t="e">
        <f>AND('BBP complete'!K359,"AAAAAC7Qy0s=")</f>
        <v>#VALUE!</v>
      </c>
      <c r="BY30" t="e">
        <f>AND('BBP complete'!L359,"AAAAAC7Qy0w=")</f>
        <v>#VALUE!</v>
      </c>
      <c r="BZ30" t="e">
        <f>AND('BBP complete'!M42,"AAAAAC7Qy00=")</f>
        <v>#VALUE!</v>
      </c>
      <c r="CA30" t="e">
        <f>AND('BBP complete'!N42,"AAAAAC7Qy04=")</f>
        <v>#VALUE!</v>
      </c>
      <c r="CB30" t="e">
        <f>AND('BBP complete'!P48,"AAAAAC7Qy08=")</f>
        <v>#VALUE!</v>
      </c>
      <c r="CC30" t="e">
        <f>AND('BBP complete'!#REF!,"AAAAAC7Qy1A=")</f>
        <v>#REF!</v>
      </c>
      <c r="CD30" t="e">
        <f>AND('BBP complete'!#REF!,"AAAAAC7Qy1E=")</f>
        <v>#REF!</v>
      </c>
      <c r="CE30" t="e">
        <f>AND('BBP complete'!#REF!,"AAAAAC7Qy1I=")</f>
        <v>#REF!</v>
      </c>
      <c r="CF30" t="e">
        <f>AND('BBP complete'!K360,"AAAAAC7Qy1M=")</f>
        <v>#VALUE!</v>
      </c>
      <c r="CG30" t="e">
        <f>AND('BBP complete'!L360,"AAAAAC7Qy1Q=")</f>
        <v>#VALUE!</v>
      </c>
      <c r="CH30" t="e">
        <f>AND('BBP complete'!M43,"AAAAAC7Qy1U=")</f>
        <v>#VALUE!</v>
      </c>
      <c r="CI30" t="e">
        <f>AND('BBP complete'!N43,"AAAAAC7Qy1Y=")</f>
        <v>#VALUE!</v>
      </c>
      <c r="CJ30" t="e">
        <f>AND('BBP complete'!P49,"AAAAAC7Qy1c=")</f>
        <v>#VALUE!</v>
      </c>
      <c r="CK30" t="e">
        <f>AND('BBP complete'!#REF!,"AAAAAC7Qy1g=")</f>
        <v>#REF!</v>
      </c>
      <c r="CL30" t="e">
        <f>AND('BBP complete'!#REF!,"AAAAAC7Qy1k=")</f>
        <v>#REF!</v>
      </c>
      <c r="CM30" t="e">
        <f>AND('BBP complete'!#REF!,"AAAAAC7Qy1o=")</f>
        <v>#REF!</v>
      </c>
      <c r="CN30" t="e">
        <f>AND('BBP complete'!K361,"AAAAAC7Qy1s=")</f>
        <v>#VALUE!</v>
      </c>
      <c r="CO30" t="e">
        <f>AND('BBP complete'!L361,"AAAAAC7Qy1w=")</f>
        <v>#VALUE!</v>
      </c>
      <c r="CP30" t="e">
        <f>AND('BBP complete'!M44,"AAAAAC7Qy10=")</f>
        <v>#VALUE!</v>
      </c>
      <c r="CQ30" t="e">
        <f>AND('BBP complete'!N44,"AAAAAC7Qy14=")</f>
        <v>#VALUE!</v>
      </c>
      <c r="CR30" t="e">
        <f>AND('BBP complete'!P50,"AAAAAC7Qy18=")</f>
        <v>#VALUE!</v>
      </c>
      <c r="CS30" t="e">
        <f>AND('BBP complete'!#REF!,"AAAAAC7Qy2A=")</f>
        <v>#REF!</v>
      </c>
      <c r="CT30" t="e">
        <f>AND('BBP complete'!#REF!,"AAAAAC7Qy2E=")</f>
        <v>#REF!</v>
      </c>
      <c r="CU30" t="e">
        <f>AND('BBP complete'!#REF!,"AAAAAC7Qy2I=")</f>
        <v>#REF!</v>
      </c>
      <c r="CV30" t="e">
        <f>AND('BBP complete'!K362,"AAAAAC7Qy2M=")</f>
        <v>#VALUE!</v>
      </c>
      <c r="CW30" t="e">
        <f>AND('BBP complete'!L362,"AAAAAC7Qy2Q=")</f>
        <v>#VALUE!</v>
      </c>
      <c r="CX30" t="e">
        <f>AND('BBP complete'!M45,"AAAAAC7Qy2U=")</f>
        <v>#VALUE!</v>
      </c>
      <c r="CY30" t="e">
        <f>AND('BBP complete'!N45,"AAAAAC7Qy2Y=")</f>
        <v>#VALUE!</v>
      </c>
      <c r="CZ30" t="e">
        <f>AND('BBP complete'!P51,"AAAAAC7Qy2c=")</f>
        <v>#VALUE!</v>
      </c>
      <c r="DA30" t="e">
        <f>AND('BBP complete'!#REF!,"AAAAAC7Qy2g=")</f>
        <v>#REF!</v>
      </c>
      <c r="DB30" t="e">
        <f>AND('BBP complete'!#REF!,"AAAAAC7Qy2k=")</f>
        <v>#REF!</v>
      </c>
      <c r="DC30" t="e">
        <f>AND('BBP complete'!#REF!,"AAAAAC7Qy2o=")</f>
        <v>#REF!</v>
      </c>
      <c r="DD30" t="e">
        <f>AND('BBP complete'!K363,"AAAAAC7Qy2s=")</f>
        <v>#VALUE!</v>
      </c>
      <c r="DE30" t="e">
        <f>AND('BBP complete'!L363,"AAAAAC7Qy2w=")</f>
        <v>#VALUE!</v>
      </c>
      <c r="DF30" t="e">
        <f>AND('BBP complete'!M46,"AAAAAC7Qy20=")</f>
        <v>#VALUE!</v>
      </c>
      <c r="DG30" t="e">
        <f>AND('BBP complete'!N46,"AAAAAC7Qy24=")</f>
        <v>#VALUE!</v>
      </c>
      <c r="DH30" t="e">
        <f>AND('BBP complete'!P52,"AAAAAC7Qy28=")</f>
        <v>#VALUE!</v>
      </c>
      <c r="DI30" t="e">
        <f>AND('BBP complete'!#REF!,"AAAAAC7Qy3A=")</f>
        <v>#REF!</v>
      </c>
      <c r="DJ30" t="e">
        <f>AND('BBP complete'!#REF!,"AAAAAC7Qy3E=")</f>
        <v>#REF!</v>
      </c>
      <c r="DK30" t="e">
        <f>AND('BBP complete'!#REF!,"AAAAAC7Qy3I=")</f>
        <v>#REF!</v>
      </c>
      <c r="DL30" t="e">
        <f>AND('BBP complete'!K364,"AAAAAC7Qy3M=")</f>
        <v>#VALUE!</v>
      </c>
      <c r="DM30" t="e">
        <f>AND('BBP complete'!L364,"AAAAAC7Qy3Q=")</f>
        <v>#VALUE!</v>
      </c>
      <c r="DN30" t="e">
        <f>AND('BBP complete'!M47,"AAAAAC7Qy3U=")</f>
        <v>#VALUE!</v>
      </c>
      <c r="DO30" t="e">
        <f>AND('BBP complete'!N47,"AAAAAC7Qy3Y=")</f>
        <v>#VALUE!</v>
      </c>
      <c r="DP30" t="e">
        <f>AND('BBP complete'!P53,"AAAAAC7Qy3c=")</f>
        <v>#VALUE!</v>
      </c>
      <c r="DQ30" t="e">
        <f>AND('BBP complete'!#REF!,"AAAAAC7Qy3g=")</f>
        <v>#REF!</v>
      </c>
      <c r="DR30" t="e">
        <f>AND('BBP complete'!#REF!,"AAAAAC7Qy3k=")</f>
        <v>#REF!</v>
      </c>
      <c r="DS30" t="e">
        <f>AND('BBP complete'!#REF!,"AAAAAC7Qy3o=")</f>
        <v>#REF!</v>
      </c>
      <c r="DT30" t="e">
        <f>AND('BBP complete'!K365,"AAAAAC7Qy3s=")</f>
        <v>#VALUE!</v>
      </c>
      <c r="DU30" t="e">
        <f>AND('BBP complete'!L365,"AAAAAC7Qy3w=")</f>
        <v>#VALUE!</v>
      </c>
      <c r="DV30" t="e">
        <f>AND('BBP complete'!M48,"AAAAAC7Qy30=")</f>
        <v>#VALUE!</v>
      </c>
      <c r="DW30" t="e">
        <f>AND('BBP complete'!N48,"AAAAAC7Qy34=")</f>
        <v>#VALUE!</v>
      </c>
      <c r="DX30" t="e">
        <f>AND('BBP complete'!P54,"AAAAAC7Qy38=")</f>
        <v>#VALUE!</v>
      </c>
      <c r="DY30" t="e">
        <f>AND('BBP complete'!#REF!,"AAAAAC7Qy4A=")</f>
        <v>#REF!</v>
      </c>
      <c r="DZ30" t="e">
        <f>AND('BBP complete'!#REF!,"AAAAAC7Qy4E=")</f>
        <v>#REF!</v>
      </c>
      <c r="EA30" t="e">
        <f>AND('BBP complete'!#REF!,"AAAAAC7Qy4I=")</f>
        <v>#REF!</v>
      </c>
      <c r="EB30" t="e">
        <f>AND('BBP complete'!K366,"AAAAAC7Qy4M=")</f>
        <v>#VALUE!</v>
      </c>
      <c r="EC30" t="e">
        <f>AND('BBP complete'!L366,"AAAAAC7Qy4Q=")</f>
        <v>#VALUE!</v>
      </c>
      <c r="ED30" t="e">
        <f>AND('BBP complete'!M49,"AAAAAC7Qy4U=")</f>
        <v>#VALUE!</v>
      </c>
      <c r="EE30" t="e">
        <f>AND('BBP complete'!N49,"AAAAAC7Qy4Y=")</f>
        <v>#VALUE!</v>
      </c>
      <c r="EF30" t="e">
        <f>AND('BBP complete'!P55,"AAAAAC7Qy4c=")</f>
        <v>#VALUE!</v>
      </c>
      <c r="EG30" t="e">
        <f>AND('BBP complete'!#REF!,"AAAAAC7Qy4g=")</f>
        <v>#REF!</v>
      </c>
      <c r="EH30" t="e">
        <f>AND('BBP complete'!#REF!,"AAAAAC7Qy4k=")</f>
        <v>#REF!</v>
      </c>
      <c r="EI30" t="e">
        <f>AND('BBP complete'!#REF!,"AAAAAC7Qy4o=")</f>
        <v>#REF!</v>
      </c>
      <c r="EJ30" t="e">
        <f>AND('BBP complete'!K367,"AAAAAC7Qy4s=")</f>
        <v>#VALUE!</v>
      </c>
      <c r="EK30" t="e">
        <f>AND('BBP complete'!L367,"AAAAAC7Qy4w=")</f>
        <v>#VALUE!</v>
      </c>
      <c r="EL30" t="e">
        <f>AND('BBP complete'!M50,"AAAAAC7Qy40=")</f>
        <v>#VALUE!</v>
      </c>
      <c r="EM30" t="e">
        <f>AND('BBP complete'!N50,"AAAAAC7Qy44=")</f>
        <v>#VALUE!</v>
      </c>
      <c r="EN30" t="e">
        <f>AND('BBP complete'!P56,"AAAAAC7Qy48=")</f>
        <v>#VALUE!</v>
      </c>
      <c r="EO30" t="e">
        <f>AND('BBP complete'!#REF!,"AAAAAC7Qy5A=")</f>
        <v>#REF!</v>
      </c>
      <c r="EP30" t="e">
        <f>AND('BBP complete'!#REF!,"AAAAAC7Qy5E=")</f>
        <v>#REF!</v>
      </c>
      <c r="EQ30" t="e">
        <f>AND('BBP complete'!#REF!,"AAAAAC7Qy5I=")</f>
        <v>#REF!</v>
      </c>
      <c r="ER30" t="e">
        <f>AND('BBP complete'!K368,"AAAAAC7Qy5M=")</f>
        <v>#VALUE!</v>
      </c>
      <c r="ES30" t="e">
        <f>AND('BBP complete'!L368,"AAAAAC7Qy5Q=")</f>
        <v>#VALUE!</v>
      </c>
      <c r="ET30" t="e">
        <f>AND('BBP complete'!M51,"AAAAAC7Qy5U=")</f>
        <v>#VALUE!</v>
      </c>
      <c r="EU30" t="e">
        <f>AND('BBP complete'!N51,"AAAAAC7Qy5Y=")</f>
        <v>#VALUE!</v>
      </c>
      <c r="EV30" t="e">
        <f>AND('BBP complete'!P57,"AAAAAC7Qy5c=")</f>
        <v>#VALUE!</v>
      </c>
      <c r="EW30" t="e">
        <f>AND('BBP complete'!#REF!,"AAAAAC7Qy5g=")</f>
        <v>#REF!</v>
      </c>
      <c r="EX30" t="e">
        <f>AND('BBP complete'!#REF!,"AAAAAC7Qy5k=")</f>
        <v>#REF!</v>
      </c>
      <c r="EY30" t="e">
        <f>AND('BBP complete'!#REF!,"AAAAAC7Qy5o=")</f>
        <v>#REF!</v>
      </c>
      <c r="EZ30" t="e">
        <f>AND('BBP complete'!K369,"AAAAAC7Qy5s=")</f>
        <v>#VALUE!</v>
      </c>
      <c r="FA30" t="e">
        <f>AND('BBP complete'!L369,"AAAAAC7Qy5w=")</f>
        <v>#VALUE!</v>
      </c>
      <c r="FB30" t="e">
        <f>AND('BBP complete'!M52,"AAAAAC7Qy50=")</f>
        <v>#VALUE!</v>
      </c>
      <c r="FC30" t="e">
        <f>AND('BBP complete'!N52,"AAAAAC7Qy54=")</f>
        <v>#VALUE!</v>
      </c>
      <c r="FD30" t="e">
        <f>AND('BBP complete'!P58,"AAAAAC7Qy58=")</f>
        <v>#VALUE!</v>
      </c>
      <c r="FE30" t="e">
        <f>AND('BBP complete'!#REF!,"AAAAAC7Qy6A=")</f>
        <v>#REF!</v>
      </c>
      <c r="FF30" t="e">
        <f>AND('BBP complete'!#REF!,"AAAAAC7Qy6E=")</f>
        <v>#REF!</v>
      </c>
      <c r="FG30" t="e">
        <f>AND('BBP complete'!#REF!,"AAAAAC7Qy6I=")</f>
        <v>#REF!</v>
      </c>
      <c r="FH30" t="e">
        <f>AND('BBP complete'!K370,"AAAAAC7Qy6M=")</f>
        <v>#VALUE!</v>
      </c>
      <c r="FI30" t="e">
        <f>AND('BBP complete'!L370,"AAAAAC7Qy6Q=")</f>
        <v>#VALUE!</v>
      </c>
      <c r="FJ30" t="e">
        <f>AND('BBP complete'!M53,"AAAAAC7Qy6U=")</f>
        <v>#VALUE!</v>
      </c>
      <c r="FK30" t="e">
        <f>AND('BBP complete'!N53,"AAAAAC7Qy6Y=")</f>
        <v>#VALUE!</v>
      </c>
      <c r="FL30" t="e">
        <f>AND('BBP complete'!P59,"AAAAAC7Qy6c=")</f>
        <v>#VALUE!</v>
      </c>
      <c r="FM30" t="e">
        <f>AND('BBP complete'!#REF!,"AAAAAC7Qy6g=")</f>
        <v>#REF!</v>
      </c>
      <c r="FN30" t="e">
        <f>AND('BBP complete'!#REF!,"AAAAAC7Qy6k=")</f>
        <v>#REF!</v>
      </c>
      <c r="FO30" t="e">
        <f>AND('BBP complete'!#REF!,"AAAAAC7Qy6o=")</f>
        <v>#REF!</v>
      </c>
      <c r="FP30" t="e">
        <f>AND('BBP complete'!K371,"AAAAAC7Qy6s=")</f>
        <v>#VALUE!</v>
      </c>
      <c r="FQ30" t="e">
        <f>AND('BBP complete'!L371,"AAAAAC7Qy6w=")</f>
        <v>#VALUE!</v>
      </c>
      <c r="FR30" t="e">
        <f>AND('BBP complete'!M54,"AAAAAC7Qy60=")</f>
        <v>#VALUE!</v>
      </c>
      <c r="FS30" t="e">
        <f>AND('BBP complete'!N54,"AAAAAC7Qy64=")</f>
        <v>#VALUE!</v>
      </c>
      <c r="FT30" t="e">
        <f>AND('BBP complete'!P60,"AAAAAC7Qy68=")</f>
        <v>#VALUE!</v>
      </c>
      <c r="FU30" t="e">
        <f>AND('BBP complete'!#REF!,"AAAAAC7Qy7A=")</f>
        <v>#REF!</v>
      </c>
      <c r="FV30" t="e">
        <f>AND('BBP complete'!#REF!,"AAAAAC7Qy7E=")</f>
        <v>#REF!</v>
      </c>
      <c r="FW30" t="e">
        <f>AND('BBP complete'!#REF!,"AAAAAC7Qy7I=")</f>
        <v>#REF!</v>
      </c>
      <c r="FX30" t="e">
        <f>AND('BBP complete'!K372,"AAAAAC7Qy7M=")</f>
        <v>#VALUE!</v>
      </c>
      <c r="FY30" t="e">
        <f>AND('BBP complete'!L372,"AAAAAC7Qy7Q=")</f>
        <v>#VALUE!</v>
      </c>
      <c r="FZ30" t="e">
        <f>AND('BBP complete'!M55,"AAAAAC7Qy7U=")</f>
        <v>#VALUE!</v>
      </c>
      <c r="GA30" t="e">
        <f>AND('BBP complete'!N55,"AAAAAC7Qy7Y=")</f>
        <v>#VALUE!</v>
      </c>
      <c r="GB30" t="e">
        <f>AND('BBP complete'!P61,"AAAAAC7Qy7c=")</f>
        <v>#VALUE!</v>
      </c>
      <c r="GC30" t="e">
        <f>AND('BBP complete'!#REF!,"AAAAAC7Qy7g=")</f>
        <v>#REF!</v>
      </c>
      <c r="GD30" t="e">
        <f>AND('BBP complete'!#REF!,"AAAAAC7Qy7k=")</f>
        <v>#REF!</v>
      </c>
      <c r="GE30" t="e">
        <f>AND('BBP complete'!#REF!,"AAAAAC7Qy7o=")</f>
        <v>#REF!</v>
      </c>
      <c r="GF30" t="e">
        <f>AND('BBP complete'!K373,"AAAAAC7Qy7s=")</f>
        <v>#VALUE!</v>
      </c>
      <c r="GG30" t="e">
        <f>AND('BBP complete'!L373,"AAAAAC7Qy7w=")</f>
        <v>#VALUE!</v>
      </c>
      <c r="GH30" t="e">
        <f>AND('BBP complete'!M56,"AAAAAC7Qy70=")</f>
        <v>#VALUE!</v>
      </c>
      <c r="GI30" t="e">
        <f>AND('BBP complete'!N56,"AAAAAC7Qy74=")</f>
        <v>#VALUE!</v>
      </c>
      <c r="GJ30" t="e">
        <f>AND('BBP complete'!P62,"AAAAAC7Qy78=")</f>
        <v>#VALUE!</v>
      </c>
      <c r="GK30" t="e">
        <f>AND('BBP complete'!#REF!,"AAAAAC7Qy8A=")</f>
        <v>#REF!</v>
      </c>
      <c r="GL30" t="e">
        <f>AND('BBP complete'!#REF!,"AAAAAC7Qy8E=")</f>
        <v>#REF!</v>
      </c>
      <c r="GM30" t="e">
        <f>AND('BBP complete'!#REF!,"AAAAAC7Qy8I=")</f>
        <v>#REF!</v>
      </c>
      <c r="GN30" t="e">
        <f>AND('BBP complete'!K374,"AAAAAC7Qy8M=")</f>
        <v>#VALUE!</v>
      </c>
      <c r="GO30" t="e">
        <f>AND('BBP complete'!L374,"AAAAAC7Qy8Q=")</f>
        <v>#VALUE!</v>
      </c>
      <c r="GP30" t="e">
        <f>AND('BBP complete'!M57,"AAAAAC7Qy8U=")</f>
        <v>#VALUE!</v>
      </c>
      <c r="GQ30" t="e">
        <f>AND('BBP complete'!N57,"AAAAAC7Qy8Y=")</f>
        <v>#VALUE!</v>
      </c>
      <c r="GR30" t="e">
        <f>AND('BBP complete'!P63,"AAAAAC7Qy8c=")</f>
        <v>#VALUE!</v>
      </c>
      <c r="GS30" t="e">
        <f>AND('BBP complete'!#REF!,"AAAAAC7Qy8g=")</f>
        <v>#REF!</v>
      </c>
      <c r="GT30" t="e">
        <f>AND('BBP complete'!#REF!,"AAAAAC7Qy8k=")</f>
        <v>#REF!</v>
      </c>
      <c r="GU30" t="e">
        <f>AND('BBP complete'!#REF!,"AAAAAC7Qy8o=")</f>
        <v>#REF!</v>
      </c>
      <c r="GV30" t="e">
        <f>AND('BBP complete'!K375,"AAAAAC7Qy8s=")</f>
        <v>#VALUE!</v>
      </c>
      <c r="GW30" t="e">
        <f>AND('BBP complete'!L375,"AAAAAC7Qy8w=")</f>
        <v>#VALUE!</v>
      </c>
      <c r="GX30" t="e">
        <f>AND('BBP complete'!M58,"AAAAAC7Qy80=")</f>
        <v>#VALUE!</v>
      </c>
      <c r="GY30" t="e">
        <f>AND('BBP complete'!N58,"AAAAAC7Qy84=")</f>
        <v>#VALUE!</v>
      </c>
      <c r="GZ30" t="e">
        <f>AND('BBP complete'!P64,"AAAAAC7Qy88=")</f>
        <v>#VALUE!</v>
      </c>
      <c r="HA30" t="e">
        <f>AND('BBP complete'!#REF!,"AAAAAC7Qy9A=")</f>
        <v>#REF!</v>
      </c>
      <c r="HB30" t="e">
        <f>AND('BBP complete'!#REF!,"AAAAAC7Qy9E=")</f>
        <v>#REF!</v>
      </c>
      <c r="HC30" t="e">
        <f>AND('BBP complete'!#REF!,"AAAAAC7Qy9I=")</f>
        <v>#REF!</v>
      </c>
      <c r="HD30" t="e">
        <f>AND('BBP complete'!K376,"AAAAAC7Qy9M=")</f>
        <v>#VALUE!</v>
      </c>
      <c r="HE30" t="e">
        <f>AND('BBP complete'!L376,"AAAAAC7Qy9Q=")</f>
        <v>#VALUE!</v>
      </c>
      <c r="HF30" t="e">
        <f>AND('BBP complete'!M59,"AAAAAC7Qy9U=")</f>
        <v>#VALUE!</v>
      </c>
      <c r="HG30" t="e">
        <f>AND('BBP complete'!N59,"AAAAAC7Qy9Y=")</f>
        <v>#VALUE!</v>
      </c>
      <c r="HH30" t="e">
        <f>AND('BBP complete'!P65,"AAAAAC7Qy9c=")</f>
        <v>#VALUE!</v>
      </c>
      <c r="HI30" t="e">
        <f>AND('BBP complete'!#REF!,"AAAAAC7Qy9g=")</f>
        <v>#REF!</v>
      </c>
      <c r="HJ30" t="e">
        <f>AND('BBP complete'!#REF!,"AAAAAC7Qy9k=")</f>
        <v>#REF!</v>
      </c>
      <c r="HK30" t="e">
        <f>AND('BBP complete'!#REF!,"AAAAAC7Qy9o=")</f>
        <v>#REF!</v>
      </c>
      <c r="HL30" t="e">
        <f>AND('BBP complete'!K377,"AAAAAC7Qy9s=")</f>
        <v>#VALUE!</v>
      </c>
      <c r="HM30" t="e">
        <f>AND('BBP complete'!L377,"AAAAAC7Qy9w=")</f>
        <v>#VALUE!</v>
      </c>
      <c r="HN30" t="e">
        <f>AND('BBP complete'!M60,"AAAAAC7Qy90=")</f>
        <v>#VALUE!</v>
      </c>
      <c r="HO30" t="e">
        <f>AND('BBP complete'!N60,"AAAAAC7Qy94=")</f>
        <v>#VALUE!</v>
      </c>
      <c r="HP30" t="e">
        <f>AND('BBP complete'!P66,"AAAAAC7Qy98=")</f>
        <v>#VALUE!</v>
      </c>
      <c r="HQ30" t="e">
        <f>AND('BBP complete'!#REF!,"AAAAAC7Qy+A=")</f>
        <v>#REF!</v>
      </c>
      <c r="HR30" t="e">
        <f>AND('BBP complete'!#REF!,"AAAAAC7Qy+E=")</f>
        <v>#REF!</v>
      </c>
      <c r="HS30" t="e">
        <f>AND('BBP complete'!#REF!,"AAAAAC7Qy+I=")</f>
        <v>#REF!</v>
      </c>
      <c r="HT30" t="e">
        <f>AND('BBP complete'!K378,"AAAAAC7Qy+M=")</f>
        <v>#VALUE!</v>
      </c>
      <c r="HU30" t="e">
        <f>AND('BBP complete'!L378,"AAAAAC7Qy+Q=")</f>
        <v>#VALUE!</v>
      </c>
      <c r="HV30" t="e">
        <f>AND('BBP complete'!M61,"AAAAAC7Qy+U=")</f>
        <v>#VALUE!</v>
      </c>
      <c r="HW30" t="e">
        <f>AND('BBP complete'!N61,"AAAAAC7Qy+Y=")</f>
        <v>#VALUE!</v>
      </c>
      <c r="HX30" t="e">
        <f>AND('BBP complete'!P67,"AAAAAC7Qy+c=")</f>
        <v>#VALUE!</v>
      </c>
      <c r="HY30" t="e">
        <f>AND('BBP complete'!#REF!,"AAAAAC7Qy+g=")</f>
        <v>#REF!</v>
      </c>
      <c r="HZ30" t="e">
        <f>AND('BBP complete'!#REF!,"AAAAAC7Qy+k=")</f>
        <v>#REF!</v>
      </c>
      <c r="IA30" t="e">
        <f>AND('BBP complete'!#REF!,"AAAAAC7Qy+o=")</f>
        <v>#REF!</v>
      </c>
      <c r="IB30" t="e">
        <f>AND('BBP complete'!K379,"AAAAAC7Qy+s=")</f>
        <v>#VALUE!</v>
      </c>
      <c r="IC30" t="e">
        <f>AND('BBP complete'!L379,"AAAAAC7Qy+w=")</f>
        <v>#VALUE!</v>
      </c>
      <c r="ID30" t="e">
        <f>AND('BBP complete'!M62,"AAAAAC7Qy+0=")</f>
        <v>#VALUE!</v>
      </c>
      <c r="IE30" t="e">
        <f>AND('BBP complete'!N62,"AAAAAC7Qy+4=")</f>
        <v>#VALUE!</v>
      </c>
      <c r="IF30" t="e">
        <f>AND('BBP complete'!P68,"AAAAAC7Qy+8=")</f>
        <v>#VALUE!</v>
      </c>
      <c r="IG30" t="e">
        <f>AND('BBP complete'!#REF!,"AAAAAC7Qy/A=")</f>
        <v>#REF!</v>
      </c>
      <c r="IH30" t="e">
        <f>AND('BBP complete'!#REF!,"AAAAAC7Qy/E=")</f>
        <v>#REF!</v>
      </c>
      <c r="II30" t="e">
        <f>AND('BBP complete'!#REF!,"AAAAAC7Qy/I=")</f>
        <v>#REF!</v>
      </c>
      <c r="IJ30" t="e">
        <f>AND('BBP complete'!K380,"AAAAAC7Qy/M=")</f>
        <v>#VALUE!</v>
      </c>
      <c r="IK30" t="e">
        <f>AND('BBP complete'!L380,"AAAAAC7Qy/Q=")</f>
        <v>#VALUE!</v>
      </c>
      <c r="IL30" t="e">
        <f>AND('BBP complete'!M63,"AAAAAC7Qy/U=")</f>
        <v>#VALUE!</v>
      </c>
      <c r="IM30" t="e">
        <f>AND('BBP complete'!N63,"AAAAAC7Qy/Y=")</f>
        <v>#VALUE!</v>
      </c>
      <c r="IN30" t="e">
        <f>AND('BBP complete'!P69,"AAAAAC7Qy/c=")</f>
        <v>#VALUE!</v>
      </c>
      <c r="IO30" t="e">
        <f>AND('BBP complete'!#REF!,"AAAAAC7Qy/g=")</f>
        <v>#REF!</v>
      </c>
      <c r="IP30" t="e">
        <f>AND('BBP complete'!#REF!,"AAAAAC7Qy/k=")</f>
        <v>#REF!</v>
      </c>
      <c r="IQ30" t="e">
        <f>AND('BBP complete'!#REF!,"AAAAAC7Qy/o=")</f>
        <v>#REF!</v>
      </c>
      <c r="IR30" t="e">
        <f>AND('BBP complete'!K381,"AAAAAC7Qy/s=")</f>
        <v>#VALUE!</v>
      </c>
      <c r="IS30" t="e">
        <f>AND('BBP complete'!L381,"AAAAAC7Qy/w=")</f>
        <v>#VALUE!</v>
      </c>
      <c r="IT30" t="e">
        <f>AND('BBP complete'!M64,"AAAAAC7Qy/0=")</f>
        <v>#VALUE!</v>
      </c>
      <c r="IU30" t="e">
        <f>AND('BBP complete'!N64,"AAAAAC7Qy/4=")</f>
        <v>#VALUE!</v>
      </c>
      <c r="IV30" t="e">
        <f>AND('BBP complete'!P70,"AAAAAC7Qy/8=")</f>
        <v>#VALUE!</v>
      </c>
    </row>
    <row r="31" spans="1:256" ht="15" customHeight="1" x14ac:dyDescent="0.25">
      <c r="A31" t="e">
        <f>AND('BBP complete'!#REF!,"AAAAADb+vAA=")</f>
        <v>#REF!</v>
      </c>
      <c r="B31" t="e">
        <f>AND('BBP complete'!#REF!,"AAAAADb+vAE=")</f>
        <v>#REF!</v>
      </c>
      <c r="C31" t="e">
        <f>AND('BBP complete'!#REF!,"AAAAADb+vAI=")</f>
        <v>#REF!</v>
      </c>
      <c r="D31" t="e">
        <f>AND('BBP complete'!K382,"AAAAADb+vAM=")</f>
        <v>#VALUE!</v>
      </c>
      <c r="E31" t="e">
        <f>AND('BBP complete'!L382,"AAAAADb+vAQ=")</f>
        <v>#VALUE!</v>
      </c>
      <c r="F31" t="e">
        <f>AND('BBP complete'!M65,"AAAAADb+vAU=")</f>
        <v>#VALUE!</v>
      </c>
      <c r="G31" t="e">
        <f>AND('BBP complete'!N65,"AAAAADb+vAY=")</f>
        <v>#VALUE!</v>
      </c>
      <c r="H31" t="e">
        <f>AND('BBP complete'!P71,"AAAAADb+vAc=")</f>
        <v>#VALUE!</v>
      </c>
      <c r="I31" t="e">
        <f>AND('BBP complete'!#REF!,"AAAAADb+vAg=")</f>
        <v>#REF!</v>
      </c>
      <c r="J31" t="e">
        <f>AND('BBP complete'!#REF!,"AAAAADb+vAk=")</f>
        <v>#REF!</v>
      </c>
      <c r="K31" t="e">
        <f>AND('BBP complete'!#REF!,"AAAAADb+vAo=")</f>
        <v>#REF!</v>
      </c>
      <c r="L31" t="e">
        <f>AND('BBP complete'!K383,"AAAAADb+vAs=")</f>
        <v>#VALUE!</v>
      </c>
      <c r="M31" t="e">
        <f>AND('BBP complete'!L383,"AAAAADb+vAw=")</f>
        <v>#VALUE!</v>
      </c>
      <c r="N31" t="e">
        <f>AND('BBP complete'!M66,"AAAAADb+vA0=")</f>
        <v>#VALUE!</v>
      </c>
      <c r="O31" t="e">
        <f>AND('BBP complete'!N66,"AAAAADb+vA4=")</f>
        <v>#VALUE!</v>
      </c>
      <c r="P31" t="e">
        <f>AND('BBP complete'!P72,"AAAAADb+vA8=")</f>
        <v>#VALUE!</v>
      </c>
      <c r="Q31" t="e">
        <f>AND('BBP complete'!#REF!,"AAAAADb+vBA=")</f>
        <v>#REF!</v>
      </c>
      <c r="R31" t="e">
        <f>AND('BBP complete'!#REF!,"AAAAADb+vBE=")</f>
        <v>#REF!</v>
      </c>
      <c r="S31" t="e">
        <f>AND('BBP complete'!#REF!,"AAAAADb+vBI=")</f>
        <v>#REF!</v>
      </c>
      <c r="T31" t="e">
        <f>AND('BBP complete'!K384,"AAAAADb+vBM=")</f>
        <v>#VALUE!</v>
      </c>
      <c r="U31" t="e">
        <f>AND('BBP complete'!L384,"AAAAADb+vBQ=")</f>
        <v>#VALUE!</v>
      </c>
      <c r="V31" t="e">
        <f>AND('BBP complete'!M67,"AAAAADb+vBU=")</f>
        <v>#VALUE!</v>
      </c>
      <c r="W31" t="e">
        <f>AND('BBP complete'!N67,"AAAAADb+vBY=")</f>
        <v>#VALUE!</v>
      </c>
      <c r="X31" t="e">
        <f>AND('BBP complete'!P73,"AAAAADb+vBc=")</f>
        <v>#VALUE!</v>
      </c>
      <c r="Y31" t="e">
        <f>AND('BBP complete'!#REF!,"AAAAADb+vBg=")</f>
        <v>#REF!</v>
      </c>
      <c r="Z31" t="e">
        <f>AND('BBP complete'!#REF!,"AAAAADb+vBk=")</f>
        <v>#REF!</v>
      </c>
      <c r="AA31" t="e">
        <f>AND('BBP complete'!#REF!,"AAAAADb+vBo=")</f>
        <v>#REF!</v>
      </c>
      <c r="AB31" t="e">
        <f>AND('BBP complete'!K385,"AAAAADb+vBs=")</f>
        <v>#VALUE!</v>
      </c>
      <c r="AC31" t="e">
        <f>AND('BBP complete'!L385,"AAAAADb+vBw=")</f>
        <v>#VALUE!</v>
      </c>
      <c r="AD31" t="e">
        <f>AND('BBP complete'!M68,"AAAAADb+vB0=")</f>
        <v>#VALUE!</v>
      </c>
      <c r="AE31" t="e">
        <f>AND('BBP complete'!N68,"AAAAADb+vB4=")</f>
        <v>#VALUE!</v>
      </c>
      <c r="AF31" t="e">
        <f>AND('BBP complete'!P74,"AAAAADb+vB8=")</f>
        <v>#VALUE!</v>
      </c>
      <c r="AG31" t="e">
        <f>AND('BBP complete'!#REF!,"AAAAADb+vCA=")</f>
        <v>#REF!</v>
      </c>
      <c r="AH31" t="e">
        <f>AND('BBP complete'!#REF!,"AAAAADb+vCE=")</f>
        <v>#REF!</v>
      </c>
      <c r="AI31" t="e">
        <f>AND('BBP complete'!#REF!,"AAAAADb+vCI=")</f>
        <v>#REF!</v>
      </c>
      <c r="AJ31" t="e">
        <f>AND('BBP complete'!K386,"AAAAADb+vCM=")</f>
        <v>#VALUE!</v>
      </c>
      <c r="AK31" t="e">
        <f>AND('BBP complete'!L386,"AAAAADb+vCQ=")</f>
        <v>#VALUE!</v>
      </c>
      <c r="AL31" t="e">
        <f>AND('BBP complete'!M69,"AAAAADb+vCU=")</f>
        <v>#VALUE!</v>
      </c>
      <c r="AM31" t="e">
        <f>AND('BBP complete'!N69,"AAAAADb+vCY=")</f>
        <v>#VALUE!</v>
      </c>
      <c r="AN31" t="e">
        <f>AND('BBP complete'!P75,"AAAAADb+vCc=")</f>
        <v>#VALUE!</v>
      </c>
      <c r="AO31" t="e">
        <f>AND('BBP complete'!#REF!,"AAAAADb+vCg=")</f>
        <v>#REF!</v>
      </c>
      <c r="AP31" t="e">
        <f>AND('BBP complete'!#REF!,"AAAAADb+vCk=")</f>
        <v>#REF!</v>
      </c>
      <c r="AQ31" t="e">
        <f>AND('BBP complete'!#REF!,"AAAAADb+vCo=")</f>
        <v>#REF!</v>
      </c>
      <c r="AR31" t="e">
        <f>AND('BBP complete'!K387,"AAAAADb+vCs=")</f>
        <v>#VALUE!</v>
      </c>
      <c r="AS31" t="e">
        <f>AND('BBP complete'!L387,"AAAAADb+vCw=")</f>
        <v>#VALUE!</v>
      </c>
      <c r="AT31" t="e">
        <f>AND('BBP complete'!M70,"AAAAADb+vC0=")</f>
        <v>#VALUE!</v>
      </c>
      <c r="AU31" t="e">
        <f>AND('BBP complete'!N70,"AAAAADb+vC4=")</f>
        <v>#VALUE!</v>
      </c>
      <c r="AV31" t="e">
        <f>AND('BBP complete'!P76,"AAAAADb+vC8=")</f>
        <v>#VALUE!</v>
      </c>
      <c r="AW31" t="e">
        <f>AND('BBP complete'!#REF!,"AAAAADb+vDA=")</f>
        <v>#REF!</v>
      </c>
      <c r="AX31" t="e">
        <f>AND('BBP complete'!#REF!,"AAAAADb+vDE=")</f>
        <v>#REF!</v>
      </c>
      <c r="AY31" t="e">
        <f>AND('BBP complete'!#REF!,"AAAAADb+vDI=")</f>
        <v>#REF!</v>
      </c>
      <c r="AZ31" t="e">
        <f>AND('BBP complete'!K388,"AAAAADb+vDM=")</f>
        <v>#VALUE!</v>
      </c>
      <c r="BA31" t="e">
        <f>AND('BBP complete'!L388,"AAAAADb+vDQ=")</f>
        <v>#VALUE!</v>
      </c>
      <c r="BB31" t="e">
        <f>AND('BBP complete'!M71,"AAAAADb+vDU=")</f>
        <v>#VALUE!</v>
      </c>
      <c r="BC31" t="e">
        <f>AND('BBP complete'!N71,"AAAAADb+vDY=")</f>
        <v>#VALUE!</v>
      </c>
      <c r="BD31" t="e">
        <f>AND('BBP complete'!P77,"AAAAADb+vDc=")</f>
        <v>#VALUE!</v>
      </c>
      <c r="BE31" t="e">
        <f>AND('BBP complete'!#REF!,"AAAAADb+vDg=")</f>
        <v>#REF!</v>
      </c>
      <c r="BF31" t="e">
        <f>AND('BBP complete'!#REF!,"AAAAADb+vDk=")</f>
        <v>#REF!</v>
      </c>
      <c r="BG31" t="e">
        <f>AND('BBP complete'!#REF!,"AAAAADb+vDo=")</f>
        <v>#REF!</v>
      </c>
      <c r="BH31" t="e">
        <f>AND('BBP complete'!K389,"AAAAADb+vDs=")</f>
        <v>#VALUE!</v>
      </c>
      <c r="BI31" t="e">
        <f>AND('BBP complete'!L389,"AAAAADb+vDw=")</f>
        <v>#VALUE!</v>
      </c>
      <c r="BJ31" t="e">
        <f>AND('BBP complete'!M72,"AAAAADb+vD0=")</f>
        <v>#VALUE!</v>
      </c>
      <c r="BK31" t="e">
        <f>AND('BBP complete'!N72,"AAAAADb+vD4=")</f>
        <v>#VALUE!</v>
      </c>
      <c r="BL31" t="e">
        <f>AND('BBP complete'!P78,"AAAAADb+vD8=")</f>
        <v>#VALUE!</v>
      </c>
      <c r="BM31" t="e">
        <f>AND('BBP complete'!#REF!,"AAAAADb+vEA=")</f>
        <v>#REF!</v>
      </c>
      <c r="BN31" t="e">
        <f>AND('BBP complete'!#REF!,"AAAAADb+vEE=")</f>
        <v>#REF!</v>
      </c>
      <c r="BO31" t="e">
        <f>AND('BBP complete'!#REF!,"AAAAADb+vEI=")</f>
        <v>#REF!</v>
      </c>
      <c r="BP31" t="e">
        <f>AND('BBP complete'!K390,"AAAAADb+vEM=")</f>
        <v>#VALUE!</v>
      </c>
      <c r="BQ31" t="e">
        <f>AND('BBP complete'!L390,"AAAAADb+vEQ=")</f>
        <v>#VALUE!</v>
      </c>
      <c r="BR31" t="e">
        <f>AND('BBP complete'!M73,"AAAAADb+vEU=")</f>
        <v>#VALUE!</v>
      </c>
      <c r="BS31" t="e">
        <f>AND('BBP complete'!N73,"AAAAADb+vEY=")</f>
        <v>#VALUE!</v>
      </c>
      <c r="BT31" t="e">
        <f>AND('BBP complete'!P79,"AAAAADb+vEc=")</f>
        <v>#VALUE!</v>
      </c>
      <c r="BU31" t="e">
        <f>AND('BBP complete'!#REF!,"AAAAADb+vEg=")</f>
        <v>#REF!</v>
      </c>
      <c r="BV31" t="e">
        <f>AND('BBP complete'!#REF!,"AAAAADb+vEk=")</f>
        <v>#REF!</v>
      </c>
      <c r="BW31" t="e">
        <f>AND('BBP complete'!#REF!,"AAAAADb+vEo=")</f>
        <v>#REF!</v>
      </c>
      <c r="BX31" t="e">
        <f>AND('BBP complete'!K391,"AAAAADb+vEs=")</f>
        <v>#VALUE!</v>
      </c>
      <c r="BY31" t="e">
        <f>AND('BBP complete'!L391,"AAAAADb+vEw=")</f>
        <v>#VALUE!</v>
      </c>
      <c r="BZ31" t="e">
        <f>AND('BBP complete'!M74,"AAAAADb+vE0=")</f>
        <v>#VALUE!</v>
      </c>
      <c r="CA31" t="e">
        <f>AND('BBP complete'!N74,"AAAAADb+vE4=")</f>
        <v>#VALUE!</v>
      </c>
      <c r="CB31" t="e">
        <f>AND('BBP complete'!P80,"AAAAADb+vE8=")</f>
        <v>#VALUE!</v>
      </c>
      <c r="CC31" t="e">
        <f>AND('BBP complete'!#REF!,"AAAAADb+vFA=")</f>
        <v>#REF!</v>
      </c>
      <c r="CD31" t="e">
        <f>AND('BBP complete'!#REF!,"AAAAADb+vFE=")</f>
        <v>#REF!</v>
      </c>
      <c r="CE31" t="e">
        <f>AND('BBP complete'!#REF!,"AAAAADb+vFI=")</f>
        <v>#REF!</v>
      </c>
      <c r="CF31" t="e">
        <f>AND('BBP complete'!K392,"AAAAADb+vFM=")</f>
        <v>#VALUE!</v>
      </c>
      <c r="CG31" t="e">
        <f>AND('BBP complete'!L392,"AAAAADb+vFQ=")</f>
        <v>#VALUE!</v>
      </c>
      <c r="CH31" t="e">
        <f>AND('BBP complete'!M75,"AAAAADb+vFU=")</f>
        <v>#VALUE!</v>
      </c>
      <c r="CI31" t="e">
        <f>AND('BBP complete'!N75,"AAAAADb+vFY=")</f>
        <v>#VALUE!</v>
      </c>
      <c r="CJ31" t="e">
        <f>AND('BBP complete'!P81,"AAAAADb+vFc=")</f>
        <v>#VALUE!</v>
      </c>
      <c r="CK31" t="e">
        <f>AND('BBP complete'!#REF!,"AAAAADb+vFg=")</f>
        <v>#REF!</v>
      </c>
      <c r="CL31" t="e">
        <f>AND('BBP complete'!#REF!,"AAAAADb+vFk=")</f>
        <v>#REF!</v>
      </c>
      <c r="CM31" t="e">
        <f>AND('BBP complete'!#REF!,"AAAAADb+vFo=")</f>
        <v>#REF!</v>
      </c>
      <c r="CN31" t="e">
        <f>AND('BBP complete'!K393,"AAAAADb+vFs=")</f>
        <v>#VALUE!</v>
      </c>
      <c r="CO31" t="e">
        <f>AND('BBP complete'!L393,"AAAAADb+vFw=")</f>
        <v>#VALUE!</v>
      </c>
      <c r="CP31" t="e">
        <f>AND('BBP complete'!M76,"AAAAADb+vF0=")</f>
        <v>#VALUE!</v>
      </c>
      <c r="CQ31" t="e">
        <f>AND('BBP complete'!N76,"AAAAADb+vF4=")</f>
        <v>#VALUE!</v>
      </c>
      <c r="CR31" t="e">
        <f>AND('BBP complete'!P82,"AAAAADb+vF8=")</f>
        <v>#VALUE!</v>
      </c>
      <c r="CS31" t="e">
        <f>AND('BBP complete'!#REF!,"AAAAADb+vGA=")</f>
        <v>#REF!</v>
      </c>
      <c r="CT31" t="e">
        <f>AND('BBP complete'!#REF!,"AAAAADb+vGE=")</f>
        <v>#REF!</v>
      </c>
      <c r="CU31" t="e">
        <f>AND('BBP complete'!#REF!,"AAAAADb+vGI=")</f>
        <v>#REF!</v>
      </c>
      <c r="CV31" t="e">
        <f>AND('BBP complete'!K394,"AAAAADb+vGM=")</f>
        <v>#VALUE!</v>
      </c>
      <c r="CW31" t="e">
        <f>AND('BBP complete'!L394,"AAAAADb+vGQ=")</f>
        <v>#VALUE!</v>
      </c>
      <c r="CX31" t="e">
        <f>AND('BBP complete'!M77,"AAAAADb+vGU=")</f>
        <v>#VALUE!</v>
      </c>
      <c r="CY31" t="e">
        <f>AND('BBP complete'!N77,"AAAAADb+vGY=")</f>
        <v>#VALUE!</v>
      </c>
      <c r="CZ31" t="e">
        <f>AND('BBP complete'!P83,"AAAAADb+vGc=")</f>
        <v>#VALUE!</v>
      </c>
      <c r="DA31" t="e">
        <f>AND('BBP complete'!#REF!,"AAAAADb+vGg=")</f>
        <v>#REF!</v>
      </c>
      <c r="DB31" t="e">
        <f>AND('BBP complete'!#REF!,"AAAAADb+vGk=")</f>
        <v>#REF!</v>
      </c>
      <c r="DC31" t="e">
        <f>AND('BBP complete'!#REF!,"AAAAADb+vGo=")</f>
        <v>#REF!</v>
      </c>
      <c r="DD31" t="e">
        <f>AND('BBP complete'!K395,"AAAAADb+vGs=")</f>
        <v>#VALUE!</v>
      </c>
      <c r="DE31" t="e">
        <f>AND('BBP complete'!L395,"AAAAADb+vGw=")</f>
        <v>#VALUE!</v>
      </c>
      <c r="DF31" t="e">
        <f>AND('BBP complete'!M78,"AAAAADb+vG0=")</f>
        <v>#VALUE!</v>
      </c>
      <c r="DG31" t="e">
        <f>AND('BBP complete'!N78,"AAAAADb+vG4=")</f>
        <v>#VALUE!</v>
      </c>
      <c r="DH31" t="e">
        <f>AND('BBP complete'!P84,"AAAAADb+vG8=")</f>
        <v>#VALUE!</v>
      </c>
      <c r="DI31" t="e">
        <f>AND('BBP complete'!#REF!,"AAAAADb+vHA=")</f>
        <v>#REF!</v>
      </c>
      <c r="DJ31" t="e">
        <f>AND('BBP complete'!#REF!,"AAAAADb+vHE=")</f>
        <v>#REF!</v>
      </c>
      <c r="DK31" t="e">
        <f>AND('BBP complete'!#REF!,"AAAAADb+vHI=")</f>
        <v>#REF!</v>
      </c>
      <c r="DL31" t="e">
        <f>AND('BBP complete'!K396,"AAAAADb+vHM=")</f>
        <v>#VALUE!</v>
      </c>
      <c r="DM31" t="e">
        <f>AND('BBP complete'!L396,"AAAAADb+vHQ=")</f>
        <v>#VALUE!</v>
      </c>
      <c r="DN31" t="e">
        <f>AND('BBP complete'!M79,"AAAAADb+vHU=")</f>
        <v>#VALUE!</v>
      </c>
      <c r="DO31" t="e">
        <f>AND('BBP complete'!N79,"AAAAADb+vHY=")</f>
        <v>#VALUE!</v>
      </c>
      <c r="DP31" t="e">
        <f>AND('BBP complete'!P85,"AAAAADb+vHc=")</f>
        <v>#VALUE!</v>
      </c>
      <c r="DQ31" t="e">
        <f>AND('BBP complete'!#REF!,"AAAAADb+vHg=")</f>
        <v>#REF!</v>
      </c>
      <c r="DR31" t="e">
        <f>AND('BBP complete'!#REF!,"AAAAADb+vHk=")</f>
        <v>#REF!</v>
      </c>
      <c r="DS31" t="e">
        <f>AND('BBP complete'!#REF!,"AAAAADb+vHo=")</f>
        <v>#REF!</v>
      </c>
      <c r="DT31" t="e">
        <f>AND('BBP complete'!K397,"AAAAADb+vHs=")</f>
        <v>#VALUE!</v>
      </c>
      <c r="DU31" t="e">
        <f>AND('BBP complete'!L397,"AAAAADb+vHw=")</f>
        <v>#VALUE!</v>
      </c>
      <c r="DV31" t="e">
        <f>AND('BBP complete'!M80,"AAAAADb+vH0=")</f>
        <v>#VALUE!</v>
      </c>
      <c r="DW31" t="e">
        <f>AND('BBP complete'!N80,"AAAAADb+vH4=")</f>
        <v>#VALUE!</v>
      </c>
      <c r="DX31" t="e">
        <f>AND('BBP complete'!P86,"AAAAADb+vH8=")</f>
        <v>#VALUE!</v>
      </c>
      <c r="DY31" t="e">
        <f>AND('BBP complete'!#REF!,"AAAAADb+vIA=")</f>
        <v>#REF!</v>
      </c>
      <c r="DZ31" t="e">
        <f>AND('BBP complete'!#REF!,"AAAAADb+vIE=")</f>
        <v>#REF!</v>
      </c>
      <c r="EA31" t="e">
        <f>AND('BBP complete'!#REF!,"AAAAADb+vII=")</f>
        <v>#REF!</v>
      </c>
      <c r="EB31" t="e">
        <f>AND('BBP complete'!K398,"AAAAADb+vIM=")</f>
        <v>#VALUE!</v>
      </c>
      <c r="EC31" t="e">
        <f>AND('BBP complete'!L398,"AAAAADb+vIQ=")</f>
        <v>#VALUE!</v>
      </c>
      <c r="ED31" t="e">
        <f>AND('BBP complete'!M81,"AAAAADb+vIU=")</f>
        <v>#VALUE!</v>
      </c>
      <c r="EE31" t="e">
        <f>AND('BBP complete'!N81,"AAAAADb+vIY=")</f>
        <v>#VALUE!</v>
      </c>
      <c r="EF31" t="e">
        <f>AND('BBP complete'!P87,"AAAAADb+vIc=")</f>
        <v>#VALUE!</v>
      </c>
      <c r="EG31" t="e">
        <f>AND('BBP complete'!#REF!,"AAAAADb+vIg=")</f>
        <v>#REF!</v>
      </c>
      <c r="EH31" t="e">
        <f>AND('BBP complete'!#REF!,"AAAAADb+vIk=")</f>
        <v>#REF!</v>
      </c>
      <c r="EI31" t="e">
        <f>AND('BBP complete'!#REF!,"AAAAADb+vIo=")</f>
        <v>#REF!</v>
      </c>
      <c r="EJ31" t="e">
        <f>AND('BBP complete'!K399,"AAAAADb+vIs=")</f>
        <v>#VALUE!</v>
      </c>
      <c r="EK31" t="e">
        <f>AND('BBP complete'!L399,"AAAAADb+vIw=")</f>
        <v>#VALUE!</v>
      </c>
      <c r="EL31" t="e">
        <f>AND('BBP complete'!M82,"AAAAADb+vI0=")</f>
        <v>#VALUE!</v>
      </c>
      <c r="EM31" t="e">
        <f>AND('BBP complete'!N82,"AAAAADb+vI4=")</f>
        <v>#VALUE!</v>
      </c>
      <c r="EN31" t="e">
        <f>AND('BBP complete'!P88,"AAAAADb+vI8=")</f>
        <v>#VALUE!</v>
      </c>
      <c r="EO31" t="e">
        <f>AND('BBP complete'!#REF!,"AAAAADb+vJA=")</f>
        <v>#REF!</v>
      </c>
      <c r="EP31" t="e">
        <f>AND('BBP complete'!#REF!,"AAAAADb+vJE=")</f>
        <v>#REF!</v>
      </c>
      <c r="EQ31" t="e">
        <f>AND('BBP complete'!#REF!,"AAAAADb+vJI=")</f>
        <v>#REF!</v>
      </c>
      <c r="ER31" t="e">
        <f>AND('BBP complete'!K400,"AAAAADb+vJM=")</f>
        <v>#VALUE!</v>
      </c>
      <c r="ES31" t="e">
        <f>AND('BBP complete'!L400,"AAAAADb+vJQ=")</f>
        <v>#VALUE!</v>
      </c>
      <c r="ET31" t="e">
        <f>AND('BBP complete'!M83,"AAAAADb+vJU=")</f>
        <v>#VALUE!</v>
      </c>
      <c r="EU31" t="e">
        <f>AND('BBP complete'!N83,"AAAAADb+vJY=")</f>
        <v>#VALUE!</v>
      </c>
      <c r="EV31" t="e">
        <f>AND('BBP complete'!P89,"AAAAADb+vJc=")</f>
        <v>#VALUE!</v>
      </c>
      <c r="EW31" t="e">
        <f>AND('BBP complete'!#REF!,"AAAAADb+vJg=")</f>
        <v>#REF!</v>
      </c>
      <c r="EX31" t="e">
        <f>AND('BBP complete'!#REF!,"AAAAADb+vJk=")</f>
        <v>#REF!</v>
      </c>
      <c r="EY31" t="e">
        <f>AND('BBP complete'!#REF!,"AAAAADb+vJo=")</f>
        <v>#REF!</v>
      </c>
      <c r="EZ31" t="e">
        <f>AND('BBP complete'!K401,"AAAAADb+vJs=")</f>
        <v>#VALUE!</v>
      </c>
      <c r="FA31" t="e">
        <f>AND('BBP complete'!L401,"AAAAADb+vJw=")</f>
        <v>#VALUE!</v>
      </c>
      <c r="FB31" t="e">
        <f>AND('BBP complete'!M84,"AAAAADb+vJ0=")</f>
        <v>#VALUE!</v>
      </c>
      <c r="FC31" t="e">
        <f>AND('BBP complete'!N84,"AAAAADb+vJ4=")</f>
        <v>#VALUE!</v>
      </c>
      <c r="FD31" t="e">
        <f>AND('BBP complete'!P90,"AAAAADb+vJ8=")</f>
        <v>#VALUE!</v>
      </c>
      <c r="FE31" t="e">
        <f>AND('BBP complete'!#REF!,"AAAAADb+vKA=")</f>
        <v>#REF!</v>
      </c>
      <c r="FF31" t="e">
        <f>AND('BBP complete'!#REF!,"AAAAADb+vKE=")</f>
        <v>#REF!</v>
      </c>
      <c r="FG31" t="e">
        <f>AND('BBP complete'!#REF!,"AAAAADb+vKI=")</f>
        <v>#REF!</v>
      </c>
      <c r="FH31" t="e">
        <f>AND('BBP complete'!K402,"AAAAADb+vKM=")</f>
        <v>#VALUE!</v>
      </c>
      <c r="FI31" t="e">
        <f>AND('BBP complete'!L402,"AAAAADb+vKQ=")</f>
        <v>#VALUE!</v>
      </c>
      <c r="FJ31" t="e">
        <f>AND('BBP complete'!M85,"AAAAADb+vKU=")</f>
        <v>#VALUE!</v>
      </c>
      <c r="FK31" t="e">
        <f>AND('BBP complete'!N85,"AAAAADb+vKY=")</f>
        <v>#VALUE!</v>
      </c>
      <c r="FL31" t="e">
        <f>AND('BBP complete'!P91,"AAAAADb+vKc=")</f>
        <v>#VALUE!</v>
      </c>
      <c r="FM31" t="e">
        <f>AND('BBP complete'!#REF!,"AAAAADb+vKg=")</f>
        <v>#REF!</v>
      </c>
      <c r="FN31" t="e">
        <f>AND('BBP complete'!#REF!,"AAAAADb+vKk=")</f>
        <v>#REF!</v>
      </c>
      <c r="FO31" t="e">
        <f>AND('BBP complete'!#REF!,"AAAAADb+vKo=")</f>
        <v>#REF!</v>
      </c>
      <c r="FP31" t="e">
        <f>AND('BBP complete'!K403,"AAAAADb+vKs=")</f>
        <v>#VALUE!</v>
      </c>
      <c r="FQ31" t="e">
        <f>AND('BBP complete'!L403,"AAAAADb+vKw=")</f>
        <v>#VALUE!</v>
      </c>
      <c r="FR31" t="e">
        <f>AND('BBP complete'!M86,"AAAAADb+vK0=")</f>
        <v>#VALUE!</v>
      </c>
      <c r="FS31" t="e">
        <f>AND('BBP complete'!N86,"AAAAADb+vK4=")</f>
        <v>#VALUE!</v>
      </c>
      <c r="FT31" t="e">
        <f>AND('BBP complete'!P92,"AAAAADb+vK8=")</f>
        <v>#VALUE!</v>
      </c>
      <c r="FU31" t="e">
        <f>AND('BBP complete'!#REF!,"AAAAADb+vLA=")</f>
        <v>#REF!</v>
      </c>
      <c r="FV31" t="e">
        <f>AND('BBP complete'!#REF!,"AAAAADb+vLE=")</f>
        <v>#REF!</v>
      </c>
      <c r="FW31" t="e">
        <f>AND('BBP complete'!#REF!,"AAAAADb+vLI=")</f>
        <v>#REF!</v>
      </c>
      <c r="FX31" t="e">
        <f>AND('BBP complete'!K404,"AAAAADb+vLM=")</f>
        <v>#VALUE!</v>
      </c>
      <c r="FY31" t="e">
        <f>AND('BBP complete'!L404,"AAAAADb+vLQ=")</f>
        <v>#VALUE!</v>
      </c>
      <c r="FZ31" t="e">
        <f>AND('BBP complete'!M87,"AAAAADb+vLU=")</f>
        <v>#VALUE!</v>
      </c>
      <c r="GA31" t="e">
        <f>AND('BBP complete'!N87,"AAAAADb+vLY=")</f>
        <v>#VALUE!</v>
      </c>
      <c r="GB31" t="e">
        <f>AND('BBP complete'!P93,"AAAAADb+vLc=")</f>
        <v>#VALUE!</v>
      </c>
      <c r="GC31" t="e">
        <f>AND('BBP complete'!#REF!,"AAAAADb+vLg=")</f>
        <v>#REF!</v>
      </c>
      <c r="GD31" t="e">
        <f>AND('BBP complete'!#REF!,"AAAAADb+vLk=")</f>
        <v>#REF!</v>
      </c>
      <c r="GE31" t="e">
        <f>AND('BBP complete'!#REF!,"AAAAADb+vLo=")</f>
        <v>#REF!</v>
      </c>
      <c r="GF31" t="e">
        <f>AND('BBP complete'!K405,"AAAAADb+vLs=")</f>
        <v>#VALUE!</v>
      </c>
      <c r="GG31" t="e">
        <f>AND('BBP complete'!L405,"AAAAADb+vLw=")</f>
        <v>#VALUE!</v>
      </c>
      <c r="GH31" t="e">
        <f>AND('BBP complete'!M88,"AAAAADb+vL0=")</f>
        <v>#VALUE!</v>
      </c>
      <c r="GI31" t="e">
        <f>AND('BBP complete'!N88,"AAAAADb+vL4=")</f>
        <v>#VALUE!</v>
      </c>
      <c r="GJ31" t="e">
        <f>AND('BBP complete'!P94,"AAAAADb+vL8=")</f>
        <v>#VALUE!</v>
      </c>
      <c r="GK31" t="e">
        <f>AND('BBP complete'!#REF!,"AAAAADb+vMA=")</f>
        <v>#REF!</v>
      </c>
      <c r="GL31" t="e">
        <f>AND('BBP complete'!#REF!,"AAAAADb+vME=")</f>
        <v>#REF!</v>
      </c>
      <c r="GM31" t="e">
        <f>AND('BBP complete'!#REF!,"AAAAADb+vMI=")</f>
        <v>#REF!</v>
      </c>
      <c r="GN31" t="e">
        <f>AND('BBP complete'!K406,"AAAAADb+vMM=")</f>
        <v>#VALUE!</v>
      </c>
      <c r="GO31" t="e">
        <f>AND('BBP complete'!L406,"AAAAADb+vMQ=")</f>
        <v>#VALUE!</v>
      </c>
      <c r="GP31" t="e">
        <f>AND('BBP complete'!M89,"AAAAADb+vMU=")</f>
        <v>#VALUE!</v>
      </c>
      <c r="GQ31" t="e">
        <f>AND('BBP complete'!N89,"AAAAADb+vMY=")</f>
        <v>#VALUE!</v>
      </c>
      <c r="GR31" t="e">
        <f>AND('BBP complete'!P95,"AAAAADb+vMc=")</f>
        <v>#VALUE!</v>
      </c>
      <c r="GS31" t="e">
        <f>AND('BBP complete'!#REF!,"AAAAADb+vMg=")</f>
        <v>#REF!</v>
      </c>
      <c r="GT31" t="e">
        <f>AND('BBP complete'!#REF!,"AAAAADb+vMk=")</f>
        <v>#REF!</v>
      </c>
      <c r="GU31" t="e">
        <f>AND('BBP complete'!#REF!,"AAAAADb+vMo=")</f>
        <v>#REF!</v>
      </c>
      <c r="GV31" t="e">
        <f>AND('BBP complete'!K407,"AAAAADb+vMs=")</f>
        <v>#VALUE!</v>
      </c>
      <c r="GW31" t="e">
        <f>AND('BBP complete'!L407,"AAAAADb+vMw=")</f>
        <v>#VALUE!</v>
      </c>
      <c r="GX31" t="e">
        <f>AND('BBP complete'!M90,"AAAAADb+vM0=")</f>
        <v>#VALUE!</v>
      </c>
      <c r="GY31" t="e">
        <f>AND('BBP complete'!N90,"AAAAADb+vM4=")</f>
        <v>#VALUE!</v>
      </c>
      <c r="GZ31" t="e">
        <f>AND('BBP complete'!P96,"AAAAADb+vM8=")</f>
        <v>#VALUE!</v>
      </c>
      <c r="HA31" t="e">
        <f>AND('BBP complete'!#REF!,"AAAAADb+vNA=")</f>
        <v>#REF!</v>
      </c>
      <c r="HB31" t="e">
        <f>AND('BBP complete'!#REF!,"AAAAADb+vNE=")</f>
        <v>#REF!</v>
      </c>
      <c r="HC31" t="e">
        <f>AND('BBP complete'!#REF!,"AAAAADb+vNI=")</f>
        <v>#REF!</v>
      </c>
      <c r="HD31" t="e">
        <f>AND('BBP complete'!K408,"AAAAADb+vNM=")</f>
        <v>#VALUE!</v>
      </c>
      <c r="HE31" t="e">
        <f>AND('BBP complete'!L408,"AAAAADb+vNQ=")</f>
        <v>#VALUE!</v>
      </c>
      <c r="HF31" t="e">
        <f>AND('BBP complete'!M91,"AAAAADb+vNU=")</f>
        <v>#VALUE!</v>
      </c>
      <c r="HG31" t="e">
        <f>AND('BBP complete'!N91,"AAAAADb+vNY=")</f>
        <v>#VALUE!</v>
      </c>
      <c r="HH31" t="e">
        <f>AND('BBP complete'!P97,"AAAAADb+vNc=")</f>
        <v>#VALUE!</v>
      </c>
      <c r="HI31" t="e">
        <f>AND('BBP complete'!#REF!,"AAAAADb+vNg=")</f>
        <v>#REF!</v>
      </c>
      <c r="HJ31" t="e">
        <f>AND('BBP complete'!#REF!,"AAAAADb+vNk=")</f>
        <v>#REF!</v>
      </c>
      <c r="HK31" t="e">
        <f>AND('BBP complete'!#REF!,"AAAAADb+vNo=")</f>
        <v>#REF!</v>
      </c>
      <c r="HL31" t="e">
        <f>AND('BBP complete'!K409,"AAAAADb+vNs=")</f>
        <v>#VALUE!</v>
      </c>
      <c r="HM31" t="e">
        <f>AND('BBP complete'!L409,"AAAAADb+vNw=")</f>
        <v>#VALUE!</v>
      </c>
      <c r="HN31" t="e">
        <f>AND('BBP complete'!M92,"AAAAADb+vN0=")</f>
        <v>#VALUE!</v>
      </c>
      <c r="HO31" t="e">
        <f>AND('BBP complete'!N92,"AAAAADb+vN4=")</f>
        <v>#VALUE!</v>
      </c>
      <c r="HP31" t="e">
        <f>AND('BBP complete'!P98,"AAAAADb+vN8=")</f>
        <v>#VALUE!</v>
      </c>
      <c r="HQ31" t="e">
        <f>AND('BBP complete'!#REF!,"AAAAADb+vOA=")</f>
        <v>#REF!</v>
      </c>
      <c r="HR31" t="e">
        <f>AND('BBP complete'!#REF!,"AAAAADb+vOE=")</f>
        <v>#REF!</v>
      </c>
      <c r="HS31" t="e">
        <f>AND('BBP complete'!#REF!,"AAAAADb+vOI=")</f>
        <v>#REF!</v>
      </c>
      <c r="HT31" t="e">
        <f>AND('BBP complete'!K410,"AAAAADb+vOM=")</f>
        <v>#VALUE!</v>
      </c>
      <c r="HU31" t="e">
        <f>AND('BBP complete'!L410,"AAAAADb+vOQ=")</f>
        <v>#VALUE!</v>
      </c>
      <c r="HV31" t="e">
        <f>AND('BBP complete'!M93,"AAAAADb+vOU=")</f>
        <v>#VALUE!</v>
      </c>
      <c r="HW31" t="e">
        <f>AND('BBP complete'!N93,"AAAAADb+vOY=")</f>
        <v>#VALUE!</v>
      </c>
      <c r="HX31" t="e">
        <f>AND('BBP complete'!P99,"AAAAADb+vOc=")</f>
        <v>#VALUE!</v>
      </c>
      <c r="HY31" t="e">
        <f>AND('BBP complete'!#REF!,"AAAAADb+vOg=")</f>
        <v>#REF!</v>
      </c>
      <c r="HZ31" t="e">
        <f>AND('BBP complete'!#REF!,"AAAAADb+vOk=")</f>
        <v>#REF!</v>
      </c>
      <c r="IA31" t="e">
        <f>AND('BBP complete'!#REF!,"AAAAADb+vOo=")</f>
        <v>#REF!</v>
      </c>
      <c r="IB31" t="e">
        <f>AND('BBP complete'!K411,"AAAAADb+vOs=")</f>
        <v>#VALUE!</v>
      </c>
      <c r="IC31" t="e">
        <f>AND('BBP complete'!L411,"AAAAADb+vOw=")</f>
        <v>#VALUE!</v>
      </c>
      <c r="ID31" t="e">
        <f>AND('BBP complete'!M94,"AAAAADb+vO0=")</f>
        <v>#VALUE!</v>
      </c>
      <c r="IE31" t="e">
        <f>AND('BBP complete'!N94,"AAAAADb+vO4=")</f>
        <v>#VALUE!</v>
      </c>
      <c r="IF31" t="e">
        <f>AND('BBP complete'!P100,"AAAAADb+vO8=")</f>
        <v>#VALUE!</v>
      </c>
      <c r="IG31" t="e">
        <f>AND('BBP complete'!#REF!,"AAAAADb+vPA=")</f>
        <v>#REF!</v>
      </c>
      <c r="IH31" t="e">
        <f>AND('BBP complete'!#REF!,"AAAAADb+vPE=")</f>
        <v>#REF!</v>
      </c>
      <c r="II31" t="e">
        <f>AND('BBP complete'!#REF!,"AAAAADb+vPI=")</f>
        <v>#REF!</v>
      </c>
      <c r="IJ31" t="e">
        <f>AND('BBP complete'!K412,"AAAAADb+vPM=")</f>
        <v>#VALUE!</v>
      </c>
      <c r="IK31" t="e">
        <f>AND('BBP complete'!L412,"AAAAADb+vPQ=")</f>
        <v>#VALUE!</v>
      </c>
      <c r="IL31" t="e">
        <f>AND('BBP complete'!M95,"AAAAADb+vPU=")</f>
        <v>#VALUE!</v>
      </c>
      <c r="IM31" t="e">
        <f>AND('BBP complete'!N95,"AAAAADb+vPY=")</f>
        <v>#VALUE!</v>
      </c>
      <c r="IN31" t="e">
        <f>AND('BBP complete'!P101,"AAAAADb+vPc=")</f>
        <v>#VALUE!</v>
      </c>
      <c r="IO31" t="e">
        <f>AND('BBP complete'!#REF!,"AAAAADb+vPg=")</f>
        <v>#REF!</v>
      </c>
      <c r="IP31" t="e">
        <f>AND('BBP complete'!#REF!,"AAAAADb+vPk=")</f>
        <v>#REF!</v>
      </c>
      <c r="IQ31" t="e">
        <f>AND('BBP complete'!#REF!,"AAAAADb+vPo=")</f>
        <v>#REF!</v>
      </c>
      <c r="IR31" t="e">
        <f>AND('BBP complete'!K413,"AAAAADb+vPs=")</f>
        <v>#VALUE!</v>
      </c>
      <c r="IS31" t="e">
        <f>AND('BBP complete'!L413,"AAAAADb+vPw=")</f>
        <v>#VALUE!</v>
      </c>
      <c r="IT31" t="e">
        <f>AND('BBP complete'!M96,"AAAAADb+vP0=")</f>
        <v>#VALUE!</v>
      </c>
      <c r="IU31" t="e">
        <f>AND('BBP complete'!N96,"AAAAADb+vP4=")</f>
        <v>#VALUE!</v>
      </c>
      <c r="IV31" t="e">
        <f>AND('BBP complete'!P102,"AAAAADb+vP8=")</f>
        <v>#VALUE!</v>
      </c>
    </row>
    <row r="32" spans="1:256" ht="15" customHeight="1" x14ac:dyDescent="0.25">
      <c r="A32" t="e">
        <f>AND('BBP complete'!#REF!,"AAAAAH7/+wA=")</f>
        <v>#REF!</v>
      </c>
      <c r="B32" t="e">
        <f>AND('BBP complete'!#REF!,"AAAAAH7/+wE=")</f>
        <v>#REF!</v>
      </c>
      <c r="C32" t="e">
        <f>AND('BBP complete'!#REF!,"AAAAAH7/+wI=")</f>
        <v>#REF!</v>
      </c>
      <c r="D32" t="e">
        <f>AND('BBP complete'!K414,"AAAAAH7/+wM=")</f>
        <v>#VALUE!</v>
      </c>
      <c r="E32" t="e">
        <f>AND('BBP complete'!L414,"AAAAAH7/+wQ=")</f>
        <v>#VALUE!</v>
      </c>
      <c r="F32" t="e">
        <f>AND('BBP complete'!M97,"AAAAAH7/+wU=")</f>
        <v>#VALUE!</v>
      </c>
      <c r="G32" t="e">
        <f>AND('BBP complete'!N97,"AAAAAH7/+wY=")</f>
        <v>#VALUE!</v>
      </c>
      <c r="H32" t="e">
        <f>AND('BBP complete'!P103,"AAAAAH7/+wc=")</f>
        <v>#VALUE!</v>
      </c>
      <c r="I32" t="e">
        <f>AND('BBP complete'!#REF!,"AAAAAH7/+wg=")</f>
        <v>#REF!</v>
      </c>
      <c r="J32" t="e">
        <f>AND('BBP complete'!#REF!,"AAAAAH7/+wk=")</f>
        <v>#REF!</v>
      </c>
      <c r="K32" t="e">
        <f>AND('BBP complete'!#REF!,"AAAAAH7/+wo=")</f>
        <v>#REF!</v>
      </c>
      <c r="L32" t="e">
        <f>AND('BBP complete'!K415,"AAAAAH7/+ws=")</f>
        <v>#VALUE!</v>
      </c>
      <c r="M32" t="e">
        <f>AND('BBP complete'!L415,"AAAAAH7/+ww=")</f>
        <v>#VALUE!</v>
      </c>
      <c r="N32" t="e">
        <f>AND('BBP complete'!M98,"AAAAAH7/+w0=")</f>
        <v>#VALUE!</v>
      </c>
      <c r="O32" t="e">
        <f>AND('BBP complete'!N98,"AAAAAH7/+w4=")</f>
        <v>#VALUE!</v>
      </c>
      <c r="P32" t="e">
        <f>AND('BBP complete'!P104,"AAAAAH7/+w8=")</f>
        <v>#VALUE!</v>
      </c>
      <c r="Q32" t="e">
        <f>AND('BBP complete'!#REF!,"AAAAAH7/+xA=")</f>
        <v>#REF!</v>
      </c>
      <c r="R32" t="e">
        <f>AND('BBP complete'!#REF!,"AAAAAH7/+xE=")</f>
        <v>#REF!</v>
      </c>
      <c r="S32" t="e">
        <f>AND('BBP complete'!#REF!,"AAAAAH7/+xI=")</f>
        <v>#REF!</v>
      </c>
      <c r="T32" t="e">
        <f>AND('BBP complete'!K416,"AAAAAH7/+xM=")</f>
        <v>#VALUE!</v>
      </c>
      <c r="U32" t="e">
        <f>AND('BBP complete'!L416,"AAAAAH7/+xQ=")</f>
        <v>#VALUE!</v>
      </c>
      <c r="V32" t="e">
        <f>AND('BBP complete'!M99,"AAAAAH7/+xU=")</f>
        <v>#VALUE!</v>
      </c>
      <c r="W32" t="e">
        <f>AND('BBP complete'!N99,"AAAAAH7/+xY=")</f>
        <v>#VALUE!</v>
      </c>
      <c r="X32" t="e">
        <f>AND('BBP complete'!P105,"AAAAAH7/+xc=")</f>
        <v>#VALUE!</v>
      </c>
      <c r="Y32" t="e">
        <f>AND('BBP complete'!#REF!,"AAAAAH7/+xg=")</f>
        <v>#REF!</v>
      </c>
      <c r="Z32" t="e">
        <f>AND('BBP complete'!#REF!,"AAAAAH7/+xk=")</f>
        <v>#REF!</v>
      </c>
      <c r="AA32" t="e">
        <f>AND('BBP complete'!#REF!,"AAAAAH7/+xo=")</f>
        <v>#REF!</v>
      </c>
      <c r="AB32" t="e">
        <f>AND('BBP complete'!K417,"AAAAAH7/+xs=")</f>
        <v>#VALUE!</v>
      </c>
      <c r="AC32" t="e">
        <f>AND('BBP complete'!L417,"AAAAAH7/+xw=")</f>
        <v>#VALUE!</v>
      </c>
      <c r="AD32" t="e">
        <f>AND('BBP complete'!M100,"AAAAAH7/+x0=")</f>
        <v>#VALUE!</v>
      </c>
      <c r="AE32" t="e">
        <f>AND('BBP complete'!N100,"AAAAAH7/+x4=")</f>
        <v>#VALUE!</v>
      </c>
      <c r="AF32" t="e">
        <f>AND('BBP complete'!P106,"AAAAAH7/+x8=")</f>
        <v>#VALUE!</v>
      </c>
      <c r="AG32" t="e">
        <f>AND('BBP complete'!#REF!,"AAAAAH7/+yA=")</f>
        <v>#REF!</v>
      </c>
      <c r="AH32" t="e">
        <f>AND('BBP complete'!#REF!,"AAAAAH7/+yE=")</f>
        <v>#REF!</v>
      </c>
      <c r="AI32" t="e">
        <f>AND('BBP complete'!#REF!,"AAAAAH7/+yI=")</f>
        <v>#REF!</v>
      </c>
      <c r="AJ32" t="e">
        <f>AND('BBP complete'!K418,"AAAAAH7/+yM=")</f>
        <v>#VALUE!</v>
      </c>
      <c r="AK32" t="e">
        <f>AND('BBP complete'!L418,"AAAAAH7/+yQ=")</f>
        <v>#VALUE!</v>
      </c>
      <c r="AL32" t="e">
        <f>AND('BBP complete'!M101,"AAAAAH7/+yU=")</f>
        <v>#VALUE!</v>
      </c>
      <c r="AM32" t="e">
        <f>AND('BBP complete'!N101,"AAAAAH7/+yY=")</f>
        <v>#VALUE!</v>
      </c>
      <c r="AN32" t="e">
        <f>AND('BBP complete'!P107,"AAAAAH7/+yc=")</f>
        <v>#VALUE!</v>
      </c>
      <c r="AO32" t="e">
        <f>AND('BBP complete'!#REF!,"AAAAAH7/+yg=")</f>
        <v>#REF!</v>
      </c>
      <c r="AP32" t="e">
        <f>AND('BBP complete'!#REF!,"AAAAAH7/+yk=")</f>
        <v>#REF!</v>
      </c>
      <c r="AQ32" t="e">
        <f>AND('BBP complete'!#REF!,"AAAAAH7/+yo=")</f>
        <v>#REF!</v>
      </c>
      <c r="AR32" t="e">
        <f>AND('BBP complete'!K419,"AAAAAH7/+ys=")</f>
        <v>#VALUE!</v>
      </c>
      <c r="AS32" t="e">
        <f>AND('BBP complete'!L419,"AAAAAH7/+yw=")</f>
        <v>#VALUE!</v>
      </c>
      <c r="AT32" t="e">
        <f>AND('BBP complete'!M102,"AAAAAH7/+y0=")</f>
        <v>#VALUE!</v>
      </c>
      <c r="AU32" t="e">
        <f>AND('BBP complete'!N102,"AAAAAH7/+y4=")</f>
        <v>#VALUE!</v>
      </c>
      <c r="AV32" t="e">
        <f>AND('BBP complete'!P108,"AAAAAH7/+y8=")</f>
        <v>#VALUE!</v>
      </c>
      <c r="AW32" t="e">
        <f>AND('BBP complete'!#REF!,"AAAAAH7/+zA=")</f>
        <v>#REF!</v>
      </c>
      <c r="AX32" t="e">
        <f>AND('BBP complete'!#REF!,"AAAAAH7/+zE=")</f>
        <v>#REF!</v>
      </c>
      <c r="AY32" t="e">
        <f>AND('BBP complete'!#REF!,"AAAAAH7/+zI=")</f>
        <v>#REF!</v>
      </c>
      <c r="AZ32" t="e">
        <f>AND('BBP complete'!K420,"AAAAAH7/+zM=")</f>
        <v>#VALUE!</v>
      </c>
      <c r="BA32" t="e">
        <f>AND('BBP complete'!L420,"AAAAAH7/+zQ=")</f>
        <v>#VALUE!</v>
      </c>
      <c r="BB32" t="e">
        <f>AND('BBP complete'!M103,"AAAAAH7/+zU=")</f>
        <v>#VALUE!</v>
      </c>
      <c r="BC32" t="e">
        <f>AND('BBP complete'!N103,"AAAAAH7/+zY=")</f>
        <v>#VALUE!</v>
      </c>
      <c r="BD32" t="e">
        <f>AND('BBP complete'!P109,"AAAAAH7/+zc=")</f>
        <v>#VALUE!</v>
      </c>
      <c r="BE32" t="e">
        <f>AND('BBP complete'!#REF!,"AAAAAH7/+zg=")</f>
        <v>#REF!</v>
      </c>
      <c r="BF32" t="e">
        <f>AND('BBP complete'!#REF!,"AAAAAH7/+zk=")</f>
        <v>#REF!</v>
      </c>
      <c r="BG32" t="e">
        <f>AND('BBP complete'!#REF!,"AAAAAH7/+zo=")</f>
        <v>#REF!</v>
      </c>
      <c r="BH32" t="e">
        <f>AND('BBP complete'!K421,"AAAAAH7/+zs=")</f>
        <v>#VALUE!</v>
      </c>
      <c r="BI32" t="e">
        <f>AND('BBP complete'!L421,"AAAAAH7/+zw=")</f>
        <v>#VALUE!</v>
      </c>
      <c r="BJ32" t="e">
        <f>AND('BBP complete'!M104,"AAAAAH7/+z0=")</f>
        <v>#VALUE!</v>
      </c>
      <c r="BK32" t="e">
        <f>AND('BBP complete'!N104,"AAAAAH7/+z4=")</f>
        <v>#VALUE!</v>
      </c>
      <c r="BL32" t="e">
        <f>AND('BBP complete'!P110,"AAAAAH7/+z8=")</f>
        <v>#VALUE!</v>
      </c>
      <c r="BM32" t="e">
        <f>AND('BBP complete'!#REF!,"AAAAAH7/+0A=")</f>
        <v>#REF!</v>
      </c>
      <c r="BN32" t="e">
        <f>AND('BBP complete'!#REF!,"AAAAAH7/+0E=")</f>
        <v>#REF!</v>
      </c>
      <c r="BO32" t="e">
        <f>AND('BBP complete'!#REF!,"AAAAAH7/+0I=")</f>
        <v>#REF!</v>
      </c>
      <c r="BP32" t="e">
        <f>AND('BBP complete'!K422,"AAAAAH7/+0M=")</f>
        <v>#VALUE!</v>
      </c>
      <c r="BQ32" t="e">
        <f>AND('BBP complete'!L422,"AAAAAH7/+0Q=")</f>
        <v>#VALUE!</v>
      </c>
      <c r="BR32" t="e">
        <f>AND('BBP complete'!M105,"AAAAAH7/+0U=")</f>
        <v>#VALUE!</v>
      </c>
      <c r="BS32" t="e">
        <f>AND('BBP complete'!N105,"AAAAAH7/+0Y=")</f>
        <v>#VALUE!</v>
      </c>
      <c r="BT32" t="e">
        <f>AND('BBP complete'!P111,"AAAAAH7/+0c=")</f>
        <v>#VALUE!</v>
      </c>
      <c r="BU32" t="e">
        <f>AND('BBP complete'!#REF!,"AAAAAH7/+0g=")</f>
        <v>#REF!</v>
      </c>
      <c r="BV32" t="e">
        <f>AND('BBP complete'!#REF!,"AAAAAH7/+0k=")</f>
        <v>#REF!</v>
      </c>
      <c r="BW32" t="e">
        <f>AND('BBP complete'!#REF!,"AAAAAH7/+0o=")</f>
        <v>#REF!</v>
      </c>
      <c r="BX32" t="e">
        <f>AND('BBP complete'!K423,"AAAAAH7/+0s=")</f>
        <v>#VALUE!</v>
      </c>
      <c r="BY32" t="e">
        <f>AND('BBP complete'!L423,"AAAAAH7/+0w=")</f>
        <v>#VALUE!</v>
      </c>
      <c r="BZ32" t="e">
        <f>AND('BBP complete'!M106,"AAAAAH7/+00=")</f>
        <v>#VALUE!</v>
      </c>
      <c r="CA32" t="e">
        <f>AND('BBP complete'!N106,"AAAAAH7/+04=")</f>
        <v>#VALUE!</v>
      </c>
      <c r="CB32" t="e">
        <f>AND('BBP complete'!P112,"AAAAAH7/+08=")</f>
        <v>#VALUE!</v>
      </c>
      <c r="CC32" t="e">
        <f>AND('BBP complete'!#REF!,"AAAAAH7/+1A=")</f>
        <v>#REF!</v>
      </c>
      <c r="CD32" t="e">
        <f>AND('BBP complete'!#REF!,"AAAAAH7/+1E=")</f>
        <v>#REF!</v>
      </c>
      <c r="CE32" t="e">
        <f>AND('BBP complete'!#REF!,"AAAAAH7/+1I=")</f>
        <v>#REF!</v>
      </c>
      <c r="CF32" t="e">
        <f>AND('BBP complete'!K424,"AAAAAH7/+1M=")</f>
        <v>#VALUE!</v>
      </c>
      <c r="CG32" t="e">
        <f>AND('BBP complete'!L424,"AAAAAH7/+1Q=")</f>
        <v>#VALUE!</v>
      </c>
      <c r="CH32" t="e">
        <f>AND('BBP complete'!M107,"AAAAAH7/+1U=")</f>
        <v>#VALUE!</v>
      </c>
      <c r="CI32" t="e">
        <f>AND('BBP complete'!N107,"AAAAAH7/+1Y=")</f>
        <v>#VALUE!</v>
      </c>
      <c r="CJ32" t="e">
        <f>AND('BBP complete'!P113,"AAAAAH7/+1c=")</f>
        <v>#VALUE!</v>
      </c>
      <c r="CK32" t="e">
        <f>AND('BBP complete'!#REF!,"AAAAAH7/+1g=")</f>
        <v>#REF!</v>
      </c>
      <c r="CL32" t="e">
        <f>AND('BBP complete'!#REF!,"AAAAAH7/+1k=")</f>
        <v>#REF!</v>
      </c>
      <c r="CM32" t="e">
        <f>AND('BBP complete'!#REF!,"AAAAAH7/+1o=")</f>
        <v>#REF!</v>
      </c>
      <c r="CN32" t="e">
        <f>AND('BBP complete'!K425,"AAAAAH7/+1s=")</f>
        <v>#VALUE!</v>
      </c>
      <c r="CO32" t="e">
        <f>AND('BBP complete'!L425,"AAAAAH7/+1w=")</f>
        <v>#VALUE!</v>
      </c>
      <c r="CP32" t="e">
        <f>AND('BBP complete'!M108,"AAAAAH7/+10=")</f>
        <v>#VALUE!</v>
      </c>
      <c r="CQ32" t="e">
        <f>AND('BBP complete'!N108,"AAAAAH7/+14=")</f>
        <v>#VALUE!</v>
      </c>
      <c r="CR32" t="e">
        <f>AND('BBP complete'!P114,"AAAAAH7/+18=")</f>
        <v>#VALUE!</v>
      </c>
      <c r="CS32" t="e">
        <f>AND('BBP complete'!#REF!,"AAAAAH7/+2A=")</f>
        <v>#REF!</v>
      </c>
      <c r="CT32" t="e">
        <f>AND('BBP complete'!#REF!,"AAAAAH7/+2E=")</f>
        <v>#REF!</v>
      </c>
      <c r="CU32" t="e">
        <f>AND('BBP complete'!#REF!,"AAAAAH7/+2I=")</f>
        <v>#REF!</v>
      </c>
      <c r="CV32" t="e">
        <f>AND('BBP complete'!K426,"AAAAAH7/+2M=")</f>
        <v>#VALUE!</v>
      </c>
      <c r="CW32" t="e">
        <f>AND('BBP complete'!L426,"AAAAAH7/+2Q=")</f>
        <v>#VALUE!</v>
      </c>
      <c r="CX32" t="e">
        <f>AND('BBP complete'!M109,"AAAAAH7/+2U=")</f>
        <v>#VALUE!</v>
      </c>
      <c r="CY32" t="e">
        <f>AND('BBP complete'!N109,"AAAAAH7/+2Y=")</f>
        <v>#VALUE!</v>
      </c>
      <c r="CZ32" t="e">
        <f>AND('BBP complete'!P115,"AAAAAH7/+2c=")</f>
        <v>#VALUE!</v>
      </c>
      <c r="DA32" t="e">
        <f>AND('BBP complete'!#REF!,"AAAAAH7/+2g=")</f>
        <v>#REF!</v>
      </c>
      <c r="DB32" t="e">
        <f>AND('BBP complete'!#REF!,"AAAAAH7/+2k=")</f>
        <v>#REF!</v>
      </c>
      <c r="DC32" t="e">
        <f>AND('BBP complete'!#REF!,"AAAAAH7/+2o=")</f>
        <v>#REF!</v>
      </c>
      <c r="DD32" t="e">
        <f>AND('BBP complete'!K427,"AAAAAH7/+2s=")</f>
        <v>#VALUE!</v>
      </c>
      <c r="DE32" t="e">
        <f>AND('BBP complete'!L427,"AAAAAH7/+2w=")</f>
        <v>#VALUE!</v>
      </c>
      <c r="DF32" t="e">
        <f>AND('BBP complete'!M110,"AAAAAH7/+20=")</f>
        <v>#VALUE!</v>
      </c>
      <c r="DG32" t="e">
        <f>AND('BBP complete'!N110,"AAAAAH7/+24=")</f>
        <v>#VALUE!</v>
      </c>
      <c r="DH32" t="e">
        <f>AND('BBP complete'!P116,"AAAAAH7/+28=")</f>
        <v>#VALUE!</v>
      </c>
      <c r="DI32" t="e">
        <f>AND('BBP complete'!#REF!,"AAAAAH7/+3A=")</f>
        <v>#REF!</v>
      </c>
      <c r="DJ32" t="e">
        <f>AND('BBP complete'!#REF!,"AAAAAH7/+3E=")</f>
        <v>#REF!</v>
      </c>
      <c r="DK32" t="e">
        <f>AND('BBP complete'!#REF!,"AAAAAH7/+3I=")</f>
        <v>#REF!</v>
      </c>
      <c r="DL32" t="e">
        <f>AND('BBP complete'!K428,"AAAAAH7/+3M=")</f>
        <v>#VALUE!</v>
      </c>
      <c r="DM32" t="e">
        <f>AND('BBP complete'!L428,"AAAAAH7/+3Q=")</f>
        <v>#VALUE!</v>
      </c>
      <c r="DN32" t="e">
        <f>AND('BBP complete'!M111,"AAAAAH7/+3U=")</f>
        <v>#VALUE!</v>
      </c>
      <c r="DO32" t="e">
        <f>AND('BBP complete'!N111,"AAAAAH7/+3Y=")</f>
        <v>#VALUE!</v>
      </c>
      <c r="DP32" t="e">
        <f>AND('BBP complete'!P117,"AAAAAH7/+3c=")</f>
        <v>#VALUE!</v>
      </c>
      <c r="DQ32" t="e">
        <f>AND('BBP complete'!#REF!,"AAAAAH7/+3g=")</f>
        <v>#REF!</v>
      </c>
      <c r="DR32" t="e">
        <f>AND('BBP complete'!#REF!,"AAAAAH7/+3k=")</f>
        <v>#REF!</v>
      </c>
      <c r="DS32" t="e">
        <f>AND('BBP complete'!#REF!,"AAAAAH7/+3o=")</f>
        <v>#REF!</v>
      </c>
      <c r="DT32" t="e">
        <f>AND('BBP complete'!K429,"AAAAAH7/+3s=")</f>
        <v>#VALUE!</v>
      </c>
      <c r="DU32" t="e">
        <f>AND('BBP complete'!L429,"AAAAAH7/+3w=")</f>
        <v>#VALUE!</v>
      </c>
      <c r="DV32" t="e">
        <f>AND('BBP complete'!M112,"AAAAAH7/+30=")</f>
        <v>#VALUE!</v>
      </c>
      <c r="DW32" t="e">
        <f>AND('BBP complete'!N112,"AAAAAH7/+34=")</f>
        <v>#VALUE!</v>
      </c>
      <c r="DX32" t="e">
        <f>AND('BBP complete'!P118,"AAAAAH7/+38=")</f>
        <v>#VALUE!</v>
      </c>
      <c r="DY32" t="e">
        <f>AND('BBP complete'!#REF!,"AAAAAH7/+4A=")</f>
        <v>#REF!</v>
      </c>
      <c r="DZ32" t="e">
        <f>AND('BBP complete'!#REF!,"AAAAAH7/+4E=")</f>
        <v>#REF!</v>
      </c>
      <c r="EA32" t="e">
        <f>AND('BBP complete'!#REF!,"AAAAAH7/+4I=")</f>
        <v>#REF!</v>
      </c>
      <c r="EB32" t="e">
        <f>AND('BBP complete'!K430,"AAAAAH7/+4M=")</f>
        <v>#VALUE!</v>
      </c>
      <c r="EC32" t="e">
        <f>AND('BBP complete'!L430,"AAAAAH7/+4Q=")</f>
        <v>#VALUE!</v>
      </c>
      <c r="ED32" t="e">
        <f>AND('BBP complete'!M113,"AAAAAH7/+4U=")</f>
        <v>#VALUE!</v>
      </c>
      <c r="EE32" t="e">
        <f>AND('BBP complete'!N113,"AAAAAH7/+4Y=")</f>
        <v>#VALUE!</v>
      </c>
      <c r="EF32" t="e">
        <f>AND('BBP complete'!P119,"AAAAAH7/+4c=")</f>
        <v>#VALUE!</v>
      </c>
      <c r="EG32" t="e">
        <f>AND('BBP complete'!#REF!,"AAAAAH7/+4g=")</f>
        <v>#REF!</v>
      </c>
      <c r="EH32" t="e">
        <f>AND('BBP complete'!#REF!,"AAAAAH7/+4k=")</f>
        <v>#REF!</v>
      </c>
      <c r="EI32" t="e">
        <f>AND('BBP complete'!#REF!,"AAAAAH7/+4o=")</f>
        <v>#REF!</v>
      </c>
      <c r="EJ32" t="e">
        <f>AND('BBP complete'!K431,"AAAAAH7/+4s=")</f>
        <v>#VALUE!</v>
      </c>
      <c r="EK32" t="e">
        <f>AND('BBP complete'!L431,"AAAAAH7/+4w=")</f>
        <v>#VALUE!</v>
      </c>
      <c r="EL32" t="e">
        <f>AND('BBP complete'!M114,"AAAAAH7/+40=")</f>
        <v>#VALUE!</v>
      </c>
      <c r="EM32" t="e">
        <f>AND('BBP complete'!N114,"AAAAAH7/+44=")</f>
        <v>#VALUE!</v>
      </c>
      <c r="EN32" t="e">
        <f>AND('BBP complete'!P120,"AAAAAH7/+48=")</f>
        <v>#VALUE!</v>
      </c>
      <c r="EO32" t="e">
        <f>AND('BBP complete'!#REF!,"AAAAAH7/+5A=")</f>
        <v>#REF!</v>
      </c>
      <c r="EP32" t="e">
        <f>AND('BBP complete'!#REF!,"AAAAAH7/+5E=")</f>
        <v>#REF!</v>
      </c>
      <c r="EQ32" t="e">
        <f>AND('BBP complete'!#REF!,"AAAAAH7/+5I=")</f>
        <v>#REF!</v>
      </c>
      <c r="ER32" t="e">
        <f>AND('BBP complete'!K432,"AAAAAH7/+5M=")</f>
        <v>#VALUE!</v>
      </c>
      <c r="ES32" t="e">
        <f>AND('BBP complete'!L432,"AAAAAH7/+5Q=")</f>
        <v>#VALUE!</v>
      </c>
      <c r="ET32" t="e">
        <f>AND('BBP complete'!M115,"AAAAAH7/+5U=")</f>
        <v>#VALUE!</v>
      </c>
      <c r="EU32" t="e">
        <f>AND('BBP complete'!N115,"AAAAAH7/+5Y=")</f>
        <v>#VALUE!</v>
      </c>
      <c r="EV32" t="e">
        <f>AND('BBP complete'!P123,"AAAAAH7/+5c=")</f>
        <v>#VALUE!</v>
      </c>
      <c r="EW32" t="e">
        <f>AND('BBP complete'!#REF!,"AAAAAH7/+5g=")</f>
        <v>#REF!</v>
      </c>
      <c r="EX32" t="e">
        <f>AND('BBP complete'!#REF!,"AAAAAH7/+5k=")</f>
        <v>#REF!</v>
      </c>
      <c r="EY32" t="e">
        <f>AND('BBP complete'!#REF!,"AAAAAH7/+5o=")</f>
        <v>#REF!</v>
      </c>
      <c r="EZ32" t="e">
        <f>AND('BBP complete'!K433,"AAAAAH7/+5s=")</f>
        <v>#VALUE!</v>
      </c>
      <c r="FA32" t="e">
        <f>AND('BBP complete'!L433,"AAAAAH7/+5w=")</f>
        <v>#VALUE!</v>
      </c>
      <c r="FB32" t="e">
        <f>AND('BBP complete'!M116,"AAAAAH7/+50=")</f>
        <v>#VALUE!</v>
      </c>
      <c r="FC32" t="e">
        <f>AND('BBP complete'!N116,"AAAAAH7/+54=")</f>
        <v>#VALUE!</v>
      </c>
      <c r="FD32" t="e">
        <f>AND('BBP complete'!P124,"AAAAAH7/+58=")</f>
        <v>#VALUE!</v>
      </c>
      <c r="FE32" t="e">
        <f>AND('BBP complete'!#REF!,"AAAAAH7/+6A=")</f>
        <v>#REF!</v>
      </c>
      <c r="FF32" t="e">
        <f>AND('BBP complete'!#REF!,"AAAAAH7/+6E=")</f>
        <v>#REF!</v>
      </c>
      <c r="FG32" t="e">
        <f>AND('BBP complete'!#REF!,"AAAAAH7/+6I=")</f>
        <v>#REF!</v>
      </c>
      <c r="FH32" t="e">
        <f>AND('BBP complete'!K434,"AAAAAH7/+6M=")</f>
        <v>#VALUE!</v>
      </c>
      <c r="FI32" t="e">
        <f>AND('BBP complete'!L434,"AAAAAH7/+6Q=")</f>
        <v>#VALUE!</v>
      </c>
      <c r="FJ32" t="e">
        <f>AND('BBP complete'!M117,"AAAAAH7/+6U=")</f>
        <v>#VALUE!</v>
      </c>
      <c r="FK32" t="e">
        <f>AND('BBP complete'!N117,"AAAAAH7/+6Y=")</f>
        <v>#VALUE!</v>
      </c>
      <c r="FL32" t="e">
        <f>AND('BBP complete'!P125,"AAAAAH7/+6c=")</f>
        <v>#VALUE!</v>
      </c>
      <c r="FM32" t="e">
        <f>AND('BBP complete'!#REF!,"AAAAAH7/+6g=")</f>
        <v>#REF!</v>
      </c>
      <c r="FN32" t="e">
        <f>AND('BBP complete'!#REF!,"AAAAAH7/+6k=")</f>
        <v>#REF!</v>
      </c>
      <c r="FO32" t="e">
        <f>AND('BBP complete'!#REF!,"AAAAAH7/+6o=")</f>
        <v>#REF!</v>
      </c>
      <c r="FP32" t="e">
        <f>AND('BBP complete'!K435,"AAAAAH7/+6s=")</f>
        <v>#VALUE!</v>
      </c>
      <c r="FQ32" t="e">
        <f>AND('BBP complete'!L435,"AAAAAH7/+6w=")</f>
        <v>#VALUE!</v>
      </c>
      <c r="FR32" t="e">
        <f>AND('BBP complete'!M118,"AAAAAH7/+60=")</f>
        <v>#VALUE!</v>
      </c>
      <c r="FS32" t="e">
        <f>AND('BBP complete'!N118,"AAAAAH7/+64=")</f>
        <v>#VALUE!</v>
      </c>
      <c r="FT32" t="e">
        <f>AND('BBP complete'!P126,"AAAAAH7/+68=")</f>
        <v>#VALUE!</v>
      </c>
      <c r="FU32" t="e">
        <f>AND('BBP complete'!#REF!,"AAAAAH7/+7A=")</f>
        <v>#REF!</v>
      </c>
      <c r="FV32" t="e">
        <f>AND('BBP complete'!#REF!,"AAAAAH7/+7E=")</f>
        <v>#REF!</v>
      </c>
      <c r="FW32" t="e">
        <f>AND('BBP complete'!#REF!,"AAAAAH7/+7I=")</f>
        <v>#REF!</v>
      </c>
      <c r="FX32" t="e">
        <f>AND('BBP complete'!K436,"AAAAAH7/+7M=")</f>
        <v>#VALUE!</v>
      </c>
      <c r="FY32" t="e">
        <f>AND('BBP complete'!L436,"AAAAAH7/+7Q=")</f>
        <v>#VALUE!</v>
      </c>
      <c r="FZ32" t="e">
        <f>AND('BBP complete'!M119,"AAAAAH7/+7U=")</f>
        <v>#VALUE!</v>
      </c>
      <c r="GA32" t="e">
        <f>AND('BBP complete'!N119,"AAAAAH7/+7Y=")</f>
        <v>#VALUE!</v>
      </c>
      <c r="GB32" t="e">
        <f>AND('BBP complete'!P127,"AAAAAH7/+7c=")</f>
        <v>#VALUE!</v>
      </c>
      <c r="GC32" t="e">
        <f>AND('BBP complete'!#REF!,"AAAAAH7/+7g=")</f>
        <v>#REF!</v>
      </c>
      <c r="GD32" t="e">
        <f>AND('BBP complete'!#REF!,"AAAAAH7/+7k=")</f>
        <v>#REF!</v>
      </c>
      <c r="GE32" t="e">
        <f>AND('BBP complete'!#REF!,"AAAAAH7/+7o=")</f>
        <v>#REF!</v>
      </c>
      <c r="GF32" t="e">
        <f>AND('BBP complete'!K437,"AAAAAH7/+7s=")</f>
        <v>#VALUE!</v>
      </c>
      <c r="GG32" t="e">
        <f>AND('BBP complete'!L437,"AAAAAH7/+7w=")</f>
        <v>#VALUE!</v>
      </c>
      <c r="GH32" t="e">
        <f>AND('BBP complete'!M120,"AAAAAH7/+70=")</f>
        <v>#VALUE!</v>
      </c>
      <c r="GI32" t="e">
        <f>AND('BBP complete'!N120,"AAAAAH7/+74=")</f>
        <v>#VALUE!</v>
      </c>
      <c r="GJ32" t="e">
        <f>AND('BBP complete'!P128,"AAAAAH7/+78=")</f>
        <v>#VALUE!</v>
      </c>
      <c r="GK32" t="e">
        <f>AND('BBP complete'!#REF!,"AAAAAH7/+8A=")</f>
        <v>#REF!</v>
      </c>
      <c r="GL32" t="e">
        <f>AND('BBP complete'!#REF!,"AAAAAH7/+8E=")</f>
        <v>#REF!</v>
      </c>
      <c r="GM32" t="e">
        <f>AND('BBP complete'!#REF!,"AAAAAH7/+8I=")</f>
        <v>#REF!</v>
      </c>
      <c r="GN32" t="e">
        <f>AND('BBP complete'!K438,"AAAAAH7/+8M=")</f>
        <v>#VALUE!</v>
      </c>
      <c r="GO32" t="e">
        <f>AND('BBP complete'!L438,"AAAAAH7/+8Q=")</f>
        <v>#VALUE!</v>
      </c>
      <c r="GP32" t="e">
        <f>AND('BBP complete'!M121,"AAAAAH7/+8U=")</f>
        <v>#VALUE!</v>
      </c>
      <c r="GQ32" t="e">
        <f>AND('BBP complete'!N121,"AAAAAH7/+8Y=")</f>
        <v>#VALUE!</v>
      </c>
      <c r="GR32" t="e">
        <f>AND('BBP complete'!P129,"AAAAAH7/+8c=")</f>
        <v>#VALUE!</v>
      </c>
      <c r="GS32" t="e">
        <f>AND('BBP complete'!#REF!,"AAAAAH7/+8g=")</f>
        <v>#REF!</v>
      </c>
      <c r="GT32" t="e">
        <f>AND('BBP complete'!#REF!,"AAAAAH7/+8k=")</f>
        <v>#REF!</v>
      </c>
      <c r="GU32" t="e">
        <f>AND('BBP complete'!#REF!,"AAAAAH7/+8o=")</f>
        <v>#REF!</v>
      </c>
      <c r="GV32" t="e">
        <f>AND('BBP complete'!K439,"AAAAAH7/+8s=")</f>
        <v>#VALUE!</v>
      </c>
      <c r="GW32" t="e">
        <f>AND('BBP complete'!L439,"AAAAAH7/+8w=")</f>
        <v>#VALUE!</v>
      </c>
      <c r="GX32" t="e">
        <f>AND('BBP complete'!M122,"AAAAAH7/+80=")</f>
        <v>#VALUE!</v>
      </c>
      <c r="GY32" t="e">
        <f>AND('BBP complete'!N122,"AAAAAH7/+84=")</f>
        <v>#VALUE!</v>
      </c>
      <c r="GZ32" t="e">
        <f>AND('BBP complete'!P130,"AAAAAH7/+88=")</f>
        <v>#VALUE!</v>
      </c>
      <c r="HA32" t="e">
        <f>AND('BBP complete'!#REF!,"AAAAAH7/+9A=")</f>
        <v>#REF!</v>
      </c>
      <c r="HB32" t="e">
        <f>AND('BBP complete'!#REF!,"AAAAAH7/+9E=")</f>
        <v>#REF!</v>
      </c>
      <c r="HC32" t="e">
        <f>AND('BBP complete'!#REF!,"AAAAAH7/+9I=")</f>
        <v>#REF!</v>
      </c>
      <c r="HD32" t="e">
        <f>AND('BBP complete'!K440,"AAAAAH7/+9M=")</f>
        <v>#VALUE!</v>
      </c>
      <c r="HE32" t="e">
        <f>AND('BBP complete'!L440,"AAAAAH7/+9Q=")</f>
        <v>#VALUE!</v>
      </c>
      <c r="HF32" t="e">
        <f>AND('BBP complete'!M123,"AAAAAH7/+9U=")</f>
        <v>#VALUE!</v>
      </c>
      <c r="HG32" t="e">
        <f>AND('BBP complete'!N123,"AAAAAH7/+9Y=")</f>
        <v>#VALUE!</v>
      </c>
      <c r="HH32" t="e">
        <f>AND('BBP complete'!P131,"AAAAAH7/+9c=")</f>
        <v>#VALUE!</v>
      </c>
      <c r="HI32" t="e">
        <f>AND('BBP complete'!#REF!,"AAAAAH7/+9g=")</f>
        <v>#REF!</v>
      </c>
      <c r="HJ32" t="e">
        <f>AND('BBP complete'!#REF!,"AAAAAH7/+9k=")</f>
        <v>#REF!</v>
      </c>
      <c r="HK32" t="e">
        <f>AND('BBP complete'!#REF!,"AAAAAH7/+9o=")</f>
        <v>#REF!</v>
      </c>
      <c r="HL32" t="e">
        <f>AND('BBP complete'!K441,"AAAAAH7/+9s=")</f>
        <v>#VALUE!</v>
      </c>
      <c r="HM32" t="e">
        <f>AND('BBP complete'!L441,"AAAAAH7/+9w=")</f>
        <v>#VALUE!</v>
      </c>
      <c r="HN32" t="e">
        <f>AND('BBP complete'!M124,"AAAAAH7/+90=")</f>
        <v>#VALUE!</v>
      </c>
      <c r="HO32" t="e">
        <f>AND('BBP complete'!N124,"AAAAAH7/+94=")</f>
        <v>#VALUE!</v>
      </c>
      <c r="HP32" t="e">
        <f>AND('BBP complete'!P132,"AAAAAH7/+98=")</f>
        <v>#VALUE!</v>
      </c>
      <c r="HQ32" t="e">
        <f>AND('BBP complete'!#REF!,"AAAAAH7/++A=")</f>
        <v>#REF!</v>
      </c>
      <c r="HR32" t="e">
        <f>AND('BBP complete'!#REF!,"AAAAAH7/++E=")</f>
        <v>#REF!</v>
      </c>
      <c r="HS32" t="e">
        <f>AND('BBP complete'!#REF!,"AAAAAH7/++I=")</f>
        <v>#REF!</v>
      </c>
      <c r="HT32" t="e">
        <f>AND('BBP complete'!K442,"AAAAAH7/++M=")</f>
        <v>#VALUE!</v>
      </c>
      <c r="HU32" t="e">
        <f>AND('BBP complete'!L442,"AAAAAH7/++Q=")</f>
        <v>#VALUE!</v>
      </c>
      <c r="HV32" t="e">
        <f>AND('BBP complete'!M125,"AAAAAH7/++U=")</f>
        <v>#VALUE!</v>
      </c>
      <c r="HW32" t="e">
        <f>AND('BBP complete'!N125,"AAAAAH7/++Y=")</f>
        <v>#VALUE!</v>
      </c>
      <c r="HX32" t="e">
        <f>AND('BBP complete'!P133,"AAAAAH7/++c=")</f>
        <v>#VALUE!</v>
      </c>
      <c r="HY32" t="e">
        <f>AND('BBP complete'!#REF!,"AAAAAH7/++g=")</f>
        <v>#REF!</v>
      </c>
      <c r="HZ32" t="e">
        <f>AND('BBP complete'!#REF!,"AAAAAH7/++k=")</f>
        <v>#REF!</v>
      </c>
      <c r="IA32" t="e">
        <f>AND('BBP complete'!#REF!,"AAAAAH7/++o=")</f>
        <v>#REF!</v>
      </c>
      <c r="IB32" t="e">
        <f>AND('BBP complete'!K443,"AAAAAH7/++s=")</f>
        <v>#VALUE!</v>
      </c>
      <c r="IC32" t="e">
        <f>AND('BBP complete'!L443,"AAAAAH7/++w=")</f>
        <v>#VALUE!</v>
      </c>
      <c r="ID32" t="e">
        <f>AND('BBP complete'!M126,"AAAAAH7/++0=")</f>
        <v>#VALUE!</v>
      </c>
      <c r="IE32" t="e">
        <f>AND('BBP complete'!N126,"AAAAAH7/++4=")</f>
        <v>#VALUE!</v>
      </c>
      <c r="IF32" t="e">
        <f>AND('BBP complete'!P134,"AAAAAH7/++8=")</f>
        <v>#VALUE!</v>
      </c>
      <c r="IG32" t="e">
        <f>AND('BBP complete'!#REF!,"AAAAAH7/+/A=")</f>
        <v>#REF!</v>
      </c>
      <c r="IH32" t="e">
        <f>AND('BBP complete'!#REF!,"AAAAAH7/+/E=")</f>
        <v>#REF!</v>
      </c>
      <c r="II32" t="e">
        <f>AND('BBP complete'!#REF!,"AAAAAH7/+/I=")</f>
        <v>#REF!</v>
      </c>
      <c r="IJ32" t="e">
        <f>AND('BBP complete'!K444,"AAAAAH7/+/M=")</f>
        <v>#VALUE!</v>
      </c>
      <c r="IK32" t="e">
        <f>AND('BBP complete'!L444,"AAAAAH7/+/Q=")</f>
        <v>#VALUE!</v>
      </c>
      <c r="IL32" t="e">
        <f>AND('BBP complete'!M127,"AAAAAH7/+/U=")</f>
        <v>#VALUE!</v>
      </c>
      <c r="IM32" t="e">
        <f>AND('BBP complete'!N127,"AAAAAH7/+/Y=")</f>
        <v>#VALUE!</v>
      </c>
      <c r="IN32" t="e">
        <f>AND('BBP complete'!P135,"AAAAAH7/+/c=")</f>
        <v>#VALUE!</v>
      </c>
      <c r="IO32" t="e">
        <f>AND('BBP complete'!#REF!,"AAAAAH7/+/g=")</f>
        <v>#REF!</v>
      </c>
      <c r="IP32" t="e">
        <f>AND('BBP complete'!#REF!,"AAAAAH7/+/k=")</f>
        <v>#REF!</v>
      </c>
      <c r="IQ32" t="e">
        <f>AND('BBP complete'!#REF!,"AAAAAH7/+/o=")</f>
        <v>#REF!</v>
      </c>
      <c r="IR32" t="e">
        <f>AND('BBP complete'!K445,"AAAAAH7/+/s=")</f>
        <v>#VALUE!</v>
      </c>
      <c r="IS32" t="e">
        <f>AND('BBP complete'!L445,"AAAAAH7/+/w=")</f>
        <v>#VALUE!</v>
      </c>
      <c r="IT32" t="e">
        <f>AND('BBP complete'!M128,"AAAAAH7/+/0=")</f>
        <v>#VALUE!</v>
      </c>
      <c r="IU32" t="e">
        <f>AND('BBP complete'!N128,"AAAAAH7/+/4=")</f>
        <v>#VALUE!</v>
      </c>
      <c r="IV32" t="e">
        <f>AND('BBP complete'!P136,"AAAAAH7/+/8=")</f>
        <v>#VALUE!</v>
      </c>
    </row>
    <row r="33" spans="1:256" ht="15" customHeight="1" x14ac:dyDescent="0.25">
      <c r="A33" t="e">
        <f>AND('BBP complete'!#REF!,"AAAAAG8r/AA=")</f>
        <v>#REF!</v>
      </c>
      <c r="B33" t="e">
        <f>AND('BBP complete'!#REF!,"AAAAAG8r/AE=")</f>
        <v>#REF!</v>
      </c>
      <c r="C33" t="e">
        <f>AND('BBP complete'!#REF!,"AAAAAG8r/AI=")</f>
        <v>#REF!</v>
      </c>
      <c r="D33" t="e">
        <f>AND('BBP complete'!K446,"AAAAAG8r/AM=")</f>
        <v>#VALUE!</v>
      </c>
      <c r="E33" t="e">
        <f>AND('BBP complete'!L446,"AAAAAG8r/AQ=")</f>
        <v>#VALUE!</v>
      </c>
      <c r="F33" t="e">
        <f>AND('BBP complete'!M129,"AAAAAG8r/AU=")</f>
        <v>#VALUE!</v>
      </c>
      <c r="G33" t="e">
        <f>AND('BBP complete'!N129,"AAAAAG8r/AY=")</f>
        <v>#VALUE!</v>
      </c>
      <c r="H33" t="e">
        <f>AND('BBP complete'!P137,"AAAAAG8r/Ac=")</f>
        <v>#VALUE!</v>
      </c>
      <c r="I33" t="e">
        <f>AND('BBP complete'!#REF!,"AAAAAG8r/Ag=")</f>
        <v>#REF!</v>
      </c>
      <c r="J33" t="e">
        <f>AND('BBP complete'!#REF!,"AAAAAG8r/Ak=")</f>
        <v>#REF!</v>
      </c>
      <c r="K33" t="e">
        <f>AND('BBP complete'!#REF!,"AAAAAG8r/Ao=")</f>
        <v>#REF!</v>
      </c>
      <c r="L33" t="e">
        <f>AND('BBP complete'!K447,"AAAAAG8r/As=")</f>
        <v>#VALUE!</v>
      </c>
      <c r="M33" t="e">
        <f>AND('BBP complete'!L447,"AAAAAG8r/Aw=")</f>
        <v>#VALUE!</v>
      </c>
      <c r="N33" t="e">
        <f>AND('BBP complete'!M130,"AAAAAG8r/A0=")</f>
        <v>#VALUE!</v>
      </c>
      <c r="O33" t="e">
        <f>AND('BBP complete'!N130,"AAAAAG8r/A4=")</f>
        <v>#VALUE!</v>
      </c>
      <c r="P33" t="e">
        <f>AND('BBP complete'!P138,"AAAAAG8r/A8=")</f>
        <v>#VALUE!</v>
      </c>
      <c r="Q33" t="e">
        <f>AND('BBP complete'!#REF!,"AAAAAG8r/BA=")</f>
        <v>#REF!</v>
      </c>
      <c r="R33" t="e">
        <f>AND('BBP complete'!#REF!,"AAAAAG8r/BE=")</f>
        <v>#REF!</v>
      </c>
      <c r="S33" t="e">
        <f>AND('BBP complete'!#REF!,"AAAAAG8r/BI=")</f>
        <v>#REF!</v>
      </c>
      <c r="T33" t="e">
        <f>AND('BBP complete'!K448,"AAAAAG8r/BM=")</f>
        <v>#VALUE!</v>
      </c>
      <c r="U33" t="e">
        <f>AND('BBP complete'!L448,"AAAAAG8r/BQ=")</f>
        <v>#VALUE!</v>
      </c>
      <c r="V33" t="e">
        <f>AND('BBP complete'!M131,"AAAAAG8r/BU=")</f>
        <v>#VALUE!</v>
      </c>
      <c r="W33" t="e">
        <f>AND('BBP complete'!N131,"AAAAAG8r/BY=")</f>
        <v>#VALUE!</v>
      </c>
      <c r="X33" t="e">
        <f>AND('BBP complete'!P139,"AAAAAG8r/Bc=")</f>
        <v>#VALUE!</v>
      </c>
      <c r="Y33" t="e">
        <f>AND('BBP complete'!#REF!,"AAAAAG8r/Bg=")</f>
        <v>#REF!</v>
      </c>
      <c r="Z33" t="e">
        <f>AND('BBP complete'!#REF!,"AAAAAG8r/Bk=")</f>
        <v>#REF!</v>
      </c>
      <c r="AA33" t="e">
        <f>AND('BBP complete'!#REF!,"AAAAAG8r/Bo=")</f>
        <v>#REF!</v>
      </c>
      <c r="AB33" t="e">
        <f>AND('BBP complete'!K449,"AAAAAG8r/Bs=")</f>
        <v>#VALUE!</v>
      </c>
      <c r="AC33" t="e">
        <f>AND('BBP complete'!L449,"AAAAAG8r/Bw=")</f>
        <v>#VALUE!</v>
      </c>
      <c r="AD33" t="e">
        <f>AND('BBP complete'!M132,"AAAAAG8r/B0=")</f>
        <v>#VALUE!</v>
      </c>
      <c r="AE33" t="e">
        <f>AND('BBP complete'!N132,"AAAAAG8r/B4=")</f>
        <v>#VALUE!</v>
      </c>
      <c r="AF33" t="e">
        <f>AND('BBP complete'!P140,"AAAAAG8r/B8=")</f>
        <v>#VALUE!</v>
      </c>
      <c r="AG33" t="e">
        <f>AND('BBP complete'!#REF!,"AAAAAG8r/CA=")</f>
        <v>#REF!</v>
      </c>
      <c r="AH33" t="e">
        <f>AND('BBP complete'!#REF!,"AAAAAG8r/CE=")</f>
        <v>#REF!</v>
      </c>
      <c r="AI33" t="e">
        <f>AND('BBP complete'!#REF!,"AAAAAG8r/CI=")</f>
        <v>#REF!</v>
      </c>
      <c r="AJ33" t="e">
        <f>AND('BBP complete'!K450,"AAAAAG8r/CM=")</f>
        <v>#VALUE!</v>
      </c>
      <c r="AK33" t="e">
        <f>AND('BBP complete'!L450,"AAAAAG8r/CQ=")</f>
        <v>#VALUE!</v>
      </c>
      <c r="AL33" t="e">
        <f>AND('BBP complete'!M133,"AAAAAG8r/CU=")</f>
        <v>#VALUE!</v>
      </c>
      <c r="AM33" t="e">
        <f>AND('BBP complete'!N133,"AAAAAG8r/CY=")</f>
        <v>#VALUE!</v>
      </c>
      <c r="AN33" t="e">
        <f>AND('BBP complete'!P141,"AAAAAG8r/Cc=")</f>
        <v>#VALUE!</v>
      </c>
      <c r="AO33" t="e">
        <f>AND('BBP complete'!#REF!,"AAAAAG8r/Cg=")</f>
        <v>#REF!</v>
      </c>
      <c r="AP33" t="e">
        <f>AND('BBP complete'!#REF!,"AAAAAG8r/Ck=")</f>
        <v>#REF!</v>
      </c>
      <c r="AQ33" t="e">
        <f>AND('BBP complete'!#REF!,"AAAAAG8r/Co=")</f>
        <v>#REF!</v>
      </c>
      <c r="AR33" t="e">
        <f>AND('BBP complete'!K451,"AAAAAG8r/Cs=")</f>
        <v>#VALUE!</v>
      </c>
      <c r="AS33" t="e">
        <f>AND('BBP complete'!L451,"AAAAAG8r/Cw=")</f>
        <v>#VALUE!</v>
      </c>
      <c r="AT33" t="e">
        <f>AND('BBP complete'!M134,"AAAAAG8r/C0=")</f>
        <v>#VALUE!</v>
      </c>
      <c r="AU33" t="e">
        <f>AND('BBP complete'!N134,"AAAAAG8r/C4=")</f>
        <v>#VALUE!</v>
      </c>
      <c r="AV33" t="e">
        <f>AND('BBP complete'!P142,"AAAAAG8r/C8=")</f>
        <v>#VALUE!</v>
      </c>
      <c r="AW33" t="e">
        <f>AND('BBP complete'!#REF!,"AAAAAG8r/DA=")</f>
        <v>#REF!</v>
      </c>
      <c r="AX33" t="e">
        <f>AND('BBP complete'!#REF!,"AAAAAG8r/DE=")</f>
        <v>#REF!</v>
      </c>
      <c r="AY33" t="e">
        <f>AND('BBP complete'!#REF!,"AAAAAG8r/DI=")</f>
        <v>#REF!</v>
      </c>
      <c r="AZ33" t="e">
        <f>AND('BBP complete'!K452,"AAAAAG8r/DM=")</f>
        <v>#VALUE!</v>
      </c>
      <c r="BA33" t="e">
        <f>AND('BBP complete'!L452,"AAAAAG8r/DQ=")</f>
        <v>#VALUE!</v>
      </c>
      <c r="BB33" t="e">
        <f>AND('BBP complete'!M135,"AAAAAG8r/DU=")</f>
        <v>#VALUE!</v>
      </c>
      <c r="BC33" t="e">
        <f>AND('BBP complete'!N135,"AAAAAG8r/DY=")</f>
        <v>#VALUE!</v>
      </c>
      <c r="BD33" t="e">
        <f>AND('BBP complete'!P143,"AAAAAG8r/Dc=")</f>
        <v>#VALUE!</v>
      </c>
      <c r="BE33" t="e">
        <f>AND('BBP complete'!#REF!,"AAAAAG8r/Dg=")</f>
        <v>#REF!</v>
      </c>
      <c r="BF33" t="e">
        <f>AND('BBP complete'!#REF!,"AAAAAG8r/Dk=")</f>
        <v>#REF!</v>
      </c>
      <c r="BG33" t="e">
        <f>AND('BBP complete'!#REF!,"AAAAAG8r/Do=")</f>
        <v>#REF!</v>
      </c>
      <c r="BH33" t="e">
        <f>AND('BBP complete'!K453,"AAAAAG8r/Ds=")</f>
        <v>#VALUE!</v>
      </c>
      <c r="BI33" t="e">
        <f>AND('BBP complete'!L453,"AAAAAG8r/Dw=")</f>
        <v>#VALUE!</v>
      </c>
      <c r="BJ33" t="e">
        <f>AND('BBP complete'!M136,"AAAAAG8r/D0=")</f>
        <v>#VALUE!</v>
      </c>
      <c r="BK33" t="e">
        <f>AND('BBP complete'!N136,"AAAAAG8r/D4=")</f>
        <v>#VALUE!</v>
      </c>
      <c r="BL33" t="e">
        <f>AND('BBP complete'!P144,"AAAAAG8r/D8=")</f>
        <v>#VALUE!</v>
      </c>
      <c r="BM33" t="e">
        <f>AND('BBP complete'!#REF!,"AAAAAG8r/EA=")</f>
        <v>#REF!</v>
      </c>
      <c r="BN33" t="e">
        <f>AND('BBP complete'!#REF!,"AAAAAG8r/EE=")</f>
        <v>#REF!</v>
      </c>
      <c r="BO33" t="e">
        <f>AND('BBP complete'!#REF!,"AAAAAG8r/EI=")</f>
        <v>#REF!</v>
      </c>
      <c r="BP33" t="e">
        <f>AND('BBP complete'!K454,"AAAAAG8r/EM=")</f>
        <v>#VALUE!</v>
      </c>
      <c r="BQ33" t="e">
        <f>AND('BBP complete'!L454,"AAAAAG8r/EQ=")</f>
        <v>#VALUE!</v>
      </c>
      <c r="BR33" t="e">
        <f>AND('BBP complete'!M137,"AAAAAG8r/EU=")</f>
        <v>#VALUE!</v>
      </c>
      <c r="BS33" t="e">
        <f>AND('BBP complete'!N137,"AAAAAG8r/EY=")</f>
        <v>#VALUE!</v>
      </c>
      <c r="BT33" t="e">
        <f>AND('BBP complete'!P145,"AAAAAG8r/Ec=")</f>
        <v>#VALUE!</v>
      </c>
      <c r="BU33" t="e">
        <f>AND('BBP complete'!#REF!,"AAAAAG8r/Eg=")</f>
        <v>#REF!</v>
      </c>
      <c r="BV33" t="e">
        <f>AND('BBP complete'!#REF!,"AAAAAG8r/Ek=")</f>
        <v>#REF!</v>
      </c>
      <c r="BW33" t="e">
        <f>AND('BBP complete'!#REF!,"AAAAAG8r/Eo=")</f>
        <v>#REF!</v>
      </c>
      <c r="BX33" t="e">
        <f>AND('BBP complete'!K455,"AAAAAG8r/Es=")</f>
        <v>#VALUE!</v>
      </c>
      <c r="BY33" t="e">
        <f>AND('BBP complete'!L455,"AAAAAG8r/Ew=")</f>
        <v>#VALUE!</v>
      </c>
      <c r="BZ33" t="e">
        <f>AND('BBP complete'!M138,"AAAAAG8r/E0=")</f>
        <v>#VALUE!</v>
      </c>
      <c r="CA33" t="e">
        <f>AND('BBP complete'!N138,"AAAAAG8r/E4=")</f>
        <v>#VALUE!</v>
      </c>
      <c r="CB33" t="e">
        <f>AND('BBP complete'!P146,"AAAAAG8r/E8=")</f>
        <v>#VALUE!</v>
      </c>
      <c r="CC33" t="e">
        <f>AND('BBP complete'!#REF!,"AAAAAG8r/FA=")</f>
        <v>#REF!</v>
      </c>
      <c r="CD33" t="e">
        <f>AND('BBP complete'!#REF!,"AAAAAG8r/FE=")</f>
        <v>#REF!</v>
      </c>
      <c r="CE33" t="e">
        <f>AND('BBP complete'!#REF!,"AAAAAG8r/FI=")</f>
        <v>#REF!</v>
      </c>
      <c r="CF33" t="e">
        <f>AND('BBP complete'!K456,"AAAAAG8r/FM=")</f>
        <v>#VALUE!</v>
      </c>
      <c r="CG33" t="e">
        <f>AND('BBP complete'!L456,"AAAAAG8r/FQ=")</f>
        <v>#VALUE!</v>
      </c>
      <c r="CH33" t="e">
        <f>AND('BBP complete'!M139,"AAAAAG8r/FU=")</f>
        <v>#VALUE!</v>
      </c>
      <c r="CI33" t="e">
        <f>AND('BBP complete'!N139,"AAAAAG8r/FY=")</f>
        <v>#VALUE!</v>
      </c>
      <c r="CJ33" t="e">
        <f>AND('BBP complete'!P147,"AAAAAG8r/Fc=")</f>
        <v>#VALUE!</v>
      </c>
      <c r="CK33" t="e">
        <f>AND('BBP complete'!#REF!,"AAAAAG8r/Fg=")</f>
        <v>#REF!</v>
      </c>
      <c r="CL33" t="e">
        <f>AND('BBP complete'!#REF!,"AAAAAG8r/Fk=")</f>
        <v>#REF!</v>
      </c>
      <c r="CM33" t="e">
        <f>AND('BBP complete'!#REF!,"AAAAAG8r/Fo=")</f>
        <v>#REF!</v>
      </c>
      <c r="CN33" t="e">
        <f>AND('BBP complete'!K457,"AAAAAG8r/Fs=")</f>
        <v>#VALUE!</v>
      </c>
      <c r="CO33" t="e">
        <f>AND('BBP complete'!L457,"AAAAAG8r/Fw=")</f>
        <v>#VALUE!</v>
      </c>
      <c r="CP33" t="e">
        <f>AND('BBP complete'!M140,"AAAAAG8r/F0=")</f>
        <v>#VALUE!</v>
      </c>
      <c r="CQ33" t="e">
        <f>AND('BBP complete'!N140,"AAAAAG8r/F4=")</f>
        <v>#VALUE!</v>
      </c>
      <c r="CR33" t="e">
        <f>AND('BBP complete'!P148,"AAAAAG8r/F8=")</f>
        <v>#VALUE!</v>
      </c>
      <c r="CS33" t="e">
        <f>AND('BBP complete'!#REF!,"AAAAAG8r/GA=")</f>
        <v>#REF!</v>
      </c>
      <c r="CT33" t="e">
        <f>AND('BBP complete'!#REF!,"AAAAAG8r/GE=")</f>
        <v>#REF!</v>
      </c>
      <c r="CU33" t="e">
        <f>AND('BBP complete'!#REF!,"AAAAAG8r/GI=")</f>
        <v>#REF!</v>
      </c>
      <c r="CV33" t="e">
        <f>AND('BBP complete'!K458,"AAAAAG8r/GM=")</f>
        <v>#VALUE!</v>
      </c>
      <c r="CW33" t="e">
        <f>AND('BBP complete'!L458,"AAAAAG8r/GQ=")</f>
        <v>#VALUE!</v>
      </c>
      <c r="CX33" t="e">
        <f>AND('BBP complete'!M141,"AAAAAG8r/GU=")</f>
        <v>#VALUE!</v>
      </c>
      <c r="CY33" t="e">
        <f>AND('BBP complete'!N141,"AAAAAG8r/GY=")</f>
        <v>#VALUE!</v>
      </c>
      <c r="CZ33" t="e">
        <f>AND('BBP complete'!P149,"AAAAAG8r/Gc=")</f>
        <v>#VALUE!</v>
      </c>
      <c r="DA33" t="e">
        <f>AND('BBP complete'!#REF!,"AAAAAG8r/Gg=")</f>
        <v>#REF!</v>
      </c>
      <c r="DB33" t="e">
        <f>AND('BBP complete'!#REF!,"AAAAAG8r/Gk=")</f>
        <v>#REF!</v>
      </c>
      <c r="DC33" t="e">
        <f>AND('BBP complete'!#REF!,"AAAAAG8r/Go=")</f>
        <v>#REF!</v>
      </c>
      <c r="DD33" t="e">
        <f>AND('BBP complete'!K459,"AAAAAG8r/Gs=")</f>
        <v>#VALUE!</v>
      </c>
      <c r="DE33" t="e">
        <f>AND('BBP complete'!L459,"AAAAAG8r/Gw=")</f>
        <v>#VALUE!</v>
      </c>
      <c r="DF33" t="e">
        <f>AND('BBP complete'!M142,"AAAAAG8r/G0=")</f>
        <v>#VALUE!</v>
      </c>
      <c r="DG33" t="e">
        <f>AND('BBP complete'!N142,"AAAAAG8r/G4=")</f>
        <v>#VALUE!</v>
      </c>
      <c r="DH33" t="e">
        <f>AND('BBP complete'!P150,"AAAAAG8r/G8=")</f>
        <v>#VALUE!</v>
      </c>
      <c r="DI33" t="e">
        <f>AND('BBP complete'!#REF!,"AAAAAG8r/HA=")</f>
        <v>#REF!</v>
      </c>
      <c r="DJ33" t="e">
        <f>AND('BBP complete'!#REF!,"AAAAAG8r/HE=")</f>
        <v>#REF!</v>
      </c>
      <c r="DK33" t="e">
        <f>AND('BBP complete'!#REF!,"AAAAAG8r/HI=")</f>
        <v>#REF!</v>
      </c>
      <c r="DL33" t="e">
        <f>AND('BBP complete'!K460,"AAAAAG8r/HM=")</f>
        <v>#VALUE!</v>
      </c>
      <c r="DM33" t="e">
        <f>AND('BBP complete'!L460,"AAAAAG8r/HQ=")</f>
        <v>#VALUE!</v>
      </c>
      <c r="DN33" t="e">
        <f>AND('BBP complete'!M143,"AAAAAG8r/HU=")</f>
        <v>#VALUE!</v>
      </c>
      <c r="DO33" t="e">
        <f>AND('BBP complete'!N143,"AAAAAG8r/HY=")</f>
        <v>#VALUE!</v>
      </c>
      <c r="DP33" t="e">
        <f>AND('BBP complete'!P151,"AAAAAG8r/Hc=")</f>
        <v>#VALUE!</v>
      </c>
      <c r="DQ33" t="e">
        <f>AND('BBP complete'!#REF!,"AAAAAG8r/Hg=")</f>
        <v>#REF!</v>
      </c>
      <c r="DR33" t="e">
        <f>AND('BBP complete'!#REF!,"AAAAAG8r/Hk=")</f>
        <v>#REF!</v>
      </c>
      <c r="DS33" t="e">
        <f>AND('BBP complete'!#REF!,"AAAAAG8r/Ho=")</f>
        <v>#REF!</v>
      </c>
      <c r="DT33" t="e">
        <f>AND('BBP complete'!K461,"AAAAAG8r/Hs=")</f>
        <v>#VALUE!</v>
      </c>
      <c r="DU33" t="e">
        <f>AND('BBP complete'!L461,"AAAAAG8r/Hw=")</f>
        <v>#VALUE!</v>
      </c>
      <c r="DV33" t="e">
        <f>AND('BBP complete'!M144,"AAAAAG8r/H0=")</f>
        <v>#VALUE!</v>
      </c>
      <c r="DW33" t="e">
        <f>AND('BBP complete'!N144,"AAAAAG8r/H4=")</f>
        <v>#VALUE!</v>
      </c>
      <c r="DX33" t="e">
        <f>AND('BBP complete'!P152,"AAAAAG8r/H8=")</f>
        <v>#VALUE!</v>
      </c>
      <c r="DY33" t="e">
        <f>AND('BBP complete'!#REF!,"AAAAAG8r/IA=")</f>
        <v>#REF!</v>
      </c>
      <c r="DZ33" t="e">
        <f>AND('BBP complete'!#REF!,"AAAAAG8r/IE=")</f>
        <v>#REF!</v>
      </c>
      <c r="EA33" t="e">
        <f>AND('BBP complete'!#REF!,"AAAAAG8r/II=")</f>
        <v>#REF!</v>
      </c>
      <c r="EB33" t="e">
        <f>AND('BBP complete'!K462,"AAAAAG8r/IM=")</f>
        <v>#VALUE!</v>
      </c>
      <c r="EC33" t="e">
        <f>AND('BBP complete'!L462,"AAAAAG8r/IQ=")</f>
        <v>#VALUE!</v>
      </c>
      <c r="ED33" t="e">
        <f>AND('BBP complete'!M145,"AAAAAG8r/IU=")</f>
        <v>#VALUE!</v>
      </c>
      <c r="EE33" t="e">
        <f>AND('BBP complete'!N145,"AAAAAG8r/IY=")</f>
        <v>#VALUE!</v>
      </c>
      <c r="EF33" t="e">
        <f>AND('BBP complete'!P153,"AAAAAG8r/Ic=")</f>
        <v>#VALUE!</v>
      </c>
      <c r="EG33" t="e">
        <f>AND('BBP complete'!#REF!,"AAAAAG8r/Ig=")</f>
        <v>#REF!</v>
      </c>
      <c r="EH33" t="e">
        <f>AND('BBP complete'!#REF!,"AAAAAG8r/Ik=")</f>
        <v>#REF!</v>
      </c>
      <c r="EI33" t="e">
        <f>AND('BBP complete'!#REF!,"AAAAAG8r/Io=")</f>
        <v>#REF!</v>
      </c>
      <c r="EJ33" t="e">
        <f>AND('BBP complete'!K463,"AAAAAG8r/Is=")</f>
        <v>#VALUE!</v>
      </c>
      <c r="EK33" t="e">
        <f>AND('BBP complete'!L463,"AAAAAG8r/Iw=")</f>
        <v>#VALUE!</v>
      </c>
      <c r="EL33" t="e">
        <f>AND('BBP complete'!M146,"AAAAAG8r/I0=")</f>
        <v>#VALUE!</v>
      </c>
      <c r="EM33" t="e">
        <f>AND('BBP complete'!N146,"AAAAAG8r/I4=")</f>
        <v>#VALUE!</v>
      </c>
      <c r="EN33" t="e">
        <f>AND('BBP complete'!P154,"AAAAAG8r/I8=")</f>
        <v>#VALUE!</v>
      </c>
      <c r="EO33" t="e">
        <f>AND('BBP complete'!#REF!,"AAAAAG8r/JA=")</f>
        <v>#REF!</v>
      </c>
      <c r="EP33" t="e">
        <f>AND('BBP complete'!#REF!,"AAAAAG8r/JE=")</f>
        <v>#REF!</v>
      </c>
      <c r="EQ33" t="e">
        <f>AND('BBP complete'!#REF!,"AAAAAG8r/JI=")</f>
        <v>#REF!</v>
      </c>
      <c r="ER33" t="e">
        <f>AND('BBP complete'!K464,"AAAAAG8r/JM=")</f>
        <v>#VALUE!</v>
      </c>
      <c r="ES33" t="e">
        <f>AND('BBP complete'!L464,"AAAAAG8r/JQ=")</f>
        <v>#VALUE!</v>
      </c>
      <c r="ET33" t="e">
        <f>AND('BBP complete'!M147,"AAAAAG8r/JU=")</f>
        <v>#VALUE!</v>
      </c>
      <c r="EU33" t="e">
        <f>AND('BBP complete'!N147,"AAAAAG8r/JY=")</f>
        <v>#VALUE!</v>
      </c>
      <c r="EV33" t="e">
        <f>AND('BBP complete'!P155,"AAAAAG8r/Jc=")</f>
        <v>#VALUE!</v>
      </c>
      <c r="EW33" t="e">
        <f>AND('BBP complete'!#REF!,"AAAAAG8r/Jg=")</f>
        <v>#REF!</v>
      </c>
      <c r="EX33" t="e">
        <f>AND('BBP complete'!#REF!,"AAAAAG8r/Jk=")</f>
        <v>#REF!</v>
      </c>
      <c r="EY33" t="e">
        <f>AND('BBP complete'!#REF!,"AAAAAG8r/Jo=")</f>
        <v>#REF!</v>
      </c>
      <c r="EZ33" t="e">
        <f>AND('BBP complete'!K465,"AAAAAG8r/Js=")</f>
        <v>#VALUE!</v>
      </c>
      <c r="FA33" t="e">
        <f>AND('BBP complete'!L465,"AAAAAG8r/Jw=")</f>
        <v>#VALUE!</v>
      </c>
      <c r="FB33" t="e">
        <f>AND('BBP complete'!M148,"AAAAAG8r/J0=")</f>
        <v>#VALUE!</v>
      </c>
      <c r="FC33" t="e">
        <f>AND('BBP complete'!N148,"AAAAAG8r/J4=")</f>
        <v>#VALUE!</v>
      </c>
      <c r="FD33" t="e">
        <f>AND('BBP complete'!P156,"AAAAAG8r/J8=")</f>
        <v>#VALUE!</v>
      </c>
      <c r="FE33" t="e">
        <f>AND('BBP complete'!#REF!,"AAAAAG8r/KA=")</f>
        <v>#REF!</v>
      </c>
      <c r="FF33" t="e">
        <f>AND('BBP complete'!#REF!,"AAAAAG8r/KE=")</f>
        <v>#REF!</v>
      </c>
      <c r="FG33" t="e">
        <f>AND('BBP complete'!#REF!,"AAAAAG8r/KI=")</f>
        <v>#REF!</v>
      </c>
      <c r="FH33" t="e">
        <f>AND('BBP complete'!K466,"AAAAAG8r/KM=")</f>
        <v>#VALUE!</v>
      </c>
      <c r="FI33" t="e">
        <f>AND('BBP complete'!L466,"AAAAAG8r/KQ=")</f>
        <v>#VALUE!</v>
      </c>
      <c r="FJ33" t="e">
        <f>AND('BBP complete'!M149,"AAAAAG8r/KU=")</f>
        <v>#VALUE!</v>
      </c>
      <c r="FK33" t="e">
        <f>AND('BBP complete'!N149,"AAAAAG8r/KY=")</f>
        <v>#VALUE!</v>
      </c>
      <c r="FL33" t="e">
        <f>AND('BBP complete'!P157,"AAAAAG8r/Kc=")</f>
        <v>#VALUE!</v>
      </c>
      <c r="FM33" t="e">
        <f>AND('BBP complete'!#REF!,"AAAAAG8r/Kg=")</f>
        <v>#REF!</v>
      </c>
      <c r="FN33" t="e">
        <f>AND('BBP complete'!#REF!,"AAAAAG8r/Kk=")</f>
        <v>#REF!</v>
      </c>
      <c r="FO33" t="e">
        <f>AND('BBP complete'!#REF!,"AAAAAG8r/Ko=")</f>
        <v>#REF!</v>
      </c>
      <c r="FP33" t="e">
        <f>AND('BBP complete'!K467,"AAAAAG8r/Ks=")</f>
        <v>#VALUE!</v>
      </c>
      <c r="FQ33" t="e">
        <f>AND('BBP complete'!L467,"AAAAAG8r/Kw=")</f>
        <v>#VALUE!</v>
      </c>
      <c r="FR33" t="e">
        <f>AND('BBP complete'!M150,"AAAAAG8r/K0=")</f>
        <v>#VALUE!</v>
      </c>
      <c r="FS33" t="e">
        <f>AND('BBP complete'!N150,"AAAAAG8r/K4=")</f>
        <v>#VALUE!</v>
      </c>
      <c r="FT33" t="e">
        <f>AND('BBP complete'!P158,"AAAAAG8r/K8=")</f>
        <v>#VALUE!</v>
      </c>
      <c r="FU33" t="e">
        <f>AND('BBP complete'!#REF!,"AAAAAG8r/LA=")</f>
        <v>#REF!</v>
      </c>
      <c r="FV33" t="e">
        <f>AND('BBP complete'!#REF!,"AAAAAG8r/LE=")</f>
        <v>#REF!</v>
      </c>
      <c r="FW33" t="e">
        <f>AND('BBP complete'!#REF!,"AAAAAG8r/LI=")</f>
        <v>#REF!</v>
      </c>
      <c r="FX33" t="e">
        <f>AND('BBP complete'!K468,"AAAAAG8r/LM=")</f>
        <v>#VALUE!</v>
      </c>
      <c r="FY33" t="e">
        <f>AND('BBP complete'!L468,"AAAAAG8r/LQ=")</f>
        <v>#VALUE!</v>
      </c>
      <c r="FZ33" t="e">
        <f>AND('BBP complete'!M151,"AAAAAG8r/LU=")</f>
        <v>#VALUE!</v>
      </c>
      <c r="GA33" t="e">
        <f>AND('BBP complete'!N151,"AAAAAG8r/LY=")</f>
        <v>#VALUE!</v>
      </c>
      <c r="GB33" t="e">
        <f>AND('BBP complete'!P159,"AAAAAG8r/Lc=")</f>
        <v>#VALUE!</v>
      </c>
      <c r="GC33" t="e">
        <f>AND('BBP complete'!#REF!,"AAAAAG8r/Lg=")</f>
        <v>#REF!</v>
      </c>
      <c r="GD33" t="e">
        <f>AND('BBP complete'!#REF!,"AAAAAG8r/Lk=")</f>
        <v>#REF!</v>
      </c>
      <c r="GE33" t="e">
        <f>AND('BBP complete'!#REF!,"AAAAAG8r/Lo=")</f>
        <v>#REF!</v>
      </c>
      <c r="GF33" t="e">
        <f>AND('BBP complete'!K469,"AAAAAG8r/Ls=")</f>
        <v>#VALUE!</v>
      </c>
      <c r="GG33" t="e">
        <f>AND('BBP complete'!L469,"AAAAAG8r/Lw=")</f>
        <v>#VALUE!</v>
      </c>
      <c r="GH33" t="e">
        <f>AND('BBP complete'!M152,"AAAAAG8r/L0=")</f>
        <v>#VALUE!</v>
      </c>
      <c r="GI33" t="e">
        <f>AND('BBP complete'!N152,"AAAAAG8r/L4=")</f>
        <v>#VALUE!</v>
      </c>
      <c r="GJ33" t="e">
        <f>AND('BBP complete'!P160,"AAAAAG8r/L8=")</f>
        <v>#VALUE!</v>
      </c>
      <c r="GK33" t="e">
        <f>AND('BBP complete'!#REF!,"AAAAAG8r/MA=")</f>
        <v>#REF!</v>
      </c>
      <c r="GL33" t="e">
        <f>AND('BBP complete'!#REF!,"AAAAAG8r/ME=")</f>
        <v>#REF!</v>
      </c>
      <c r="GM33" t="e">
        <f>AND('BBP complete'!#REF!,"AAAAAG8r/MI=")</f>
        <v>#REF!</v>
      </c>
      <c r="GN33" t="e">
        <f>AND('BBP complete'!K470,"AAAAAG8r/MM=")</f>
        <v>#VALUE!</v>
      </c>
      <c r="GO33" t="e">
        <f>AND('BBP complete'!L470,"AAAAAG8r/MQ=")</f>
        <v>#VALUE!</v>
      </c>
      <c r="GP33" t="e">
        <f>AND('BBP complete'!M153,"AAAAAG8r/MU=")</f>
        <v>#VALUE!</v>
      </c>
      <c r="GQ33" t="e">
        <f>AND('BBP complete'!N153,"AAAAAG8r/MY=")</f>
        <v>#VALUE!</v>
      </c>
      <c r="GR33" t="e">
        <f>AND('BBP complete'!P161,"AAAAAG8r/Mc=")</f>
        <v>#VALUE!</v>
      </c>
      <c r="GS33" t="e">
        <f>AND('BBP complete'!#REF!,"AAAAAG8r/Mg=")</f>
        <v>#REF!</v>
      </c>
      <c r="GT33" t="e">
        <f>AND('BBP complete'!#REF!,"AAAAAG8r/Mk=")</f>
        <v>#REF!</v>
      </c>
      <c r="GU33" t="e">
        <f>AND('BBP complete'!#REF!,"AAAAAG8r/Mo=")</f>
        <v>#REF!</v>
      </c>
      <c r="GV33" t="e">
        <f>AND('BBP complete'!K471,"AAAAAG8r/Ms=")</f>
        <v>#VALUE!</v>
      </c>
      <c r="GW33" t="e">
        <f>AND('BBP complete'!L471,"AAAAAG8r/Mw=")</f>
        <v>#VALUE!</v>
      </c>
      <c r="GX33" t="e">
        <f>AND('BBP complete'!M154,"AAAAAG8r/M0=")</f>
        <v>#VALUE!</v>
      </c>
      <c r="GY33" t="e">
        <f>AND('BBP complete'!N154,"AAAAAG8r/M4=")</f>
        <v>#VALUE!</v>
      </c>
      <c r="GZ33" t="e">
        <f>AND('BBP complete'!P162,"AAAAAG8r/M8=")</f>
        <v>#VALUE!</v>
      </c>
      <c r="HA33" t="e">
        <f>AND('BBP complete'!#REF!,"AAAAAG8r/NA=")</f>
        <v>#REF!</v>
      </c>
      <c r="HB33" t="e">
        <f>AND('BBP complete'!#REF!,"AAAAAG8r/NE=")</f>
        <v>#REF!</v>
      </c>
      <c r="HC33" t="e">
        <f>AND('BBP complete'!#REF!,"AAAAAG8r/NI=")</f>
        <v>#REF!</v>
      </c>
      <c r="HD33" t="e">
        <f>AND('BBP complete'!K472,"AAAAAG8r/NM=")</f>
        <v>#VALUE!</v>
      </c>
      <c r="HE33" t="e">
        <f>AND('BBP complete'!L472,"AAAAAG8r/NQ=")</f>
        <v>#VALUE!</v>
      </c>
      <c r="HF33" t="e">
        <f>AND('BBP complete'!M155,"AAAAAG8r/NU=")</f>
        <v>#VALUE!</v>
      </c>
      <c r="HG33" t="e">
        <f>AND('BBP complete'!N155,"AAAAAG8r/NY=")</f>
        <v>#VALUE!</v>
      </c>
      <c r="HH33" t="e">
        <f>AND('BBP complete'!P163,"AAAAAG8r/Nc=")</f>
        <v>#VALUE!</v>
      </c>
      <c r="HI33" t="e">
        <f>AND('BBP complete'!#REF!,"AAAAAG8r/Ng=")</f>
        <v>#REF!</v>
      </c>
      <c r="HJ33" t="e">
        <f>AND('BBP complete'!#REF!,"AAAAAG8r/Nk=")</f>
        <v>#REF!</v>
      </c>
      <c r="HK33" t="e">
        <f>AND('BBP complete'!#REF!,"AAAAAG8r/No=")</f>
        <v>#REF!</v>
      </c>
      <c r="HL33" t="e">
        <f>AND('BBP complete'!K473,"AAAAAG8r/Ns=")</f>
        <v>#VALUE!</v>
      </c>
      <c r="HM33" t="e">
        <f>AND('BBP complete'!L473,"AAAAAG8r/Nw=")</f>
        <v>#VALUE!</v>
      </c>
      <c r="HN33" t="e">
        <f>AND('BBP complete'!M156,"AAAAAG8r/N0=")</f>
        <v>#VALUE!</v>
      </c>
      <c r="HO33" t="e">
        <f>AND('BBP complete'!N156,"AAAAAG8r/N4=")</f>
        <v>#VALUE!</v>
      </c>
      <c r="HP33" t="e">
        <f>AND('BBP complete'!P164,"AAAAAG8r/N8=")</f>
        <v>#VALUE!</v>
      </c>
      <c r="HQ33" t="e">
        <f>AND('BBP complete'!#REF!,"AAAAAG8r/OA=")</f>
        <v>#REF!</v>
      </c>
      <c r="HR33" t="e">
        <f>AND('BBP complete'!#REF!,"AAAAAG8r/OE=")</f>
        <v>#REF!</v>
      </c>
      <c r="HS33" t="e">
        <f>AND('BBP complete'!#REF!,"AAAAAG8r/OI=")</f>
        <v>#REF!</v>
      </c>
      <c r="HT33" t="e">
        <f>AND('BBP complete'!K474,"AAAAAG8r/OM=")</f>
        <v>#VALUE!</v>
      </c>
      <c r="HU33" t="e">
        <f>AND('BBP complete'!L474,"AAAAAG8r/OQ=")</f>
        <v>#VALUE!</v>
      </c>
      <c r="HV33" t="e">
        <f>AND('BBP complete'!M157,"AAAAAG8r/OU=")</f>
        <v>#VALUE!</v>
      </c>
      <c r="HW33" t="e">
        <f>AND('BBP complete'!N157,"AAAAAG8r/OY=")</f>
        <v>#VALUE!</v>
      </c>
      <c r="HX33" t="e">
        <f>AND('BBP complete'!P165,"AAAAAG8r/Oc=")</f>
        <v>#VALUE!</v>
      </c>
      <c r="HY33" t="e">
        <f>AND('BBP complete'!#REF!,"AAAAAG8r/Og=")</f>
        <v>#REF!</v>
      </c>
      <c r="HZ33" t="e">
        <f>AND('BBP complete'!#REF!,"AAAAAG8r/Ok=")</f>
        <v>#REF!</v>
      </c>
      <c r="IA33" t="e">
        <f>AND('BBP complete'!#REF!,"AAAAAG8r/Oo=")</f>
        <v>#REF!</v>
      </c>
      <c r="IB33" t="e">
        <f>AND('BBP complete'!K475,"AAAAAG8r/Os=")</f>
        <v>#VALUE!</v>
      </c>
      <c r="IC33" t="e">
        <f>AND('BBP complete'!L475,"AAAAAG8r/Ow=")</f>
        <v>#VALUE!</v>
      </c>
      <c r="ID33" t="e">
        <f>AND('BBP complete'!M158,"AAAAAG8r/O0=")</f>
        <v>#VALUE!</v>
      </c>
      <c r="IE33" t="e">
        <f>AND('BBP complete'!N158,"AAAAAG8r/O4=")</f>
        <v>#VALUE!</v>
      </c>
      <c r="IF33" t="e">
        <f>AND('BBP complete'!P166,"AAAAAG8r/O8=")</f>
        <v>#VALUE!</v>
      </c>
      <c r="IG33" t="e">
        <f>AND('BBP complete'!#REF!,"AAAAAG8r/PA=")</f>
        <v>#REF!</v>
      </c>
      <c r="IH33" t="e">
        <f>AND('BBP complete'!#REF!,"AAAAAG8r/PE=")</f>
        <v>#REF!</v>
      </c>
      <c r="II33" t="e">
        <f>AND('BBP complete'!#REF!,"AAAAAG8r/PI=")</f>
        <v>#REF!</v>
      </c>
      <c r="IJ33" t="e">
        <f>AND('BBP complete'!K476,"AAAAAG8r/PM=")</f>
        <v>#VALUE!</v>
      </c>
      <c r="IK33" t="e">
        <f>AND('BBP complete'!L476,"AAAAAG8r/PQ=")</f>
        <v>#VALUE!</v>
      </c>
      <c r="IL33" t="e">
        <f>AND('BBP complete'!M159,"AAAAAG8r/PU=")</f>
        <v>#VALUE!</v>
      </c>
      <c r="IM33" t="e">
        <f>AND('BBP complete'!N159,"AAAAAG8r/PY=")</f>
        <v>#VALUE!</v>
      </c>
      <c r="IN33" t="e">
        <f>AND('BBP complete'!P167,"AAAAAG8r/Pc=")</f>
        <v>#VALUE!</v>
      </c>
      <c r="IO33" t="e">
        <f>AND('BBP complete'!#REF!,"AAAAAG8r/Pg=")</f>
        <v>#REF!</v>
      </c>
      <c r="IP33" t="e">
        <f>AND('BBP complete'!#REF!,"AAAAAG8r/Pk=")</f>
        <v>#REF!</v>
      </c>
      <c r="IQ33" t="e">
        <f>AND('BBP complete'!#REF!,"AAAAAG8r/Po=")</f>
        <v>#REF!</v>
      </c>
      <c r="IR33" t="e">
        <f>AND('BBP complete'!K477,"AAAAAG8r/Ps=")</f>
        <v>#VALUE!</v>
      </c>
      <c r="IS33" t="e">
        <f>AND('BBP complete'!L477,"AAAAAG8r/Pw=")</f>
        <v>#VALUE!</v>
      </c>
      <c r="IT33" t="e">
        <f>AND('BBP complete'!M160,"AAAAAG8r/P0=")</f>
        <v>#VALUE!</v>
      </c>
      <c r="IU33" t="e">
        <f>AND('BBP complete'!N160,"AAAAAG8r/P4=")</f>
        <v>#VALUE!</v>
      </c>
      <c r="IV33" t="e">
        <f>AND('BBP complete'!P168,"AAAAAG8r/P8=")</f>
        <v>#VALUE!</v>
      </c>
    </row>
    <row r="34" spans="1:256" ht="15" customHeight="1" x14ac:dyDescent="0.25">
      <c r="A34" t="e">
        <f>AND('BBP complete'!#REF!,"AAAAAH/gfwA=")</f>
        <v>#REF!</v>
      </c>
      <c r="B34" t="e">
        <f>AND('BBP complete'!#REF!,"AAAAAH/gfwE=")</f>
        <v>#REF!</v>
      </c>
      <c r="C34" t="e">
        <f>AND('BBP complete'!#REF!,"AAAAAH/gfwI=")</f>
        <v>#REF!</v>
      </c>
      <c r="D34" t="e">
        <f>AND('BBP complete'!K478,"AAAAAH/gfwM=")</f>
        <v>#VALUE!</v>
      </c>
      <c r="E34" t="e">
        <f>AND('BBP complete'!L478,"AAAAAH/gfwQ=")</f>
        <v>#VALUE!</v>
      </c>
      <c r="F34" t="e">
        <f>AND('BBP complete'!M161,"AAAAAH/gfwU=")</f>
        <v>#VALUE!</v>
      </c>
      <c r="G34" t="e">
        <f>AND('BBP complete'!N161,"AAAAAH/gfwY=")</f>
        <v>#VALUE!</v>
      </c>
      <c r="H34" t="e">
        <f>AND('BBP complete'!P169,"AAAAAH/gfwc=")</f>
        <v>#VALUE!</v>
      </c>
      <c r="I34" t="e">
        <f>AND('BBP complete'!#REF!,"AAAAAH/gfwg=")</f>
        <v>#REF!</v>
      </c>
      <c r="J34" t="e">
        <f>AND('BBP complete'!#REF!,"AAAAAH/gfwk=")</f>
        <v>#REF!</v>
      </c>
      <c r="K34" t="e">
        <f>AND('BBP complete'!#REF!,"AAAAAH/gfwo=")</f>
        <v>#REF!</v>
      </c>
      <c r="L34" t="e">
        <f>AND('BBP complete'!K479,"AAAAAH/gfws=")</f>
        <v>#VALUE!</v>
      </c>
      <c r="M34" t="e">
        <f>AND('BBP complete'!L479,"AAAAAH/gfww=")</f>
        <v>#VALUE!</v>
      </c>
      <c r="N34" t="e">
        <f>AND('BBP complete'!M162,"AAAAAH/gfw0=")</f>
        <v>#VALUE!</v>
      </c>
      <c r="O34" t="e">
        <f>AND('BBP complete'!N162,"AAAAAH/gfw4=")</f>
        <v>#VALUE!</v>
      </c>
      <c r="P34" t="e">
        <f>AND('BBP complete'!P170,"AAAAAH/gfw8=")</f>
        <v>#VALUE!</v>
      </c>
      <c r="Q34" t="e">
        <f>AND('BBP complete'!#REF!,"AAAAAH/gfxA=")</f>
        <v>#REF!</v>
      </c>
      <c r="R34" t="e">
        <f>AND('BBP complete'!#REF!,"AAAAAH/gfxE=")</f>
        <v>#REF!</v>
      </c>
      <c r="S34" t="e">
        <f>AND('BBP complete'!#REF!,"AAAAAH/gfxI=")</f>
        <v>#REF!</v>
      </c>
      <c r="T34" t="e">
        <f>AND('BBP complete'!K480,"AAAAAH/gfxM=")</f>
        <v>#VALUE!</v>
      </c>
      <c r="U34" t="e">
        <f>AND('BBP complete'!L480,"AAAAAH/gfxQ=")</f>
        <v>#VALUE!</v>
      </c>
      <c r="V34" t="e">
        <f>AND('BBP complete'!M163,"AAAAAH/gfxU=")</f>
        <v>#VALUE!</v>
      </c>
      <c r="W34" t="e">
        <f>AND('BBP complete'!N163,"AAAAAH/gfxY=")</f>
        <v>#VALUE!</v>
      </c>
      <c r="X34" t="e">
        <f>AND('BBP complete'!P171,"AAAAAH/gfxc=")</f>
        <v>#VALUE!</v>
      </c>
      <c r="Y34" t="e">
        <f>AND('BBP complete'!#REF!,"AAAAAH/gfxg=")</f>
        <v>#REF!</v>
      </c>
      <c r="Z34" t="e">
        <f>AND('BBP complete'!#REF!,"AAAAAH/gfxk=")</f>
        <v>#REF!</v>
      </c>
      <c r="AA34" t="e">
        <f>AND('BBP complete'!#REF!,"AAAAAH/gfxo=")</f>
        <v>#REF!</v>
      </c>
      <c r="AB34" t="e">
        <f>AND('BBP complete'!K481,"AAAAAH/gfxs=")</f>
        <v>#VALUE!</v>
      </c>
      <c r="AC34" t="e">
        <f>AND('BBP complete'!L481,"AAAAAH/gfxw=")</f>
        <v>#VALUE!</v>
      </c>
      <c r="AD34" t="e">
        <f>AND('BBP complete'!M164,"AAAAAH/gfx0=")</f>
        <v>#VALUE!</v>
      </c>
      <c r="AE34" t="e">
        <f>AND('BBP complete'!N164,"AAAAAH/gfx4=")</f>
        <v>#VALUE!</v>
      </c>
      <c r="AF34" t="e">
        <f>AND('BBP complete'!P172,"AAAAAH/gfx8=")</f>
        <v>#VALUE!</v>
      </c>
      <c r="AG34" t="e">
        <f>AND('BBP complete'!#REF!,"AAAAAH/gfyA=")</f>
        <v>#REF!</v>
      </c>
      <c r="AH34" t="e">
        <f>AND('BBP complete'!#REF!,"AAAAAH/gfyE=")</f>
        <v>#REF!</v>
      </c>
      <c r="AI34" t="e">
        <f>AND('BBP complete'!#REF!,"AAAAAH/gfyI=")</f>
        <v>#REF!</v>
      </c>
      <c r="AJ34" t="e">
        <f>AND('BBP complete'!K482,"AAAAAH/gfyM=")</f>
        <v>#VALUE!</v>
      </c>
      <c r="AK34" t="e">
        <f>AND('BBP complete'!L482,"AAAAAH/gfyQ=")</f>
        <v>#VALUE!</v>
      </c>
      <c r="AL34" t="e">
        <f>AND('BBP complete'!M165,"AAAAAH/gfyU=")</f>
        <v>#VALUE!</v>
      </c>
      <c r="AM34" t="e">
        <f>AND('BBP complete'!N165,"AAAAAH/gfyY=")</f>
        <v>#VALUE!</v>
      </c>
      <c r="AN34" t="e">
        <f>AND('BBP complete'!P173,"AAAAAH/gfyc=")</f>
        <v>#VALUE!</v>
      </c>
      <c r="AO34" t="e">
        <f>AND('BBP complete'!#REF!,"AAAAAH/gfyg=")</f>
        <v>#REF!</v>
      </c>
      <c r="AP34" t="e">
        <f>AND('BBP complete'!#REF!,"AAAAAH/gfyk=")</f>
        <v>#REF!</v>
      </c>
      <c r="AQ34" t="e">
        <f>AND('BBP complete'!#REF!,"AAAAAH/gfyo=")</f>
        <v>#REF!</v>
      </c>
      <c r="AR34" t="e">
        <f>AND('BBP complete'!K483,"AAAAAH/gfys=")</f>
        <v>#VALUE!</v>
      </c>
      <c r="AS34" t="e">
        <f>AND('BBP complete'!L483,"AAAAAH/gfyw=")</f>
        <v>#VALUE!</v>
      </c>
      <c r="AT34" t="e">
        <f>AND('BBP complete'!M166,"AAAAAH/gfy0=")</f>
        <v>#VALUE!</v>
      </c>
      <c r="AU34" t="e">
        <f>AND('BBP complete'!N166,"AAAAAH/gfy4=")</f>
        <v>#VALUE!</v>
      </c>
      <c r="AV34" t="e">
        <f>AND('BBP complete'!P174,"AAAAAH/gfy8=")</f>
        <v>#VALUE!</v>
      </c>
      <c r="AW34" t="e">
        <f>AND('BBP complete'!#REF!,"AAAAAH/gfzA=")</f>
        <v>#REF!</v>
      </c>
      <c r="AX34" t="e">
        <f>AND('BBP complete'!#REF!,"AAAAAH/gfzE=")</f>
        <v>#REF!</v>
      </c>
      <c r="AY34" t="e">
        <f>AND('BBP complete'!#REF!,"AAAAAH/gfzI=")</f>
        <v>#REF!</v>
      </c>
      <c r="AZ34" t="e">
        <f>AND('BBP complete'!K484,"AAAAAH/gfzM=")</f>
        <v>#VALUE!</v>
      </c>
      <c r="BA34" t="e">
        <f>AND('BBP complete'!L484,"AAAAAH/gfzQ=")</f>
        <v>#VALUE!</v>
      </c>
      <c r="BB34" t="e">
        <f>AND('BBP complete'!M167,"AAAAAH/gfzU=")</f>
        <v>#VALUE!</v>
      </c>
      <c r="BC34" t="e">
        <f>AND('BBP complete'!N167,"AAAAAH/gfzY=")</f>
        <v>#VALUE!</v>
      </c>
      <c r="BD34" t="e">
        <f>AND('BBP complete'!P175,"AAAAAH/gfzc=")</f>
        <v>#VALUE!</v>
      </c>
      <c r="BE34" t="e">
        <f>AND('BBP complete'!#REF!,"AAAAAH/gfzg=")</f>
        <v>#REF!</v>
      </c>
      <c r="BF34" t="e">
        <f>AND('BBP complete'!#REF!,"AAAAAH/gfzk=")</f>
        <v>#REF!</v>
      </c>
      <c r="BG34" t="e">
        <f>AND('BBP complete'!#REF!,"AAAAAH/gfzo=")</f>
        <v>#REF!</v>
      </c>
      <c r="BH34" t="e">
        <f>AND('BBP complete'!K485,"AAAAAH/gfzs=")</f>
        <v>#VALUE!</v>
      </c>
      <c r="BI34" t="e">
        <f>AND('BBP complete'!L485,"AAAAAH/gfzw=")</f>
        <v>#VALUE!</v>
      </c>
      <c r="BJ34" t="e">
        <f>AND('BBP complete'!M168,"AAAAAH/gfz0=")</f>
        <v>#VALUE!</v>
      </c>
      <c r="BK34" t="e">
        <f>AND('BBP complete'!N168,"AAAAAH/gfz4=")</f>
        <v>#VALUE!</v>
      </c>
      <c r="BL34" t="e">
        <f>AND('BBP complete'!P176,"AAAAAH/gfz8=")</f>
        <v>#VALUE!</v>
      </c>
      <c r="BM34" t="e">
        <f>AND('BBP complete'!#REF!,"AAAAAH/gf0A=")</f>
        <v>#REF!</v>
      </c>
      <c r="BN34" t="e">
        <f>AND('BBP complete'!#REF!,"AAAAAH/gf0E=")</f>
        <v>#REF!</v>
      </c>
      <c r="BO34" t="e">
        <f>AND('BBP complete'!#REF!,"AAAAAH/gf0I=")</f>
        <v>#REF!</v>
      </c>
      <c r="BP34" t="e">
        <f>AND('BBP complete'!K486,"AAAAAH/gf0M=")</f>
        <v>#VALUE!</v>
      </c>
      <c r="BQ34" t="e">
        <f>AND('BBP complete'!L486,"AAAAAH/gf0Q=")</f>
        <v>#VALUE!</v>
      </c>
      <c r="BR34" t="e">
        <f>AND('BBP complete'!M169,"AAAAAH/gf0U=")</f>
        <v>#VALUE!</v>
      </c>
      <c r="BS34" t="e">
        <f>AND('BBP complete'!N169,"AAAAAH/gf0Y=")</f>
        <v>#VALUE!</v>
      </c>
      <c r="BT34" t="e">
        <f>AND('BBP complete'!P177,"AAAAAH/gf0c=")</f>
        <v>#VALUE!</v>
      </c>
      <c r="BU34" t="e">
        <f>AND('BBP complete'!#REF!,"AAAAAH/gf0g=")</f>
        <v>#REF!</v>
      </c>
      <c r="BV34" t="e">
        <f>AND('BBP complete'!#REF!,"AAAAAH/gf0k=")</f>
        <v>#REF!</v>
      </c>
      <c r="BW34" t="e">
        <f>AND('BBP complete'!#REF!,"AAAAAH/gf0o=")</f>
        <v>#REF!</v>
      </c>
      <c r="BX34" t="e">
        <f>AND('BBP complete'!K487,"AAAAAH/gf0s=")</f>
        <v>#VALUE!</v>
      </c>
      <c r="BY34" t="e">
        <f>AND('BBP complete'!L487,"AAAAAH/gf0w=")</f>
        <v>#VALUE!</v>
      </c>
      <c r="BZ34" t="e">
        <f>AND('BBP complete'!M170,"AAAAAH/gf00=")</f>
        <v>#VALUE!</v>
      </c>
      <c r="CA34" t="e">
        <f>AND('BBP complete'!N170,"AAAAAH/gf04=")</f>
        <v>#VALUE!</v>
      </c>
      <c r="CB34" t="e">
        <f>AND('BBP complete'!P178,"AAAAAH/gf08=")</f>
        <v>#VALUE!</v>
      </c>
      <c r="CC34" t="e">
        <f>AND('BBP complete'!#REF!,"AAAAAH/gf1A=")</f>
        <v>#REF!</v>
      </c>
      <c r="CD34" t="e">
        <f>AND('BBP complete'!#REF!,"AAAAAH/gf1E=")</f>
        <v>#REF!</v>
      </c>
      <c r="CE34" t="e">
        <f>AND('BBP complete'!#REF!,"AAAAAH/gf1I=")</f>
        <v>#REF!</v>
      </c>
      <c r="CF34" t="e">
        <f>AND('BBP complete'!K488,"AAAAAH/gf1M=")</f>
        <v>#VALUE!</v>
      </c>
      <c r="CG34" t="e">
        <f>AND('BBP complete'!L488,"AAAAAH/gf1Q=")</f>
        <v>#VALUE!</v>
      </c>
      <c r="CH34" t="e">
        <f>AND('BBP complete'!M171,"AAAAAH/gf1U=")</f>
        <v>#VALUE!</v>
      </c>
      <c r="CI34" t="e">
        <f>AND('BBP complete'!N171,"AAAAAH/gf1Y=")</f>
        <v>#VALUE!</v>
      </c>
      <c r="CJ34" t="e">
        <f>AND('BBP complete'!P179,"AAAAAH/gf1c=")</f>
        <v>#VALUE!</v>
      </c>
      <c r="CK34" t="e">
        <f>AND('BBP complete'!#REF!,"AAAAAH/gf1g=")</f>
        <v>#REF!</v>
      </c>
      <c r="CL34" t="e">
        <f>AND('BBP complete'!#REF!,"AAAAAH/gf1k=")</f>
        <v>#REF!</v>
      </c>
      <c r="CM34" t="e">
        <f>AND('BBP complete'!#REF!,"AAAAAH/gf1o=")</f>
        <v>#REF!</v>
      </c>
      <c r="CN34" t="e">
        <f>AND('BBP complete'!K489,"AAAAAH/gf1s=")</f>
        <v>#VALUE!</v>
      </c>
      <c r="CO34" t="e">
        <f>AND('BBP complete'!L489,"AAAAAH/gf1w=")</f>
        <v>#VALUE!</v>
      </c>
      <c r="CP34" t="e">
        <f>AND('BBP complete'!M172,"AAAAAH/gf10=")</f>
        <v>#VALUE!</v>
      </c>
      <c r="CQ34" t="e">
        <f>AND('BBP complete'!N172,"AAAAAH/gf14=")</f>
        <v>#VALUE!</v>
      </c>
      <c r="CR34" t="e">
        <f>AND('BBP complete'!P180,"AAAAAH/gf18=")</f>
        <v>#VALUE!</v>
      </c>
      <c r="CS34" t="e">
        <f>AND('BBP complete'!#REF!,"AAAAAH/gf2A=")</f>
        <v>#REF!</v>
      </c>
      <c r="CT34" t="e">
        <f>AND('BBP complete'!#REF!,"AAAAAH/gf2E=")</f>
        <v>#REF!</v>
      </c>
      <c r="CU34" t="e">
        <f>AND('BBP complete'!#REF!,"AAAAAH/gf2I=")</f>
        <v>#REF!</v>
      </c>
      <c r="CV34" t="e">
        <f>AND('BBP complete'!K490,"AAAAAH/gf2M=")</f>
        <v>#VALUE!</v>
      </c>
      <c r="CW34" t="e">
        <f>AND('BBP complete'!L490,"AAAAAH/gf2Q=")</f>
        <v>#VALUE!</v>
      </c>
      <c r="CX34" t="e">
        <f>AND('BBP complete'!M173,"AAAAAH/gf2U=")</f>
        <v>#VALUE!</v>
      </c>
      <c r="CY34" t="e">
        <f>AND('BBP complete'!N173,"AAAAAH/gf2Y=")</f>
        <v>#VALUE!</v>
      </c>
      <c r="CZ34" t="e">
        <f>AND('BBP complete'!P181,"AAAAAH/gf2c=")</f>
        <v>#VALUE!</v>
      </c>
      <c r="DA34" t="e">
        <f>AND('BBP complete'!#REF!,"AAAAAH/gf2g=")</f>
        <v>#REF!</v>
      </c>
      <c r="DB34" t="e">
        <f>AND('BBP complete'!#REF!,"AAAAAH/gf2k=")</f>
        <v>#REF!</v>
      </c>
      <c r="DC34" t="e">
        <f>AND('BBP complete'!#REF!,"AAAAAH/gf2o=")</f>
        <v>#REF!</v>
      </c>
      <c r="DD34" t="e">
        <f>AND('BBP complete'!K491,"AAAAAH/gf2s=")</f>
        <v>#VALUE!</v>
      </c>
      <c r="DE34" t="e">
        <f>AND('BBP complete'!L491,"AAAAAH/gf2w=")</f>
        <v>#VALUE!</v>
      </c>
      <c r="DF34" t="e">
        <f>AND('BBP complete'!M174,"AAAAAH/gf20=")</f>
        <v>#VALUE!</v>
      </c>
      <c r="DG34" t="e">
        <f>AND('BBP complete'!N174,"AAAAAH/gf24=")</f>
        <v>#VALUE!</v>
      </c>
      <c r="DH34" t="e">
        <f>AND('BBP complete'!P182,"AAAAAH/gf28=")</f>
        <v>#VALUE!</v>
      </c>
      <c r="DI34" t="e">
        <f>AND('BBP complete'!#REF!,"AAAAAH/gf3A=")</f>
        <v>#REF!</v>
      </c>
      <c r="DJ34" t="e">
        <f>AND('BBP complete'!#REF!,"AAAAAH/gf3E=")</f>
        <v>#REF!</v>
      </c>
      <c r="DK34" t="e">
        <f>AND('BBP complete'!#REF!,"AAAAAH/gf3I=")</f>
        <v>#REF!</v>
      </c>
      <c r="DL34" t="e">
        <f>AND('BBP complete'!K492,"AAAAAH/gf3M=")</f>
        <v>#VALUE!</v>
      </c>
      <c r="DM34" t="e">
        <f>AND('BBP complete'!L492,"AAAAAH/gf3Q=")</f>
        <v>#VALUE!</v>
      </c>
      <c r="DN34" t="e">
        <f>AND('BBP complete'!M175,"AAAAAH/gf3U=")</f>
        <v>#VALUE!</v>
      </c>
      <c r="DO34" t="e">
        <f>AND('BBP complete'!N175,"AAAAAH/gf3Y=")</f>
        <v>#VALUE!</v>
      </c>
      <c r="DP34" t="e">
        <f>AND('BBP complete'!P183,"AAAAAH/gf3c=")</f>
        <v>#VALUE!</v>
      </c>
      <c r="DQ34" t="e">
        <f>AND('BBP complete'!#REF!,"AAAAAH/gf3g=")</f>
        <v>#REF!</v>
      </c>
      <c r="DR34" t="e">
        <f>AND('BBP complete'!#REF!,"AAAAAH/gf3k=")</f>
        <v>#REF!</v>
      </c>
      <c r="DS34" t="e">
        <f>AND('BBP complete'!#REF!,"AAAAAH/gf3o=")</f>
        <v>#REF!</v>
      </c>
      <c r="DT34" t="e">
        <f>AND('BBP complete'!K493,"AAAAAH/gf3s=")</f>
        <v>#VALUE!</v>
      </c>
      <c r="DU34" t="e">
        <f>AND('BBP complete'!L493,"AAAAAH/gf3w=")</f>
        <v>#VALUE!</v>
      </c>
      <c r="DV34" t="e">
        <f>AND('BBP complete'!M176,"AAAAAH/gf30=")</f>
        <v>#VALUE!</v>
      </c>
      <c r="DW34" t="e">
        <f>AND('BBP complete'!N176,"AAAAAH/gf34=")</f>
        <v>#VALUE!</v>
      </c>
      <c r="DX34" t="e">
        <f>AND('BBP complete'!P184,"AAAAAH/gf38=")</f>
        <v>#VALUE!</v>
      </c>
      <c r="DY34" t="e">
        <f>AND('BBP complete'!#REF!,"AAAAAH/gf4A=")</f>
        <v>#REF!</v>
      </c>
      <c r="DZ34" t="e">
        <f>AND('BBP complete'!#REF!,"AAAAAH/gf4E=")</f>
        <v>#REF!</v>
      </c>
      <c r="EA34" t="e">
        <f>AND('BBP complete'!#REF!,"AAAAAH/gf4I=")</f>
        <v>#REF!</v>
      </c>
      <c r="EB34" t="e">
        <f>AND('BBP complete'!K494,"AAAAAH/gf4M=")</f>
        <v>#VALUE!</v>
      </c>
      <c r="EC34" t="e">
        <f>AND('BBP complete'!L494,"AAAAAH/gf4Q=")</f>
        <v>#VALUE!</v>
      </c>
      <c r="ED34" t="e">
        <f>AND('BBP complete'!M177,"AAAAAH/gf4U=")</f>
        <v>#VALUE!</v>
      </c>
      <c r="EE34" t="e">
        <f>AND('BBP complete'!N177,"AAAAAH/gf4Y=")</f>
        <v>#VALUE!</v>
      </c>
      <c r="EF34" t="e">
        <f>AND('BBP complete'!P185,"AAAAAH/gf4c=")</f>
        <v>#VALUE!</v>
      </c>
      <c r="EG34" t="e">
        <f>AND('BBP complete'!#REF!,"AAAAAH/gf4g=")</f>
        <v>#REF!</v>
      </c>
      <c r="EH34" t="e">
        <f>AND('BBP complete'!#REF!,"AAAAAH/gf4k=")</f>
        <v>#REF!</v>
      </c>
      <c r="EI34" t="e">
        <f>AND('BBP complete'!#REF!,"AAAAAH/gf4o=")</f>
        <v>#REF!</v>
      </c>
      <c r="EJ34" t="e">
        <f>AND('BBP complete'!K495,"AAAAAH/gf4s=")</f>
        <v>#VALUE!</v>
      </c>
      <c r="EK34" t="e">
        <f>AND('BBP complete'!L495,"AAAAAH/gf4w=")</f>
        <v>#VALUE!</v>
      </c>
      <c r="EL34" t="e">
        <f>AND('BBP complete'!M178,"AAAAAH/gf40=")</f>
        <v>#VALUE!</v>
      </c>
      <c r="EM34" t="e">
        <f>AND('BBP complete'!N178,"AAAAAH/gf44=")</f>
        <v>#VALUE!</v>
      </c>
      <c r="EN34" t="e">
        <f>AND('BBP complete'!P186,"AAAAAH/gf48=")</f>
        <v>#VALUE!</v>
      </c>
      <c r="EO34" t="e">
        <f>AND('BBP complete'!#REF!,"AAAAAH/gf5A=")</f>
        <v>#REF!</v>
      </c>
      <c r="EP34" t="e">
        <f>AND('BBP complete'!#REF!,"AAAAAH/gf5E=")</f>
        <v>#REF!</v>
      </c>
      <c r="EQ34" t="e">
        <f>AND('BBP complete'!#REF!,"AAAAAH/gf5I=")</f>
        <v>#REF!</v>
      </c>
      <c r="ER34" t="e">
        <f>AND('BBP complete'!K496,"AAAAAH/gf5M=")</f>
        <v>#VALUE!</v>
      </c>
      <c r="ES34" t="e">
        <f>AND('BBP complete'!L496,"AAAAAH/gf5Q=")</f>
        <v>#VALUE!</v>
      </c>
      <c r="ET34" t="e">
        <f>AND('BBP complete'!M179,"AAAAAH/gf5U=")</f>
        <v>#VALUE!</v>
      </c>
      <c r="EU34" t="e">
        <f>AND('BBP complete'!N179,"AAAAAH/gf5Y=")</f>
        <v>#VALUE!</v>
      </c>
      <c r="EV34" t="e">
        <f>AND('BBP complete'!P187,"AAAAAH/gf5c=")</f>
        <v>#VALUE!</v>
      </c>
      <c r="EW34" t="e">
        <f>AND('BBP complete'!#REF!,"AAAAAH/gf5g=")</f>
        <v>#REF!</v>
      </c>
      <c r="EX34" t="e">
        <f>AND('BBP complete'!#REF!,"AAAAAH/gf5k=")</f>
        <v>#REF!</v>
      </c>
      <c r="EY34" t="e">
        <f>AND('BBP complete'!#REF!,"AAAAAH/gf5o=")</f>
        <v>#REF!</v>
      </c>
      <c r="EZ34" t="e">
        <f>AND('BBP complete'!K497,"AAAAAH/gf5s=")</f>
        <v>#VALUE!</v>
      </c>
      <c r="FA34" t="e">
        <f>AND('BBP complete'!L497,"AAAAAH/gf5w=")</f>
        <v>#VALUE!</v>
      </c>
      <c r="FB34" t="e">
        <f>AND('BBP complete'!M180,"AAAAAH/gf50=")</f>
        <v>#VALUE!</v>
      </c>
      <c r="FC34" t="e">
        <f>AND('BBP complete'!N180,"AAAAAH/gf54=")</f>
        <v>#VALUE!</v>
      </c>
      <c r="FD34" t="e">
        <f>AND('BBP complete'!P188,"AAAAAH/gf58=")</f>
        <v>#VALUE!</v>
      </c>
      <c r="FE34" t="e">
        <f>AND('BBP complete'!#REF!,"AAAAAH/gf6A=")</f>
        <v>#REF!</v>
      </c>
      <c r="FF34" t="e">
        <f>AND('BBP complete'!#REF!,"AAAAAH/gf6E=")</f>
        <v>#REF!</v>
      </c>
      <c r="FG34" t="e">
        <f>AND('BBP complete'!#REF!,"AAAAAH/gf6I=")</f>
        <v>#REF!</v>
      </c>
      <c r="FH34" t="e">
        <f>AND('BBP complete'!K498,"AAAAAH/gf6M=")</f>
        <v>#VALUE!</v>
      </c>
      <c r="FI34" t="e">
        <f>AND('BBP complete'!L498,"AAAAAH/gf6Q=")</f>
        <v>#VALUE!</v>
      </c>
      <c r="FJ34" t="e">
        <f>AND('BBP complete'!M181,"AAAAAH/gf6U=")</f>
        <v>#VALUE!</v>
      </c>
      <c r="FK34" t="e">
        <f>AND('BBP complete'!N181,"AAAAAH/gf6Y=")</f>
        <v>#VALUE!</v>
      </c>
      <c r="FL34" t="e">
        <f>AND('BBP complete'!P189,"AAAAAH/gf6c=")</f>
        <v>#VALUE!</v>
      </c>
      <c r="FM34" t="e">
        <f>AND('BBP complete'!#REF!,"AAAAAH/gf6g=")</f>
        <v>#REF!</v>
      </c>
      <c r="FN34" t="e">
        <f>AND('BBP complete'!#REF!,"AAAAAH/gf6k=")</f>
        <v>#REF!</v>
      </c>
      <c r="FO34" t="e">
        <f>AND('BBP complete'!#REF!,"AAAAAH/gf6o=")</f>
        <v>#REF!</v>
      </c>
      <c r="FP34" t="e">
        <f>AND('BBP complete'!K499,"AAAAAH/gf6s=")</f>
        <v>#VALUE!</v>
      </c>
      <c r="FQ34" t="e">
        <f>AND('BBP complete'!L499,"AAAAAH/gf6w=")</f>
        <v>#VALUE!</v>
      </c>
      <c r="FR34" t="e">
        <f>AND('BBP complete'!M182,"AAAAAH/gf60=")</f>
        <v>#VALUE!</v>
      </c>
      <c r="FS34" t="e">
        <f>AND('BBP complete'!N182,"AAAAAH/gf64=")</f>
        <v>#VALUE!</v>
      </c>
      <c r="FT34" t="e">
        <f>AND('BBP complete'!P190,"AAAAAH/gf68=")</f>
        <v>#VALUE!</v>
      </c>
      <c r="FU34" t="e">
        <f>AND('BBP complete'!#REF!,"AAAAAH/gf7A=")</f>
        <v>#REF!</v>
      </c>
      <c r="FV34" t="e">
        <f>AND('BBP complete'!#REF!,"AAAAAH/gf7E=")</f>
        <v>#REF!</v>
      </c>
      <c r="FW34" t="e">
        <f>AND('BBP complete'!#REF!,"AAAAAH/gf7I=")</f>
        <v>#REF!</v>
      </c>
      <c r="FX34" t="e">
        <f>AND('BBP complete'!K500,"AAAAAH/gf7M=")</f>
        <v>#VALUE!</v>
      </c>
      <c r="FY34" t="e">
        <f>AND('BBP complete'!L500,"AAAAAH/gf7Q=")</f>
        <v>#VALUE!</v>
      </c>
      <c r="FZ34" t="e">
        <f>AND('BBP complete'!M183,"AAAAAH/gf7U=")</f>
        <v>#VALUE!</v>
      </c>
      <c r="GA34" t="e">
        <f>AND('BBP complete'!N183,"AAAAAH/gf7Y=")</f>
        <v>#VALUE!</v>
      </c>
      <c r="GB34" t="e">
        <f>AND('BBP complete'!P191,"AAAAAH/gf7c=")</f>
        <v>#VALUE!</v>
      </c>
      <c r="GC34" t="e">
        <f>AND('BBP complete'!#REF!,"AAAAAH/gf7g=")</f>
        <v>#REF!</v>
      </c>
      <c r="GD34" t="e">
        <f>AND('BBP complete'!#REF!,"AAAAAH/gf7k=")</f>
        <v>#REF!</v>
      </c>
      <c r="GE34" t="e">
        <f>AND('BBP complete'!#REF!,"AAAAAH/gf7o=")</f>
        <v>#REF!</v>
      </c>
      <c r="GF34" t="e">
        <f>AND('BBP complete'!K501,"AAAAAH/gf7s=")</f>
        <v>#VALUE!</v>
      </c>
      <c r="GG34" t="e">
        <f>AND('BBP complete'!L501,"AAAAAH/gf7w=")</f>
        <v>#VALUE!</v>
      </c>
      <c r="GH34" t="e">
        <f>AND('BBP complete'!M184,"AAAAAH/gf70=")</f>
        <v>#VALUE!</v>
      </c>
      <c r="GI34" t="e">
        <f>AND('BBP complete'!N184,"AAAAAH/gf74=")</f>
        <v>#VALUE!</v>
      </c>
      <c r="GJ34" t="e">
        <f>AND('BBP complete'!P192,"AAAAAH/gf78=")</f>
        <v>#VALUE!</v>
      </c>
      <c r="GK34" t="e">
        <f>AND('BBP complete'!#REF!,"AAAAAH/gf8A=")</f>
        <v>#REF!</v>
      </c>
      <c r="GL34" t="e">
        <f>AND('BBP complete'!#REF!,"AAAAAH/gf8E=")</f>
        <v>#REF!</v>
      </c>
      <c r="GM34" t="e">
        <f>AND('BBP complete'!#REF!,"AAAAAH/gf8I=")</f>
        <v>#REF!</v>
      </c>
      <c r="GN34" t="e">
        <f>AND('BBP complete'!K502,"AAAAAH/gf8M=")</f>
        <v>#VALUE!</v>
      </c>
      <c r="GO34" t="e">
        <f>AND('BBP complete'!L502,"AAAAAH/gf8Q=")</f>
        <v>#VALUE!</v>
      </c>
      <c r="GP34" t="e">
        <f>AND('BBP complete'!M185,"AAAAAH/gf8U=")</f>
        <v>#VALUE!</v>
      </c>
      <c r="GQ34" t="e">
        <f>AND('BBP complete'!N185,"AAAAAH/gf8Y=")</f>
        <v>#VALUE!</v>
      </c>
      <c r="GR34" t="e">
        <f>AND('BBP complete'!P193,"AAAAAH/gf8c=")</f>
        <v>#VALUE!</v>
      </c>
      <c r="GS34" t="e">
        <f>AND('BBP complete'!#REF!,"AAAAAH/gf8g=")</f>
        <v>#REF!</v>
      </c>
      <c r="GT34" t="e">
        <f>AND('BBP complete'!#REF!,"AAAAAH/gf8k=")</f>
        <v>#REF!</v>
      </c>
      <c r="GU34" t="e">
        <f>AND('BBP complete'!#REF!,"AAAAAH/gf8o=")</f>
        <v>#REF!</v>
      </c>
      <c r="GV34" t="e">
        <f>AND('BBP complete'!K503,"AAAAAH/gf8s=")</f>
        <v>#VALUE!</v>
      </c>
      <c r="GW34" t="e">
        <f>AND('BBP complete'!L503,"AAAAAH/gf8w=")</f>
        <v>#VALUE!</v>
      </c>
      <c r="GX34" t="e">
        <f>AND('BBP complete'!M186,"AAAAAH/gf80=")</f>
        <v>#VALUE!</v>
      </c>
      <c r="GY34" t="e">
        <f>AND('BBP complete'!N186,"AAAAAH/gf84=")</f>
        <v>#VALUE!</v>
      </c>
      <c r="GZ34" t="e">
        <f>AND('BBP complete'!P194,"AAAAAH/gf88=")</f>
        <v>#VALUE!</v>
      </c>
      <c r="HA34" t="e">
        <f>AND('BBP complete'!#REF!,"AAAAAH/gf9A=")</f>
        <v>#REF!</v>
      </c>
      <c r="HB34" t="e">
        <f>AND('BBP complete'!#REF!,"AAAAAH/gf9E=")</f>
        <v>#REF!</v>
      </c>
      <c r="HC34" t="e">
        <f>AND('BBP complete'!#REF!,"AAAAAH/gf9I=")</f>
        <v>#REF!</v>
      </c>
      <c r="HD34" t="e">
        <f>AND('BBP complete'!K504,"AAAAAH/gf9M=")</f>
        <v>#VALUE!</v>
      </c>
      <c r="HE34" t="e">
        <f>AND('BBP complete'!L504,"AAAAAH/gf9Q=")</f>
        <v>#VALUE!</v>
      </c>
      <c r="HF34" t="e">
        <f>AND('BBP complete'!M187,"AAAAAH/gf9U=")</f>
        <v>#VALUE!</v>
      </c>
      <c r="HG34" t="e">
        <f>AND('BBP complete'!N187,"AAAAAH/gf9Y=")</f>
        <v>#VALUE!</v>
      </c>
      <c r="HH34" t="e">
        <f>AND('BBP complete'!P195,"AAAAAH/gf9c=")</f>
        <v>#VALUE!</v>
      </c>
      <c r="HI34" t="e">
        <f>AND('BBP complete'!#REF!,"AAAAAH/gf9g=")</f>
        <v>#REF!</v>
      </c>
      <c r="HJ34" t="e">
        <f>AND('BBP complete'!#REF!,"AAAAAH/gf9k=")</f>
        <v>#REF!</v>
      </c>
      <c r="HK34" t="e">
        <f>AND('BBP complete'!#REF!,"AAAAAH/gf9o=")</f>
        <v>#REF!</v>
      </c>
      <c r="HL34" t="e">
        <f>AND('BBP complete'!K505,"AAAAAH/gf9s=")</f>
        <v>#VALUE!</v>
      </c>
      <c r="HM34" t="e">
        <f>AND('BBP complete'!L505,"AAAAAH/gf9w=")</f>
        <v>#VALUE!</v>
      </c>
      <c r="HN34" t="e">
        <f>AND('BBP complete'!M188,"AAAAAH/gf90=")</f>
        <v>#VALUE!</v>
      </c>
      <c r="HO34" t="e">
        <f>AND('BBP complete'!N188,"AAAAAH/gf94=")</f>
        <v>#VALUE!</v>
      </c>
      <c r="HP34" t="e">
        <f>AND('BBP complete'!P196,"AAAAAH/gf98=")</f>
        <v>#VALUE!</v>
      </c>
      <c r="HQ34" t="e">
        <f>AND('BBP complete'!#REF!,"AAAAAH/gf+A=")</f>
        <v>#REF!</v>
      </c>
      <c r="HR34" t="e">
        <f>AND('BBP complete'!#REF!,"AAAAAH/gf+E=")</f>
        <v>#REF!</v>
      </c>
      <c r="HS34" t="e">
        <f>AND('BBP complete'!#REF!,"AAAAAH/gf+I=")</f>
        <v>#REF!</v>
      </c>
      <c r="HT34" t="e">
        <f>AND('BBP complete'!K506,"AAAAAH/gf+M=")</f>
        <v>#VALUE!</v>
      </c>
      <c r="HU34" t="e">
        <f>AND('BBP complete'!L506,"AAAAAH/gf+Q=")</f>
        <v>#VALUE!</v>
      </c>
      <c r="HV34" t="e">
        <f>AND('BBP complete'!M189,"AAAAAH/gf+U=")</f>
        <v>#VALUE!</v>
      </c>
      <c r="HW34" t="e">
        <f>AND('BBP complete'!N189,"AAAAAH/gf+Y=")</f>
        <v>#VALUE!</v>
      </c>
      <c r="HX34" t="e">
        <f>AND('BBP complete'!P197,"AAAAAH/gf+c=")</f>
        <v>#VALUE!</v>
      </c>
      <c r="HY34" t="e">
        <f>AND('BBP complete'!#REF!,"AAAAAH/gf+g=")</f>
        <v>#REF!</v>
      </c>
      <c r="HZ34" t="e">
        <f>AND('BBP complete'!#REF!,"AAAAAH/gf+k=")</f>
        <v>#REF!</v>
      </c>
      <c r="IA34" t="e">
        <f>AND('BBP complete'!#REF!,"AAAAAH/gf+o=")</f>
        <v>#REF!</v>
      </c>
      <c r="IB34" t="e">
        <f>AND('BBP complete'!K507,"AAAAAH/gf+s=")</f>
        <v>#VALUE!</v>
      </c>
      <c r="IC34" t="e">
        <f>AND('BBP complete'!L507,"AAAAAH/gf+w=")</f>
        <v>#VALUE!</v>
      </c>
      <c r="ID34" t="e">
        <f>AND('BBP complete'!M190,"AAAAAH/gf+0=")</f>
        <v>#VALUE!</v>
      </c>
      <c r="IE34" t="e">
        <f>AND('BBP complete'!N190,"AAAAAH/gf+4=")</f>
        <v>#VALUE!</v>
      </c>
      <c r="IF34" t="e">
        <f>AND('BBP complete'!P198,"AAAAAH/gf+8=")</f>
        <v>#VALUE!</v>
      </c>
      <c r="IG34" t="e">
        <f>AND('BBP complete'!#REF!,"AAAAAH/gf/A=")</f>
        <v>#REF!</v>
      </c>
      <c r="IH34" t="e">
        <f>AND('BBP complete'!#REF!,"AAAAAH/gf/E=")</f>
        <v>#REF!</v>
      </c>
      <c r="II34" t="e">
        <f>AND('BBP complete'!#REF!,"AAAAAH/gf/I=")</f>
        <v>#REF!</v>
      </c>
      <c r="IJ34" t="e">
        <f>AND('BBP complete'!K508,"AAAAAH/gf/M=")</f>
        <v>#VALUE!</v>
      </c>
      <c r="IK34" t="e">
        <f>AND('BBP complete'!L508,"AAAAAH/gf/Q=")</f>
        <v>#VALUE!</v>
      </c>
      <c r="IL34" t="e">
        <f>AND('BBP complete'!M191,"AAAAAH/gf/U=")</f>
        <v>#VALUE!</v>
      </c>
      <c r="IM34" t="e">
        <f>AND('BBP complete'!N191,"AAAAAH/gf/Y=")</f>
        <v>#VALUE!</v>
      </c>
      <c r="IN34" t="e">
        <f>AND('BBP complete'!P199,"AAAAAH/gf/c=")</f>
        <v>#VALUE!</v>
      </c>
      <c r="IO34" t="e">
        <f>AND('BBP complete'!#REF!,"AAAAAH/gf/g=")</f>
        <v>#REF!</v>
      </c>
      <c r="IP34" t="e">
        <f>AND('BBP complete'!#REF!,"AAAAAH/gf/k=")</f>
        <v>#REF!</v>
      </c>
      <c r="IQ34" t="e">
        <f>AND('BBP complete'!#REF!,"AAAAAH/gf/o=")</f>
        <v>#REF!</v>
      </c>
      <c r="IR34" t="e">
        <f>AND('BBP complete'!K509,"AAAAAH/gf/s=")</f>
        <v>#VALUE!</v>
      </c>
      <c r="IS34" t="e">
        <f>AND('BBP complete'!L509,"AAAAAH/gf/w=")</f>
        <v>#VALUE!</v>
      </c>
      <c r="IT34" t="e">
        <f>AND('BBP complete'!M192,"AAAAAH/gf/0=")</f>
        <v>#VALUE!</v>
      </c>
      <c r="IU34" t="e">
        <f>AND('BBP complete'!N192,"AAAAAH/gf/4=")</f>
        <v>#VALUE!</v>
      </c>
      <c r="IV34" t="e">
        <f>AND('BBP complete'!P200,"AAAAAH/gf/8=")</f>
        <v>#VALUE!</v>
      </c>
    </row>
    <row r="35" spans="1:256" ht="15" customHeight="1" x14ac:dyDescent="0.25">
      <c r="A35" t="e">
        <f>AND('BBP complete'!#REF!,"AAAAAGhN7AA=")</f>
        <v>#REF!</v>
      </c>
      <c r="B35" t="e">
        <f>AND('BBP complete'!#REF!,"AAAAAGhN7AE=")</f>
        <v>#REF!</v>
      </c>
      <c r="C35" t="e">
        <f>AND('BBP complete'!#REF!,"AAAAAGhN7AI=")</f>
        <v>#REF!</v>
      </c>
      <c r="D35" t="e">
        <f>AND('BBP complete'!K510,"AAAAAGhN7AM=")</f>
        <v>#VALUE!</v>
      </c>
      <c r="E35" t="e">
        <f>AND('BBP complete'!L510,"AAAAAGhN7AQ=")</f>
        <v>#VALUE!</v>
      </c>
      <c r="F35" t="e">
        <f>AND('BBP complete'!M193,"AAAAAGhN7AU=")</f>
        <v>#VALUE!</v>
      </c>
      <c r="G35" t="e">
        <f>AND('BBP complete'!N193,"AAAAAGhN7AY=")</f>
        <v>#VALUE!</v>
      </c>
      <c r="H35" t="e">
        <f>AND('BBP complete'!P201,"AAAAAGhN7Ac=")</f>
        <v>#VALUE!</v>
      </c>
      <c r="I35" t="e">
        <f>AND('BBP complete'!#REF!,"AAAAAGhN7Ag=")</f>
        <v>#REF!</v>
      </c>
      <c r="J35" t="e">
        <f>AND('BBP complete'!#REF!,"AAAAAGhN7Ak=")</f>
        <v>#REF!</v>
      </c>
      <c r="K35" t="e">
        <f>AND('BBP complete'!#REF!,"AAAAAGhN7Ao=")</f>
        <v>#REF!</v>
      </c>
      <c r="L35" t="e">
        <f>AND('BBP complete'!K511,"AAAAAGhN7As=")</f>
        <v>#VALUE!</v>
      </c>
      <c r="M35" t="e">
        <f>AND('BBP complete'!L511,"AAAAAGhN7Aw=")</f>
        <v>#VALUE!</v>
      </c>
      <c r="N35" t="e">
        <f>AND('BBP complete'!M194,"AAAAAGhN7A0=")</f>
        <v>#VALUE!</v>
      </c>
      <c r="O35" t="e">
        <f>AND('BBP complete'!N194,"AAAAAGhN7A4=")</f>
        <v>#VALUE!</v>
      </c>
      <c r="P35" t="e">
        <f>AND('BBP complete'!P202,"AAAAAGhN7A8=")</f>
        <v>#VALUE!</v>
      </c>
      <c r="Q35" t="e">
        <f>AND('BBP complete'!#REF!,"AAAAAGhN7BA=")</f>
        <v>#REF!</v>
      </c>
      <c r="R35" t="e">
        <f>AND('BBP complete'!#REF!,"AAAAAGhN7BE=")</f>
        <v>#REF!</v>
      </c>
      <c r="S35" t="e">
        <f>AND('BBP complete'!#REF!,"AAAAAGhN7BI=")</f>
        <v>#REF!</v>
      </c>
      <c r="T35" t="e">
        <f>AND('BBP complete'!K512,"AAAAAGhN7BM=")</f>
        <v>#VALUE!</v>
      </c>
      <c r="U35" t="e">
        <f>AND('BBP complete'!L512,"AAAAAGhN7BQ=")</f>
        <v>#VALUE!</v>
      </c>
      <c r="V35" t="e">
        <f>AND('BBP complete'!M195,"AAAAAGhN7BU=")</f>
        <v>#VALUE!</v>
      </c>
      <c r="W35" t="e">
        <f>AND('BBP complete'!N195,"AAAAAGhN7BY=")</f>
        <v>#VALUE!</v>
      </c>
      <c r="X35" t="e">
        <f>AND('BBP complete'!P203,"AAAAAGhN7Bc=")</f>
        <v>#VALUE!</v>
      </c>
      <c r="Y35" t="e">
        <f>AND('BBP complete'!#REF!,"AAAAAGhN7Bg=")</f>
        <v>#REF!</v>
      </c>
      <c r="Z35" t="e">
        <f>AND('BBP complete'!#REF!,"AAAAAGhN7Bk=")</f>
        <v>#REF!</v>
      </c>
      <c r="AA35" t="e">
        <f>AND('BBP complete'!#REF!,"AAAAAGhN7Bo=")</f>
        <v>#REF!</v>
      </c>
      <c r="AB35" t="e">
        <f>AND('BBP complete'!K513,"AAAAAGhN7Bs=")</f>
        <v>#VALUE!</v>
      </c>
      <c r="AC35" t="e">
        <f>AND('BBP complete'!L513,"AAAAAGhN7Bw=")</f>
        <v>#VALUE!</v>
      </c>
      <c r="AD35" t="e">
        <f>AND('BBP complete'!M196,"AAAAAGhN7B0=")</f>
        <v>#VALUE!</v>
      </c>
      <c r="AE35" t="e">
        <f>AND('BBP complete'!N196,"AAAAAGhN7B4=")</f>
        <v>#VALUE!</v>
      </c>
      <c r="AF35" t="e">
        <f>AND('BBP complete'!P204,"AAAAAGhN7B8=")</f>
        <v>#VALUE!</v>
      </c>
      <c r="AG35" t="e">
        <f>AND('BBP complete'!#REF!,"AAAAAGhN7CA=")</f>
        <v>#REF!</v>
      </c>
      <c r="AH35" t="e">
        <f>AND('BBP complete'!#REF!,"AAAAAGhN7CE=")</f>
        <v>#REF!</v>
      </c>
      <c r="AI35" t="e">
        <f>AND('BBP complete'!#REF!,"AAAAAGhN7CI=")</f>
        <v>#REF!</v>
      </c>
      <c r="AJ35" t="e">
        <f>AND('BBP complete'!K514,"AAAAAGhN7CM=")</f>
        <v>#VALUE!</v>
      </c>
      <c r="AK35" t="e">
        <f>AND('BBP complete'!L514,"AAAAAGhN7CQ=")</f>
        <v>#VALUE!</v>
      </c>
      <c r="AL35" t="e">
        <f>AND('BBP complete'!M197,"AAAAAGhN7CU=")</f>
        <v>#VALUE!</v>
      </c>
      <c r="AM35" t="e">
        <f>AND('BBP complete'!N197,"AAAAAGhN7CY=")</f>
        <v>#VALUE!</v>
      </c>
      <c r="AN35" t="e">
        <f>AND('BBP complete'!P205,"AAAAAGhN7Cc=")</f>
        <v>#VALUE!</v>
      </c>
      <c r="AO35" t="e">
        <f>AND('BBP complete'!#REF!,"AAAAAGhN7Cg=")</f>
        <v>#REF!</v>
      </c>
      <c r="AP35" t="e">
        <f>AND('BBP complete'!#REF!,"AAAAAGhN7Ck=")</f>
        <v>#REF!</v>
      </c>
      <c r="AQ35" t="e">
        <f>AND('BBP complete'!#REF!,"AAAAAGhN7Co=")</f>
        <v>#REF!</v>
      </c>
      <c r="AR35" t="e">
        <f>AND('BBP complete'!K515,"AAAAAGhN7Cs=")</f>
        <v>#VALUE!</v>
      </c>
      <c r="AS35" t="e">
        <f>AND('BBP complete'!L515,"AAAAAGhN7Cw=")</f>
        <v>#VALUE!</v>
      </c>
      <c r="AT35" t="e">
        <f>AND('BBP complete'!M198,"AAAAAGhN7C0=")</f>
        <v>#VALUE!</v>
      </c>
      <c r="AU35" t="e">
        <f>AND('BBP complete'!N198,"AAAAAGhN7C4=")</f>
        <v>#VALUE!</v>
      </c>
      <c r="AV35" t="e">
        <f>AND('BBP complete'!P206,"AAAAAGhN7C8=")</f>
        <v>#VALUE!</v>
      </c>
      <c r="AW35" t="e">
        <f>AND('BBP complete'!#REF!,"AAAAAGhN7DA=")</f>
        <v>#REF!</v>
      </c>
      <c r="AX35" t="e">
        <f>AND('BBP complete'!#REF!,"AAAAAGhN7DE=")</f>
        <v>#REF!</v>
      </c>
      <c r="AY35" t="e">
        <f>AND('BBP complete'!#REF!,"AAAAAGhN7DI=")</f>
        <v>#REF!</v>
      </c>
      <c r="AZ35" t="e">
        <f>AND('BBP complete'!K516,"AAAAAGhN7DM=")</f>
        <v>#VALUE!</v>
      </c>
      <c r="BA35" t="e">
        <f>AND('BBP complete'!L516,"AAAAAGhN7DQ=")</f>
        <v>#VALUE!</v>
      </c>
      <c r="BB35" t="e">
        <f>AND('BBP complete'!M199,"AAAAAGhN7DU=")</f>
        <v>#VALUE!</v>
      </c>
      <c r="BC35" t="e">
        <f>AND('BBP complete'!N199,"AAAAAGhN7DY=")</f>
        <v>#VALUE!</v>
      </c>
      <c r="BD35" t="e">
        <f>AND('BBP complete'!P207,"AAAAAGhN7Dc=")</f>
        <v>#VALUE!</v>
      </c>
      <c r="BE35" t="e">
        <f>AND('BBP complete'!#REF!,"AAAAAGhN7Dg=")</f>
        <v>#REF!</v>
      </c>
      <c r="BF35" t="e">
        <f>AND('BBP complete'!#REF!,"AAAAAGhN7Dk=")</f>
        <v>#REF!</v>
      </c>
      <c r="BG35" t="e">
        <f>AND('BBP complete'!#REF!,"AAAAAGhN7Do=")</f>
        <v>#REF!</v>
      </c>
      <c r="BH35" t="e">
        <f>AND('BBP complete'!K517,"AAAAAGhN7Ds=")</f>
        <v>#VALUE!</v>
      </c>
      <c r="BI35" t="e">
        <f>AND('BBP complete'!L517,"AAAAAGhN7Dw=")</f>
        <v>#VALUE!</v>
      </c>
      <c r="BJ35" t="e">
        <f>AND('BBP complete'!M200,"AAAAAGhN7D0=")</f>
        <v>#VALUE!</v>
      </c>
      <c r="BK35" t="e">
        <f>AND('BBP complete'!N200,"AAAAAGhN7D4=")</f>
        <v>#VALUE!</v>
      </c>
      <c r="BL35" t="e">
        <f>AND('BBP complete'!P208,"AAAAAGhN7D8=")</f>
        <v>#VALUE!</v>
      </c>
      <c r="BM35" t="e">
        <f>AND('BBP complete'!#REF!,"AAAAAGhN7EA=")</f>
        <v>#REF!</v>
      </c>
      <c r="BN35" t="e">
        <f>AND('BBP complete'!#REF!,"AAAAAGhN7EE=")</f>
        <v>#REF!</v>
      </c>
      <c r="BO35" t="e">
        <f>AND('BBP complete'!#REF!,"AAAAAGhN7EI=")</f>
        <v>#REF!</v>
      </c>
      <c r="BP35" t="e">
        <f>AND('BBP complete'!K518,"AAAAAGhN7EM=")</f>
        <v>#VALUE!</v>
      </c>
      <c r="BQ35" t="e">
        <f>AND('BBP complete'!L518,"AAAAAGhN7EQ=")</f>
        <v>#VALUE!</v>
      </c>
      <c r="BR35" t="e">
        <f>AND('BBP complete'!M201,"AAAAAGhN7EU=")</f>
        <v>#VALUE!</v>
      </c>
      <c r="BS35" t="e">
        <f>AND('BBP complete'!N201,"AAAAAGhN7EY=")</f>
        <v>#VALUE!</v>
      </c>
      <c r="BT35" t="e">
        <f>AND('BBP complete'!P209,"AAAAAGhN7Ec=")</f>
        <v>#VALUE!</v>
      </c>
      <c r="BU35" t="e">
        <f>AND('BBP complete'!#REF!,"AAAAAGhN7Eg=")</f>
        <v>#REF!</v>
      </c>
      <c r="BV35" t="e">
        <f>AND('BBP complete'!#REF!,"AAAAAGhN7Ek=")</f>
        <v>#REF!</v>
      </c>
      <c r="BW35" t="e">
        <f>AND('BBP complete'!#REF!,"AAAAAGhN7Eo=")</f>
        <v>#REF!</v>
      </c>
      <c r="BX35" t="e">
        <f>AND('BBP complete'!K519,"AAAAAGhN7Es=")</f>
        <v>#VALUE!</v>
      </c>
      <c r="BY35" t="e">
        <f>AND('BBP complete'!L519,"AAAAAGhN7Ew=")</f>
        <v>#VALUE!</v>
      </c>
      <c r="BZ35" t="e">
        <f>AND('BBP complete'!M202,"AAAAAGhN7E0=")</f>
        <v>#VALUE!</v>
      </c>
      <c r="CA35" t="e">
        <f>AND('BBP complete'!N202,"AAAAAGhN7E4=")</f>
        <v>#VALUE!</v>
      </c>
      <c r="CB35" t="e">
        <f>AND('BBP complete'!P210,"AAAAAGhN7E8=")</f>
        <v>#VALUE!</v>
      </c>
      <c r="CC35" t="e">
        <f>AND('BBP complete'!#REF!,"AAAAAGhN7FA=")</f>
        <v>#REF!</v>
      </c>
      <c r="CD35" t="e">
        <f>AND('BBP complete'!#REF!,"AAAAAGhN7FE=")</f>
        <v>#REF!</v>
      </c>
      <c r="CE35" t="e">
        <f>AND('BBP complete'!#REF!,"AAAAAGhN7FI=")</f>
        <v>#REF!</v>
      </c>
      <c r="CF35" t="e">
        <f>AND('BBP complete'!K520,"AAAAAGhN7FM=")</f>
        <v>#VALUE!</v>
      </c>
      <c r="CG35" t="e">
        <f>AND('BBP complete'!L520,"AAAAAGhN7FQ=")</f>
        <v>#VALUE!</v>
      </c>
      <c r="CH35" t="e">
        <f>AND('BBP complete'!M203,"AAAAAGhN7FU=")</f>
        <v>#VALUE!</v>
      </c>
      <c r="CI35" t="e">
        <f>AND('BBP complete'!N203,"AAAAAGhN7FY=")</f>
        <v>#VALUE!</v>
      </c>
      <c r="CJ35" t="e">
        <f>AND('BBP complete'!P211,"AAAAAGhN7Fc=")</f>
        <v>#VALUE!</v>
      </c>
      <c r="CK35" t="e">
        <f>AND('BBP complete'!#REF!,"AAAAAGhN7Fg=")</f>
        <v>#REF!</v>
      </c>
      <c r="CL35" t="e">
        <f>AND('BBP complete'!#REF!,"AAAAAGhN7Fk=")</f>
        <v>#REF!</v>
      </c>
      <c r="CM35" t="e">
        <f>AND('BBP complete'!#REF!,"AAAAAGhN7Fo=")</f>
        <v>#REF!</v>
      </c>
      <c r="CN35" t="e">
        <f>AND('BBP complete'!K521,"AAAAAGhN7Fs=")</f>
        <v>#VALUE!</v>
      </c>
      <c r="CO35" t="e">
        <f>AND('BBP complete'!L521,"AAAAAGhN7Fw=")</f>
        <v>#VALUE!</v>
      </c>
      <c r="CP35" t="e">
        <f>AND('BBP complete'!M204,"AAAAAGhN7F0=")</f>
        <v>#VALUE!</v>
      </c>
      <c r="CQ35" t="e">
        <f>AND('BBP complete'!N204,"AAAAAGhN7F4=")</f>
        <v>#VALUE!</v>
      </c>
      <c r="CR35" t="e">
        <f>AND('BBP complete'!P212,"AAAAAGhN7F8=")</f>
        <v>#VALUE!</v>
      </c>
      <c r="CS35" t="e">
        <f>AND('BBP complete'!#REF!,"AAAAAGhN7GA=")</f>
        <v>#REF!</v>
      </c>
      <c r="CT35" t="e">
        <f>AND('BBP complete'!#REF!,"AAAAAGhN7GE=")</f>
        <v>#REF!</v>
      </c>
      <c r="CU35" t="e">
        <f>AND('BBP complete'!#REF!,"AAAAAGhN7GI=")</f>
        <v>#REF!</v>
      </c>
      <c r="CV35" t="e">
        <f>AND('BBP complete'!K522,"AAAAAGhN7GM=")</f>
        <v>#VALUE!</v>
      </c>
      <c r="CW35" t="e">
        <f>AND('BBP complete'!L522,"AAAAAGhN7GQ=")</f>
        <v>#VALUE!</v>
      </c>
      <c r="CX35" t="e">
        <f>AND('BBP complete'!M205,"AAAAAGhN7GU=")</f>
        <v>#VALUE!</v>
      </c>
      <c r="CY35" t="e">
        <f>AND('BBP complete'!N205,"AAAAAGhN7GY=")</f>
        <v>#VALUE!</v>
      </c>
      <c r="CZ35" t="e">
        <f>AND('BBP complete'!P213,"AAAAAGhN7Gc=")</f>
        <v>#VALUE!</v>
      </c>
      <c r="DA35" t="e">
        <f>AND('BBP complete'!#REF!,"AAAAAGhN7Gg=")</f>
        <v>#REF!</v>
      </c>
      <c r="DB35" t="e">
        <f>AND('BBP complete'!#REF!,"AAAAAGhN7Gk=")</f>
        <v>#REF!</v>
      </c>
      <c r="DC35" t="e">
        <f>AND('BBP complete'!#REF!,"AAAAAGhN7Go=")</f>
        <v>#REF!</v>
      </c>
      <c r="DD35" t="e">
        <f>AND('BBP complete'!K523,"AAAAAGhN7Gs=")</f>
        <v>#VALUE!</v>
      </c>
      <c r="DE35" t="e">
        <f>AND('BBP complete'!L523,"AAAAAGhN7Gw=")</f>
        <v>#VALUE!</v>
      </c>
      <c r="DF35" t="e">
        <f>AND('BBP complete'!M206,"AAAAAGhN7G0=")</f>
        <v>#VALUE!</v>
      </c>
      <c r="DG35" t="e">
        <f>AND('BBP complete'!N206,"AAAAAGhN7G4=")</f>
        <v>#VALUE!</v>
      </c>
      <c r="DH35" t="e">
        <f>AND('BBP complete'!P214,"AAAAAGhN7G8=")</f>
        <v>#VALUE!</v>
      </c>
      <c r="DI35" t="e">
        <f>AND('BBP complete'!#REF!,"AAAAAGhN7HA=")</f>
        <v>#REF!</v>
      </c>
      <c r="DJ35" t="e">
        <f>AND('BBP complete'!#REF!,"AAAAAGhN7HE=")</f>
        <v>#REF!</v>
      </c>
      <c r="DK35" t="e">
        <f>AND('BBP complete'!#REF!,"AAAAAGhN7HI=")</f>
        <v>#REF!</v>
      </c>
      <c r="DL35" t="e">
        <f>AND('BBP complete'!K524,"AAAAAGhN7HM=")</f>
        <v>#VALUE!</v>
      </c>
      <c r="DM35" t="e">
        <f>AND('BBP complete'!L524,"AAAAAGhN7HQ=")</f>
        <v>#VALUE!</v>
      </c>
      <c r="DN35" t="e">
        <f>AND('BBP complete'!M207,"AAAAAGhN7HU=")</f>
        <v>#VALUE!</v>
      </c>
      <c r="DO35" t="e">
        <f>AND('BBP complete'!N207,"AAAAAGhN7HY=")</f>
        <v>#VALUE!</v>
      </c>
      <c r="DP35" t="e">
        <f>AND('BBP complete'!P215,"AAAAAGhN7Hc=")</f>
        <v>#VALUE!</v>
      </c>
      <c r="DQ35" t="e">
        <f>AND('BBP complete'!#REF!,"AAAAAGhN7Hg=")</f>
        <v>#REF!</v>
      </c>
      <c r="DR35" t="e">
        <f>AND('BBP complete'!#REF!,"AAAAAGhN7Hk=")</f>
        <v>#REF!</v>
      </c>
      <c r="DS35" t="e">
        <f>AND('BBP complete'!#REF!,"AAAAAGhN7Ho=")</f>
        <v>#REF!</v>
      </c>
      <c r="DT35" t="e">
        <f>AND('BBP complete'!K525,"AAAAAGhN7Hs=")</f>
        <v>#VALUE!</v>
      </c>
      <c r="DU35" t="e">
        <f>AND('BBP complete'!L525,"AAAAAGhN7Hw=")</f>
        <v>#VALUE!</v>
      </c>
      <c r="DV35" t="e">
        <f>AND('BBP complete'!M208,"AAAAAGhN7H0=")</f>
        <v>#VALUE!</v>
      </c>
      <c r="DW35" t="e">
        <f>AND('BBP complete'!N208,"AAAAAGhN7H4=")</f>
        <v>#VALUE!</v>
      </c>
      <c r="DX35" t="e">
        <f>AND('BBP complete'!P216,"AAAAAGhN7H8=")</f>
        <v>#VALUE!</v>
      </c>
      <c r="DY35" t="e">
        <f>AND('BBP complete'!#REF!,"AAAAAGhN7IA=")</f>
        <v>#REF!</v>
      </c>
      <c r="DZ35" t="e">
        <f>AND('BBP complete'!#REF!,"AAAAAGhN7IE=")</f>
        <v>#REF!</v>
      </c>
      <c r="EA35" t="e">
        <f>AND('BBP complete'!#REF!,"AAAAAGhN7II=")</f>
        <v>#REF!</v>
      </c>
      <c r="EB35" t="e">
        <f>AND('BBP complete'!K526,"AAAAAGhN7IM=")</f>
        <v>#VALUE!</v>
      </c>
      <c r="EC35" t="e">
        <f>AND('BBP complete'!L526,"AAAAAGhN7IQ=")</f>
        <v>#VALUE!</v>
      </c>
      <c r="ED35" t="e">
        <f>AND('BBP complete'!M209,"AAAAAGhN7IU=")</f>
        <v>#VALUE!</v>
      </c>
      <c r="EE35" t="e">
        <f>AND('BBP complete'!N209,"AAAAAGhN7IY=")</f>
        <v>#VALUE!</v>
      </c>
      <c r="EF35" t="e">
        <f>AND('BBP complete'!P217,"AAAAAGhN7Ic=")</f>
        <v>#VALUE!</v>
      </c>
      <c r="EG35" t="e">
        <f>AND('BBP complete'!#REF!,"AAAAAGhN7Ig=")</f>
        <v>#REF!</v>
      </c>
      <c r="EH35" t="e">
        <f>AND('BBP complete'!#REF!,"AAAAAGhN7Ik=")</f>
        <v>#REF!</v>
      </c>
      <c r="EI35" t="e">
        <f>AND('BBP complete'!#REF!,"AAAAAGhN7Io=")</f>
        <v>#REF!</v>
      </c>
      <c r="EJ35" t="e">
        <f>AND('BBP complete'!K527,"AAAAAGhN7Is=")</f>
        <v>#VALUE!</v>
      </c>
      <c r="EK35" t="e">
        <f>AND('BBP complete'!L527,"AAAAAGhN7Iw=")</f>
        <v>#VALUE!</v>
      </c>
      <c r="EL35" t="e">
        <f>AND('BBP complete'!M210,"AAAAAGhN7I0=")</f>
        <v>#VALUE!</v>
      </c>
      <c r="EM35" t="e">
        <f>AND('BBP complete'!N210,"AAAAAGhN7I4=")</f>
        <v>#VALUE!</v>
      </c>
      <c r="EN35" t="e">
        <f>AND('BBP complete'!P218,"AAAAAGhN7I8=")</f>
        <v>#VALUE!</v>
      </c>
      <c r="EO35" t="e">
        <f>AND('BBP complete'!#REF!,"AAAAAGhN7JA=")</f>
        <v>#REF!</v>
      </c>
      <c r="EP35" t="e">
        <f>AND('BBP complete'!#REF!,"AAAAAGhN7JE=")</f>
        <v>#REF!</v>
      </c>
      <c r="EQ35" t="e">
        <f>AND('BBP complete'!#REF!,"AAAAAGhN7JI=")</f>
        <v>#REF!</v>
      </c>
      <c r="ER35" t="e">
        <f>AND('BBP complete'!K528,"AAAAAGhN7JM=")</f>
        <v>#VALUE!</v>
      </c>
      <c r="ES35" t="e">
        <f>AND('BBP complete'!L528,"AAAAAGhN7JQ=")</f>
        <v>#VALUE!</v>
      </c>
      <c r="ET35" t="e">
        <f>AND('BBP complete'!M211,"AAAAAGhN7JU=")</f>
        <v>#VALUE!</v>
      </c>
      <c r="EU35" t="e">
        <f>AND('BBP complete'!N211,"AAAAAGhN7JY=")</f>
        <v>#VALUE!</v>
      </c>
      <c r="EV35" t="e">
        <f>AND('BBP complete'!P219,"AAAAAGhN7Jc=")</f>
        <v>#VALUE!</v>
      </c>
      <c r="EW35" t="e">
        <f>AND('BBP complete'!#REF!,"AAAAAGhN7Jg=")</f>
        <v>#REF!</v>
      </c>
      <c r="EX35" t="e">
        <f>AND('BBP complete'!#REF!,"AAAAAGhN7Jk=")</f>
        <v>#REF!</v>
      </c>
      <c r="EY35" t="e">
        <f>AND('BBP complete'!#REF!,"AAAAAGhN7Jo=")</f>
        <v>#REF!</v>
      </c>
      <c r="EZ35" t="e">
        <f>AND('BBP complete'!K529,"AAAAAGhN7Js=")</f>
        <v>#VALUE!</v>
      </c>
      <c r="FA35" t="e">
        <f>AND('BBP complete'!L529,"AAAAAGhN7Jw=")</f>
        <v>#VALUE!</v>
      </c>
      <c r="FB35" t="e">
        <f>AND('BBP complete'!M212,"AAAAAGhN7J0=")</f>
        <v>#VALUE!</v>
      </c>
      <c r="FC35" t="e">
        <f>AND('BBP complete'!N212,"AAAAAGhN7J4=")</f>
        <v>#VALUE!</v>
      </c>
      <c r="FD35" t="e">
        <f>AND('BBP complete'!P220,"AAAAAGhN7J8=")</f>
        <v>#VALUE!</v>
      </c>
      <c r="FE35" t="e">
        <f>AND('BBP complete'!#REF!,"AAAAAGhN7KA=")</f>
        <v>#REF!</v>
      </c>
      <c r="FF35" t="e">
        <f>AND('BBP complete'!#REF!,"AAAAAGhN7KE=")</f>
        <v>#REF!</v>
      </c>
      <c r="FG35" t="e">
        <f>AND('BBP complete'!#REF!,"AAAAAGhN7KI=")</f>
        <v>#REF!</v>
      </c>
      <c r="FH35" t="e">
        <f>AND('BBP complete'!K530,"AAAAAGhN7KM=")</f>
        <v>#VALUE!</v>
      </c>
      <c r="FI35" t="e">
        <f>AND('BBP complete'!L530,"AAAAAGhN7KQ=")</f>
        <v>#VALUE!</v>
      </c>
      <c r="FJ35" t="e">
        <f>AND('BBP complete'!M213,"AAAAAGhN7KU=")</f>
        <v>#VALUE!</v>
      </c>
      <c r="FK35" t="e">
        <f>AND('BBP complete'!N213,"AAAAAGhN7KY=")</f>
        <v>#VALUE!</v>
      </c>
      <c r="FL35" t="e">
        <f>AND('BBP complete'!P221,"AAAAAGhN7Kc=")</f>
        <v>#VALUE!</v>
      </c>
      <c r="FM35" t="e">
        <f>AND('BBP complete'!#REF!,"AAAAAGhN7Kg=")</f>
        <v>#REF!</v>
      </c>
      <c r="FN35" t="e">
        <f>AND('BBP complete'!#REF!,"AAAAAGhN7Kk=")</f>
        <v>#REF!</v>
      </c>
      <c r="FO35" t="e">
        <f>AND('BBP complete'!#REF!,"AAAAAGhN7Ko=")</f>
        <v>#REF!</v>
      </c>
      <c r="FP35" t="e">
        <f>AND('BBP complete'!K531,"AAAAAGhN7Ks=")</f>
        <v>#VALUE!</v>
      </c>
      <c r="FQ35" t="e">
        <f>AND('BBP complete'!L531,"AAAAAGhN7Kw=")</f>
        <v>#VALUE!</v>
      </c>
      <c r="FR35" t="e">
        <f>AND('BBP complete'!M214,"AAAAAGhN7K0=")</f>
        <v>#VALUE!</v>
      </c>
      <c r="FS35" t="e">
        <f>AND('BBP complete'!N214,"AAAAAGhN7K4=")</f>
        <v>#VALUE!</v>
      </c>
      <c r="FT35" t="e">
        <f>AND('BBP complete'!P222,"AAAAAGhN7K8=")</f>
        <v>#VALUE!</v>
      </c>
      <c r="FU35" t="e">
        <f>AND('BBP complete'!#REF!,"AAAAAGhN7LA=")</f>
        <v>#REF!</v>
      </c>
      <c r="FV35" t="e">
        <f>AND('BBP complete'!#REF!,"AAAAAGhN7LE=")</f>
        <v>#REF!</v>
      </c>
      <c r="FW35" t="e">
        <f>AND('BBP complete'!#REF!,"AAAAAGhN7LI=")</f>
        <v>#REF!</v>
      </c>
      <c r="FX35" t="e">
        <f>AND('BBP complete'!K532,"AAAAAGhN7LM=")</f>
        <v>#VALUE!</v>
      </c>
      <c r="FY35" t="e">
        <f>AND('BBP complete'!L532,"AAAAAGhN7LQ=")</f>
        <v>#VALUE!</v>
      </c>
      <c r="FZ35" t="e">
        <f>AND('BBP complete'!M215,"AAAAAGhN7LU=")</f>
        <v>#VALUE!</v>
      </c>
      <c r="GA35" t="e">
        <f>AND('BBP complete'!N215,"AAAAAGhN7LY=")</f>
        <v>#VALUE!</v>
      </c>
      <c r="GB35" t="e">
        <f>AND('BBP complete'!P223,"AAAAAGhN7Lc=")</f>
        <v>#VALUE!</v>
      </c>
      <c r="GC35" t="e">
        <f>AND('BBP complete'!#REF!,"AAAAAGhN7Lg=")</f>
        <v>#REF!</v>
      </c>
      <c r="GD35" t="e">
        <f>AND('BBP complete'!#REF!,"AAAAAGhN7Lk=")</f>
        <v>#REF!</v>
      </c>
      <c r="GE35" t="e">
        <f>AND('BBP complete'!#REF!,"AAAAAGhN7Lo=")</f>
        <v>#REF!</v>
      </c>
      <c r="GF35" t="e">
        <f>AND('BBP complete'!K533,"AAAAAGhN7Ls=")</f>
        <v>#VALUE!</v>
      </c>
      <c r="GG35" t="e">
        <f>AND('BBP complete'!L533,"AAAAAGhN7Lw=")</f>
        <v>#VALUE!</v>
      </c>
      <c r="GH35" t="e">
        <f>AND('BBP complete'!M216,"AAAAAGhN7L0=")</f>
        <v>#VALUE!</v>
      </c>
      <c r="GI35" t="e">
        <f>AND('BBP complete'!N216,"AAAAAGhN7L4=")</f>
        <v>#VALUE!</v>
      </c>
      <c r="GJ35" t="e">
        <f>AND('BBP complete'!P224,"AAAAAGhN7L8=")</f>
        <v>#VALUE!</v>
      </c>
      <c r="GK35" t="e">
        <f>AND('BBP complete'!#REF!,"AAAAAGhN7MA=")</f>
        <v>#REF!</v>
      </c>
      <c r="GL35" t="e">
        <f>AND('BBP complete'!#REF!,"AAAAAGhN7ME=")</f>
        <v>#REF!</v>
      </c>
      <c r="GM35" t="e">
        <f>AND('BBP complete'!#REF!,"AAAAAGhN7MI=")</f>
        <v>#REF!</v>
      </c>
      <c r="GN35" t="e">
        <f>AND('BBP complete'!K534,"AAAAAGhN7MM=")</f>
        <v>#VALUE!</v>
      </c>
      <c r="GO35" t="e">
        <f>AND('BBP complete'!L534,"AAAAAGhN7MQ=")</f>
        <v>#VALUE!</v>
      </c>
      <c r="GP35" t="e">
        <f>AND('BBP complete'!M217,"AAAAAGhN7MU=")</f>
        <v>#VALUE!</v>
      </c>
      <c r="GQ35" t="e">
        <f>AND('BBP complete'!N217,"AAAAAGhN7MY=")</f>
        <v>#VALUE!</v>
      </c>
      <c r="GR35" t="e">
        <f>AND('BBP complete'!P225,"AAAAAGhN7Mc=")</f>
        <v>#VALUE!</v>
      </c>
      <c r="GS35" t="e">
        <f>AND('BBP complete'!#REF!,"AAAAAGhN7Mg=")</f>
        <v>#REF!</v>
      </c>
      <c r="GT35" t="e">
        <f>AND('BBP complete'!#REF!,"AAAAAGhN7Mk=")</f>
        <v>#REF!</v>
      </c>
      <c r="GU35" t="e">
        <f>AND('BBP complete'!#REF!,"AAAAAGhN7Mo=")</f>
        <v>#REF!</v>
      </c>
      <c r="GV35" t="e">
        <f>AND('BBP complete'!K535,"AAAAAGhN7Ms=")</f>
        <v>#VALUE!</v>
      </c>
      <c r="GW35" t="e">
        <f>AND('BBP complete'!L535,"AAAAAGhN7Mw=")</f>
        <v>#VALUE!</v>
      </c>
      <c r="GX35" t="e">
        <f>AND('BBP complete'!M218,"AAAAAGhN7M0=")</f>
        <v>#VALUE!</v>
      </c>
      <c r="GY35" t="e">
        <f>AND('BBP complete'!N218,"AAAAAGhN7M4=")</f>
        <v>#VALUE!</v>
      </c>
      <c r="GZ35" t="e">
        <f>AND('BBP complete'!P226,"AAAAAGhN7M8=")</f>
        <v>#VALUE!</v>
      </c>
      <c r="HA35" t="e">
        <f>AND('BBP complete'!#REF!,"AAAAAGhN7NA=")</f>
        <v>#REF!</v>
      </c>
      <c r="HB35" t="e">
        <f>AND('BBP complete'!#REF!,"AAAAAGhN7NE=")</f>
        <v>#REF!</v>
      </c>
      <c r="HC35" t="e">
        <f>AND('BBP complete'!#REF!,"AAAAAGhN7NI=")</f>
        <v>#REF!</v>
      </c>
      <c r="HD35" t="e">
        <f>AND('BBP complete'!K536,"AAAAAGhN7NM=")</f>
        <v>#VALUE!</v>
      </c>
      <c r="HE35" t="e">
        <f>AND('BBP complete'!L536,"AAAAAGhN7NQ=")</f>
        <v>#VALUE!</v>
      </c>
      <c r="HF35" t="e">
        <f>AND('BBP complete'!M219,"AAAAAGhN7NU=")</f>
        <v>#VALUE!</v>
      </c>
      <c r="HG35" t="e">
        <f>AND('BBP complete'!N219,"AAAAAGhN7NY=")</f>
        <v>#VALUE!</v>
      </c>
      <c r="HH35" t="e">
        <f>AND('BBP complete'!P227,"AAAAAGhN7Nc=")</f>
        <v>#VALUE!</v>
      </c>
      <c r="HI35" t="e">
        <f>AND('BBP complete'!#REF!,"AAAAAGhN7Ng=")</f>
        <v>#REF!</v>
      </c>
      <c r="HJ35" t="e">
        <f>AND('BBP complete'!#REF!,"AAAAAGhN7Nk=")</f>
        <v>#REF!</v>
      </c>
      <c r="HK35" t="e">
        <f>AND('BBP complete'!#REF!,"AAAAAGhN7No=")</f>
        <v>#REF!</v>
      </c>
      <c r="HL35" t="e">
        <f>AND('BBP complete'!K537,"AAAAAGhN7Ns=")</f>
        <v>#VALUE!</v>
      </c>
      <c r="HM35" t="e">
        <f>AND('BBP complete'!L537,"AAAAAGhN7Nw=")</f>
        <v>#VALUE!</v>
      </c>
      <c r="HN35" t="e">
        <f>AND('BBP complete'!M220,"AAAAAGhN7N0=")</f>
        <v>#VALUE!</v>
      </c>
      <c r="HO35" t="e">
        <f>AND('BBP complete'!N220,"AAAAAGhN7N4=")</f>
        <v>#VALUE!</v>
      </c>
      <c r="HP35" t="e">
        <f>AND('BBP complete'!P228,"AAAAAGhN7N8=")</f>
        <v>#VALUE!</v>
      </c>
      <c r="HQ35" t="e">
        <f>AND('BBP complete'!#REF!,"AAAAAGhN7OA=")</f>
        <v>#REF!</v>
      </c>
      <c r="HR35" t="e">
        <f>AND('BBP complete'!#REF!,"AAAAAGhN7OE=")</f>
        <v>#REF!</v>
      </c>
      <c r="HS35" t="e">
        <f>AND('BBP complete'!#REF!,"AAAAAGhN7OI=")</f>
        <v>#REF!</v>
      </c>
      <c r="HT35" t="e">
        <f>AND('BBP complete'!K538,"AAAAAGhN7OM=")</f>
        <v>#VALUE!</v>
      </c>
      <c r="HU35" t="e">
        <f>AND('BBP complete'!L538,"AAAAAGhN7OQ=")</f>
        <v>#VALUE!</v>
      </c>
      <c r="HV35" t="e">
        <f>AND('BBP complete'!M221,"AAAAAGhN7OU=")</f>
        <v>#VALUE!</v>
      </c>
      <c r="HW35" t="e">
        <f>AND('BBP complete'!N221,"AAAAAGhN7OY=")</f>
        <v>#VALUE!</v>
      </c>
      <c r="HX35" t="e">
        <f>AND('BBP complete'!P229,"AAAAAGhN7Oc=")</f>
        <v>#VALUE!</v>
      </c>
      <c r="HY35" t="e">
        <f>AND('BBP complete'!#REF!,"AAAAAGhN7Og=")</f>
        <v>#REF!</v>
      </c>
      <c r="HZ35" t="e">
        <f>AND('BBP complete'!#REF!,"AAAAAGhN7Ok=")</f>
        <v>#REF!</v>
      </c>
      <c r="IA35" t="e">
        <f>AND('BBP complete'!#REF!,"AAAAAGhN7Oo=")</f>
        <v>#REF!</v>
      </c>
      <c r="IB35" t="e">
        <f>AND('BBP complete'!K539,"AAAAAGhN7Os=")</f>
        <v>#VALUE!</v>
      </c>
      <c r="IC35" t="e">
        <f>AND('BBP complete'!L539,"AAAAAGhN7Ow=")</f>
        <v>#VALUE!</v>
      </c>
      <c r="ID35" t="e">
        <f>AND('BBP complete'!M222,"AAAAAGhN7O0=")</f>
        <v>#VALUE!</v>
      </c>
      <c r="IE35" t="e">
        <f>AND('BBP complete'!N222,"AAAAAGhN7O4=")</f>
        <v>#VALUE!</v>
      </c>
      <c r="IF35" t="e">
        <f>AND('BBP complete'!P230,"AAAAAGhN7O8=")</f>
        <v>#VALUE!</v>
      </c>
      <c r="IG35" t="e">
        <f>AND('BBP complete'!#REF!,"AAAAAGhN7PA=")</f>
        <v>#REF!</v>
      </c>
      <c r="IH35" t="e">
        <f>AND('BBP complete'!#REF!,"AAAAAGhN7PE=")</f>
        <v>#REF!</v>
      </c>
      <c r="II35" t="e">
        <f>AND('BBP complete'!#REF!,"AAAAAGhN7PI=")</f>
        <v>#REF!</v>
      </c>
      <c r="IJ35" t="e">
        <f>AND('BBP complete'!K540,"AAAAAGhN7PM=")</f>
        <v>#VALUE!</v>
      </c>
      <c r="IK35" t="e">
        <f>AND('BBP complete'!L540,"AAAAAGhN7PQ=")</f>
        <v>#VALUE!</v>
      </c>
      <c r="IL35" t="e">
        <f>AND('BBP complete'!M223,"AAAAAGhN7PU=")</f>
        <v>#VALUE!</v>
      </c>
      <c r="IM35" t="e">
        <f>AND('BBP complete'!N223,"AAAAAGhN7PY=")</f>
        <v>#VALUE!</v>
      </c>
      <c r="IN35" t="e">
        <f>AND('BBP complete'!P231,"AAAAAGhN7Pc=")</f>
        <v>#VALUE!</v>
      </c>
      <c r="IO35" t="e">
        <f>AND('BBP complete'!#REF!,"AAAAAGhN7Pg=")</f>
        <v>#REF!</v>
      </c>
      <c r="IP35" t="e">
        <f>AND('BBP complete'!#REF!,"AAAAAGhN7Pk=")</f>
        <v>#REF!</v>
      </c>
      <c r="IQ35" t="e">
        <f>AND('BBP complete'!#REF!,"AAAAAGhN7Po=")</f>
        <v>#REF!</v>
      </c>
      <c r="IR35" t="e">
        <f>AND('BBP complete'!K541,"AAAAAGhN7Ps=")</f>
        <v>#VALUE!</v>
      </c>
      <c r="IS35" t="e">
        <f>AND('BBP complete'!L541,"AAAAAGhN7Pw=")</f>
        <v>#VALUE!</v>
      </c>
      <c r="IT35" t="e">
        <f>AND('BBP complete'!M224,"AAAAAGhN7P0=")</f>
        <v>#VALUE!</v>
      </c>
      <c r="IU35" t="e">
        <f>AND('BBP complete'!N224,"AAAAAGhN7P4=")</f>
        <v>#VALUE!</v>
      </c>
      <c r="IV35" t="e">
        <f>AND('BBP complete'!P232,"AAAAAGhN7P8=")</f>
        <v>#VALUE!</v>
      </c>
    </row>
    <row r="36" spans="1:256" ht="15" customHeight="1" x14ac:dyDescent="0.25">
      <c r="A36" t="e">
        <f>AND('BBP complete'!#REF!,"AAAAAH7e9wA=")</f>
        <v>#REF!</v>
      </c>
      <c r="B36" t="e">
        <f>AND('BBP complete'!#REF!,"AAAAAH7e9wE=")</f>
        <v>#REF!</v>
      </c>
      <c r="C36" t="e">
        <f>AND('BBP complete'!#REF!,"AAAAAH7e9wI=")</f>
        <v>#REF!</v>
      </c>
      <c r="D36" t="e">
        <f>AND('BBP complete'!K542,"AAAAAH7e9wM=")</f>
        <v>#VALUE!</v>
      </c>
      <c r="E36" t="e">
        <f>AND('BBP complete'!L542,"AAAAAH7e9wQ=")</f>
        <v>#VALUE!</v>
      </c>
      <c r="F36" t="e">
        <f>AND('BBP complete'!M225,"AAAAAH7e9wU=")</f>
        <v>#VALUE!</v>
      </c>
      <c r="G36" t="e">
        <f>AND('BBP complete'!N225,"AAAAAH7e9wY=")</f>
        <v>#VALUE!</v>
      </c>
      <c r="H36" t="e">
        <f>AND('BBP complete'!P233,"AAAAAH7e9wc=")</f>
        <v>#VALUE!</v>
      </c>
      <c r="I36" t="e">
        <f>AND('BBP complete'!#REF!,"AAAAAH7e9wg=")</f>
        <v>#REF!</v>
      </c>
      <c r="J36" t="e">
        <f>AND('BBP complete'!#REF!,"AAAAAH7e9wk=")</f>
        <v>#REF!</v>
      </c>
      <c r="K36" t="e">
        <f>AND('BBP complete'!#REF!,"AAAAAH7e9wo=")</f>
        <v>#REF!</v>
      </c>
      <c r="L36" t="e">
        <f>AND('BBP complete'!K543,"AAAAAH7e9ws=")</f>
        <v>#VALUE!</v>
      </c>
      <c r="M36" t="e">
        <f>AND('BBP complete'!L543,"AAAAAH7e9ww=")</f>
        <v>#VALUE!</v>
      </c>
      <c r="N36" t="e">
        <f>AND('BBP complete'!M226,"AAAAAH7e9w0=")</f>
        <v>#VALUE!</v>
      </c>
      <c r="O36" t="e">
        <f>AND('BBP complete'!N226,"AAAAAH7e9w4=")</f>
        <v>#VALUE!</v>
      </c>
      <c r="P36" t="e">
        <f>AND('BBP complete'!P234,"AAAAAH7e9w8=")</f>
        <v>#VALUE!</v>
      </c>
      <c r="Q36" t="e">
        <f>AND('BBP complete'!#REF!,"AAAAAH7e9xA=")</f>
        <v>#REF!</v>
      </c>
      <c r="R36" t="e">
        <f>AND('BBP complete'!#REF!,"AAAAAH7e9xE=")</f>
        <v>#REF!</v>
      </c>
      <c r="S36" t="e">
        <f>AND('BBP complete'!#REF!,"AAAAAH7e9xI=")</f>
        <v>#REF!</v>
      </c>
      <c r="T36" t="e">
        <f>AND('BBP complete'!K544,"AAAAAH7e9xM=")</f>
        <v>#VALUE!</v>
      </c>
      <c r="U36" t="e">
        <f>AND('BBP complete'!L544,"AAAAAH7e9xQ=")</f>
        <v>#VALUE!</v>
      </c>
      <c r="V36" t="e">
        <f>AND('BBP complete'!M227,"AAAAAH7e9xU=")</f>
        <v>#VALUE!</v>
      </c>
      <c r="W36" t="e">
        <f>AND('BBP complete'!N227,"AAAAAH7e9xY=")</f>
        <v>#VALUE!</v>
      </c>
      <c r="X36" t="e">
        <f>AND('BBP complete'!P235,"AAAAAH7e9xc=")</f>
        <v>#VALUE!</v>
      </c>
      <c r="Y36" t="e">
        <f>AND('BBP complete'!#REF!,"AAAAAH7e9xg=")</f>
        <v>#REF!</v>
      </c>
      <c r="Z36" t="e">
        <f>AND('BBP complete'!#REF!,"AAAAAH7e9xk=")</f>
        <v>#REF!</v>
      </c>
      <c r="AA36" t="e">
        <f>AND('BBP complete'!#REF!,"AAAAAH7e9xo=")</f>
        <v>#REF!</v>
      </c>
      <c r="AB36" t="e">
        <f>AND('BBP complete'!K545,"AAAAAH7e9xs=")</f>
        <v>#VALUE!</v>
      </c>
      <c r="AC36" t="e">
        <f>AND('BBP complete'!L545,"AAAAAH7e9xw=")</f>
        <v>#VALUE!</v>
      </c>
      <c r="AD36" t="e">
        <f>AND('BBP complete'!M228,"AAAAAH7e9x0=")</f>
        <v>#VALUE!</v>
      </c>
      <c r="AE36" t="e">
        <f>AND('BBP complete'!N228,"AAAAAH7e9x4=")</f>
        <v>#VALUE!</v>
      </c>
      <c r="AF36" t="e">
        <f>AND('BBP complete'!P236,"AAAAAH7e9x8=")</f>
        <v>#VALUE!</v>
      </c>
      <c r="AG36" t="e">
        <f>AND('BBP complete'!#REF!,"AAAAAH7e9yA=")</f>
        <v>#REF!</v>
      </c>
      <c r="AH36" t="e">
        <f>AND('BBP complete'!#REF!,"AAAAAH7e9yE=")</f>
        <v>#REF!</v>
      </c>
      <c r="AI36" t="e">
        <f>AND('BBP complete'!#REF!,"AAAAAH7e9yI=")</f>
        <v>#REF!</v>
      </c>
      <c r="AJ36" t="e">
        <f>AND('BBP complete'!K546,"AAAAAH7e9yM=")</f>
        <v>#VALUE!</v>
      </c>
      <c r="AK36" t="e">
        <f>AND('BBP complete'!L546,"AAAAAH7e9yQ=")</f>
        <v>#VALUE!</v>
      </c>
      <c r="AL36" t="e">
        <f>AND('BBP complete'!M229,"AAAAAH7e9yU=")</f>
        <v>#VALUE!</v>
      </c>
      <c r="AM36" t="e">
        <f>AND('BBP complete'!N229,"AAAAAH7e9yY=")</f>
        <v>#VALUE!</v>
      </c>
      <c r="AN36" t="e">
        <f>AND('BBP complete'!P237,"AAAAAH7e9yc=")</f>
        <v>#VALUE!</v>
      </c>
      <c r="AO36" t="e">
        <f>AND('BBP complete'!#REF!,"AAAAAH7e9yg=")</f>
        <v>#REF!</v>
      </c>
      <c r="AP36" t="e">
        <f>AND('BBP complete'!#REF!,"AAAAAH7e9yk=")</f>
        <v>#REF!</v>
      </c>
      <c r="AQ36" t="e">
        <f>AND('BBP complete'!#REF!,"AAAAAH7e9yo=")</f>
        <v>#REF!</v>
      </c>
      <c r="AR36" t="e">
        <f>AND('BBP complete'!K547,"AAAAAH7e9ys=")</f>
        <v>#VALUE!</v>
      </c>
      <c r="AS36" t="e">
        <f>AND('BBP complete'!L547,"AAAAAH7e9yw=")</f>
        <v>#VALUE!</v>
      </c>
      <c r="AT36" t="e">
        <f>AND('BBP complete'!M230,"AAAAAH7e9y0=")</f>
        <v>#VALUE!</v>
      </c>
      <c r="AU36" t="e">
        <f>AND('BBP complete'!N230,"AAAAAH7e9y4=")</f>
        <v>#VALUE!</v>
      </c>
      <c r="AV36" t="e">
        <f>AND('BBP complete'!P238,"AAAAAH7e9y8=")</f>
        <v>#VALUE!</v>
      </c>
      <c r="AW36" t="e">
        <f>AND('BBP complete'!#REF!,"AAAAAH7e9zA=")</f>
        <v>#REF!</v>
      </c>
      <c r="AX36" t="e">
        <f>AND('BBP complete'!#REF!,"AAAAAH7e9zE=")</f>
        <v>#REF!</v>
      </c>
      <c r="AY36" t="e">
        <f>AND('BBP complete'!#REF!,"AAAAAH7e9zI=")</f>
        <v>#REF!</v>
      </c>
      <c r="AZ36" t="e">
        <f>AND('BBP complete'!K548,"AAAAAH7e9zM=")</f>
        <v>#VALUE!</v>
      </c>
      <c r="BA36" t="e">
        <f>AND('BBP complete'!L548,"AAAAAH7e9zQ=")</f>
        <v>#VALUE!</v>
      </c>
      <c r="BB36" t="e">
        <f>AND('BBP complete'!M231,"AAAAAH7e9zU=")</f>
        <v>#VALUE!</v>
      </c>
      <c r="BC36" t="e">
        <f>AND('BBP complete'!N231,"AAAAAH7e9zY=")</f>
        <v>#VALUE!</v>
      </c>
      <c r="BD36" t="e">
        <f>AND('BBP complete'!P239,"AAAAAH7e9zc=")</f>
        <v>#VALUE!</v>
      </c>
      <c r="BE36" t="e">
        <f>AND('BBP complete'!#REF!,"AAAAAH7e9zg=")</f>
        <v>#REF!</v>
      </c>
      <c r="BF36" t="e">
        <f>AND('BBP complete'!#REF!,"AAAAAH7e9zk=")</f>
        <v>#REF!</v>
      </c>
      <c r="BG36" t="e">
        <f>AND('BBP complete'!#REF!,"AAAAAH7e9zo=")</f>
        <v>#REF!</v>
      </c>
      <c r="BH36" t="e">
        <f>AND('BBP complete'!K549,"AAAAAH7e9zs=")</f>
        <v>#VALUE!</v>
      </c>
      <c r="BI36" t="e">
        <f>AND('BBP complete'!L549,"AAAAAH7e9zw=")</f>
        <v>#VALUE!</v>
      </c>
      <c r="BJ36" t="e">
        <f>AND('BBP complete'!M232,"AAAAAH7e9z0=")</f>
        <v>#VALUE!</v>
      </c>
      <c r="BK36" t="e">
        <f>AND('BBP complete'!N232,"AAAAAH7e9z4=")</f>
        <v>#VALUE!</v>
      </c>
      <c r="BL36" t="e">
        <f>AND('BBP complete'!P240,"AAAAAH7e9z8=")</f>
        <v>#VALUE!</v>
      </c>
      <c r="BM36" t="e">
        <f>AND('BBP complete'!#REF!,"AAAAAH7e90A=")</f>
        <v>#REF!</v>
      </c>
      <c r="BN36" t="e">
        <f>AND('BBP complete'!#REF!,"AAAAAH7e90E=")</f>
        <v>#REF!</v>
      </c>
      <c r="BO36" t="e">
        <f>AND('BBP complete'!#REF!,"AAAAAH7e90I=")</f>
        <v>#REF!</v>
      </c>
      <c r="BP36" t="e">
        <f>AND('BBP complete'!K550,"AAAAAH7e90M=")</f>
        <v>#VALUE!</v>
      </c>
      <c r="BQ36" t="e">
        <f>AND('BBP complete'!L550,"AAAAAH7e90Q=")</f>
        <v>#VALUE!</v>
      </c>
      <c r="BR36" t="e">
        <f>AND('BBP complete'!M233,"AAAAAH7e90U=")</f>
        <v>#VALUE!</v>
      </c>
      <c r="BS36" t="e">
        <f>AND('BBP complete'!N233,"AAAAAH7e90Y=")</f>
        <v>#VALUE!</v>
      </c>
      <c r="BT36" t="e">
        <f>AND('BBP complete'!P241,"AAAAAH7e90c=")</f>
        <v>#VALUE!</v>
      </c>
      <c r="BU36" t="e">
        <f>AND('BBP complete'!#REF!,"AAAAAH7e90g=")</f>
        <v>#REF!</v>
      </c>
      <c r="BV36" t="e">
        <f>AND('BBP complete'!#REF!,"AAAAAH7e90k=")</f>
        <v>#REF!</v>
      </c>
      <c r="BW36" t="e">
        <f>AND('BBP complete'!#REF!,"AAAAAH7e90o=")</f>
        <v>#REF!</v>
      </c>
      <c r="BX36" t="e">
        <f>AND('BBP complete'!K551,"AAAAAH7e90s=")</f>
        <v>#VALUE!</v>
      </c>
      <c r="BY36" t="e">
        <f>AND('BBP complete'!L551,"AAAAAH7e90w=")</f>
        <v>#VALUE!</v>
      </c>
      <c r="BZ36" t="e">
        <f>AND('BBP complete'!M234,"AAAAAH7e900=")</f>
        <v>#VALUE!</v>
      </c>
      <c r="CA36" t="e">
        <f>AND('BBP complete'!N234,"AAAAAH7e904=")</f>
        <v>#VALUE!</v>
      </c>
      <c r="CB36" t="e">
        <f>AND('BBP complete'!P242,"AAAAAH7e908=")</f>
        <v>#VALUE!</v>
      </c>
      <c r="CC36" t="e">
        <f>AND('BBP complete'!#REF!,"AAAAAH7e91A=")</f>
        <v>#REF!</v>
      </c>
      <c r="CD36" t="e">
        <f>AND('BBP complete'!#REF!,"AAAAAH7e91E=")</f>
        <v>#REF!</v>
      </c>
      <c r="CE36" t="e">
        <f>AND('BBP complete'!#REF!,"AAAAAH7e91I=")</f>
        <v>#REF!</v>
      </c>
      <c r="CF36" t="e">
        <f>AND('BBP complete'!K552,"AAAAAH7e91M=")</f>
        <v>#VALUE!</v>
      </c>
      <c r="CG36" t="e">
        <f>AND('BBP complete'!L552,"AAAAAH7e91Q=")</f>
        <v>#VALUE!</v>
      </c>
      <c r="CH36" t="e">
        <f>AND('BBP complete'!M235,"AAAAAH7e91U=")</f>
        <v>#VALUE!</v>
      </c>
      <c r="CI36" t="e">
        <f>AND('BBP complete'!N235,"AAAAAH7e91Y=")</f>
        <v>#VALUE!</v>
      </c>
      <c r="CJ36" t="e">
        <f>AND('BBP complete'!P243,"AAAAAH7e91c=")</f>
        <v>#VALUE!</v>
      </c>
      <c r="CK36" t="e">
        <f>AND('BBP complete'!#REF!,"AAAAAH7e91g=")</f>
        <v>#REF!</v>
      </c>
      <c r="CL36" t="e">
        <f>AND('BBP complete'!#REF!,"AAAAAH7e91k=")</f>
        <v>#REF!</v>
      </c>
      <c r="CM36" t="e">
        <f>AND('BBP complete'!#REF!,"AAAAAH7e91o=")</f>
        <v>#REF!</v>
      </c>
      <c r="CN36" t="e">
        <f>AND('BBP complete'!K553,"AAAAAH7e91s=")</f>
        <v>#VALUE!</v>
      </c>
      <c r="CO36" t="e">
        <f>AND('BBP complete'!L553,"AAAAAH7e91w=")</f>
        <v>#VALUE!</v>
      </c>
      <c r="CP36" t="e">
        <f>AND('BBP complete'!M236,"AAAAAH7e910=")</f>
        <v>#VALUE!</v>
      </c>
      <c r="CQ36" t="e">
        <f>AND('BBP complete'!N236,"AAAAAH7e914=")</f>
        <v>#VALUE!</v>
      </c>
      <c r="CR36" t="e">
        <f>AND('BBP complete'!P244,"AAAAAH7e918=")</f>
        <v>#VALUE!</v>
      </c>
      <c r="CS36" t="e">
        <f>AND('BBP complete'!#REF!,"AAAAAH7e92A=")</f>
        <v>#REF!</v>
      </c>
      <c r="CT36" t="e">
        <f>AND('BBP complete'!#REF!,"AAAAAH7e92E=")</f>
        <v>#REF!</v>
      </c>
      <c r="CU36" t="e">
        <f>AND('BBP complete'!#REF!,"AAAAAH7e92I=")</f>
        <v>#REF!</v>
      </c>
      <c r="CV36" t="e">
        <f>AND('BBP complete'!K554,"AAAAAH7e92M=")</f>
        <v>#VALUE!</v>
      </c>
      <c r="CW36" t="e">
        <f>AND('BBP complete'!L554,"AAAAAH7e92Q=")</f>
        <v>#VALUE!</v>
      </c>
      <c r="CX36" t="e">
        <f>AND('BBP complete'!M237,"AAAAAH7e92U=")</f>
        <v>#VALUE!</v>
      </c>
      <c r="CY36" t="e">
        <f>AND('BBP complete'!N237,"AAAAAH7e92Y=")</f>
        <v>#VALUE!</v>
      </c>
      <c r="CZ36" t="e">
        <f>AND('BBP complete'!P245,"AAAAAH7e92c=")</f>
        <v>#VALUE!</v>
      </c>
      <c r="DA36" t="e">
        <f>AND('BBP complete'!#REF!,"AAAAAH7e92g=")</f>
        <v>#REF!</v>
      </c>
      <c r="DB36" t="e">
        <f>AND('BBP complete'!#REF!,"AAAAAH7e92k=")</f>
        <v>#REF!</v>
      </c>
      <c r="DC36" t="e">
        <f>AND('BBP complete'!#REF!,"AAAAAH7e92o=")</f>
        <v>#REF!</v>
      </c>
      <c r="DD36" t="e">
        <f>AND('BBP complete'!K555,"AAAAAH7e92s=")</f>
        <v>#VALUE!</v>
      </c>
      <c r="DE36" t="e">
        <f>AND('BBP complete'!L555,"AAAAAH7e92w=")</f>
        <v>#VALUE!</v>
      </c>
      <c r="DF36" t="e">
        <f>AND('BBP complete'!M238,"AAAAAH7e920=")</f>
        <v>#VALUE!</v>
      </c>
      <c r="DG36" t="e">
        <f>AND('BBP complete'!N238,"AAAAAH7e924=")</f>
        <v>#VALUE!</v>
      </c>
      <c r="DH36" t="e">
        <f>AND('BBP complete'!P246,"AAAAAH7e928=")</f>
        <v>#VALUE!</v>
      </c>
      <c r="DI36" t="e">
        <f>AND('BBP complete'!#REF!,"AAAAAH7e93A=")</f>
        <v>#REF!</v>
      </c>
      <c r="DJ36" t="e">
        <f>AND('BBP complete'!#REF!,"AAAAAH7e93E=")</f>
        <v>#REF!</v>
      </c>
      <c r="DK36" t="e">
        <f>AND('BBP complete'!#REF!,"AAAAAH7e93I=")</f>
        <v>#REF!</v>
      </c>
      <c r="DL36" t="e">
        <f>AND('BBP complete'!K556,"AAAAAH7e93M=")</f>
        <v>#VALUE!</v>
      </c>
      <c r="DM36" t="e">
        <f>AND('BBP complete'!L556,"AAAAAH7e93Q=")</f>
        <v>#VALUE!</v>
      </c>
      <c r="DN36" t="e">
        <f>AND('BBP complete'!M239,"AAAAAH7e93U=")</f>
        <v>#VALUE!</v>
      </c>
      <c r="DO36" t="e">
        <f>AND('BBP complete'!N239,"AAAAAH7e93Y=")</f>
        <v>#VALUE!</v>
      </c>
      <c r="DP36" t="e">
        <f>AND('BBP complete'!P247,"AAAAAH7e93c=")</f>
        <v>#VALUE!</v>
      </c>
      <c r="DQ36" t="e">
        <f>AND('BBP complete'!#REF!,"AAAAAH7e93g=")</f>
        <v>#REF!</v>
      </c>
      <c r="DR36" t="e">
        <f>AND('BBP complete'!#REF!,"AAAAAH7e93k=")</f>
        <v>#REF!</v>
      </c>
      <c r="DS36" t="e">
        <f>AND('BBP complete'!#REF!,"AAAAAH7e93o=")</f>
        <v>#REF!</v>
      </c>
      <c r="DT36" t="e">
        <f>AND('BBP complete'!K557,"AAAAAH7e93s=")</f>
        <v>#VALUE!</v>
      </c>
      <c r="DU36" t="e">
        <f>AND('BBP complete'!L557,"AAAAAH7e93w=")</f>
        <v>#VALUE!</v>
      </c>
      <c r="DV36" t="e">
        <f>AND('BBP complete'!M240,"AAAAAH7e930=")</f>
        <v>#VALUE!</v>
      </c>
      <c r="DW36" t="e">
        <f>AND('BBP complete'!N240,"AAAAAH7e934=")</f>
        <v>#VALUE!</v>
      </c>
      <c r="DX36" t="e">
        <f>AND('BBP complete'!P248,"AAAAAH7e938=")</f>
        <v>#VALUE!</v>
      </c>
      <c r="DY36" t="e">
        <f>AND('BBP complete'!#REF!,"AAAAAH7e94A=")</f>
        <v>#REF!</v>
      </c>
      <c r="DZ36" t="e">
        <f>AND('BBP complete'!#REF!,"AAAAAH7e94E=")</f>
        <v>#REF!</v>
      </c>
      <c r="EA36" t="e">
        <f>AND('BBP complete'!#REF!,"AAAAAH7e94I=")</f>
        <v>#REF!</v>
      </c>
      <c r="EB36" t="e">
        <f>AND('BBP complete'!K558,"AAAAAH7e94M=")</f>
        <v>#VALUE!</v>
      </c>
      <c r="EC36" t="e">
        <f>AND('BBP complete'!L558,"AAAAAH7e94Q=")</f>
        <v>#VALUE!</v>
      </c>
      <c r="ED36" t="e">
        <f>AND('BBP complete'!M241,"AAAAAH7e94U=")</f>
        <v>#VALUE!</v>
      </c>
      <c r="EE36" t="e">
        <f>AND('BBP complete'!N241,"AAAAAH7e94Y=")</f>
        <v>#VALUE!</v>
      </c>
      <c r="EF36" t="e">
        <f>AND('BBP complete'!P249,"AAAAAH7e94c=")</f>
        <v>#VALUE!</v>
      </c>
      <c r="EG36" t="e">
        <f>AND('BBP complete'!#REF!,"AAAAAH7e94g=")</f>
        <v>#REF!</v>
      </c>
      <c r="EH36" t="e">
        <f>AND('BBP complete'!#REF!,"AAAAAH7e94k=")</f>
        <v>#REF!</v>
      </c>
      <c r="EI36" t="e">
        <f>AND('BBP complete'!#REF!,"AAAAAH7e94o=")</f>
        <v>#REF!</v>
      </c>
      <c r="EJ36" t="e">
        <f>AND('BBP complete'!K559,"AAAAAH7e94s=")</f>
        <v>#VALUE!</v>
      </c>
      <c r="EK36" t="e">
        <f>AND('BBP complete'!L559,"AAAAAH7e94w=")</f>
        <v>#VALUE!</v>
      </c>
      <c r="EL36" t="e">
        <f>AND('BBP complete'!M242,"AAAAAH7e940=")</f>
        <v>#VALUE!</v>
      </c>
      <c r="EM36" t="e">
        <f>AND('BBP complete'!N242,"AAAAAH7e944=")</f>
        <v>#VALUE!</v>
      </c>
      <c r="EN36" t="e">
        <f>AND('BBP complete'!P250,"AAAAAH7e948=")</f>
        <v>#VALUE!</v>
      </c>
      <c r="EO36" t="e">
        <f>AND('BBP complete'!#REF!,"AAAAAH7e95A=")</f>
        <v>#REF!</v>
      </c>
      <c r="EP36" t="e">
        <f>AND('BBP complete'!#REF!,"AAAAAH7e95E=")</f>
        <v>#REF!</v>
      </c>
      <c r="EQ36" t="e">
        <f>AND('BBP complete'!#REF!,"AAAAAH7e95I=")</f>
        <v>#REF!</v>
      </c>
      <c r="ER36" t="e">
        <f>AND('BBP complete'!K560,"AAAAAH7e95M=")</f>
        <v>#VALUE!</v>
      </c>
      <c r="ES36" t="e">
        <f>AND('BBP complete'!L560,"AAAAAH7e95Q=")</f>
        <v>#VALUE!</v>
      </c>
      <c r="ET36" t="e">
        <f>AND('BBP complete'!M243,"AAAAAH7e95U=")</f>
        <v>#VALUE!</v>
      </c>
      <c r="EU36" t="e">
        <f>AND('BBP complete'!N243,"AAAAAH7e95Y=")</f>
        <v>#VALUE!</v>
      </c>
      <c r="EV36" t="e">
        <f>AND('BBP complete'!P251,"AAAAAH7e95c=")</f>
        <v>#VALUE!</v>
      </c>
      <c r="EW36" t="e">
        <f>AND('BBP complete'!#REF!,"AAAAAH7e95g=")</f>
        <v>#REF!</v>
      </c>
      <c r="EX36" t="e">
        <f>AND('BBP complete'!#REF!,"AAAAAH7e95k=")</f>
        <v>#REF!</v>
      </c>
      <c r="EY36" t="e">
        <f>AND('BBP complete'!#REF!,"AAAAAH7e95o=")</f>
        <v>#REF!</v>
      </c>
      <c r="EZ36" t="e">
        <f>AND('BBP complete'!K561,"AAAAAH7e95s=")</f>
        <v>#VALUE!</v>
      </c>
      <c r="FA36" t="e">
        <f>AND('BBP complete'!L561,"AAAAAH7e95w=")</f>
        <v>#VALUE!</v>
      </c>
      <c r="FB36" t="e">
        <f>AND('BBP complete'!M244,"AAAAAH7e950=")</f>
        <v>#VALUE!</v>
      </c>
      <c r="FC36" t="e">
        <f>AND('BBP complete'!N244,"AAAAAH7e954=")</f>
        <v>#VALUE!</v>
      </c>
      <c r="FD36" t="e">
        <f>AND('BBP complete'!P252,"AAAAAH7e958=")</f>
        <v>#VALUE!</v>
      </c>
      <c r="FE36" t="e">
        <f>AND('BBP complete'!#REF!,"AAAAAH7e96A=")</f>
        <v>#REF!</v>
      </c>
      <c r="FF36" t="e">
        <f>AND('BBP complete'!#REF!,"AAAAAH7e96E=")</f>
        <v>#REF!</v>
      </c>
      <c r="FG36" t="e">
        <f>AND('BBP complete'!#REF!,"AAAAAH7e96I=")</f>
        <v>#REF!</v>
      </c>
      <c r="FH36" t="e">
        <f>AND('BBP complete'!K562,"AAAAAH7e96M=")</f>
        <v>#VALUE!</v>
      </c>
      <c r="FI36" t="e">
        <f>AND('BBP complete'!L562,"AAAAAH7e96Q=")</f>
        <v>#VALUE!</v>
      </c>
      <c r="FJ36" t="e">
        <f>AND('BBP complete'!M245,"AAAAAH7e96U=")</f>
        <v>#VALUE!</v>
      </c>
      <c r="FK36" t="e">
        <f>AND('BBP complete'!N245,"AAAAAH7e96Y=")</f>
        <v>#VALUE!</v>
      </c>
      <c r="FL36" t="e">
        <f>AND('BBP complete'!P253,"AAAAAH7e96c=")</f>
        <v>#VALUE!</v>
      </c>
      <c r="FM36" t="e">
        <f>AND('BBP complete'!#REF!,"AAAAAH7e96g=")</f>
        <v>#REF!</v>
      </c>
      <c r="FN36" t="e">
        <f>AND('BBP complete'!#REF!,"AAAAAH7e96k=")</f>
        <v>#REF!</v>
      </c>
      <c r="FO36" t="e">
        <f>AND('BBP complete'!#REF!,"AAAAAH7e96o=")</f>
        <v>#REF!</v>
      </c>
      <c r="FP36" t="e">
        <f>AND('BBP complete'!K563,"AAAAAH7e96s=")</f>
        <v>#VALUE!</v>
      </c>
      <c r="FQ36" t="e">
        <f>AND('BBP complete'!L563,"AAAAAH7e96w=")</f>
        <v>#VALUE!</v>
      </c>
      <c r="FR36" t="e">
        <f>AND('BBP complete'!M246,"AAAAAH7e960=")</f>
        <v>#VALUE!</v>
      </c>
      <c r="FS36" t="e">
        <f>AND('BBP complete'!N246,"AAAAAH7e964=")</f>
        <v>#VALUE!</v>
      </c>
      <c r="FT36" t="e">
        <f>AND('BBP complete'!P254,"AAAAAH7e968=")</f>
        <v>#VALUE!</v>
      </c>
      <c r="FU36" t="e">
        <f>AND('BBP complete'!#REF!,"AAAAAH7e97A=")</f>
        <v>#REF!</v>
      </c>
      <c r="FV36" t="e">
        <f>AND('BBP complete'!#REF!,"AAAAAH7e97E=")</f>
        <v>#REF!</v>
      </c>
      <c r="FW36" t="e">
        <f>AND('BBP complete'!#REF!,"AAAAAH7e97I=")</f>
        <v>#REF!</v>
      </c>
      <c r="FX36" t="e">
        <f>AND('BBP complete'!K564,"AAAAAH7e97M=")</f>
        <v>#VALUE!</v>
      </c>
      <c r="FY36" t="e">
        <f>AND('BBP complete'!L564,"AAAAAH7e97Q=")</f>
        <v>#VALUE!</v>
      </c>
      <c r="FZ36" t="e">
        <f>AND('BBP complete'!M247,"AAAAAH7e97U=")</f>
        <v>#VALUE!</v>
      </c>
      <c r="GA36" t="e">
        <f>AND('BBP complete'!N247,"AAAAAH7e97Y=")</f>
        <v>#VALUE!</v>
      </c>
      <c r="GB36" t="e">
        <f>AND('BBP complete'!P255,"AAAAAH7e97c=")</f>
        <v>#VALUE!</v>
      </c>
      <c r="GC36" t="e">
        <f>AND('BBP complete'!#REF!,"AAAAAH7e97g=")</f>
        <v>#REF!</v>
      </c>
      <c r="GD36" t="e">
        <f>AND('BBP complete'!#REF!,"AAAAAH7e97k=")</f>
        <v>#REF!</v>
      </c>
      <c r="GE36" t="e">
        <f>AND('BBP complete'!#REF!,"AAAAAH7e97o=")</f>
        <v>#REF!</v>
      </c>
      <c r="GF36" t="e">
        <f>AND('BBP complete'!K565,"AAAAAH7e97s=")</f>
        <v>#VALUE!</v>
      </c>
      <c r="GG36" t="e">
        <f>AND('BBP complete'!L565,"AAAAAH7e97w=")</f>
        <v>#VALUE!</v>
      </c>
      <c r="GH36" t="e">
        <f>AND('BBP complete'!M248,"AAAAAH7e970=")</f>
        <v>#VALUE!</v>
      </c>
      <c r="GI36" t="e">
        <f>AND('BBP complete'!N248,"AAAAAH7e974=")</f>
        <v>#VALUE!</v>
      </c>
      <c r="GJ36" t="e">
        <f>AND('BBP complete'!P256,"AAAAAH7e978=")</f>
        <v>#VALUE!</v>
      </c>
      <c r="GK36" t="e">
        <f>AND('BBP complete'!#REF!,"AAAAAH7e98A=")</f>
        <v>#REF!</v>
      </c>
      <c r="GL36" t="e">
        <f>AND('BBP complete'!#REF!,"AAAAAH7e98E=")</f>
        <v>#REF!</v>
      </c>
      <c r="GM36" t="e">
        <f>AND('BBP complete'!#REF!,"AAAAAH7e98I=")</f>
        <v>#REF!</v>
      </c>
      <c r="GN36" t="e">
        <f>AND('BBP complete'!K566,"AAAAAH7e98M=")</f>
        <v>#VALUE!</v>
      </c>
      <c r="GO36" t="e">
        <f>AND('BBP complete'!L566,"AAAAAH7e98Q=")</f>
        <v>#VALUE!</v>
      </c>
      <c r="GP36" t="e">
        <f>AND('BBP complete'!M249,"AAAAAH7e98U=")</f>
        <v>#VALUE!</v>
      </c>
      <c r="GQ36" t="e">
        <f>AND('BBP complete'!N249,"AAAAAH7e98Y=")</f>
        <v>#VALUE!</v>
      </c>
      <c r="GR36" t="e">
        <f>AND('BBP complete'!P257,"AAAAAH7e98c=")</f>
        <v>#VALUE!</v>
      </c>
      <c r="GS36" t="e">
        <f>AND('BBP complete'!#REF!,"AAAAAH7e98g=")</f>
        <v>#REF!</v>
      </c>
      <c r="GT36" t="e">
        <f>AND('BBP complete'!#REF!,"AAAAAH7e98k=")</f>
        <v>#REF!</v>
      </c>
      <c r="GU36" t="e">
        <f>AND('BBP complete'!#REF!,"AAAAAH7e98o=")</f>
        <v>#REF!</v>
      </c>
      <c r="GV36" t="e">
        <f>AND('BBP complete'!K567,"AAAAAH7e98s=")</f>
        <v>#VALUE!</v>
      </c>
      <c r="GW36" t="e">
        <f>AND('BBP complete'!L567,"AAAAAH7e98w=")</f>
        <v>#VALUE!</v>
      </c>
      <c r="GX36" t="e">
        <f>AND('BBP complete'!M250,"AAAAAH7e980=")</f>
        <v>#VALUE!</v>
      </c>
      <c r="GY36" t="e">
        <f>AND('BBP complete'!N250,"AAAAAH7e984=")</f>
        <v>#VALUE!</v>
      </c>
      <c r="GZ36" t="e">
        <f>AND('BBP complete'!P258,"AAAAAH7e988=")</f>
        <v>#VALUE!</v>
      </c>
      <c r="HA36" t="e">
        <f>AND('BBP complete'!#REF!,"AAAAAH7e99A=")</f>
        <v>#REF!</v>
      </c>
      <c r="HB36" t="e">
        <f>AND('BBP complete'!#REF!,"AAAAAH7e99E=")</f>
        <v>#REF!</v>
      </c>
      <c r="HC36" t="e">
        <f>AND('BBP complete'!#REF!,"AAAAAH7e99I=")</f>
        <v>#REF!</v>
      </c>
      <c r="HD36" t="e">
        <f>AND('BBP complete'!K568,"AAAAAH7e99M=")</f>
        <v>#VALUE!</v>
      </c>
      <c r="HE36" t="e">
        <f>AND('BBP complete'!L568,"AAAAAH7e99Q=")</f>
        <v>#VALUE!</v>
      </c>
      <c r="HF36" t="e">
        <f>AND('BBP complete'!M251,"AAAAAH7e99U=")</f>
        <v>#VALUE!</v>
      </c>
      <c r="HG36" t="e">
        <f>AND('BBP complete'!N251,"AAAAAH7e99Y=")</f>
        <v>#VALUE!</v>
      </c>
      <c r="HH36" t="e">
        <f>AND('BBP complete'!P259,"AAAAAH7e99c=")</f>
        <v>#VALUE!</v>
      </c>
      <c r="HI36" t="e">
        <f>AND('BBP complete'!#REF!,"AAAAAH7e99g=")</f>
        <v>#REF!</v>
      </c>
      <c r="HJ36" t="e">
        <f>AND('BBP complete'!#REF!,"AAAAAH7e99k=")</f>
        <v>#REF!</v>
      </c>
      <c r="HK36" t="e">
        <f>AND('BBP complete'!#REF!,"AAAAAH7e99o=")</f>
        <v>#REF!</v>
      </c>
      <c r="HL36" t="e">
        <f>AND('BBP complete'!K569,"AAAAAH7e99s=")</f>
        <v>#VALUE!</v>
      </c>
      <c r="HM36" t="e">
        <f>AND('BBP complete'!L569,"AAAAAH7e99w=")</f>
        <v>#VALUE!</v>
      </c>
      <c r="HN36" t="e">
        <f>AND('BBP complete'!M252,"AAAAAH7e990=")</f>
        <v>#VALUE!</v>
      </c>
      <c r="HO36" t="e">
        <f>AND('BBP complete'!N252,"AAAAAH7e994=")</f>
        <v>#VALUE!</v>
      </c>
      <c r="HP36" t="e">
        <f>AND('BBP complete'!P260,"AAAAAH7e998=")</f>
        <v>#VALUE!</v>
      </c>
      <c r="HQ36" t="e">
        <f>AND('BBP complete'!#REF!,"AAAAAH7e9+A=")</f>
        <v>#REF!</v>
      </c>
      <c r="HR36" t="e">
        <f>AND('BBP complete'!#REF!,"AAAAAH7e9+E=")</f>
        <v>#REF!</v>
      </c>
      <c r="HS36" t="e">
        <f>AND('BBP complete'!#REF!,"AAAAAH7e9+I=")</f>
        <v>#REF!</v>
      </c>
      <c r="HT36" t="e">
        <f>AND('BBP complete'!K570,"AAAAAH7e9+M=")</f>
        <v>#VALUE!</v>
      </c>
      <c r="HU36" t="e">
        <f>AND('BBP complete'!L570,"AAAAAH7e9+Q=")</f>
        <v>#VALUE!</v>
      </c>
      <c r="HV36" t="e">
        <f>AND('BBP complete'!M253,"AAAAAH7e9+U=")</f>
        <v>#VALUE!</v>
      </c>
      <c r="HW36" t="e">
        <f>AND('BBP complete'!N253,"AAAAAH7e9+Y=")</f>
        <v>#VALUE!</v>
      </c>
      <c r="HX36" t="e">
        <f>AND('BBP complete'!P261,"AAAAAH7e9+c=")</f>
        <v>#VALUE!</v>
      </c>
      <c r="HY36" t="e">
        <f>AND('BBP complete'!#REF!,"AAAAAH7e9+g=")</f>
        <v>#REF!</v>
      </c>
      <c r="HZ36" t="e">
        <f>AND('BBP complete'!#REF!,"AAAAAH7e9+k=")</f>
        <v>#REF!</v>
      </c>
      <c r="IA36" t="e">
        <f>AND('BBP complete'!#REF!,"AAAAAH7e9+o=")</f>
        <v>#REF!</v>
      </c>
      <c r="IB36" t="e">
        <f>AND('BBP complete'!K571,"AAAAAH7e9+s=")</f>
        <v>#VALUE!</v>
      </c>
      <c r="IC36" t="e">
        <f>AND('BBP complete'!L571,"AAAAAH7e9+w=")</f>
        <v>#VALUE!</v>
      </c>
      <c r="ID36" t="e">
        <f>AND('BBP complete'!M254,"AAAAAH7e9+0=")</f>
        <v>#VALUE!</v>
      </c>
      <c r="IE36" t="e">
        <f>AND('BBP complete'!N254,"AAAAAH7e9+4=")</f>
        <v>#VALUE!</v>
      </c>
      <c r="IF36" t="e">
        <f>AND('BBP complete'!P262,"AAAAAH7e9+8=")</f>
        <v>#VALUE!</v>
      </c>
      <c r="IG36" t="e">
        <f>AND('BBP complete'!#REF!,"AAAAAH7e9/A=")</f>
        <v>#REF!</v>
      </c>
      <c r="IH36" t="e">
        <f>AND('BBP complete'!#REF!,"AAAAAH7e9/E=")</f>
        <v>#REF!</v>
      </c>
      <c r="II36" t="e">
        <f>AND('BBP complete'!#REF!,"AAAAAH7e9/I=")</f>
        <v>#REF!</v>
      </c>
      <c r="IJ36" t="e">
        <f>AND('BBP complete'!K572,"AAAAAH7e9/M=")</f>
        <v>#VALUE!</v>
      </c>
      <c r="IK36" t="e">
        <f>AND('BBP complete'!L572,"AAAAAH7e9/Q=")</f>
        <v>#VALUE!</v>
      </c>
      <c r="IL36" t="e">
        <f>AND('BBP complete'!M255,"AAAAAH7e9/U=")</f>
        <v>#VALUE!</v>
      </c>
      <c r="IM36" t="e">
        <f>AND('BBP complete'!N255,"AAAAAH7e9/Y=")</f>
        <v>#VALUE!</v>
      </c>
      <c r="IN36" t="e">
        <f>AND('BBP complete'!P263,"AAAAAH7e9/c=")</f>
        <v>#VALUE!</v>
      </c>
      <c r="IO36" t="e">
        <f>AND('BBP complete'!#REF!,"AAAAAH7e9/g=")</f>
        <v>#REF!</v>
      </c>
      <c r="IP36" t="e">
        <f>AND('BBP complete'!#REF!,"AAAAAH7e9/k=")</f>
        <v>#REF!</v>
      </c>
      <c r="IQ36" t="e">
        <f>AND('BBP complete'!#REF!,"AAAAAH7e9/o=")</f>
        <v>#REF!</v>
      </c>
      <c r="IR36" t="e">
        <f>AND('BBP complete'!K573,"AAAAAH7e9/s=")</f>
        <v>#VALUE!</v>
      </c>
      <c r="IS36" t="e">
        <f>AND('BBP complete'!L573,"AAAAAH7e9/w=")</f>
        <v>#VALUE!</v>
      </c>
      <c r="IT36" t="e">
        <f>AND('BBP complete'!M256,"AAAAAH7e9/0=")</f>
        <v>#VALUE!</v>
      </c>
      <c r="IU36" t="e">
        <f>AND('BBP complete'!N256,"AAAAAH7e9/4=")</f>
        <v>#VALUE!</v>
      </c>
      <c r="IV36" t="e">
        <f>AND('BBP complete'!P264,"AAAAAH7e9/8=")</f>
        <v>#VALUE!</v>
      </c>
    </row>
    <row r="37" spans="1:256" ht="15" customHeight="1" x14ac:dyDescent="0.25">
      <c r="A37" t="e">
        <f>AND('BBP complete'!#REF!,"AAAAAH+32AA=")</f>
        <v>#REF!</v>
      </c>
      <c r="B37" t="e">
        <f>AND('BBP complete'!#REF!,"AAAAAH+32AE=")</f>
        <v>#REF!</v>
      </c>
      <c r="C37" t="e">
        <f>AND('BBP complete'!#REF!,"AAAAAH+32AI=")</f>
        <v>#REF!</v>
      </c>
      <c r="D37" t="e">
        <f>AND('BBP complete'!K574,"AAAAAH+32AM=")</f>
        <v>#VALUE!</v>
      </c>
      <c r="E37" t="e">
        <f>AND('BBP complete'!L574,"AAAAAH+32AQ=")</f>
        <v>#VALUE!</v>
      </c>
      <c r="F37" t="e">
        <f>AND('BBP complete'!M257,"AAAAAH+32AU=")</f>
        <v>#VALUE!</v>
      </c>
      <c r="G37" t="e">
        <f>AND('BBP complete'!N257,"AAAAAH+32AY=")</f>
        <v>#VALUE!</v>
      </c>
      <c r="H37" t="e">
        <f>AND('BBP complete'!P265,"AAAAAH+32Ac=")</f>
        <v>#VALUE!</v>
      </c>
      <c r="I37" t="e">
        <f>AND('BBP complete'!#REF!,"AAAAAH+32Ag=")</f>
        <v>#REF!</v>
      </c>
      <c r="J37" t="e">
        <f>AND('BBP complete'!#REF!,"AAAAAH+32Ak=")</f>
        <v>#REF!</v>
      </c>
      <c r="K37" t="e">
        <f>AND('BBP complete'!#REF!,"AAAAAH+32Ao=")</f>
        <v>#REF!</v>
      </c>
      <c r="L37" t="e">
        <f>AND('BBP complete'!K575,"AAAAAH+32As=")</f>
        <v>#VALUE!</v>
      </c>
      <c r="M37" t="e">
        <f>AND('BBP complete'!L575,"AAAAAH+32Aw=")</f>
        <v>#VALUE!</v>
      </c>
      <c r="N37" t="e">
        <f>AND('BBP complete'!M258,"AAAAAH+32A0=")</f>
        <v>#VALUE!</v>
      </c>
      <c r="O37" t="e">
        <f>AND('BBP complete'!N258,"AAAAAH+32A4=")</f>
        <v>#VALUE!</v>
      </c>
      <c r="P37" t="e">
        <f>AND('BBP complete'!P266,"AAAAAH+32A8=")</f>
        <v>#VALUE!</v>
      </c>
      <c r="Q37" t="e">
        <f>AND('BBP complete'!#REF!,"AAAAAH+32BA=")</f>
        <v>#REF!</v>
      </c>
      <c r="R37" t="e">
        <f>AND('BBP complete'!#REF!,"AAAAAH+32BE=")</f>
        <v>#REF!</v>
      </c>
      <c r="S37" t="e">
        <f>AND('BBP complete'!#REF!,"AAAAAH+32BI=")</f>
        <v>#REF!</v>
      </c>
      <c r="T37" t="e">
        <f>AND('BBP complete'!K576,"AAAAAH+32BM=")</f>
        <v>#VALUE!</v>
      </c>
      <c r="U37" t="e">
        <f>AND('BBP complete'!L576,"AAAAAH+32BQ=")</f>
        <v>#VALUE!</v>
      </c>
      <c r="V37" t="e">
        <f>AND('BBP complete'!M259,"AAAAAH+32BU=")</f>
        <v>#VALUE!</v>
      </c>
      <c r="W37" t="e">
        <f>AND('BBP complete'!N259,"AAAAAH+32BY=")</f>
        <v>#VALUE!</v>
      </c>
      <c r="X37" t="e">
        <f>AND('BBP complete'!P267,"AAAAAH+32Bc=")</f>
        <v>#VALUE!</v>
      </c>
      <c r="Y37" t="e">
        <f>AND('BBP complete'!#REF!,"AAAAAH+32Bg=")</f>
        <v>#REF!</v>
      </c>
      <c r="Z37" t="e">
        <f>AND('BBP complete'!#REF!,"AAAAAH+32Bk=")</f>
        <v>#REF!</v>
      </c>
      <c r="AA37" t="e">
        <f>AND('BBP complete'!#REF!,"AAAAAH+32Bo=")</f>
        <v>#REF!</v>
      </c>
      <c r="AB37" t="e">
        <f>AND('BBP complete'!K577,"AAAAAH+32Bs=")</f>
        <v>#VALUE!</v>
      </c>
      <c r="AC37" t="e">
        <f>AND('BBP complete'!L577,"AAAAAH+32Bw=")</f>
        <v>#VALUE!</v>
      </c>
      <c r="AD37" t="e">
        <f>AND('BBP complete'!M260,"AAAAAH+32B0=")</f>
        <v>#VALUE!</v>
      </c>
      <c r="AE37" t="e">
        <f>AND('BBP complete'!N260,"AAAAAH+32B4=")</f>
        <v>#VALUE!</v>
      </c>
      <c r="AF37" t="e">
        <f>AND('BBP complete'!P268,"AAAAAH+32B8=")</f>
        <v>#VALUE!</v>
      </c>
      <c r="AG37" t="e">
        <f>AND('BBP complete'!#REF!,"AAAAAH+32CA=")</f>
        <v>#REF!</v>
      </c>
      <c r="AH37" t="e">
        <f>AND('BBP complete'!#REF!,"AAAAAH+32CE=")</f>
        <v>#REF!</v>
      </c>
      <c r="AI37" t="e">
        <f>AND('BBP complete'!#REF!,"AAAAAH+32CI=")</f>
        <v>#REF!</v>
      </c>
      <c r="AJ37" t="e">
        <f>AND('BBP complete'!K578,"AAAAAH+32CM=")</f>
        <v>#VALUE!</v>
      </c>
      <c r="AK37" t="e">
        <f>AND('BBP complete'!L578,"AAAAAH+32CQ=")</f>
        <v>#VALUE!</v>
      </c>
      <c r="AL37" t="e">
        <f>AND('BBP complete'!M261,"AAAAAH+32CU=")</f>
        <v>#VALUE!</v>
      </c>
      <c r="AM37" t="e">
        <f>AND('BBP complete'!N261,"AAAAAH+32CY=")</f>
        <v>#VALUE!</v>
      </c>
      <c r="AN37" t="e">
        <f>AND('BBP complete'!P269,"AAAAAH+32Cc=")</f>
        <v>#VALUE!</v>
      </c>
      <c r="AO37" t="e">
        <f>AND('BBP complete'!#REF!,"AAAAAH+32Cg=")</f>
        <v>#REF!</v>
      </c>
      <c r="AP37" t="e">
        <f>AND('BBP complete'!#REF!,"AAAAAH+32Ck=")</f>
        <v>#REF!</v>
      </c>
      <c r="AQ37" t="e">
        <f>AND('BBP complete'!#REF!,"AAAAAH+32Co=")</f>
        <v>#REF!</v>
      </c>
      <c r="AR37" t="e">
        <f>AND('BBP complete'!K579,"AAAAAH+32Cs=")</f>
        <v>#VALUE!</v>
      </c>
      <c r="AS37" t="e">
        <f>AND('BBP complete'!L579,"AAAAAH+32Cw=")</f>
        <v>#VALUE!</v>
      </c>
      <c r="AT37" t="e">
        <f>AND('BBP complete'!M262,"AAAAAH+32C0=")</f>
        <v>#VALUE!</v>
      </c>
      <c r="AU37" t="e">
        <f>AND('BBP complete'!N262,"AAAAAH+32C4=")</f>
        <v>#VALUE!</v>
      </c>
      <c r="AV37" t="e">
        <f>AND('BBP complete'!P270,"AAAAAH+32C8=")</f>
        <v>#VALUE!</v>
      </c>
      <c r="AW37" t="e">
        <f>AND('BBP complete'!#REF!,"AAAAAH+32DA=")</f>
        <v>#REF!</v>
      </c>
      <c r="AX37" t="e">
        <f>AND('BBP complete'!#REF!,"AAAAAH+32DE=")</f>
        <v>#REF!</v>
      </c>
      <c r="AY37" t="e">
        <f>AND('BBP complete'!#REF!,"AAAAAH+32DI=")</f>
        <v>#REF!</v>
      </c>
      <c r="AZ37" t="e">
        <f>AND('BBP complete'!K580,"AAAAAH+32DM=")</f>
        <v>#VALUE!</v>
      </c>
      <c r="BA37" t="e">
        <f>AND('BBP complete'!L580,"AAAAAH+32DQ=")</f>
        <v>#VALUE!</v>
      </c>
      <c r="BB37" t="e">
        <f>AND('BBP complete'!M263,"AAAAAH+32DU=")</f>
        <v>#VALUE!</v>
      </c>
      <c r="BC37" t="e">
        <f>AND('BBP complete'!N263,"AAAAAH+32DY=")</f>
        <v>#VALUE!</v>
      </c>
      <c r="BD37" t="e">
        <f>AND('BBP complete'!P271,"AAAAAH+32Dc=")</f>
        <v>#VALUE!</v>
      </c>
      <c r="BE37" t="e">
        <f>AND('BBP complete'!#REF!,"AAAAAH+32Dg=")</f>
        <v>#REF!</v>
      </c>
      <c r="BF37" t="e">
        <f>AND('BBP complete'!#REF!,"AAAAAH+32Dk=")</f>
        <v>#REF!</v>
      </c>
      <c r="BG37" t="e">
        <f>AND('BBP complete'!#REF!,"AAAAAH+32Do=")</f>
        <v>#REF!</v>
      </c>
      <c r="BH37" t="e">
        <f>AND('BBP complete'!K581,"AAAAAH+32Ds=")</f>
        <v>#VALUE!</v>
      </c>
      <c r="BI37" t="e">
        <f>AND('BBP complete'!L581,"AAAAAH+32Dw=")</f>
        <v>#VALUE!</v>
      </c>
      <c r="BJ37" t="e">
        <f>AND('BBP complete'!M264,"AAAAAH+32D0=")</f>
        <v>#VALUE!</v>
      </c>
      <c r="BK37" t="e">
        <f>AND('BBP complete'!N264,"AAAAAH+32D4=")</f>
        <v>#VALUE!</v>
      </c>
      <c r="BL37" t="e">
        <f>AND('BBP complete'!P272,"AAAAAH+32D8=")</f>
        <v>#VALUE!</v>
      </c>
      <c r="BM37" t="e">
        <f>AND('BBP complete'!#REF!,"AAAAAH+32EA=")</f>
        <v>#REF!</v>
      </c>
      <c r="BN37" t="e">
        <f>AND('BBP complete'!#REF!,"AAAAAH+32EE=")</f>
        <v>#REF!</v>
      </c>
      <c r="BO37" t="e">
        <f>AND('BBP complete'!#REF!,"AAAAAH+32EI=")</f>
        <v>#REF!</v>
      </c>
      <c r="BP37" t="e">
        <f>AND('BBP complete'!K582,"AAAAAH+32EM=")</f>
        <v>#VALUE!</v>
      </c>
      <c r="BQ37" t="e">
        <f>AND('BBP complete'!L582,"AAAAAH+32EQ=")</f>
        <v>#VALUE!</v>
      </c>
      <c r="BR37" t="e">
        <f>AND('BBP complete'!M265,"AAAAAH+32EU=")</f>
        <v>#VALUE!</v>
      </c>
      <c r="BS37" t="e">
        <f>AND('BBP complete'!N265,"AAAAAH+32EY=")</f>
        <v>#VALUE!</v>
      </c>
      <c r="BT37" t="e">
        <f>AND('BBP complete'!P273,"AAAAAH+32Ec=")</f>
        <v>#VALUE!</v>
      </c>
      <c r="BU37" t="e">
        <f>AND('BBP complete'!#REF!,"AAAAAH+32Eg=")</f>
        <v>#REF!</v>
      </c>
      <c r="BV37" t="e">
        <f>AND('BBP complete'!#REF!,"AAAAAH+32Ek=")</f>
        <v>#REF!</v>
      </c>
      <c r="BW37" t="e">
        <f>AND('BBP complete'!#REF!,"AAAAAH+32Eo=")</f>
        <v>#REF!</v>
      </c>
      <c r="BX37" t="e">
        <f>AND('BBP complete'!K583,"AAAAAH+32Es=")</f>
        <v>#VALUE!</v>
      </c>
      <c r="BY37" t="e">
        <f>AND('BBP complete'!L583,"AAAAAH+32Ew=")</f>
        <v>#VALUE!</v>
      </c>
      <c r="BZ37" t="e">
        <f>AND('BBP complete'!M266,"AAAAAH+32E0=")</f>
        <v>#VALUE!</v>
      </c>
      <c r="CA37" t="e">
        <f>AND('BBP complete'!N266,"AAAAAH+32E4=")</f>
        <v>#VALUE!</v>
      </c>
      <c r="CB37" t="e">
        <f>AND('BBP complete'!P274,"AAAAAH+32E8=")</f>
        <v>#VALUE!</v>
      </c>
      <c r="CC37" t="e">
        <f>AND('BBP complete'!#REF!,"AAAAAH+32FA=")</f>
        <v>#REF!</v>
      </c>
      <c r="CD37" t="e">
        <f>AND('BBP complete'!#REF!,"AAAAAH+32FE=")</f>
        <v>#REF!</v>
      </c>
      <c r="CE37" t="e">
        <f>AND('BBP complete'!#REF!,"AAAAAH+32FI=")</f>
        <v>#REF!</v>
      </c>
      <c r="CF37" t="e">
        <f>AND('BBP complete'!K584,"AAAAAH+32FM=")</f>
        <v>#VALUE!</v>
      </c>
      <c r="CG37" t="e">
        <f>AND('BBP complete'!L584,"AAAAAH+32FQ=")</f>
        <v>#VALUE!</v>
      </c>
      <c r="CH37" t="e">
        <f>AND('BBP complete'!M267,"AAAAAH+32FU=")</f>
        <v>#VALUE!</v>
      </c>
      <c r="CI37" t="e">
        <f>AND('BBP complete'!N267,"AAAAAH+32FY=")</f>
        <v>#VALUE!</v>
      </c>
      <c r="CJ37" t="e">
        <f>AND('BBP complete'!P275,"AAAAAH+32Fc=")</f>
        <v>#VALUE!</v>
      </c>
      <c r="CK37" t="e">
        <f>AND('BBP complete'!#REF!,"AAAAAH+32Fg=")</f>
        <v>#REF!</v>
      </c>
      <c r="CL37" t="e">
        <f>AND('BBP complete'!#REF!,"AAAAAH+32Fk=")</f>
        <v>#REF!</v>
      </c>
      <c r="CM37" t="e">
        <f>AND('BBP complete'!#REF!,"AAAAAH+32Fo=")</f>
        <v>#REF!</v>
      </c>
      <c r="CN37" t="e">
        <f>AND('BBP complete'!K585,"AAAAAH+32Fs=")</f>
        <v>#VALUE!</v>
      </c>
      <c r="CO37" t="e">
        <f>AND('BBP complete'!L585,"AAAAAH+32Fw=")</f>
        <v>#VALUE!</v>
      </c>
      <c r="CP37" t="e">
        <f>AND('BBP complete'!M268,"AAAAAH+32F0=")</f>
        <v>#VALUE!</v>
      </c>
      <c r="CQ37" t="e">
        <f>AND('BBP complete'!N268,"AAAAAH+32F4=")</f>
        <v>#VALUE!</v>
      </c>
      <c r="CR37" t="e">
        <f>AND('BBP complete'!P276,"AAAAAH+32F8=")</f>
        <v>#VALUE!</v>
      </c>
      <c r="CS37" t="e">
        <f>AND('BBP complete'!#REF!,"AAAAAH+32GA=")</f>
        <v>#REF!</v>
      </c>
      <c r="CT37" t="e">
        <f>AND('BBP complete'!#REF!,"AAAAAH+32GE=")</f>
        <v>#REF!</v>
      </c>
      <c r="CU37" t="e">
        <f>AND('BBP complete'!#REF!,"AAAAAH+32GI=")</f>
        <v>#REF!</v>
      </c>
      <c r="CV37" t="e">
        <f>AND('BBP complete'!K586,"AAAAAH+32GM=")</f>
        <v>#VALUE!</v>
      </c>
      <c r="CW37" t="e">
        <f>AND('BBP complete'!L586,"AAAAAH+32GQ=")</f>
        <v>#VALUE!</v>
      </c>
      <c r="CX37" t="e">
        <f>AND('BBP complete'!M269,"AAAAAH+32GU=")</f>
        <v>#VALUE!</v>
      </c>
      <c r="CY37" t="e">
        <f>AND('BBP complete'!N269,"AAAAAH+32GY=")</f>
        <v>#VALUE!</v>
      </c>
      <c r="CZ37" t="e">
        <f>AND('BBP complete'!P277,"AAAAAH+32Gc=")</f>
        <v>#VALUE!</v>
      </c>
      <c r="DA37" t="e">
        <f>AND('BBP complete'!#REF!,"AAAAAH+32Gg=")</f>
        <v>#REF!</v>
      </c>
      <c r="DB37" t="e">
        <f>AND('BBP complete'!#REF!,"AAAAAH+32Gk=")</f>
        <v>#REF!</v>
      </c>
      <c r="DC37" t="e">
        <f>AND('BBP complete'!#REF!,"AAAAAH+32Go=")</f>
        <v>#REF!</v>
      </c>
      <c r="DD37" t="e">
        <f>AND('BBP complete'!K587,"AAAAAH+32Gs=")</f>
        <v>#VALUE!</v>
      </c>
      <c r="DE37" t="e">
        <f>AND('BBP complete'!L587,"AAAAAH+32Gw=")</f>
        <v>#VALUE!</v>
      </c>
      <c r="DF37" t="e">
        <f>AND('BBP complete'!M270,"AAAAAH+32G0=")</f>
        <v>#VALUE!</v>
      </c>
      <c r="DG37" t="e">
        <f>AND('BBP complete'!N270,"AAAAAH+32G4=")</f>
        <v>#VALUE!</v>
      </c>
      <c r="DH37" t="e">
        <f>AND('BBP complete'!P278,"AAAAAH+32G8=")</f>
        <v>#VALUE!</v>
      </c>
      <c r="DI37" t="e">
        <f>AND('BBP complete'!#REF!,"AAAAAH+32HA=")</f>
        <v>#REF!</v>
      </c>
      <c r="DJ37" t="e">
        <f>AND('BBP complete'!#REF!,"AAAAAH+32HE=")</f>
        <v>#REF!</v>
      </c>
      <c r="DK37" t="e">
        <f>AND('BBP complete'!#REF!,"AAAAAH+32HI=")</f>
        <v>#REF!</v>
      </c>
      <c r="DL37" t="e">
        <f>AND('BBP complete'!K588,"AAAAAH+32HM=")</f>
        <v>#VALUE!</v>
      </c>
      <c r="DM37" t="e">
        <f>AND('BBP complete'!L588,"AAAAAH+32HQ=")</f>
        <v>#VALUE!</v>
      </c>
      <c r="DN37" t="e">
        <f>AND('BBP complete'!M271,"AAAAAH+32HU=")</f>
        <v>#VALUE!</v>
      </c>
      <c r="DO37" t="e">
        <f>AND('BBP complete'!N271,"AAAAAH+32HY=")</f>
        <v>#VALUE!</v>
      </c>
      <c r="DP37" t="e">
        <f>AND('BBP complete'!P279,"AAAAAH+32Hc=")</f>
        <v>#VALUE!</v>
      </c>
      <c r="DQ37" t="e">
        <f>AND('BBP complete'!#REF!,"AAAAAH+32Hg=")</f>
        <v>#REF!</v>
      </c>
      <c r="DR37" t="e">
        <f>AND('BBP complete'!#REF!,"AAAAAH+32Hk=")</f>
        <v>#REF!</v>
      </c>
      <c r="DS37" t="e">
        <f>AND('BBP complete'!#REF!,"AAAAAH+32Ho=")</f>
        <v>#REF!</v>
      </c>
      <c r="DT37" t="e">
        <f>AND('BBP complete'!K589,"AAAAAH+32Hs=")</f>
        <v>#VALUE!</v>
      </c>
      <c r="DU37" t="e">
        <f>AND('BBP complete'!L589,"AAAAAH+32Hw=")</f>
        <v>#VALUE!</v>
      </c>
      <c r="DV37" t="e">
        <f>AND('BBP complete'!M272,"AAAAAH+32H0=")</f>
        <v>#VALUE!</v>
      </c>
      <c r="DW37" t="e">
        <f>AND('BBP complete'!N272,"AAAAAH+32H4=")</f>
        <v>#VALUE!</v>
      </c>
      <c r="DX37" t="e">
        <f>AND('BBP complete'!P280,"AAAAAH+32H8=")</f>
        <v>#VALUE!</v>
      </c>
      <c r="DY37" t="e">
        <f>AND('BBP complete'!#REF!,"AAAAAH+32IA=")</f>
        <v>#REF!</v>
      </c>
      <c r="DZ37" t="e">
        <f>AND('BBP complete'!#REF!,"AAAAAH+32IE=")</f>
        <v>#REF!</v>
      </c>
      <c r="EA37" t="e">
        <f>AND('BBP complete'!#REF!,"AAAAAH+32II=")</f>
        <v>#REF!</v>
      </c>
      <c r="EB37" t="e">
        <f>AND('BBP complete'!K590,"AAAAAH+32IM=")</f>
        <v>#VALUE!</v>
      </c>
      <c r="EC37" t="e">
        <f>AND('BBP complete'!L590,"AAAAAH+32IQ=")</f>
        <v>#VALUE!</v>
      </c>
      <c r="ED37" t="e">
        <f>AND('BBP complete'!M273,"AAAAAH+32IU=")</f>
        <v>#VALUE!</v>
      </c>
      <c r="EE37" t="e">
        <f>AND('BBP complete'!N273,"AAAAAH+32IY=")</f>
        <v>#VALUE!</v>
      </c>
      <c r="EF37" t="e">
        <f>AND('BBP complete'!P281,"AAAAAH+32Ic=")</f>
        <v>#VALUE!</v>
      </c>
      <c r="EG37" t="e">
        <f>AND('BBP complete'!#REF!,"AAAAAH+32Ig=")</f>
        <v>#REF!</v>
      </c>
      <c r="EH37" t="e">
        <f>AND('BBP complete'!#REF!,"AAAAAH+32Ik=")</f>
        <v>#REF!</v>
      </c>
      <c r="EI37" t="e">
        <f>AND('BBP complete'!#REF!,"AAAAAH+32Io=")</f>
        <v>#REF!</v>
      </c>
      <c r="EJ37" t="e">
        <f>AND('BBP complete'!K591,"AAAAAH+32Is=")</f>
        <v>#VALUE!</v>
      </c>
      <c r="EK37" t="e">
        <f>AND('BBP complete'!L591,"AAAAAH+32Iw=")</f>
        <v>#VALUE!</v>
      </c>
      <c r="EL37" t="e">
        <f>AND('BBP complete'!M274,"AAAAAH+32I0=")</f>
        <v>#VALUE!</v>
      </c>
      <c r="EM37" t="e">
        <f>AND('BBP complete'!N274,"AAAAAH+32I4=")</f>
        <v>#VALUE!</v>
      </c>
      <c r="EN37" t="e">
        <f>AND('BBP complete'!P282,"AAAAAH+32I8=")</f>
        <v>#VALUE!</v>
      </c>
      <c r="EO37" t="e">
        <f>AND('BBP complete'!#REF!,"AAAAAH+32JA=")</f>
        <v>#REF!</v>
      </c>
      <c r="EP37" t="e">
        <f>AND('BBP complete'!#REF!,"AAAAAH+32JE=")</f>
        <v>#REF!</v>
      </c>
      <c r="EQ37" t="e">
        <f>AND('BBP complete'!#REF!,"AAAAAH+32JI=")</f>
        <v>#REF!</v>
      </c>
      <c r="ER37" t="e">
        <f>AND('BBP complete'!K592,"AAAAAH+32JM=")</f>
        <v>#VALUE!</v>
      </c>
      <c r="ES37" t="e">
        <f>AND('BBP complete'!L592,"AAAAAH+32JQ=")</f>
        <v>#VALUE!</v>
      </c>
      <c r="ET37" t="e">
        <f>AND('BBP complete'!M275,"AAAAAH+32JU=")</f>
        <v>#VALUE!</v>
      </c>
      <c r="EU37" t="e">
        <f>AND('BBP complete'!N275,"AAAAAH+32JY=")</f>
        <v>#VALUE!</v>
      </c>
      <c r="EV37" t="e">
        <f>AND('BBP complete'!P283,"AAAAAH+32Jc=")</f>
        <v>#VALUE!</v>
      </c>
      <c r="EW37" t="e">
        <f>AND('BBP complete'!#REF!,"AAAAAH+32Jg=")</f>
        <v>#REF!</v>
      </c>
      <c r="EX37" t="e">
        <f>AND('BBP complete'!#REF!,"AAAAAH+32Jk=")</f>
        <v>#REF!</v>
      </c>
      <c r="EY37" t="e">
        <f>AND('BBP complete'!#REF!,"AAAAAH+32Jo=")</f>
        <v>#REF!</v>
      </c>
      <c r="EZ37" t="e">
        <f>AND('BBP complete'!K593,"AAAAAH+32Js=")</f>
        <v>#VALUE!</v>
      </c>
      <c r="FA37" t="e">
        <f>AND('BBP complete'!L593,"AAAAAH+32Jw=")</f>
        <v>#VALUE!</v>
      </c>
      <c r="FB37" t="e">
        <f>AND('BBP complete'!M276,"AAAAAH+32J0=")</f>
        <v>#VALUE!</v>
      </c>
      <c r="FC37" t="e">
        <f>AND('BBP complete'!N276,"AAAAAH+32J4=")</f>
        <v>#VALUE!</v>
      </c>
      <c r="FD37" t="e">
        <f>AND('BBP complete'!P284,"AAAAAH+32J8=")</f>
        <v>#VALUE!</v>
      </c>
      <c r="FE37" t="e">
        <f>AND('BBP complete'!#REF!,"AAAAAH+32KA=")</f>
        <v>#REF!</v>
      </c>
      <c r="FF37" t="e">
        <f>AND('BBP complete'!#REF!,"AAAAAH+32KE=")</f>
        <v>#REF!</v>
      </c>
      <c r="FG37" t="e">
        <f>AND('BBP complete'!#REF!,"AAAAAH+32KI=")</f>
        <v>#REF!</v>
      </c>
      <c r="FH37" t="e">
        <f>AND('BBP complete'!K594,"AAAAAH+32KM=")</f>
        <v>#VALUE!</v>
      </c>
      <c r="FI37" t="e">
        <f>AND('BBP complete'!L594,"AAAAAH+32KQ=")</f>
        <v>#VALUE!</v>
      </c>
      <c r="FJ37" t="e">
        <f>AND('BBP complete'!M277,"AAAAAH+32KU=")</f>
        <v>#VALUE!</v>
      </c>
      <c r="FK37" t="e">
        <f>AND('BBP complete'!N277,"AAAAAH+32KY=")</f>
        <v>#VALUE!</v>
      </c>
      <c r="FL37" t="e">
        <f>AND('BBP complete'!P285,"AAAAAH+32Kc=")</f>
        <v>#VALUE!</v>
      </c>
      <c r="FM37" t="e">
        <f>AND('BBP complete'!#REF!,"AAAAAH+32Kg=")</f>
        <v>#REF!</v>
      </c>
      <c r="FN37" t="e">
        <f>AND('BBP complete'!#REF!,"AAAAAH+32Kk=")</f>
        <v>#REF!</v>
      </c>
      <c r="FO37" t="e">
        <f>AND('BBP complete'!#REF!,"AAAAAH+32Ko=")</f>
        <v>#REF!</v>
      </c>
      <c r="FP37" t="e">
        <f>AND('BBP complete'!K595,"AAAAAH+32Ks=")</f>
        <v>#VALUE!</v>
      </c>
      <c r="FQ37" t="e">
        <f>AND('BBP complete'!L595,"AAAAAH+32Kw=")</f>
        <v>#VALUE!</v>
      </c>
      <c r="FR37" t="e">
        <f>AND('BBP complete'!M278,"AAAAAH+32K0=")</f>
        <v>#VALUE!</v>
      </c>
      <c r="FS37" t="e">
        <f>AND('BBP complete'!N278,"AAAAAH+32K4=")</f>
        <v>#VALUE!</v>
      </c>
      <c r="FT37" t="e">
        <f>AND('BBP complete'!P286,"AAAAAH+32K8=")</f>
        <v>#VALUE!</v>
      </c>
      <c r="FU37" t="e">
        <f>AND('BBP complete'!#REF!,"AAAAAH+32LA=")</f>
        <v>#REF!</v>
      </c>
      <c r="FV37" t="e">
        <f>AND('BBP complete'!#REF!,"AAAAAH+32LE=")</f>
        <v>#REF!</v>
      </c>
      <c r="FW37" t="e">
        <f>AND('BBP complete'!#REF!,"AAAAAH+32LI=")</f>
        <v>#REF!</v>
      </c>
      <c r="FX37" t="e">
        <f>AND('BBP complete'!K596,"AAAAAH+32LM=")</f>
        <v>#VALUE!</v>
      </c>
      <c r="FY37" t="e">
        <f>AND('BBP complete'!L596,"AAAAAH+32LQ=")</f>
        <v>#VALUE!</v>
      </c>
      <c r="FZ37" t="e">
        <f>AND('BBP complete'!M279,"AAAAAH+32LU=")</f>
        <v>#VALUE!</v>
      </c>
      <c r="GA37" t="e">
        <f>AND('BBP complete'!N279,"AAAAAH+32LY=")</f>
        <v>#VALUE!</v>
      </c>
      <c r="GB37" t="e">
        <f>AND('BBP complete'!P287,"AAAAAH+32Lc=")</f>
        <v>#VALUE!</v>
      </c>
      <c r="GC37" t="e">
        <f>AND('BBP complete'!#REF!,"AAAAAH+32Lg=")</f>
        <v>#REF!</v>
      </c>
      <c r="GD37" t="e">
        <f>AND('BBP complete'!#REF!,"AAAAAH+32Lk=")</f>
        <v>#REF!</v>
      </c>
      <c r="GE37" t="e">
        <f>AND('BBP complete'!#REF!,"AAAAAH+32Lo=")</f>
        <v>#REF!</v>
      </c>
      <c r="GF37" t="e">
        <f>AND('BBP complete'!K597,"AAAAAH+32Ls=")</f>
        <v>#VALUE!</v>
      </c>
      <c r="GG37" t="e">
        <f>AND('BBP complete'!L597,"AAAAAH+32Lw=")</f>
        <v>#VALUE!</v>
      </c>
      <c r="GH37" t="e">
        <f>AND('BBP complete'!M280,"AAAAAH+32L0=")</f>
        <v>#VALUE!</v>
      </c>
      <c r="GI37" t="e">
        <f>AND('BBP complete'!N280,"AAAAAH+32L4=")</f>
        <v>#VALUE!</v>
      </c>
      <c r="GJ37" t="e">
        <f>AND('BBP complete'!P288,"AAAAAH+32L8=")</f>
        <v>#VALUE!</v>
      </c>
      <c r="GK37" t="e">
        <f>AND('BBP complete'!#REF!,"AAAAAH+32MA=")</f>
        <v>#REF!</v>
      </c>
      <c r="GL37" t="e">
        <f>AND('BBP complete'!#REF!,"AAAAAH+32ME=")</f>
        <v>#REF!</v>
      </c>
      <c r="GM37" t="e">
        <f>AND('BBP complete'!#REF!,"AAAAAH+32MI=")</f>
        <v>#REF!</v>
      </c>
      <c r="GN37" t="e">
        <f>AND('BBP complete'!K598,"AAAAAH+32MM=")</f>
        <v>#VALUE!</v>
      </c>
      <c r="GO37" t="e">
        <f>AND('BBP complete'!L598,"AAAAAH+32MQ=")</f>
        <v>#VALUE!</v>
      </c>
      <c r="GP37" t="e">
        <f>AND('BBP complete'!M281,"AAAAAH+32MU=")</f>
        <v>#VALUE!</v>
      </c>
      <c r="GQ37" t="e">
        <f>AND('BBP complete'!N281,"AAAAAH+32MY=")</f>
        <v>#VALUE!</v>
      </c>
      <c r="GR37" t="e">
        <f>AND('BBP complete'!P289,"AAAAAH+32Mc=")</f>
        <v>#VALUE!</v>
      </c>
      <c r="GS37" t="e">
        <f>AND('BBP complete'!#REF!,"AAAAAH+32Mg=")</f>
        <v>#REF!</v>
      </c>
      <c r="GT37" t="e">
        <f>AND('BBP complete'!#REF!,"AAAAAH+32Mk=")</f>
        <v>#REF!</v>
      </c>
      <c r="GU37" t="e">
        <f>AND('BBP complete'!#REF!,"AAAAAH+32Mo=")</f>
        <v>#REF!</v>
      </c>
      <c r="GV37" t="e">
        <f>AND('BBP complete'!K599,"AAAAAH+32Ms=")</f>
        <v>#VALUE!</v>
      </c>
      <c r="GW37" t="e">
        <f>AND('BBP complete'!L599,"AAAAAH+32Mw=")</f>
        <v>#VALUE!</v>
      </c>
      <c r="GX37" t="e">
        <f>AND('BBP complete'!M282,"AAAAAH+32M0=")</f>
        <v>#VALUE!</v>
      </c>
      <c r="GY37" t="e">
        <f>AND('BBP complete'!N282,"AAAAAH+32M4=")</f>
        <v>#VALUE!</v>
      </c>
      <c r="GZ37" t="e">
        <f>AND('BBP complete'!P290,"AAAAAH+32M8=")</f>
        <v>#VALUE!</v>
      </c>
      <c r="HA37" t="e">
        <f>AND('BBP complete'!#REF!,"AAAAAH+32NA=")</f>
        <v>#REF!</v>
      </c>
      <c r="HB37" t="e">
        <f>AND('BBP complete'!#REF!,"AAAAAH+32NE=")</f>
        <v>#REF!</v>
      </c>
      <c r="HC37" t="e">
        <f>AND('BBP complete'!#REF!,"AAAAAH+32NI=")</f>
        <v>#REF!</v>
      </c>
      <c r="HD37" t="e">
        <f>AND('BBP complete'!K600,"AAAAAH+32NM=")</f>
        <v>#VALUE!</v>
      </c>
      <c r="HE37" t="e">
        <f>AND('BBP complete'!L600,"AAAAAH+32NQ=")</f>
        <v>#VALUE!</v>
      </c>
      <c r="HF37" t="e">
        <f>AND('BBP complete'!M283,"AAAAAH+32NU=")</f>
        <v>#VALUE!</v>
      </c>
      <c r="HG37" t="e">
        <f>AND('BBP complete'!N283,"AAAAAH+32NY=")</f>
        <v>#VALUE!</v>
      </c>
      <c r="HH37" t="e">
        <f>AND('BBP complete'!P291,"AAAAAH+32Nc=")</f>
        <v>#VALUE!</v>
      </c>
      <c r="HI37" t="e">
        <f>AND('BBP complete'!#REF!,"AAAAAH+32Ng=")</f>
        <v>#REF!</v>
      </c>
      <c r="HJ37" t="e">
        <f>AND('BBP complete'!#REF!,"AAAAAH+32Nk=")</f>
        <v>#REF!</v>
      </c>
      <c r="HK37" t="e">
        <f>AND('BBP complete'!#REF!,"AAAAAH+32No=")</f>
        <v>#REF!</v>
      </c>
      <c r="HL37" t="e">
        <f>AND('BBP complete'!K601,"AAAAAH+32Ns=")</f>
        <v>#VALUE!</v>
      </c>
      <c r="HM37" t="e">
        <f>AND('BBP complete'!L601,"AAAAAH+32Nw=")</f>
        <v>#VALUE!</v>
      </c>
      <c r="HN37" t="e">
        <f>AND('BBP complete'!M284,"AAAAAH+32N0=")</f>
        <v>#VALUE!</v>
      </c>
      <c r="HO37" t="e">
        <f>AND('BBP complete'!N284,"AAAAAH+32N4=")</f>
        <v>#VALUE!</v>
      </c>
      <c r="HP37" t="e">
        <f>AND('BBP complete'!P292,"AAAAAH+32N8=")</f>
        <v>#VALUE!</v>
      </c>
      <c r="HQ37" t="e">
        <f>AND('BBP complete'!#REF!,"AAAAAH+32OA=")</f>
        <v>#REF!</v>
      </c>
      <c r="HR37" t="e">
        <f>AND('BBP complete'!#REF!,"AAAAAH+32OE=")</f>
        <v>#REF!</v>
      </c>
      <c r="HS37" t="e">
        <f>AND('BBP complete'!#REF!,"AAAAAH+32OI=")</f>
        <v>#REF!</v>
      </c>
      <c r="HT37" t="e">
        <f>AND('BBP complete'!K602,"AAAAAH+32OM=")</f>
        <v>#VALUE!</v>
      </c>
      <c r="HU37" t="e">
        <f>AND('BBP complete'!L602,"AAAAAH+32OQ=")</f>
        <v>#VALUE!</v>
      </c>
      <c r="HV37" t="e">
        <f>AND('BBP complete'!M285,"AAAAAH+32OU=")</f>
        <v>#VALUE!</v>
      </c>
      <c r="HW37" t="e">
        <f>AND('BBP complete'!N285,"AAAAAH+32OY=")</f>
        <v>#VALUE!</v>
      </c>
      <c r="HX37" t="e">
        <f>AND('BBP complete'!P293,"AAAAAH+32Oc=")</f>
        <v>#VALUE!</v>
      </c>
      <c r="HY37" t="e">
        <f>AND('BBP complete'!#REF!,"AAAAAH+32Og=")</f>
        <v>#REF!</v>
      </c>
      <c r="HZ37" t="e">
        <f>AND('BBP complete'!#REF!,"AAAAAH+32Ok=")</f>
        <v>#REF!</v>
      </c>
      <c r="IA37" t="e">
        <f>AND('BBP complete'!#REF!,"AAAAAH+32Oo=")</f>
        <v>#REF!</v>
      </c>
      <c r="IB37" t="e">
        <f>AND('BBP complete'!K603,"AAAAAH+32Os=")</f>
        <v>#VALUE!</v>
      </c>
      <c r="IC37" t="e">
        <f>AND('BBP complete'!L603,"AAAAAH+32Ow=")</f>
        <v>#VALUE!</v>
      </c>
      <c r="ID37" t="e">
        <f>AND('BBP complete'!M286,"AAAAAH+32O0=")</f>
        <v>#VALUE!</v>
      </c>
      <c r="IE37" t="e">
        <f>AND('BBP complete'!N286,"AAAAAH+32O4=")</f>
        <v>#VALUE!</v>
      </c>
      <c r="IF37" t="e">
        <f>AND('BBP complete'!P294,"AAAAAH+32O8=")</f>
        <v>#VALUE!</v>
      </c>
      <c r="IG37" t="e">
        <f>AND('BBP complete'!#REF!,"AAAAAH+32PA=")</f>
        <v>#REF!</v>
      </c>
      <c r="IH37" t="e">
        <f>AND('BBP complete'!#REF!,"AAAAAH+32PE=")</f>
        <v>#REF!</v>
      </c>
      <c r="II37" t="e">
        <f>AND('BBP complete'!#REF!,"AAAAAH+32PI=")</f>
        <v>#REF!</v>
      </c>
      <c r="IJ37" t="e">
        <f>AND('BBP complete'!K604,"AAAAAH+32PM=")</f>
        <v>#VALUE!</v>
      </c>
      <c r="IK37" t="e">
        <f>AND('BBP complete'!L604,"AAAAAH+32PQ=")</f>
        <v>#VALUE!</v>
      </c>
      <c r="IL37" t="e">
        <f>AND('BBP complete'!M287,"AAAAAH+32PU=")</f>
        <v>#VALUE!</v>
      </c>
      <c r="IM37" t="e">
        <f>AND('BBP complete'!N287,"AAAAAH+32PY=")</f>
        <v>#VALUE!</v>
      </c>
      <c r="IN37" t="e">
        <f>AND('BBP complete'!P295,"AAAAAH+32Pc=")</f>
        <v>#VALUE!</v>
      </c>
      <c r="IO37" t="e">
        <f>AND('BBP complete'!#REF!,"AAAAAH+32Pg=")</f>
        <v>#REF!</v>
      </c>
      <c r="IP37" t="e">
        <f>AND('BBP complete'!#REF!,"AAAAAH+32Pk=")</f>
        <v>#REF!</v>
      </c>
      <c r="IQ37" t="e">
        <f>AND('BBP complete'!#REF!,"AAAAAH+32Po=")</f>
        <v>#REF!</v>
      </c>
      <c r="IR37" t="e">
        <f>AND('BBP complete'!K605,"AAAAAH+32Ps=")</f>
        <v>#VALUE!</v>
      </c>
      <c r="IS37" t="e">
        <f>AND('BBP complete'!L605,"AAAAAH+32Pw=")</f>
        <v>#VALUE!</v>
      </c>
      <c r="IT37" t="e">
        <f>AND('BBP complete'!M288,"AAAAAH+32P0=")</f>
        <v>#VALUE!</v>
      </c>
      <c r="IU37" t="e">
        <f>AND('BBP complete'!N288,"AAAAAH+32P4=")</f>
        <v>#VALUE!</v>
      </c>
      <c r="IV37" t="e">
        <f>AND('BBP complete'!P296,"AAAAAH+32P8=")</f>
        <v>#VALUE!</v>
      </c>
    </row>
    <row r="38" spans="1:256" ht="15" customHeight="1" x14ac:dyDescent="0.25">
      <c r="A38" t="e">
        <f>AND('BBP complete'!#REF!,"AAAAAHanzwA=")</f>
        <v>#REF!</v>
      </c>
      <c r="B38" t="e">
        <f>AND('BBP complete'!#REF!,"AAAAAHanzwE=")</f>
        <v>#REF!</v>
      </c>
      <c r="C38" t="e">
        <f>AND('BBP complete'!#REF!,"AAAAAHanzwI=")</f>
        <v>#REF!</v>
      </c>
      <c r="D38" t="e">
        <f>AND('BBP complete'!K606,"AAAAAHanzwM=")</f>
        <v>#VALUE!</v>
      </c>
      <c r="E38" t="e">
        <f>AND('BBP complete'!L606,"AAAAAHanzwQ=")</f>
        <v>#VALUE!</v>
      </c>
      <c r="F38" t="e">
        <f>AND('BBP complete'!M289,"AAAAAHanzwU=")</f>
        <v>#VALUE!</v>
      </c>
      <c r="G38" t="e">
        <f>AND('BBP complete'!N289,"AAAAAHanzwY=")</f>
        <v>#VALUE!</v>
      </c>
      <c r="H38" t="e">
        <f>AND('BBP complete'!P297,"AAAAAHanzwc=")</f>
        <v>#VALUE!</v>
      </c>
      <c r="I38" t="e">
        <f>AND('BBP complete'!#REF!,"AAAAAHanzwg=")</f>
        <v>#REF!</v>
      </c>
      <c r="J38" t="e">
        <f>AND('BBP complete'!#REF!,"AAAAAHanzwk=")</f>
        <v>#REF!</v>
      </c>
      <c r="K38" t="e">
        <f>AND('BBP complete'!#REF!,"AAAAAHanzwo=")</f>
        <v>#REF!</v>
      </c>
      <c r="L38" t="e">
        <f>AND('BBP complete'!K607,"AAAAAHanzws=")</f>
        <v>#VALUE!</v>
      </c>
      <c r="M38" t="e">
        <f>AND('BBP complete'!L607,"AAAAAHanzww=")</f>
        <v>#VALUE!</v>
      </c>
      <c r="N38" t="e">
        <f>AND('BBP complete'!M290,"AAAAAHanzw0=")</f>
        <v>#VALUE!</v>
      </c>
      <c r="O38" t="e">
        <f>AND('BBP complete'!N290,"AAAAAHanzw4=")</f>
        <v>#VALUE!</v>
      </c>
      <c r="P38" t="e">
        <f>AND('BBP complete'!P298,"AAAAAHanzw8=")</f>
        <v>#VALUE!</v>
      </c>
      <c r="Q38" t="e">
        <f>AND('BBP complete'!#REF!,"AAAAAHanzxA=")</f>
        <v>#REF!</v>
      </c>
      <c r="R38" t="e">
        <f>AND('BBP complete'!#REF!,"AAAAAHanzxE=")</f>
        <v>#REF!</v>
      </c>
      <c r="S38" t="e">
        <f>AND('BBP complete'!#REF!,"AAAAAHanzxI=")</f>
        <v>#REF!</v>
      </c>
      <c r="T38" t="e">
        <f>AND('BBP complete'!K608,"AAAAAHanzxM=")</f>
        <v>#VALUE!</v>
      </c>
      <c r="U38" t="e">
        <f>AND('BBP complete'!L608,"AAAAAHanzxQ=")</f>
        <v>#VALUE!</v>
      </c>
      <c r="V38" t="e">
        <f>AND('BBP complete'!M291,"AAAAAHanzxU=")</f>
        <v>#VALUE!</v>
      </c>
      <c r="W38" t="e">
        <f>AND('BBP complete'!N291,"AAAAAHanzxY=")</f>
        <v>#VALUE!</v>
      </c>
      <c r="X38" t="e">
        <f>AND('BBP complete'!P299,"AAAAAHanzxc=")</f>
        <v>#VALUE!</v>
      </c>
      <c r="Y38" t="e">
        <f>AND('BBP complete'!#REF!,"AAAAAHanzxg=")</f>
        <v>#REF!</v>
      </c>
      <c r="Z38" t="e">
        <f>AND('BBP complete'!#REF!,"AAAAAHanzxk=")</f>
        <v>#REF!</v>
      </c>
      <c r="AA38" t="e">
        <f>AND('BBP complete'!#REF!,"AAAAAHanzxo=")</f>
        <v>#REF!</v>
      </c>
      <c r="AB38" t="e">
        <f>AND('BBP complete'!K609,"AAAAAHanzxs=")</f>
        <v>#VALUE!</v>
      </c>
      <c r="AC38" t="e">
        <f>AND('BBP complete'!L609,"AAAAAHanzxw=")</f>
        <v>#VALUE!</v>
      </c>
      <c r="AD38" t="e">
        <f>AND('BBP complete'!M292,"AAAAAHanzx0=")</f>
        <v>#VALUE!</v>
      </c>
      <c r="AE38" t="e">
        <f>AND('BBP complete'!N292,"AAAAAHanzx4=")</f>
        <v>#VALUE!</v>
      </c>
      <c r="AF38" t="e">
        <f>AND('BBP complete'!P300,"AAAAAHanzx8=")</f>
        <v>#VALUE!</v>
      </c>
      <c r="AG38" t="e">
        <f>AND('BBP complete'!#REF!,"AAAAAHanzyA=")</f>
        <v>#REF!</v>
      </c>
      <c r="AH38" t="e">
        <f>AND('BBP complete'!#REF!,"AAAAAHanzyE=")</f>
        <v>#REF!</v>
      </c>
      <c r="AI38" t="e">
        <f>AND('BBP complete'!#REF!,"AAAAAHanzyI=")</f>
        <v>#REF!</v>
      </c>
      <c r="AJ38" t="e">
        <f>AND('BBP complete'!K610,"AAAAAHanzyM=")</f>
        <v>#VALUE!</v>
      </c>
      <c r="AK38" t="e">
        <f>AND('BBP complete'!L610,"AAAAAHanzyQ=")</f>
        <v>#VALUE!</v>
      </c>
      <c r="AL38" t="e">
        <f>AND('BBP complete'!M293,"AAAAAHanzyU=")</f>
        <v>#VALUE!</v>
      </c>
      <c r="AM38" t="e">
        <f>AND('BBP complete'!N293,"AAAAAHanzyY=")</f>
        <v>#VALUE!</v>
      </c>
      <c r="AN38" t="e">
        <f>AND('BBP complete'!P301,"AAAAAHanzyc=")</f>
        <v>#VALUE!</v>
      </c>
      <c r="AO38" t="e">
        <f>AND('BBP complete'!#REF!,"AAAAAHanzyg=")</f>
        <v>#REF!</v>
      </c>
      <c r="AP38" t="e">
        <f>AND('BBP complete'!#REF!,"AAAAAHanzyk=")</f>
        <v>#REF!</v>
      </c>
      <c r="AQ38" t="e">
        <f>AND('BBP complete'!#REF!,"AAAAAHanzyo=")</f>
        <v>#REF!</v>
      </c>
      <c r="AR38" t="e">
        <f>AND('BBP complete'!K611,"AAAAAHanzys=")</f>
        <v>#VALUE!</v>
      </c>
      <c r="AS38" t="e">
        <f>AND('BBP complete'!L611,"AAAAAHanzyw=")</f>
        <v>#VALUE!</v>
      </c>
      <c r="AT38" t="e">
        <f>AND('BBP complete'!M294,"AAAAAHanzy0=")</f>
        <v>#VALUE!</v>
      </c>
      <c r="AU38" t="e">
        <f>AND('BBP complete'!N294,"AAAAAHanzy4=")</f>
        <v>#VALUE!</v>
      </c>
      <c r="AV38" t="e">
        <f>AND('BBP complete'!P302,"AAAAAHanzy8=")</f>
        <v>#VALUE!</v>
      </c>
      <c r="AW38" t="e">
        <f>AND('BBP complete'!#REF!,"AAAAAHanzzA=")</f>
        <v>#REF!</v>
      </c>
      <c r="AX38" t="e">
        <f>AND('BBP complete'!#REF!,"AAAAAHanzzE=")</f>
        <v>#REF!</v>
      </c>
      <c r="AY38" t="e">
        <f>AND('BBP complete'!#REF!,"AAAAAHanzzI=")</f>
        <v>#REF!</v>
      </c>
      <c r="AZ38" t="e">
        <f>AND('BBP complete'!K612,"AAAAAHanzzM=")</f>
        <v>#VALUE!</v>
      </c>
      <c r="BA38" t="e">
        <f>AND('BBP complete'!L612,"AAAAAHanzzQ=")</f>
        <v>#VALUE!</v>
      </c>
      <c r="BB38" t="e">
        <f>AND('BBP complete'!M295,"AAAAAHanzzU=")</f>
        <v>#VALUE!</v>
      </c>
      <c r="BC38" t="e">
        <f>AND('BBP complete'!N295,"AAAAAHanzzY=")</f>
        <v>#VALUE!</v>
      </c>
      <c r="BD38" t="e">
        <f>AND('BBP complete'!P303,"AAAAAHanzzc=")</f>
        <v>#VALUE!</v>
      </c>
      <c r="BE38" t="e">
        <f>AND('BBP complete'!#REF!,"AAAAAHanzzg=")</f>
        <v>#REF!</v>
      </c>
      <c r="BF38" t="e">
        <f>AND('BBP complete'!#REF!,"AAAAAHanzzk=")</f>
        <v>#REF!</v>
      </c>
      <c r="BG38" t="e">
        <f>AND('BBP complete'!#REF!,"AAAAAHanzzo=")</f>
        <v>#REF!</v>
      </c>
      <c r="BH38" t="e">
        <f>AND('BBP complete'!K613,"AAAAAHanzzs=")</f>
        <v>#VALUE!</v>
      </c>
      <c r="BI38" t="e">
        <f>AND('BBP complete'!L613,"AAAAAHanzzw=")</f>
        <v>#VALUE!</v>
      </c>
      <c r="BJ38" t="e">
        <f>AND('BBP complete'!M296,"AAAAAHanzz0=")</f>
        <v>#VALUE!</v>
      </c>
      <c r="BK38" t="e">
        <f>AND('BBP complete'!N296,"AAAAAHanzz4=")</f>
        <v>#VALUE!</v>
      </c>
      <c r="BL38" t="e">
        <f>AND('BBP complete'!P304,"AAAAAHanzz8=")</f>
        <v>#VALUE!</v>
      </c>
      <c r="BM38" t="e">
        <f>AND('BBP complete'!#REF!,"AAAAAHanz0A=")</f>
        <v>#REF!</v>
      </c>
      <c r="BN38" t="e">
        <f>AND('BBP complete'!#REF!,"AAAAAHanz0E=")</f>
        <v>#REF!</v>
      </c>
      <c r="BO38" t="e">
        <f>AND('BBP complete'!#REF!,"AAAAAHanz0I=")</f>
        <v>#REF!</v>
      </c>
      <c r="BP38" t="e">
        <f>AND('BBP complete'!K614,"AAAAAHanz0M=")</f>
        <v>#VALUE!</v>
      </c>
      <c r="BQ38" t="e">
        <f>AND('BBP complete'!L614,"AAAAAHanz0Q=")</f>
        <v>#VALUE!</v>
      </c>
      <c r="BR38" t="e">
        <f>AND('BBP complete'!M297,"AAAAAHanz0U=")</f>
        <v>#VALUE!</v>
      </c>
      <c r="BS38" t="e">
        <f>AND('BBP complete'!N297,"AAAAAHanz0Y=")</f>
        <v>#VALUE!</v>
      </c>
      <c r="BT38" t="e">
        <f>AND('BBP complete'!P305,"AAAAAHanz0c=")</f>
        <v>#VALUE!</v>
      </c>
      <c r="BU38" t="e">
        <f>AND('BBP complete'!#REF!,"AAAAAHanz0g=")</f>
        <v>#REF!</v>
      </c>
      <c r="BV38" t="e">
        <f>AND('BBP complete'!#REF!,"AAAAAHanz0k=")</f>
        <v>#REF!</v>
      </c>
      <c r="BW38" t="e">
        <f>AND('BBP complete'!#REF!,"AAAAAHanz0o=")</f>
        <v>#REF!</v>
      </c>
      <c r="BX38" t="e">
        <f>AND('BBP complete'!K615,"AAAAAHanz0s=")</f>
        <v>#VALUE!</v>
      </c>
      <c r="BY38" t="e">
        <f>AND('BBP complete'!L615,"AAAAAHanz0w=")</f>
        <v>#VALUE!</v>
      </c>
      <c r="BZ38" t="e">
        <f>AND('BBP complete'!M298,"AAAAAHanz00=")</f>
        <v>#VALUE!</v>
      </c>
      <c r="CA38" t="e">
        <f>AND('BBP complete'!N298,"AAAAAHanz04=")</f>
        <v>#VALUE!</v>
      </c>
      <c r="CB38" t="e">
        <f>AND('BBP complete'!P306,"AAAAAHanz08=")</f>
        <v>#VALUE!</v>
      </c>
      <c r="CC38" t="e">
        <f>AND('BBP complete'!#REF!,"AAAAAHanz1A=")</f>
        <v>#REF!</v>
      </c>
      <c r="CD38" t="e">
        <f>AND('BBP complete'!#REF!,"AAAAAHanz1E=")</f>
        <v>#REF!</v>
      </c>
      <c r="CE38" t="e">
        <f>AND('BBP complete'!#REF!,"AAAAAHanz1I=")</f>
        <v>#REF!</v>
      </c>
      <c r="CF38" t="e">
        <f>AND('BBP complete'!K616,"AAAAAHanz1M=")</f>
        <v>#VALUE!</v>
      </c>
      <c r="CG38" t="e">
        <f>AND('BBP complete'!L616,"AAAAAHanz1Q=")</f>
        <v>#VALUE!</v>
      </c>
      <c r="CH38" t="e">
        <f>AND('BBP complete'!M299,"AAAAAHanz1U=")</f>
        <v>#VALUE!</v>
      </c>
      <c r="CI38" t="e">
        <f>AND('BBP complete'!N299,"AAAAAHanz1Y=")</f>
        <v>#VALUE!</v>
      </c>
      <c r="CJ38" t="e">
        <f>AND('BBP complete'!P307,"AAAAAHanz1c=")</f>
        <v>#VALUE!</v>
      </c>
      <c r="CK38" t="e">
        <f>AND('BBP complete'!#REF!,"AAAAAHanz1g=")</f>
        <v>#REF!</v>
      </c>
      <c r="CL38" t="e">
        <f>AND('BBP complete'!#REF!,"AAAAAHanz1k=")</f>
        <v>#REF!</v>
      </c>
      <c r="CM38" t="e">
        <f>AND('BBP complete'!#REF!,"AAAAAHanz1o=")</f>
        <v>#REF!</v>
      </c>
      <c r="CN38" t="e">
        <f>AND('BBP complete'!K617,"AAAAAHanz1s=")</f>
        <v>#VALUE!</v>
      </c>
      <c r="CO38" t="e">
        <f>AND('BBP complete'!L617,"AAAAAHanz1w=")</f>
        <v>#VALUE!</v>
      </c>
      <c r="CP38" t="e">
        <f>AND('BBP complete'!M300,"AAAAAHanz10=")</f>
        <v>#VALUE!</v>
      </c>
      <c r="CQ38" t="e">
        <f>AND('BBP complete'!N300,"AAAAAHanz14=")</f>
        <v>#VALUE!</v>
      </c>
      <c r="CR38" t="e">
        <f>AND('BBP complete'!P308,"AAAAAHanz18=")</f>
        <v>#VALUE!</v>
      </c>
      <c r="CS38" t="e">
        <f>AND('BBP complete'!#REF!,"AAAAAHanz2A=")</f>
        <v>#REF!</v>
      </c>
      <c r="CT38" t="e">
        <f>AND('BBP complete'!#REF!,"AAAAAHanz2E=")</f>
        <v>#REF!</v>
      </c>
      <c r="CU38" t="e">
        <f>AND('BBP complete'!#REF!,"AAAAAHanz2I=")</f>
        <v>#REF!</v>
      </c>
      <c r="CV38" t="e">
        <f>AND('BBP complete'!K618,"AAAAAHanz2M=")</f>
        <v>#VALUE!</v>
      </c>
      <c r="CW38" t="e">
        <f>AND('BBP complete'!L618,"AAAAAHanz2Q=")</f>
        <v>#VALUE!</v>
      </c>
      <c r="CX38" t="e">
        <f>AND('BBP complete'!M301,"AAAAAHanz2U=")</f>
        <v>#VALUE!</v>
      </c>
      <c r="CY38" t="e">
        <f>AND('BBP complete'!N301,"AAAAAHanz2Y=")</f>
        <v>#VALUE!</v>
      </c>
      <c r="CZ38" t="e">
        <f>AND('BBP complete'!P309,"AAAAAHanz2c=")</f>
        <v>#VALUE!</v>
      </c>
      <c r="DA38" t="e">
        <f>AND('BBP complete'!#REF!,"AAAAAHanz2g=")</f>
        <v>#REF!</v>
      </c>
      <c r="DB38" t="e">
        <f>AND('BBP complete'!#REF!,"AAAAAHanz2k=")</f>
        <v>#REF!</v>
      </c>
      <c r="DC38" t="e">
        <f>AND('BBP complete'!#REF!,"AAAAAHanz2o=")</f>
        <v>#REF!</v>
      </c>
      <c r="DD38" t="e">
        <f>AND('BBP complete'!K619,"AAAAAHanz2s=")</f>
        <v>#VALUE!</v>
      </c>
      <c r="DE38" t="e">
        <f>AND('BBP complete'!L619,"AAAAAHanz2w=")</f>
        <v>#VALUE!</v>
      </c>
      <c r="DF38" t="e">
        <f>AND('BBP complete'!M302,"AAAAAHanz20=")</f>
        <v>#VALUE!</v>
      </c>
      <c r="DG38" t="e">
        <f>AND('BBP complete'!N302,"AAAAAHanz24=")</f>
        <v>#VALUE!</v>
      </c>
      <c r="DH38" t="e">
        <f>AND('BBP complete'!P310,"AAAAAHanz28=")</f>
        <v>#VALUE!</v>
      </c>
      <c r="DI38" t="e">
        <f>AND('BBP complete'!#REF!,"AAAAAHanz3A=")</f>
        <v>#REF!</v>
      </c>
      <c r="DJ38" t="e">
        <f>AND('BBP complete'!#REF!,"AAAAAHanz3E=")</f>
        <v>#REF!</v>
      </c>
      <c r="DK38" t="e">
        <f>AND('BBP complete'!#REF!,"AAAAAHanz3I=")</f>
        <v>#REF!</v>
      </c>
      <c r="DL38" t="e">
        <f>AND('BBP complete'!K620,"AAAAAHanz3M=")</f>
        <v>#VALUE!</v>
      </c>
      <c r="DM38" t="e">
        <f>AND('BBP complete'!L620,"AAAAAHanz3Q=")</f>
        <v>#VALUE!</v>
      </c>
      <c r="DN38" t="e">
        <f>AND('BBP complete'!M303,"AAAAAHanz3U=")</f>
        <v>#VALUE!</v>
      </c>
      <c r="DO38" t="e">
        <f>AND('BBP complete'!N303,"AAAAAHanz3Y=")</f>
        <v>#VALUE!</v>
      </c>
      <c r="DP38" t="e">
        <f>AND('BBP complete'!P311,"AAAAAHanz3c=")</f>
        <v>#VALUE!</v>
      </c>
      <c r="DQ38" t="e">
        <f>AND('BBP complete'!#REF!,"AAAAAHanz3g=")</f>
        <v>#REF!</v>
      </c>
      <c r="DR38" t="e">
        <f>AND('BBP complete'!#REF!,"AAAAAHanz3k=")</f>
        <v>#REF!</v>
      </c>
      <c r="DS38" t="e">
        <f>AND('BBP complete'!#REF!,"AAAAAHanz3o=")</f>
        <v>#REF!</v>
      </c>
      <c r="DT38" t="e">
        <f>AND('BBP complete'!K621,"AAAAAHanz3s=")</f>
        <v>#VALUE!</v>
      </c>
      <c r="DU38" t="e">
        <f>AND('BBP complete'!L621,"AAAAAHanz3w=")</f>
        <v>#VALUE!</v>
      </c>
      <c r="DV38" t="e">
        <f>AND('BBP complete'!M304,"AAAAAHanz30=")</f>
        <v>#VALUE!</v>
      </c>
      <c r="DW38" t="e">
        <f>AND('BBP complete'!N304,"AAAAAHanz34=")</f>
        <v>#VALUE!</v>
      </c>
      <c r="DX38" t="e">
        <f>AND('BBP complete'!P312,"AAAAAHanz38=")</f>
        <v>#VALUE!</v>
      </c>
      <c r="DY38" t="e">
        <f>AND('BBP complete'!#REF!,"AAAAAHanz4A=")</f>
        <v>#REF!</v>
      </c>
      <c r="DZ38" t="e">
        <f>AND('BBP complete'!#REF!,"AAAAAHanz4E=")</f>
        <v>#REF!</v>
      </c>
      <c r="EA38" t="e">
        <f>AND('BBP complete'!#REF!,"AAAAAHanz4I=")</f>
        <v>#REF!</v>
      </c>
      <c r="EB38" t="e">
        <f>AND('BBP complete'!K622,"AAAAAHanz4M=")</f>
        <v>#VALUE!</v>
      </c>
      <c r="EC38" t="e">
        <f>AND('BBP complete'!L622,"AAAAAHanz4Q=")</f>
        <v>#VALUE!</v>
      </c>
      <c r="ED38" t="e">
        <f>AND('BBP complete'!M305,"AAAAAHanz4U=")</f>
        <v>#VALUE!</v>
      </c>
      <c r="EE38" t="e">
        <f>AND('BBP complete'!N305,"AAAAAHanz4Y=")</f>
        <v>#VALUE!</v>
      </c>
      <c r="EF38" t="e">
        <f>AND('BBP complete'!P313,"AAAAAHanz4c=")</f>
        <v>#VALUE!</v>
      </c>
      <c r="EG38" t="e">
        <f>AND('BBP complete'!#REF!,"AAAAAHanz4g=")</f>
        <v>#REF!</v>
      </c>
      <c r="EH38" t="e">
        <f>AND('BBP complete'!#REF!,"AAAAAHanz4k=")</f>
        <v>#REF!</v>
      </c>
      <c r="EI38" t="e">
        <f>AND('BBP complete'!#REF!,"AAAAAHanz4o=")</f>
        <v>#REF!</v>
      </c>
      <c r="EJ38" t="e">
        <f>AND('BBP complete'!K623,"AAAAAHanz4s=")</f>
        <v>#VALUE!</v>
      </c>
      <c r="EK38" t="e">
        <f>AND('BBP complete'!L623,"AAAAAHanz4w=")</f>
        <v>#VALUE!</v>
      </c>
      <c r="EL38" t="e">
        <f>AND('BBP complete'!M306,"AAAAAHanz40=")</f>
        <v>#VALUE!</v>
      </c>
      <c r="EM38" t="e">
        <f>AND('BBP complete'!N306,"AAAAAHanz44=")</f>
        <v>#VALUE!</v>
      </c>
      <c r="EN38" t="e">
        <f>AND('BBP complete'!P314,"AAAAAHanz48=")</f>
        <v>#VALUE!</v>
      </c>
      <c r="EO38" t="e">
        <f>AND('BBP complete'!#REF!,"AAAAAHanz5A=")</f>
        <v>#REF!</v>
      </c>
      <c r="EP38" t="e">
        <f>AND('BBP complete'!#REF!,"AAAAAHanz5E=")</f>
        <v>#REF!</v>
      </c>
      <c r="EQ38" t="e">
        <f>AND('BBP complete'!#REF!,"AAAAAHanz5I=")</f>
        <v>#REF!</v>
      </c>
      <c r="ER38" t="e">
        <f>AND('BBP complete'!K624,"AAAAAHanz5M=")</f>
        <v>#VALUE!</v>
      </c>
      <c r="ES38" t="e">
        <f>AND('BBP complete'!L624,"AAAAAHanz5Q=")</f>
        <v>#VALUE!</v>
      </c>
      <c r="ET38" t="e">
        <f>AND('BBP complete'!M307,"AAAAAHanz5U=")</f>
        <v>#VALUE!</v>
      </c>
      <c r="EU38" t="e">
        <f>AND('BBP complete'!N307,"AAAAAHanz5Y=")</f>
        <v>#VALUE!</v>
      </c>
      <c r="EV38" t="e">
        <f>AND('BBP complete'!P315,"AAAAAHanz5c=")</f>
        <v>#VALUE!</v>
      </c>
      <c r="EW38" t="e">
        <f>AND('BBP complete'!#REF!,"AAAAAHanz5g=")</f>
        <v>#REF!</v>
      </c>
      <c r="EX38" t="e">
        <f>AND('BBP complete'!#REF!,"AAAAAHanz5k=")</f>
        <v>#REF!</v>
      </c>
      <c r="EY38" t="e">
        <f>AND('BBP complete'!#REF!,"AAAAAHanz5o=")</f>
        <v>#REF!</v>
      </c>
      <c r="EZ38" t="e">
        <f>AND('BBP complete'!K625,"AAAAAHanz5s=")</f>
        <v>#VALUE!</v>
      </c>
      <c r="FA38" t="e">
        <f>AND('BBP complete'!L625,"AAAAAHanz5w=")</f>
        <v>#VALUE!</v>
      </c>
      <c r="FB38" t="e">
        <f>AND('BBP complete'!M308,"AAAAAHanz50=")</f>
        <v>#VALUE!</v>
      </c>
      <c r="FC38" t="e">
        <f>AND('BBP complete'!N308,"AAAAAHanz54=")</f>
        <v>#VALUE!</v>
      </c>
      <c r="FD38" t="e">
        <f>AND('BBP complete'!P316,"AAAAAHanz58=")</f>
        <v>#VALUE!</v>
      </c>
      <c r="FE38" t="e">
        <f>AND('BBP complete'!#REF!,"AAAAAHanz6A=")</f>
        <v>#REF!</v>
      </c>
      <c r="FF38" t="e">
        <f>AND('BBP complete'!#REF!,"AAAAAHanz6E=")</f>
        <v>#REF!</v>
      </c>
      <c r="FG38" t="e">
        <f>AND('BBP complete'!#REF!,"AAAAAHanz6I=")</f>
        <v>#REF!</v>
      </c>
      <c r="FH38" t="e">
        <f>AND('BBP complete'!K626,"AAAAAHanz6M=")</f>
        <v>#VALUE!</v>
      </c>
      <c r="FI38" t="e">
        <f>AND('BBP complete'!L626,"AAAAAHanz6Q=")</f>
        <v>#VALUE!</v>
      </c>
      <c r="FJ38" t="e">
        <f>AND('BBP complete'!M309,"AAAAAHanz6U=")</f>
        <v>#VALUE!</v>
      </c>
      <c r="FK38" t="e">
        <f>AND('BBP complete'!N309,"AAAAAHanz6Y=")</f>
        <v>#VALUE!</v>
      </c>
      <c r="FL38" t="e">
        <f>AND('BBP complete'!P317,"AAAAAHanz6c=")</f>
        <v>#VALUE!</v>
      </c>
      <c r="FM38" t="e">
        <f>AND('BBP complete'!#REF!,"AAAAAHanz6g=")</f>
        <v>#REF!</v>
      </c>
      <c r="FN38" t="e">
        <f>AND('BBP complete'!#REF!,"AAAAAHanz6k=")</f>
        <v>#REF!</v>
      </c>
      <c r="FO38" t="e">
        <f>AND('BBP complete'!#REF!,"AAAAAHanz6o=")</f>
        <v>#REF!</v>
      </c>
      <c r="FP38" t="e">
        <f>AND('BBP complete'!K627,"AAAAAHanz6s=")</f>
        <v>#VALUE!</v>
      </c>
      <c r="FQ38" t="e">
        <f>AND('BBP complete'!L627,"AAAAAHanz6w=")</f>
        <v>#VALUE!</v>
      </c>
      <c r="FR38" t="e">
        <f>AND('BBP complete'!M310,"AAAAAHanz60=")</f>
        <v>#VALUE!</v>
      </c>
      <c r="FS38" t="e">
        <f>AND('BBP complete'!N310,"AAAAAHanz64=")</f>
        <v>#VALUE!</v>
      </c>
      <c r="FT38" t="e">
        <f>AND('BBP complete'!P320,"AAAAAHanz68=")</f>
        <v>#VALUE!</v>
      </c>
      <c r="FU38" t="e">
        <f>AND('BBP complete'!#REF!,"AAAAAHanz7A=")</f>
        <v>#REF!</v>
      </c>
      <c r="FV38" t="e">
        <f>AND('BBP complete'!#REF!,"AAAAAHanz7E=")</f>
        <v>#REF!</v>
      </c>
      <c r="FW38" t="e">
        <f>AND('BBP complete'!#REF!,"AAAAAHanz7I=")</f>
        <v>#REF!</v>
      </c>
      <c r="FX38" t="e">
        <f>AND('BBP complete'!K628,"AAAAAHanz7M=")</f>
        <v>#VALUE!</v>
      </c>
      <c r="FY38" t="e">
        <f>AND('BBP complete'!L628,"AAAAAHanz7Q=")</f>
        <v>#VALUE!</v>
      </c>
      <c r="FZ38" t="e">
        <f>AND('BBP complete'!M311,"AAAAAHanz7U=")</f>
        <v>#VALUE!</v>
      </c>
      <c r="GA38" t="e">
        <f>AND('BBP complete'!N311,"AAAAAHanz7Y=")</f>
        <v>#VALUE!</v>
      </c>
      <c r="GB38" t="e">
        <f>AND('BBP complete'!P321,"AAAAAHanz7c=")</f>
        <v>#VALUE!</v>
      </c>
      <c r="GC38" t="e">
        <f>AND('BBP complete'!#REF!,"AAAAAHanz7g=")</f>
        <v>#REF!</v>
      </c>
      <c r="GD38" t="e">
        <f>AND('BBP complete'!#REF!,"AAAAAHanz7k=")</f>
        <v>#REF!</v>
      </c>
      <c r="GE38" t="e">
        <f>AND('BBP complete'!#REF!,"AAAAAHanz7o=")</f>
        <v>#REF!</v>
      </c>
      <c r="GF38" t="e">
        <f>AND('BBP complete'!K629,"AAAAAHanz7s=")</f>
        <v>#VALUE!</v>
      </c>
      <c r="GG38" t="e">
        <f>AND('BBP complete'!L629,"AAAAAHanz7w=")</f>
        <v>#VALUE!</v>
      </c>
      <c r="GH38" t="e">
        <f>AND('BBP complete'!M312,"AAAAAHanz70=")</f>
        <v>#VALUE!</v>
      </c>
      <c r="GI38" t="e">
        <f>AND('BBP complete'!N312,"AAAAAHanz74=")</f>
        <v>#VALUE!</v>
      </c>
      <c r="GJ38" t="e">
        <f>AND('BBP complete'!P322,"AAAAAHanz78=")</f>
        <v>#VALUE!</v>
      </c>
      <c r="GK38" t="e">
        <f>AND('BBP complete'!#REF!,"AAAAAHanz8A=")</f>
        <v>#REF!</v>
      </c>
      <c r="GL38" t="e">
        <f>AND('BBP complete'!#REF!,"AAAAAHanz8E=")</f>
        <v>#REF!</v>
      </c>
      <c r="GM38" t="e">
        <f>AND('BBP complete'!#REF!,"AAAAAHanz8I=")</f>
        <v>#REF!</v>
      </c>
      <c r="GN38" t="e">
        <f>AND('BBP complete'!K630,"AAAAAHanz8M=")</f>
        <v>#VALUE!</v>
      </c>
      <c r="GO38" t="e">
        <f>AND('BBP complete'!L630,"AAAAAHanz8Q=")</f>
        <v>#VALUE!</v>
      </c>
      <c r="GP38" t="e">
        <f>AND('BBP complete'!M313,"AAAAAHanz8U=")</f>
        <v>#VALUE!</v>
      </c>
      <c r="GQ38" t="e">
        <f>AND('BBP complete'!N313,"AAAAAHanz8Y=")</f>
        <v>#VALUE!</v>
      </c>
      <c r="GR38" t="e">
        <f>AND('BBP complete'!P323,"AAAAAHanz8c=")</f>
        <v>#VALUE!</v>
      </c>
      <c r="GS38" t="e">
        <f>AND('BBP complete'!#REF!,"AAAAAHanz8g=")</f>
        <v>#REF!</v>
      </c>
      <c r="GT38" t="e">
        <f>AND('BBP complete'!#REF!,"AAAAAHanz8k=")</f>
        <v>#REF!</v>
      </c>
      <c r="GU38" t="e">
        <f>AND('BBP complete'!#REF!,"AAAAAHanz8o=")</f>
        <v>#REF!</v>
      </c>
      <c r="GV38" t="e">
        <f>AND('BBP complete'!K631,"AAAAAHanz8s=")</f>
        <v>#VALUE!</v>
      </c>
      <c r="GW38" t="e">
        <f>AND('BBP complete'!L631,"AAAAAHanz8w=")</f>
        <v>#VALUE!</v>
      </c>
      <c r="GX38" t="e">
        <f>AND('BBP complete'!M314,"AAAAAHanz80=")</f>
        <v>#VALUE!</v>
      </c>
      <c r="GY38" t="e">
        <f>AND('BBP complete'!N314,"AAAAAHanz84=")</f>
        <v>#VALUE!</v>
      </c>
      <c r="GZ38" t="e">
        <f>AND('BBP complete'!P324,"AAAAAHanz88=")</f>
        <v>#VALUE!</v>
      </c>
      <c r="HA38" t="e">
        <f>AND('BBP complete'!#REF!,"AAAAAHanz9A=")</f>
        <v>#REF!</v>
      </c>
      <c r="HB38" t="e">
        <f>AND('BBP complete'!#REF!,"AAAAAHanz9E=")</f>
        <v>#REF!</v>
      </c>
      <c r="HC38" t="e">
        <f>AND('BBP complete'!#REF!,"AAAAAHanz9I=")</f>
        <v>#REF!</v>
      </c>
      <c r="HD38" t="e">
        <f>AND('BBP complete'!K632,"AAAAAHanz9M=")</f>
        <v>#VALUE!</v>
      </c>
      <c r="HE38" t="e">
        <f>AND('BBP complete'!L632,"AAAAAHanz9Q=")</f>
        <v>#VALUE!</v>
      </c>
      <c r="HF38" t="e">
        <f>AND('BBP complete'!M315,"AAAAAHanz9U=")</f>
        <v>#VALUE!</v>
      </c>
      <c r="HG38" t="e">
        <f>AND('BBP complete'!N315,"AAAAAHanz9Y=")</f>
        <v>#VALUE!</v>
      </c>
      <c r="HH38" t="e">
        <f>AND('BBP complete'!P325,"AAAAAHanz9c=")</f>
        <v>#VALUE!</v>
      </c>
      <c r="HI38" t="e">
        <f>AND('BBP complete'!#REF!,"AAAAAHanz9g=")</f>
        <v>#REF!</v>
      </c>
      <c r="HJ38" t="e">
        <f>AND('BBP complete'!#REF!,"AAAAAHanz9k=")</f>
        <v>#REF!</v>
      </c>
      <c r="HK38" t="e">
        <f>AND('BBP complete'!#REF!,"AAAAAHanz9o=")</f>
        <v>#REF!</v>
      </c>
      <c r="HL38" t="e">
        <f>AND('BBP complete'!K633,"AAAAAHanz9s=")</f>
        <v>#VALUE!</v>
      </c>
      <c r="HM38" t="e">
        <f>AND('BBP complete'!L633,"AAAAAHanz9w=")</f>
        <v>#VALUE!</v>
      </c>
      <c r="HN38" t="e">
        <f>AND('BBP complete'!M316,"AAAAAHanz90=")</f>
        <v>#VALUE!</v>
      </c>
      <c r="HO38" t="e">
        <f>AND('BBP complete'!N316,"AAAAAHanz94=")</f>
        <v>#VALUE!</v>
      </c>
      <c r="HP38" t="e">
        <f>AND('BBP complete'!P326,"AAAAAHanz98=")</f>
        <v>#VALUE!</v>
      </c>
      <c r="HQ38" t="e">
        <f>AND('BBP complete'!#REF!,"AAAAAHanz+A=")</f>
        <v>#REF!</v>
      </c>
      <c r="HR38" t="e">
        <f>AND('BBP complete'!#REF!,"AAAAAHanz+E=")</f>
        <v>#REF!</v>
      </c>
      <c r="HS38" t="e">
        <f>AND('BBP complete'!#REF!,"AAAAAHanz+I=")</f>
        <v>#REF!</v>
      </c>
      <c r="HT38" t="e">
        <f>AND('BBP complete'!K634,"AAAAAHanz+M=")</f>
        <v>#VALUE!</v>
      </c>
      <c r="HU38" t="e">
        <f>AND('BBP complete'!L634,"AAAAAHanz+Q=")</f>
        <v>#VALUE!</v>
      </c>
      <c r="HV38" t="e">
        <f>AND('BBP complete'!M317,"AAAAAHanz+U=")</f>
        <v>#VALUE!</v>
      </c>
      <c r="HW38" t="e">
        <f>AND('BBP complete'!N317,"AAAAAHanz+Y=")</f>
        <v>#VALUE!</v>
      </c>
      <c r="HX38" t="e">
        <f>AND('BBP complete'!P327,"AAAAAHanz+c=")</f>
        <v>#VALUE!</v>
      </c>
      <c r="HY38" t="e">
        <f>AND('BBP complete'!#REF!,"AAAAAHanz+g=")</f>
        <v>#REF!</v>
      </c>
      <c r="HZ38" t="e">
        <f>AND('BBP complete'!#REF!,"AAAAAHanz+k=")</f>
        <v>#REF!</v>
      </c>
      <c r="IA38" t="e">
        <f>AND('BBP complete'!#REF!,"AAAAAHanz+o=")</f>
        <v>#REF!</v>
      </c>
      <c r="IB38" t="e">
        <f>AND('BBP complete'!K635,"AAAAAHanz+s=")</f>
        <v>#VALUE!</v>
      </c>
      <c r="IC38" t="e">
        <f>AND('BBP complete'!L635,"AAAAAHanz+w=")</f>
        <v>#VALUE!</v>
      </c>
      <c r="ID38" t="e">
        <f>AND('BBP complete'!M319,"AAAAAHanz+0=")</f>
        <v>#VALUE!</v>
      </c>
      <c r="IE38" t="e">
        <f>AND('BBP complete'!N319,"AAAAAHanz+4=")</f>
        <v>#VALUE!</v>
      </c>
      <c r="IF38" t="e">
        <f>AND('BBP complete'!P329,"AAAAAHanz+8=")</f>
        <v>#VALUE!</v>
      </c>
      <c r="IG38" t="e">
        <f>AND('BBP complete'!#REF!,"AAAAAHanz/A=")</f>
        <v>#REF!</v>
      </c>
      <c r="IH38" t="e">
        <f>AND('BBP complete'!#REF!,"AAAAAHanz/E=")</f>
        <v>#REF!</v>
      </c>
      <c r="II38" t="e">
        <f>AND('BBP complete'!#REF!,"AAAAAHanz/I=")</f>
        <v>#REF!</v>
      </c>
      <c r="IJ38" t="e">
        <f>AND('BBP complete'!K636,"AAAAAHanz/M=")</f>
        <v>#VALUE!</v>
      </c>
      <c r="IK38" t="e">
        <f>AND('BBP complete'!L636,"AAAAAHanz/Q=")</f>
        <v>#VALUE!</v>
      </c>
      <c r="IL38" t="e">
        <f>AND('BBP complete'!M320,"AAAAAHanz/U=")</f>
        <v>#VALUE!</v>
      </c>
      <c r="IM38" t="e">
        <f>AND('BBP complete'!N320,"AAAAAHanz/Y=")</f>
        <v>#VALUE!</v>
      </c>
      <c r="IN38" t="e">
        <f>AND('BBP complete'!P330,"AAAAAHanz/c=")</f>
        <v>#VALUE!</v>
      </c>
      <c r="IO38" t="e">
        <f>AND('BBP complete'!#REF!,"AAAAAHanz/g=")</f>
        <v>#REF!</v>
      </c>
      <c r="IP38" t="e">
        <f>AND('BBP complete'!#REF!,"AAAAAHanz/k=")</f>
        <v>#REF!</v>
      </c>
      <c r="IQ38" t="e">
        <f>AND('BBP complete'!#REF!,"AAAAAHanz/o=")</f>
        <v>#REF!</v>
      </c>
      <c r="IR38" t="e">
        <f>AND('BBP complete'!K637,"AAAAAHanz/s=")</f>
        <v>#VALUE!</v>
      </c>
      <c r="IS38" t="e">
        <f>AND('BBP complete'!L637,"AAAAAHanz/w=")</f>
        <v>#VALUE!</v>
      </c>
      <c r="IT38" t="e">
        <f>AND('BBP complete'!M321,"AAAAAHanz/0=")</f>
        <v>#VALUE!</v>
      </c>
      <c r="IU38" t="e">
        <f>AND('BBP complete'!N321,"AAAAAHanz/4=")</f>
        <v>#VALUE!</v>
      </c>
      <c r="IV38" t="e">
        <f>AND('BBP complete'!P331,"AAAAAHanz/8=")</f>
        <v>#VALUE!</v>
      </c>
    </row>
    <row r="39" spans="1:256" ht="15" customHeight="1" x14ac:dyDescent="0.25">
      <c r="A39" t="e">
        <f>AND('BBP complete'!#REF!,"AAAAADaWewA=")</f>
        <v>#REF!</v>
      </c>
      <c r="B39" t="e">
        <f>AND('BBP complete'!#REF!,"AAAAADaWewE=")</f>
        <v>#REF!</v>
      </c>
      <c r="C39" t="e">
        <f>AND('BBP complete'!#REF!,"AAAAADaWewI=")</f>
        <v>#REF!</v>
      </c>
      <c r="D39" t="e">
        <f>AND('BBP complete'!K638,"AAAAADaWewM=")</f>
        <v>#VALUE!</v>
      </c>
      <c r="E39" t="e">
        <f>AND('BBP complete'!L638,"AAAAADaWewQ=")</f>
        <v>#VALUE!</v>
      </c>
      <c r="F39" t="e">
        <f>AND('BBP complete'!M322,"AAAAADaWewU=")</f>
        <v>#VALUE!</v>
      </c>
      <c r="G39" t="e">
        <f>AND('BBP complete'!N322,"AAAAADaWewY=")</f>
        <v>#VALUE!</v>
      </c>
      <c r="H39" t="e">
        <f>AND('BBP complete'!P332,"AAAAADaWewc=")</f>
        <v>#VALUE!</v>
      </c>
      <c r="I39" t="e">
        <f>AND('BBP complete'!#REF!,"AAAAADaWewg=")</f>
        <v>#REF!</v>
      </c>
      <c r="J39" t="e">
        <f>AND('BBP complete'!#REF!,"AAAAADaWewk=")</f>
        <v>#REF!</v>
      </c>
      <c r="K39" t="e">
        <f>AND('BBP complete'!#REF!,"AAAAADaWewo=")</f>
        <v>#REF!</v>
      </c>
      <c r="L39" t="e">
        <f>AND('BBP complete'!K639,"AAAAADaWews=")</f>
        <v>#VALUE!</v>
      </c>
      <c r="M39" t="e">
        <f>AND('BBP complete'!L639,"AAAAADaWeww=")</f>
        <v>#VALUE!</v>
      </c>
      <c r="N39" t="e">
        <f>AND('BBP complete'!M323,"AAAAADaWew0=")</f>
        <v>#VALUE!</v>
      </c>
      <c r="O39" t="e">
        <f>AND('BBP complete'!N323,"AAAAADaWew4=")</f>
        <v>#VALUE!</v>
      </c>
      <c r="P39" t="e">
        <f>AND('BBP complete'!P333,"AAAAADaWew8=")</f>
        <v>#VALUE!</v>
      </c>
      <c r="Q39" t="e">
        <f>AND('BBP complete'!#REF!,"AAAAADaWexA=")</f>
        <v>#REF!</v>
      </c>
      <c r="R39" t="e">
        <f>AND('BBP complete'!#REF!,"AAAAADaWexE=")</f>
        <v>#REF!</v>
      </c>
      <c r="S39" t="e">
        <f>AND('BBP complete'!#REF!,"AAAAADaWexI=")</f>
        <v>#REF!</v>
      </c>
      <c r="T39" t="e">
        <f>AND('BBP complete'!K640,"AAAAADaWexM=")</f>
        <v>#VALUE!</v>
      </c>
      <c r="U39" t="e">
        <f>AND('BBP complete'!L640,"AAAAADaWexQ=")</f>
        <v>#VALUE!</v>
      </c>
      <c r="V39" t="e">
        <f>AND('BBP complete'!M324,"AAAAADaWexU=")</f>
        <v>#VALUE!</v>
      </c>
      <c r="W39" t="e">
        <f>AND('BBP complete'!N324,"AAAAADaWexY=")</f>
        <v>#VALUE!</v>
      </c>
      <c r="X39" t="e">
        <f>AND('BBP complete'!P334,"AAAAADaWexc=")</f>
        <v>#VALUE!</v>
      </c>
      <c r="Y39" t="e">
        <f>AND('BBP complete'!#REF!,"AAAAADaWexg=")</f>
        <v>#REF!</v>
      </c>
      <c r="Z39" t="e">
        <f>AND('BBP complete'!#REF!,"AAAAADaWexk=")</f>
        <v>#REF!</v>
      </c>
      <c r="AA39" t="e">
        <f>AND('BBP complete'!#REF!,"AAAAADaWexo=")</f>
        <v>#REF!</v>
      </c>
      <c r="AB39" t="e">
        <f>AND('BBP complete'!K641,"AAAAADaWexs=")</f>
        <v>#VALUE!</v>
      </c>
      <c r="AC39" t="e">
        <f>AND('BBP complete'!L641,"AAAAADaWexw=")</f>
        <v>#VALUE!</v>
      </c>
      <c r="AD39" t="e">
        <f>AND('BBP complete'!M325,"AAAAADaWex0=")</f>
        <v>#VALUE!</v>
      </c>
      <c r="AE39" t="e">
        <f>AND('BBP complete'!N325,"AAAAADaWex4=")</f>
        <v>#VALUE!</v>
      </c>
      <c r="AF39" t="e">
        <f>AND('BBP complete'!P335,"AAAAADaWex8=")</f>
        <v>#VALUE!</v>
      </c>
      <c r="AG39" t="e">
        <f>AND('BBP complete'!#REF!,"AAAAADaWeyA=")</f>
        <v>#REF!</v>
      </c>
      <c r="AH39" t="e">
        <f>AND('BBP complete'!#REF!,"AAAAADaWeyE=")</f>
        <v>#REF!</v>
      </c>
      <c r="AI39" t="e">
        <f>AND('BBP complete'!#REF!,"AAAAADaWeyI=")</f>
        <v>#REF!</v>
      </c>
      <c r="AJ39" t="e">
        <f>AND('BBP complete'!K642,"AAAAADaWeyM=")</f>
        <v>#VALUE!</v>
      </c>
      <c r="AK39" t="e">
        <f>AND('BBP complete'!L642,"AAAAADaWeyQ=")</f>
        <v>#VALUE!</v>
      </c>
      <c r="AL39" t="e">
        <f>AND('BBP complete'!M326,"AAAAADaWeyU=")</f>
        <v>#VALUE!</v>
      </c>
      <c r="AM39" t="e">
        <f>AND('BBP complete'!N326,"AAAAADaWeyY=")</f>
        <v>#VALUE!</v>
      </c>
      <c r="AN39" t="e">
        <f>AND('BBP complete'!P336,"AAAAADaWeyc=")</f>
        <v>#VALUE!</v>
      </c>
      <c r="AO39" t="e">
        <f>AND('BBP complete'!#REF!,"AAAAADaWeyg=")</f>
        <v>#REF!</v>
      </c>
      <c r="AP39" t="e">
        <f>AND('BBP complete'!#REF!,"AAAAADaWeyk=")</f>
        <v>#REF!</v>
      </c>
      <c r="AQ39" t="e">
        <f>AND('BBP complete'!#REF!,"AAAAADaWeyo=")</f>
        <v>#REF!</v>
      </c>
      <c r="AR39" t="e">
        <f>AND('BBP complete'!K643,"AAAAADaWeys=")</f>
        <v>#VALUE!</v>
      </c>
      <c r="AS39" t="e">
        <f>AND('BBP complete'!L643,"AAAAADaWeyw=")</f>
        <v>#VALUE!</v>
      </c>
      <c r="AT39" t="e">
        <f>AND('BBP complete'!M327,"AAAAADaWey0=")</f>
        <v>#VALUE!</v>
      </c>
      <c r="AU39" t="e">
        <f>AND('BBP complete'!N327,"AAAAADaWey4=")</f>
        <v>#VALUE!</v>
      </c>
      <c r="AV39" t="e">
        <f>AND('BBP complete'!P337,"AAAAADaWey8=")</f>
        <v>#VALUE!</v>
      </c>
      <c r="AW39" t="e">
        <f>AND('BBP complete'!#REF!,"AAAAADaWezA=")</f>
        <v>#REF!</v>
      </c>
      <c r="AX39" t="e">
        <f>AND('BBP complete'!#REF!,"AAAAADaWezE=")</f>
        <v>#REF!</v>
      </c>
      <c r="AY39" t="e">
        <f>AND('BBP complete'!#REF!,"AAAAADaWezI=")</f>
        <v>#REF!</v>
      </c>
      <c r="AZ39" t="e">
        <f>AND('BBP complete'!K644,"AAAAADaWezM=")</f>
        <v>#VALUE!</v>
      </c>
      <c r="BA39" t="e">
        <f>AND('BBP complete'!L644,"AAAAADaWezQ=")</f>
        <v>#VALUE!</v>
      </c>
      <c r="BB39" t="e">
        <f>AND('BBP complete'!M328,"AAAAADaWezU=")</f>
        <v>#VALUE!</v>
      </c>
      <c r="BC39" t="e">
        <f>AND('BBP complete'!N328,"AAAAADaWezY=")</f>
        <v>#VALUE!</v>
      </c>
      <c r="BD39" t="e">
        <f>AND('BBP complete'!P338,"AAAAADaWezc=")</f>
        <v>#VALUE!</v>
      </c>
      <c r="BE39" t="e">
        <f>AND('BBP complete'!#REF!,"AAAAADaWezg=")</f>
        <v>#REF!</v>
      </c>
      <c r="BF39" t="e">
        <f>AND('BBP complete'!#REF!,"AAAAADaWezk=")</f>
        <v>#REF!</v>
      </c>
      <c r="BG39" t="e">
        <f>AND('BBP complete'!#REF!,"AAAAADaWezo=")</f>
        <v>#REF!</v>
      </c>
      <c r="BH39" t="e">
        <f>AND('BBP complete'!K645,"AAAAADaWezs=")</f>
        <v>#VALUE!</v>
      </c>
      <c r="BI39" t="e">
        <f>AND('BBP complete'!L645,"AAAAADaWezw=")</f>
        <v>#VALUE!</v>
      </c>
      <c r="BJ39" t="e">
        <f>AND('BBP complete'!M329,"AAAAADaWez0=")</f>
        <v>#VALUE!</v>
      </c>
      <c r="BK39" t="e">
        <f>AND('BBP complete'!N329,"AAAAADaWez4=")</f>
        <v>#VALUE!</v>
      </c>
      <c r="BL39" t="e">
        <f>AND('BBP complete'!P339,"AAAAADaWez8=")</f>
        <v>#VALUE!</v>
      </c>
      <c r="BM39" t="e">
        <f>AND('BBP complete'!#REF!,"AAAAADaWe0A=")</f>
        <v>#REF!</v>
      </c>
      <c r="BN39" t="e">
        <f>AND('BBP complete'!#REF!,"AAAAADaWe0E=")</f>
        <v>#REF!</v>
      </c>
      <c r="BO39" t="e">
        <f>AND('BBP complete'!#REF!,"AAAAADaWe0I=")</f>
        <v>#REF!</v>
      </c>
      <c r="BP39" t="e">
        <f>AND('BBP complete'!K646,"AAAAADaWe0M=")</f>
        <v>#VALUE!</v>
      </c>
      <c r="BQ39" t="e">
        <f>AND('BBP complete'!L646,"AAAAADaWe0Q=")</f>
        <v>#VALUE!</v>
      </c>
      <c r="BR39" t="e">
        <f>AND('BBP complete'!M330,"AAAAADaWe0U=")</f>
        <v>#VALUE!</v>
      </c>
      <c r="BS39" t="e">
        <f>AND('BBP complete'!N330,"AAAAADaWe0Y=")</f>
        <v>#VALUE!</v>
      </c>
      <c r="BT39" t="e">
        <f>AND('BBP complete'!P340,"AAAAADaWe0c=")</f>
        <v>#VALUE!</v>
      </c>
      <c r="BU39" t="e">
        <f>AND('BBP complete'!#REF!,"AAAAADaWe0g=")</f>
        <v>#REF!</v>
      </c>
      <c r="BV39" t="e">
        <f>AND('BBP complete'!#REF!,"AAAAADaWe0k=")</f>
        <v>#REF!</v>
      </c>
      <c r="BW39" t="e">
        <f>AND('BBP complete'!#REF!,"AAAAADaWe0o=")</f>
        <v>#REF!</v>
      </c>
      <c r="BX39" t="e">
        <f>AND('BBP complete'!K647,"AAAAADaWe0s=")</f>
        <v>#VALUE!</v>
      </c>
      <c r="BY39" t="e">
        <f>AND('BBP complete'!L647,"AAAAADaWe0w=")</f>
        <v>#VALUE!</v>
      </c>
      <c r="BZ39" t="e">
        <f>AND('BBP complete'!M331,"AAAAADaWe00=")</f>
        <v>#VALUE!</v>
      </c>
      <c r="CA39" t="e">
        <f>AND('BBP complete'!N331,"AAAAADaWe04=")</f>
        <v>#VALUE!</v>
      </c>
      <c r="CB39" t="e">
        <f>AND('BBP complete'!P341,"AAAAADaWe08=")</f>
        <v>#VALUE!</v>
      </c>
      <c r="CC39" t="e">
        <f>AND('BBP complete'!#REF!,"AAAAADaWe1A=")</f>
        <v>#REF!</v>
      </c>
      <c r="CD39" t="e">
        <f>AND('BBP complete'!#REF!,"AAAAADaWe1E=")</f>
        <v>#REF!</v>
      </c>
      <c r="CE39" t="e">
        <f>AND('BBP complete'!#REF!,"AAAAADaWe1I=")</f>
        <v>#REF!</v>
      </c>
      <c r="CF39" t="e">
        <f>AND('BBP complete'!K648,"AAAAADaWe1M=")</f>
        <v>#VALUE!</v>
      </c>
      <c r="CG39" t="e">
        <f>AND('BBP complete'!L648,"AAAAADaWe1Q=")</f>
        <v>#VALUE!</v>
      </c>
      <c r="CH39" t="e">
        <f>AND('BBP complete'!M332,"AAAAADaWe1U=")</f>
        <v>#VALUE!</v>
      </c>
      <c r="CI39" t="e">
        <f>AND('BBP complete'!N332,"AAAAADaWe1Y=")</f>
        <v>#VALUE!</v>
      </c>
      <c r="CJ39" t="e">
        <f>AND('BBP complete'!P342,"AAAAADaWe1c=")</f>
        <v>#VALUE!</v>
      </c>
      <c r="CK39" t="e">
        <f>AND('BBP complete'!#REF!,"AAAAADaWe1g=")</f>
        <v>#REF!</v>
      </c>
      <c r="CL39" t="e">
        <f>AND('BBP complete'!#REF!,"AAAAADaWe1k=")</f>
        <v>#REF!</v>
      </c>
      <c r="CM39" t="e">
        <f>AND('BBP complete'!#REF!,"AAAAADaWe1o=")</f>
        <v>#REF!</v>
      </c>
      <c r="CN39" t="e">
        <f>AND('BBP complete'!K649,"AAAAADaWe1s=")</f>
        <v>#VALUE!</v>
      </c>
      <c r="CO39" t="e">
        <f>AND('BBP complete'!L649,"AAAAADaWe1w=")</f>
        <v>#VALUE!</v>
      </c>
      <c r="CP39" t="e">
        <f>AND('BBP complete'!M333,"AAAAADaWe10=")</f>
        <v>#VALUE!</v>
      </c>
      <c r="CQ39" t="e">
        <f>AND('BBP complete'!N333,"AAAAADaWe14=")</f>
        <v>#VALUE!</v>
      </c>
      <c r="CR39" t="e">
        <f>AND('BBP complete'!P343,"AAAAADaWe18=")</f>
        <v>#VALUE!</v>
      </c>
      <c r="CS39" t="e">
        <f>AND('BBP complete'!#REF!,"AAAAADaWe2A=")</f>
        <v>#REF!</v>
      </c>
      <c r="CT39" t="e">
        <f>AND('BBP complete'!#REF!,"AAAAADaWe2E=")</f>
        <v>#REF!</v>
      </c>
      <c r="CU39" t="e">
        <f>AND('BBP complete'!#REF!,"AAAAADaWe2I=")</f>
        <v>#REF!</v>
      </c>
      <c r="CV39" t="e">
        <f>AND('BBP complete'!K650,"AAAAADaWe2M=")</f>
        <v>#VALUE!</v>
      </c>
      <c r="CW39" t="e">
        <f>AND('BBP complete'!L650,"AAAAADaWe2Q=")</f>
        <v>#VALUE!</v>
      </c>
      <c r="CX39" t="e">
        <f>AND('BBP complete'!M334,"AAAAADaWe2U=")</f>
        <v>#VALUE!</v>
      </c>
      <c r="CY39" t="e">
        <f>AND('BBP complete'!N334,"AAAAADaWe2Y=")</f>
        <v>#VALUE!</v>
      </c>
      <c r="CZ39" t="e">
        <f>AND('BBP complete'!P344,"AAAAADaWe2c=")</f>
        <v>#VALUE!</v>
      </c>
      <c r="DA39" t="e">
        <f>AND('BBP complete'!#REF!,"AAAAADaWe2g=")</f>
        <v>#REF!</v>
      </c>
      <c r="DB39" t="e">
        <f>AND('BBP complete'!#REF!,"AAAAADaWe2k=")</f>
        <v>#REF!</v>
      </c>
      <c r="DC39" t="e">
        <f>AND('BBP complete'!#REF!,"AAAAADaWe2o=")</f>
        <v>#REF!</v>
      </c>
      <c r="DD39" t="e">
        <f>AND('BBP complete'!K651,"AAAAADaWe2s=")</f>
        <v>#VALUE!</v>
      </c>
      <c r="DE39" t="e">
        <f>AND('BBP complete'!L651,"AAAAADaWe2w=")</f>
        <v>#VALUE!</v>
      </c>
      <c r="DF39" t="e">
        <f>AND('BBP complete'!M335,"AAAAADaWe20=")</f>
        <v>#VALUE!</v>
      </c>
      <c r="DG39" t="e">
        <f>AND('BBP complete'!N335,"AAAAADaWe24=")</f>
        <v>#VALUE!</v>
      </c>
      <c r="DH39" t="e">
        <f>AND('BBP complete'!P345,"AAAAADaWe28=")</f>
        <v>#VALUE!</v>
      </c>
      <c r="DI39" t="e">
        <f>AND('BBP complete'!#REF!,"AAAAADaWe3A=")</f>
        <v>#REF!</v>
      </c>
      <c r="DJ39" t="e">
        <f>AND('BBP complete'!#REF!,"AAAAADaWe3E=")</f>
        <v>#REF!</v>
      </c>
      <c r="DK39" t="e">
        <f>AND('BBP complete'!#REF!,"AAAAADaWe3I=")</f>
        <v>#REF!</v>
      </c>
      <c r="DL39" t="e">
        <f>AND('BBP complete'!K652,"AAAAADaWe3M=")</f>
        <v>#VALUE!</v>
      </c>
      <c r="DM39" t="e">
        <f>AND('BBP complete'!L652,"AAAAADaWe3Q=")</f>
        <v>#VALUE!</v>
      </c>
      <c r="DN39" t="e">
        <f>AND('BBP complete'!M336,"AAAAADaWe3U=")</f>
        <v>#VALUE!</v>
      </c>
      <c r="DO39" t="e">
        <f>AND('BBP complete'!N336,"AAAAADaWe3Y=")</f>
        <v>#VALUE!</v>
      </c>
      <c r="DP39" t="e">
        <f>AND('BBP complete'!P346,"AAAAADaWe3c=")</f>
        <v>#VALUE!</v>
      </c>
      <c r="DQ39" t="e">
        <f>AND('BBP complete'!#REF!,"AAAAADaWe3g=")</f>
        <v>#REF!</v>
      </c>
      <c r="DR39" t="e">
        <f>AND('BBP complete'!#REF!,"AAAAADaWe3k=")</f>
        <v>#REF!</v>
      </c>
      <c r="DS39" t="e">
        <f>AND('BBP complete'!#REF!,"AAAAADaWe3o=")</f>
        <v>#REF!</v>
      </c>
      <c r="DT39" t="e">
        <f>AND('BBP complete'!K653,"AAAAADaWe3s=")</f>
        <v>#VALUE!</v>
      </c>
      <c r="DU39" t="e">
        <f>AND('BBP complete'!L653,"AAAAADaWe3w=")</f>
        <v>#VALUE!</v>
      </c>
      <c r="DV39" t="e">
        <f>AND('BBP complete'!M337,"AAAAADaWe30=")</f>
        <v>#VALUE!</v>
      </c>
      <c r="DW39" t="e">
        <f>AND('BBP complete'!N337,"AAAAADaWe34=")</f>
        <v>#VALUE!</v>
      </c>
      <c r="DX39" t="e">
        <f>AND('BBP complete'!P347,"AAAAADaWe38=")</f>
        <v>#VALUE!</v>
      </c>
      <c r="DY39" t="e">
        <f>AND('BBP complete'!#REF!,"AAAAADaWe4A=")</f>
        <v>#REF!</v>
      </c>
      <c r="DZ39" t="e">
        <f>AND('BBP complete'!#REF!,"AAAAADaWe4E=")</f>
        <v>#REF!</v>
      </c>
      <c r="EA39" t="e">
        <f>AND('BBP complete'!#REF!,"AAAAADaWe4I=")</f>
        <v>#REF!</v>
      </c>
      <c r="EB39" t="e">
        <f>AND('BBP complete'!K654,"AAAAADaWe4M=")</f>
        <v>#VALUE!</v>
      </c>
      <c r="EC39" t="e">
        <f>AND('BBP complete'!L654,"AAAAADaWe4Q=")</f>
        <v>#VALUE!</v>
      </c>
      <c r="ED39" t="e">
        <f>AND('BBP complete'!M338,"AAAAADaWe4U=")</f>
        <v>#VALUE!</v>
      </c>
      <c r="EE39" t="e">
        <f>AND('BBP complete'!N338,"AAAAADaWe4Y=")</f>
        <v>#VALUE!</v>
      </c>
      <c r="EF39" t="e">
        <f>AND('BBP complete'!P348,"AAAAADaWe4c=")</f>
        <v>#VALUE!</v>
      </c>
      <c r="EG39" t="e">
        <f>AND('BBP complete'!#REF!,"AAAAADaWe4g=")</f>
        <v>#REF!</v>
      </c>
      <c r="EH39" t="e">
        <f>AND('BBP complete'!#REF!,"AAAAADaWe4k=")</f>
        <v>#REF!</v>
      </c>
      <c r="EI39" t="e">
        <f>AND('BBP complete'!#REF!,"AAAAADaWe4o=")</f>
        <v>#REF!</v>
      </c>
      <c r="EJ39" t="e">
        <f>AND('BBP complete'!M339,"AAAAADaWe4s=")</f>
        <v>#VALUE!</v>
      </c>
      <c r="EK39" t="e">
        <f>AND('BBP complete'!#REF!,"AAAAADaWe4w=")</f>
        <v>#REF!</v>
      </c>
      <c r="EL39" t="e">
        <f>AND('BBP complete'!#REF!,"AAAAADaWe40=")</f>
        <v>#REF!</v>
      </c>
      <c r="EM39" t="e">
        <f>AND('BBP complete'!#REF!,"AAAAADaWe44=")</f>
        <v>#REF!</v>
      </c>
      <c r="EN39" t="e">
        <f>AND('BBP complete'!P349,"AAAAADaWe48=")</f>
        <v>#VALUE!</v>
      </c>
      <c r="EO39" t="e">
        <f>AND('BBP complete'!#REF!,"AAAAADaWe5A=")</f>
        <v>#REF!</v>
      </c>
      <c r="EP39" t="e">
        <f>AND('BBP complete'!#REF!,"AAAAADaWe5E=")</f>
        <v>#REF!</v>
      </c>
      <c r="EQ39" t="e">
        <f>AND('BBP complete'!#REF!,"AAAAADaWe5I=")</f>
        <v>#REF!</v>
      </c>
      <c r="ER39" t="e">
        <f>AND('BBP complete'!#REF!,"AAAAADaWe5M=")</f>
        <v>#REF!</v>
      </c>
      <c r="ES39" t="e">
        <f>AND('BBP complete'!L655,"AAAAADaWe5Q=")</f>
        <v>#VALUE!</v>
      </c>
      <c r="ET39" t="e">
        <f>AND('BBP complete'!#REF!,"AAAAADaWe5U=")</f>
        <v>#REF!</v>
      </c>
      <c r="EU39" t="e">
        <f>AND('BBP complete'!N339,"AAAAADaWe5Y=")</f>
        <v>#VALUE!</v>
      </c>
      <c r="EV39" t="e">
        <f>AND('BBP complete'!P350,"AAAAADaWe5c=")</f>
        <v>#VALUE!</v>
      </c>
      <c r="EW39" t="e">
        <f>AND('BBP complete'!#REF!,"AAAAADaWe5g=")</f>
        <v>#REF!</v>
      </c>
      <c r="EX39" t="e">
        <f>AND('BBP complete'!#REF!,"AAAAADaWe5k=")</f>
        <v>#REF!</v>
      </c>
      <c r="EY39" t="e">
        <f>AND('BBP complete'!#REF!,"AAAAADaWe5o=")</f>
        <v>#REF!</v>
      </c>
      <c r="EZ39" t="e">
        <f>AND('BBP complete'!M340,"AAAAADaWe5s=")</f>
        <v>#VALUE!</v>
      </c>
      <c r="FA39" t="e">
        <f>AND('BBP complete'!L656,"AAAAADaWe5w=")</f>
        <v>#VALUE!</v>
      </c>
      <c r="FB39" t="e">
        <f>AND('BBP complete'!#REF!,"AAAAADaWe50=")</f>
        <v>#REF!</v>
      </c>
      <c r="FC39" t="e">
        <f>AND('BBP complete'!#REF!,"AAAAADaWe54=")</f>
        <v>#REF!</v>
      </c>
      <c r="FD39" t="e">
        <f>AND('BBP complete'!P351,"AAAAADaWe58=")</f>
        <v>#VALUE!</v>
      </c>
      <c r="FE39" t="e">
        <f>AND('BBP complete'!#REF!,"AAAAADaWe6A=")</f>
        <v>#REF!</v>
      </c>
      <c r="FF39" t="e">
        <f>AND('BBP complete'!#REF!,"AAAAADaWe6E=")</f>
        <v>#REF!</v>
      </c>
      <c r="FG39" t="e">
        <f>AND('BBP complete'!#REF!,"AAAAADaWe6I=")</f>
        <v>#REF!</v>
      </c>
      <c r="FH39" t="e">
        <f>AND('BBP complete'!#REF!,"AAAAADaWe6M=")</f>
        <v>#REF!</v>
      </c>
      <c r="FI39" t="e">
        <f>AND('BBP complete'!L657,"AAAAADaWe6Q=")</f>
        <v>#VALUE!</v>
      </c>
      <c r="FJ39" t="e">
        <f>AND('BBP complete'!#REF!,"AAAAADaWe6U=")</f>
        <v>#REF!</v>
      </c>
      <c r="FK39" t="e">
        <f>AND('BBP complete'!N340,"AAAAADaWe6Y=")</f>
        <v>#VALUE!</v>
      </c>
      <c r="FL39" t="e">
        <f>AND('BBP complete'!P352,"AAAAADaWe6c=")</f>
        <v>#VALUE!</v>
      </c>
      <c r="FM39" t="e">
        <f>AND('BBP complete'!#REF!,"AAAAADaWe6g=")</f>
        <v>#REF!</v>
      </c>
      <c r="FN39" t="e">
        <f>AND('BBP complete'!#REF!,"AAAAADaWe6k=")</f>
        <v>#REF!</v>
      </c>
      <c r="FO39" t="e">
        <f>AND('BBP complete'!#REF!,"AAAAADaWe6o=")</f>
        <v>#REF!</v>
      </c>
      <c r="FP39" t="e">
        <f>AND('BBP complete'!M341,"AAAAADaWe6s=")</f>
        <v>#VALUE!</v>
      </c>
      <c r="FQ39" t="e">
        <f>AND('BBP complete'!L658,"AAAAADaWe6w=")</f>
        <v>#VALUE!</v>
      </c>
      <c r="FR39" t="e">
        <f>AND('BBP complete'!#REF!,"AAAAADaWe60=")</f>
        <v>#REF!</v>
      </c>
      <c r="FS39" t="e">
        <f>AND('BBP complete'!#REF!,"AAAAADaWe64=")</f>
        <v>#REF!</v>
      </c>
      <c r="FT39" t="e">
        <f>AND('BBP complete'!P353,"AAAAADaWe68=")</f>
        <v>#VALUE!</v>
      </c>
      <c r="FU39" t="e">
        <f>AND('BBP complete'!#REF!,"AAAAADaWe7A=")</f>
        <v>#REF!</v>
      </c>
      <c r="FV39" t="e">
        <f>AND('BBP complete'!#REF!,"AAAAADaWe7E=")</f>
        <v>#REF!</v>
      </c>
      <c r="FW39" t="e">
        <f>AND('BBP complete'!#REF!,"AAAAADaWe7I=")</f>
        <v>#REF!</v>
      </c>
      <c r="FX39" t="e">
        <f>AND('BBP complete'!#REF!,"AAAAADaWe7M=")</f>
        <v>#REF!</v>
      </c>
      <c r="FY39" t="e">
        <f>AND('BBP complete'!L659,"AAAAADaWe7Q=")</f>
        <v>#VALUE!</v>
      </c>
      <c r="FZ39" t="e">
        <f>AND('BBP complete'!#REF!,"AAAAADaWe7U=")</f>
        <v>#REF!</v>
      </c>
      <c r="GA39" t="e">
        <f>AND('BBP complete'!N341,"AAAAADaWe7Y=")</f>
        <v>#VALUE!</v>
      </c>
      <c r="GB39" t="e">
        <f>AND('BBP complete'!P354,"AAAAADaWe7c=")</f>
        <v>#VALUE!</v>
      </c>
      <c r="GC39" t="e">
        <f>AND('BBP complete'!#REF!,"AAAAADaWe7g=")</f>
        <v>#REF!</v>
      </c>
      <c r="GD39" t="e">
        <f>AND('BBP complete'!#REF!,"AAAAADaWe7k=")</f>
        <v>#REF!</v>
      </c>
      <c r="GE39" t="e">
        <f>AND('BBP complete'!#REF!,"AAAAADaWe7o=")</f>
        <v>#REF!</v>
      </c>
      <c r="GF39" t="e">
        <f>AND('BBP complete'!M342,"AAAAADaWe7s=")</f>
        <v>#VALUE!</v>
      </c>
      <c r="GG39" t="e">
        <f>AND('BBP complete'!L660,"AAAAADaWe7w=")</f>
        <v>#VALUE!</v>
      </c>
      <c r="GH39" t="e">
        <f>AND('BBP complete'!#REF!,"AAAAADaWe70=")</f>
        <v>#REF!</v>
      </c>
      <c r="GI39" t="e">
        <f>AND('BBP complete'!#REF!,"AAAAADaWe74=")</f>
        <v>#REF!</v>
      </c>
      <c r="GJ39" t="e">
        <f>AND('BBP complete'!P355,"AAAAADaWe78=")</f>
        <v>#VALUE!</v>
      </c>
      <c r="GK39" t="e">
        <f>AND('BBP complete'!#REF!,"AAAAADaWe8A=")</f>
        <v>#REF!</v>
      </c>
      <c r="GL39" t="e">
        <f>AND('BBP complete'!#REF!,"AAAAADaWe8E=")</f>
        <v>#REF!</v>
      </c>
      <c r="GM39" t="e">
        <f>AND('BBP complete'!#REF!,"AAAAADaWe8I=")</f>
        <v>#REF!</v>
      </c>
      <c r="GN39" t="e">
        <f>AND('BBP complete'!#REF!,"AAAAADaWe8M=")</f>
        <v>#REF!</v>
      </c>
      <c r="GO39" t="e">
        <f>AND('BBP complete'!L661,"AAAAADaWe8Q=")</f>
        <v>#VALUE!</v>
      </c>
      <c r="GP39" t="e">
        <f>AND('BBP complete'!#REF!,"AAAAADaWe8U=")</f>
        <v>#REF!</v>
      </c>
      <c r="GQ39" t="e">
        <f>AND('BBP complete'!N342,"AAAAADaWe8Y=")</f>
        <v>#VALUE!</v>
      </c>
      <c r="GR39" t="e">
        <f>AND('BBP complete'!P356,"AAAAADaWe8c=")</f>
        <v>#VALUE!</v>
      </c>
      <c r="GS39" t="e">
        <f>AND('BBP complete'!#REF!,"AAAAADaWe8g=")</f>
        <v>#REF!</v>
      </c>
      <c r="GT39" t="e">
        <f>AND('BBP complete'!#REF!,"AAAAADaWe8k=")</f>
        <v>#REF!</v>
      </c>
      <c r="GU39" t="e">
        <f>AND('BBP complete'!#REF!,"AAAAADaWe8o=")</f>
        <v>#REF!</v>
      </c>
      <c r="GV39" t="e">
        <f>AND('BBP complete'!#REF!,"AAAAADaWe8s=")</f>
        <v>#REF!</v>
      </c>
      <c r="GW39" t="e">
        <f>AND('BBP complete'!#REF!,"AAAAADaWe8w=")</f>
        <v>#REF!</v>
      </c>
      <c r="GX39" t="e">
        <f>AND('BBP complete'!#REF!,"AAAAADaWe80=")</f>
        <v>#REF!</v>
      </c>
      <c r="GY39" t="e">
        <f>AND('BBP complete'!N343,"AAAAADaWe84=")</f>
        <v>#VALUE!</v>
      </c>
      <c r="GZ39" t="e">
        <f>AND('BBP complete'!P358,"AAAAADaWe88=")</f>
        <v>#VALUE!</v>
      </c>
      <c r="HA39" t="e">
        <f>AND('BBP complete'!#REF!,"AAAAADaWe9A=")</f>
        <v>#REF!</v>
      </c>
      <c r="HB39" t="e">
        <f>AND('BBP complete'!#REF!,"AAAAADaWe9E=")</f>
        <v>#REF!</v>
      </c>
      <c r="HC39" t="e">
        <f>AND('BBP complete'!#REF!,"AAAAADaWe9I=")</f>
        <v>#REF!</v>
      </c>
      <c r="HD39" t="e">
        <f>AND('BBP complete'!M344,"AAAAADaWe9M=")</f>
        <v>#VALUE!</v>
      </c>
      <c r="HE39" t="e">
        <f>AND('BBP complete'!#REF!,"AAAAADaWe9Q=")</f>
        <v>#REF!</v>
      </c>
      <c r="HF39" t="e">
        <f>AND('BBP complete'!#REF!,"AAAAADaWe9U=")</f>
        <v>#REF!</v>
      </c>
      <c r="HG39" t="e">
        <f>AND('BBP complete'!#REF!,"AAAAADaWe9Y=")</f>
        <v>#REF!</v>
      </c>
      <c r="HH39" t="e">
        <f>AND('BBP complete'!P359,"AAAAADaWe9c=")</f>
        <v>#VALUE!</v>
      </c>
      <c r="HI39" t="e">
        <f>AND('BBP complete'!#REF!,"AAAAADaWe9g=")</f>
        <v>#REF!</v>
      </c>
      <c r="HJ39" t="e">
        <f>AND('BBP complete'!#REF!,"AAAAADaWe9k=")</f>
        <v>#REF!</v>
      </c>
      <c r="HK39" t="e">
        <f>AND('BBP complete'!#REF!,"AAAAADaWe9o=")</f>
        <v>#REF!</v>
      </c>
      <c r="HL39" t="e">
        <f>AND('BBP complete'!M345,"AAAAADaWe9s=")</f>
        <v>#VALUE!</v>
      </c>
      <c r="HM39" t="e">
        <f>AND('BBP complete'!L4,"AAAAADaWe9w=")</f>
        <v>#VALUE!</v>
      </c>
      <c r="HN39" t="e">
        <f>AND('BBP complete'!#REF!,"AAAAADaWe90=")</f>
        <v>#REF!</v>
      </c>
      <c r="HO39" t="e">
        <f>AND('BBP complete'!#REF!,"AAAAADaWe94=")</f>
        <v>#REF!</v>
      </c>
      <c r="HP39" t="e">
        <f>AND('BBP complete'!P361,"AAAAADaWe98=")</f>
        <v>#VALUE!</v>
      </c>
      <c r="HQ39" t="e">
        <f>AND('BBP complete'!#REF!,"AAAAADaWe+A=")</f>
        <v>#REF!</v>
      </c>
      <c r="HR39" t="e">
        <f>AND('BBP complete'!#REF!,"AAAAADaWe+E=")</f>
        <v>#REF!</v>
      </c>
      <c r="HS39" t="e">
        <f>AND('BBP complete'!#REF!,"AAAAADaWe+I=")</f>
        <v>#REF!</v>
      </c>
      <c r="HT39" t="e">
        <f>AND('BBP complete'!K6,"AAAAADaWe+M=")</f>
        <v>#VALUE!</v>
      </c>
      <c r="HU39" t="e">
        <f>AND('BBP complete'!L5,"AAAAADaWe+Q=")</f>
        <v>#VALUE!</v>
      </c>
      <c r="HV39" t="e">
        <f>AND('BBP complete'!#REF!,"AAAAADaWe+U=")</f>
        <v>#REF!</v>
      </c>
      <c r="HW39" t="e">
        <f>AND('BBP complete'!N345,"AAAAADaWe+Y=")</f>
        <v>#VALUE!</v>
      </c>
      <c r="HX39" t="e">
        <f>AND('BBP complete'!P362,"AAAAADaWe+c=")</f>
        <v>#VALUE!</v>
      </c>
      <c r="HY39" t="e">
        <f>AND('BBP complete'!#REF!,"AAAAADaWe+g=")</f>
        <v>#REF!</v>
      </c>
      <c r="HZ39" t="e">
        <f>AND('BBP complete'!#REF!,"AAAAADaWe+k=")</f>
        <v>#REF!</v>
      </c>
      <c r="IA39" t="e">
        <f>AND('BBP complete'!#REF!,"AAAAADaWe+o=")</f>
        <v>#REF!</v>
      </c>
      <c r="IB39" t="e">
        <f>AND('BBP complete'!K7,"AAAAADaWe+s=")</f>
        <v>#VALUE!</v>
      </c>
      <c r="IC39" t="e">
        <f>AND('BBP complete'!L7,"AAAAADaWe+w=")</f>
        <v>#VALUE!</v>
      </c>
      <c r="ID39" t="e">
        <f>AND('BBP complete'!M353,"AAAAADaWe+0=")</f>
        <v>#VALUE!</v>
      </c>
      <c r="IE39" t="e">
        <f>AND('BBP complete'!N353,"AAAAADaWe+4=")</f>
        <v>#VALUE!</v>
      </c>
      <c r="IF39" t="e">
        <f>AND('BBP complete'!P363,"AAAAADaWe+8=")</f>
        <v>#VALUE!</v>
      </c>
      <c r="IG39" t="e">
        <f>AND('BBP complete'!#REF!,"AAAAADaWe/A=")</f>
        <v>#REF!</v>
      </c>
      <c r="IH39" t="e">
        <f>AND('BBP complete'!#REF!,"AAAAADaWe/E=")</f>
        <v>#REF!</v>
      </c>
      <c r="II39" t="e">
        <f>AND('BBP complete'!#REF!,"AAAAADaWe/I=")</f>
        <v>#REF!</v>
      </c>
      <c r="IJ39" t="e">
        <f>AND('BBP complete'!K8,"AAAAADaWe/M=")</f>
        <v>#VALUE!</v>
      </c>
      <c r="IK39" t="e">
        <f>AND('BBP complete'!L8,"AAAAADaWe/Q=")</f>
        <v>#VALUE!</v>
      </c>
      <c r="IL39" t="e">
        <f>AND('BBP complete'!M354,"AAAAADaWe/U=")</f>
        <v>#VALUE!</v>
      </c>
      <c r="IM39" t="e">
        <f>AND('BBP complete'!N354,"AAAAADaWe/Y=")</f>
        <v>#VALUE!</v>
      </c>
      <c r="IN39" t="e">
        <f>AND('BBP complete'!P364,"AAAAADaWe/c=")</f>
        <v>#VALUE!</v>
      </c>
      <c r="IO39" t="e">
        <f>AND('BBP complete'!#REF!,"AAAAADaWe/g=")</f>
        <v>#REF!</v>
      </c>
      <c r="IP39" t="e">
        <f>AND('BBP complete'!#REF!,"AAAAADaWe/k=")</f>
        <v>#REF!</v>
      </c>
      <c r="IQ39" t="e">
        <f>AND('BBP complete'!#REF!,"AAAAADaWe/o=")</f>
        <v>#REF!</v>
      </c>
      <c r="IR39" t="e">
        <f>AND('BBP complete'!K9,"AAAAADaWe/s=")</f>
        <v>#VALUE!</v>
      </c>
      <c r="IS39" t="e">
        <f>AND('BBP complete'!L9,"AAAAADaWe/w=")</f>
        <v>#VALUE!</v>
      </c>
      <c r="IT39" t="e">
        <f>AND('BBP complete'!M355,"AAAAADaWe/0=")</f>
        <v>#VALUE!</v>
      </c>
      <c r="IU39" t="e">
        <f>AND('BBP complete'!N355,"AAAAADaWe/4=")</f>
        <v>#VALUE!</v>
      </c>
      <c r="IV39" t="e">
        <f>AND('BBP complete'!P365,"AAAAADaWe/8=")</f>
        <v>#VALUE!</v>
      </c>
    </row>
    <row r="40" spans="1:256" ht="15" customHeight="1" x14ac:dyDescent="0.25">
      <c r="A40" t="e">
        <f>AND('BBP complete'!#REF!,"AAAAAFNz3gA=")</f>
        <v>#REF!</v>
      </c>
      <c r="B40" t="e">
        <f>AND('BBP complete'!#REF!,"AAAAAFNz3gE=")</f>
        <v>#REF!</v>
      </c>
      <c r="C40" t="e">
        <f>AND('BBP complete'!#REF!,"AAAAAFNz3gI=")</f>
        <v>#REF!</v>
      </c>
      <c r="D40" t="e">
        <f>AND('BBP complete'!K10,"AAAAAFNz3gM=")</f>
        <v>#VALUE!</v>
      </c>
      <c r="E40" t="e">
        <f>AND('BBP complete'!L10,"AAAAAFNz3gQ=")</f>
        <v>#VALUE!</v>
      </c>
      <c r="F40" t="e">
        <f>AND('BBP complete'!M356,"AAAAAFNz3gU=")</f>
        <v>#VALUE!</v>
      </c>
      <c r="G40" t="e">
        <f>AND('BBP complete'!N356,"AAAAAFNz3gY=")</f>
        <v>#VALUE!</v>
      </c>
      <c r="H40" t="e">
        <f>AND('BBP complete'!P366,"AAAAAFNz3gc=")</f>
        <v>#VALUE!</v>
      </c>
      <c r="I40" t="e">
        <f>AND('BBP complete'!#REF!,"AAAAAFNz3gg=")</f>
        <v>#REF!</v>
      </c>
      <c r="J40" t="e">
        <f>AND('BBP complete'!#REF!,"AAAAAFNz3gk=")</f>
        <v>#REF!</v>
      </c>
      <c r="K40" t="e">
        <f>AND('BBP complete'!#REF!,"AAAAAFNz3go=")</f>
        <v>#REF!</v>
      </c>
      <c r="L40" t="e">
        <f>AND('BBP complete'!K12,"AAAAAFNz3gs=")</f>
        <v>#VALUE!</v>
      </c>
      <c r="M40" t="e">
        <f>AND('BBP complete'!L12,"AAAAAFNz3gw=")</f>
        <v>#VALUE!</v>
      </c>
      <c r="N40" t="e">
        <f>AND('BBP complete'!M358,"AAAAAFNz3g0=")</f>
        <v>#VALUE!</v>
      </c>
      <c r="O40" t="e">
        <f>AND('BBP complete'!N358,"AAAAAFNz3g4=")</f>
        <v>#VALUE!</v>
      </c>
      <c r="P40" t="e">
        <f>AND('BBP complete'!P368,"AAAAAFNz3g8=")</f>
        <v>#VALUE!</v>
      </c>
      <c r="Q40" t="e">
        <f>AND('BBP complete'!#REF!,"AAAAAFNz3hA=")</f>
        <v>#REF!</v>
      </c>
      <c r="R40" t="e">
        <f>AND('BBP complete'!#REF!,"AAAAAFNz3hE=")</f>
        <v>#REF!</v>
      </c>
      <c r="S40" t="e">
        <f>AND('BBP complete'!#REF!,"AAAAAFNz3hI=")</f>
        <v>#REF!</v>
      </c>
      <c r="T40" t="e">
        <f>AND('BBP complete'!K13,"AAAAAFNz3hM=")</f>
        <v>#VALUE!</v>
      </c>
      <c r="U40" t="e">
        <f>AND('BBP complete'!L13,"AAAAAFNz3hQ=")</f>
        <v>#VALUE!</v>
      </c>
      <c r="V40" t="e">
        <f>AND('BBP complete'!M359,"AAAAAFNz3hU=")</f>
        <v>#VALUE!</v>
      </c>
      <c r="W40" t="e">
        <f>AND('BBP complete'!N359,"AAAAAFNz3hY=")</f>
        <v>#VALUE!</v>
      </c>
      <c r="X40" t="e">
        <f>AND('BBP complete'!P369,"AAAAAFNz3hc=")</f>
        <v>#VALUE!</v>
      </c>
      <c r="Y40" t="e">
        <f>AND('BBP complete'!#REF!,"AAAAAFNz3hg=")</f>
        <v>#REF!</v>
      </c>
      <c r="Z40" t="e">
        <f>AND('BBP complete'!#REF!,"AAAAAFNz3hk=")</f>
        <v>#REF!</v>
      </c>
      <c r="AA40" t="e">
        <f>AND('BBP complete'!#REF!,"AAAAAFNz3ho=")</f>
        <v>#REF!</v>
      </c>
      <c r="AB40" t="e">
        <f>AND('BBP complete'!K14,"AAAAAFNz3hs=")</f>
        <v>#VALUE!</v>
      </c>
      <c r="AC40" t="e">
        <f>AND('BBP complete'!L14,"AAAAAFNz3hw=")</f>
        <v>#VALUE!</v>
      </c>
      <c r="AD40" t="e">
        <f>AND('BBP complete'!M360,"AAAAAFNz3h0=")</f>
        <v>#VALUE!</v>
      </c>
      <c r="AE40" t="e">
        <f>AND('BBP complete'!N360,"AAAAAFNz3h4=")</f>
        <v>#VALUE!</v>
      </c>
      <c r="AF40" t="e">
        <f>AND('BBP complete'!P370,"AAAAAFNz3h8=")</f>
        <v>#VALUE!</v>
      </c>
      <c r="AG40" t="e">
        <f>AND('BBP complete'!#REF!,"AAAAAFNz3iA=")</f>
        <v>#REF!</v>
      </c>
      <c r="AH40" t="e">
        <f>AND('BBP complete'!#REF!,"AAAAAFNz3iE=")</f>
        <v>#REF!</v>
      </c>
      <c r="AI40" t="e">
        <f>AND('BBP complete'!#REF!,"AAAAAFNz3iI=")</f>
        <v>#REF!</v>
      </c>
      <c r="AJ40" t="e">
        <f>AND('BBP complete'!K15,"AAAAAFNz3iM=")</f>
        <v>#VALUE!</v>
      </c>
      <c r="AK40" t="e">
        <f>AND('BBP complete'!L15,"AAAAAFNz3iQ=")</f>
        <v>#VALUE!</v>
      </c>
      <c r="AL40" t="e">
        <f>AND('BBP complete'!M361,"AAAAAFNz3iU=")</f>
        <v>#VALUE!</v>
      </c>
      <c r="AM40" t="e">
        <f>AND('BBP complete'!N361,"AAAAAFNz3iY=")</f>
        <v>#VALUE!</v>
      </c>
      <c r="AN40" t="e">
        <f>AND('BBP complete'!P371,"AAAAAFNz3ic=")</f>
        <v>#VALUE!</v>
      </c>
      <c r="AO40" t="e">
        <f>AND('BBP complete'!#REF!,"AAAAAFNz3ig=")</f>
        <v>#REF!</v>
      </c>
      <c r="AP40" t="e">
        <f>AND('BBP complete'!#REF!,"AAAAAFNz3ik=")</f>
        <v>#REF!</v>
      </c>
      <c r="AQ40" t="e">
        <f>AND('BBP complete'!#REF!,"AAAAAFNz3io=")</f>
        <v>#REF!</v>
      </c>
      <c r="AR40" t="e">
        <f>AND('BBP complete'!K16,"AAAAAFNz3is=")</f>
        <v>#VALUE!</v>
      </c>
      <c r="AS40" t="e">
        <f>AND('BBP complete'!L16,"AAAAAFNz3iw=")</f>
        <v>#VALUE!</v>
      </c>
      <c r="AT40" t="e">
        <f>AND('BBP complete'!M362,"AAAAAFNz3i0=")</f>
        <v>#VALUE!</v>
      </c>
      <c r="AU40" t="e">
        <f>AND('BBP complete'!N362,"AAAAAFNz3i4=")</f>
        <v>#VALUE!</v>
      </c>
      <c r="AV40" t="e">
        <f>AND('BBP complete'!P372,"AAAAAFNz3i8=")</f>
        <v>#VALUE!</v>
      </c>
      <c r="AW40" t="e">
        <f>AND('BBP complete'!#REF!,"AAAAAFNz3jA=")</f>
        <v>#REF!</v>
      </c>
      <c r="AX40" t="e">
        <f>AND('BBP complete'!#REF!,"AAAAAFNz3jE=")</f>
        <v>#REF!</v>
      </c>
      <c r="AY40" t="e">
        <f>AND('BBP complete'!#REF!,"AAAAAFNz3jI=")</f>
        <v>#REF!</v>
      </c>
      <c r="AZ40" t="e">
        <f>AND('BBP complete'!K17,"AAAAAFNz3jM=")</f>
        <v>#VALUE!</v>
      </c>
      <c r="BA40" t="e">
        <f>AND('BBP complete'!L17,"AAAAAFNz3jQ=")</f>
        <v>#VALUE!</v>
      </c>
      <c r="BB40" t="e">
        <f>AND('BBP complete'!M363,"AAAAAFNz3jU=")</f>
        <v>#VALUE!</v>
      </c>
      <c r="BC40" t="e">
        <f>AND('BBP complete'!N363,"AAAAAFNz3jY=")</f>
        <v>#VALUE!</v>
      </c>
      <c r="BD40" t="e">
        <f>AND('BBP complete'!P373,"AAAAAFNz3jc=")</f>
        <v>#VALUE!</v>
      </c>
      <c r="BE40" t="e">
        <f>AND('BBP complete'!#REF!,"AAAAAFNz3jg=")</f>
        <v>#REF!</v>
      </c>
      <c r="BF40" t="e">
        <f>AND('BBP complete'!#REF!,"AAAAAFNz3jk=")</f>
        <v>#REF!</v>
      </c>
      <c r="BG40" t="e">
        <f>AND('BBP complete'!#REF!,"AAAAAFNz3jo=")</f>
        <v>#REF!</v>
      </c>
      <c r="BH40" t="e">
        <f>AND('BBP complete'!K18,"AAAAAFNz3js=")</f>
        <v>#VALUE!</v>
      </c>
      <c r="BI40" t="e">
        <f>AND('BBP complete'!L18,"AAAAAFNz3jw=")</f>
        <v>#VALUE!</v>
      </c>
      <c r="BJ40" t="e">
        <f>AND('BBP complete'!M364,"AAAAAFNz3j0=")</f>
        <v>#VALUE!</v>
      </c>
      <c r="BK40" t="e">
        <f>AND('BBP complete'!N364,"AAAAAFNz3j4=")</f>
        <v>#VALUE!</v>
      </c>
      <c r="BL40" t="e">
        <f>AND('BBP complete'!P374,"AAAAAFNz3j8=")</f>
        <v>#VALUE!</v>
      </c>
      <c r="BM40" t="e">
        <f>AND('BBP complete'!#REF!,"AAAAAFNz3kA=")</f>
        <v>#REF!</v>
      </c>
      <c r="BN40" t="e">
        <f>AND('BBP complete'!#REF!,"AAAAAFNz3kE=")</f>
        <v>#REF!</v>
      </c>
      <c r="BO40" t="e">
        <f>AND('BBP complete'!#REF!,"AAAAAFNz3kI=")</f>
        <v>#REF!</v>
      </c>
      <c r="BP40" t="e">
        <f>AND('BBP complete'!K19,"AAAAAFNz3kM=")</f>
        <v>#VALUE!</v>
      </c>
      <c r="BQ40" t="e">
        <f>AND('BBP complete'!L19,"AAAAAFNz3kQ=")</f>
        <v>#VALUE!</v>
      </c>
      <c r="BR40" t="e">
        <f>AND('BBP complete'!M365,"AAAAAFNz3kU=")</f>
        <v>#VALUE!</v>
      </c>
      <c r="BS40" t="e">
        <f>AND('BBP complete'!N365,"AAAAAFNz3kY=")</f>
        <v>#VALUE!</v>
      </c>
      <c r="BT40" t="e">
        <f>AND('BBP complete'!P375,"AAAAAFNz3kc=")</f>
        <v>#VALUE!</v>
      </c>
      <c r="BU40" t="e">
        <f>AND('BBP complete'!#REF!,"AAAAAFNz3kg=")</f>
        <v>#REF!</v>
      </c>
      <c r="BV40" t="e">
        <f>AND('BBP complete'!#REF!,"AAAAAFNz3kk=")</f>
        <v>#REF!</v>
      </c>
      <c r="BW40" t="e">
        <f>AND('BBP complete'!#REF!,"AAAAAFNz3ko=")</f>
        <v>#REF!</v>
      </c>
      <c r="BX40" t="e">
        <f>AND('BBP complete'!K20,"AAAAAFNz3ks=")</f>
        <v>#VALUE!</v>
      </c>
      <c r="BY40" t="e">
        <f>AND('BBP complete'!L20,"AAAAAFNz3kw=")</f>
        <v>#VALUE!</v>
      </c>
      <c r="BZ40" t="e">
        <f>AND('BBP complete'!M366,"AAAAAFNz3k0=")</f>
        <v>#VALUE!</v>
      </c>
      <c r="CA40" t="e">
        <f>AND('BBP complete'!N366,"AAAAAFNz3k4=")</f>
        <v>#VALUE!</v>
      </c>
      <c r="CB40" t="e">
        <f>AND('BBP complete'!P376,"AAAAAFNz3k8=")</f>
        <v>#VALUE!</v>
      </c>
      <c r="CC40" t="e">
        <f>AND('BBP complete'!#REF!,"AAAAAFNz3lA=")</f>
        <v>#REF!</v>
      </c>
      <c r="CD40" t="e">
        <f>AND('BBP complete'!#REF!,"AAAAAFNz3lE=")</f>
        <v>#REF!</v>
      </c>
      <c r="CE40" t="e">
        <f>AND('BBP complete'!#REF!,"AAAAAFNz3lI=")</f>
        <v>#REF!</v>
      </c>
      <c r="CF40" t="e">
        <f>AND('BBP complete'!K21,"AAAAAFNz3lM=")</f>
        <v>#VALUE!</v>
      </c>
      <c r="CG40" t="e">
        <f>AND('BBP complete'!L21,"AAAAAFNz3lQ=")</f>
        <v>#VALUE!</v>
      </c>
      <c r="CH40" t="e">
        <f>AND('BBP complete'!M367,"AAAAAFNz3lU=")</f>
        <v>#VALUE!</v>
      </c>
      <c r="CI40" t="e">
        <f>AND('BBP complete'!N367,"AAAAAFNz3lY=")</f>
        <v>#VALUE!</v>
      </c>
      <c r="CJ40" t="e">
        <f>AND('BBP complete'!P377,"AAAAAFNz3lc=")</f>
        <v>#VALUE!</v>
      </c>
      <c r="CK40" t="e">
        <f>AND('BBP complete'!#REF!,"AAAAAFNz3lg=")</f>
        <v>#REF!</v>
      </c>
      <c r="CL40" t="e">
        <f>AND('BBP complete'!#REF!,"AAAAAFNz3lk=")</f>
        <v>#REF!</v>
      </c>
      <c r="CM40" t="e">
        <f>AND('BBP complete'!#REF!,"AAAAAFNz3lo=")</f>
        <v>#REF!</v>
      </c>
      <c r="CN40" t="e">
        <f>AND('BBP complete'!K22,"AAAAAFNz3ls=")</f>
        <v>#VALUE!</v>
      </c>
      <c r="CO40" t="e">
        <f>AND('BBP complete'!L22,"AAAAAFNz3lw=")</f>
        <v>#VALUE!</v>
      </c>
      <c r="CP40" t="e">
        <f>AND('BBP complete'!M368,"AAAAAFNz3l0=")</f>
        <v>#VALUE!</v>
      </c>
      <c r="CQ40" t="e">
        <f>AND('BBP complete'!N368,"AAAAAFNz3l4=")</f>
        <v>#VALUE!</v>
      </c>
      <c r="CR40" t="e">
        <f>AND('BBP complete'!P378,"AAAAAFNz3l8=")</f>
        <v>#VALUE!</v>
      </c>
      <c r="CS40" t="e">
        <f>AND('BBP complete'!#REF!,"AAAAAFNz3mA=")</f>
        <v>#REF!</v>
      </c>
      <c r="CT40" t="e">
        <f>AND('BBP complete'!#REF!,"AAAAAFNz3mE=")</f>
        <v>#REF!</v>
      </c>
      <c r="CU40" t="e">
        <f>AND('BBP complete'!#REF!,"AAAAAFNz3mI=")</f>
        <v>#REF!</v>
      </c>
      <c r="CV40" t="e">
        <f>AND('BBP complete'!K23,"AAAAAFNz3mM=")</f>
        <v>#VALUE!</v>
      </c>
      <c r="CW40" t="e">
        <f>AND('BBP complete'!L23,"AAAAAFNz3mQ=")</f>
        <v>#VALUE!</v>
      </c>
      <c r="CX40" t="e">
        <f>AND('BBP complete'!M369,"AAAAAFNz3mU=")</f>
        <v>#VALUE!</v>
      </c>
      <c r="CY40" t="e">
        <f>AND('BBP complete'!N369,"AAAAAFNz3mY=")</f>
        <v>#VALUE!</v>
      </c>
      <c r="CZ40" t="e">
        <f>AND('BBP complete'!P379,"AAAAAFNz3mc=")</f>
        <v>#VALUE!</v>
      </c>
      <c r="DA40" t="e">
        <f>AND('BBP complete'!#REF!,"AAAAAFNz3mg=")</f>
        <v>#REF!</v>
      </c>
      <c r="DB40" t="e">
        <f>AND('BBP complete'!#REF!,"AAAAAFNz3mk=")</f>
        <v>#REF!</v>
      </c>
      <c r="DC40" t="e">
        <f>AND('BBP complete'!#REF!,"AAAAAFNz3mo=")</f>
        <v>#REF!</v>
      </c>
      <c r="DD40" t="e">
        <f>AND('BBP complete'!K24,"AAAAAFNz3ms=")</f>
        <v>#VALUE!</v>
      </c>
      <c r="DE40" t="e">
        <f>AND('BBP complete'!L24,"AAAAAFNz3mw=")</f>
        <v>#VALUE!</v>
      </c>
      <c r="DF40" t="e">
        <f>AND('BBP complete'!M370,"AAAAAFNz3m0=")</f>
        <v>#VALUE!</v>
      </c>
      <c r="DG40" t="e">
        <f>AND('BBP complete'!N370,"AAAAAFNz3m4=")</f>
        <v>#VALUE!</v>
      </c>
      <c r="DH40" t="e">
        <f>AND('BBP complete'!P380,"AAAAAFNz3m8=")</f>
        <v>#VALUE!</v>
      </c>
      <c r="DI40" t="e">
        <f>AND('BBP complete'!#REF!,"AAAAAFNz3nA=")</f>
        <v>#REF!</v>
      </c>
      <c r="DJ40" t="e">
        <f>AND('BBP complete'!#REF!,"AAAAAFNz3nE=")</f>
        <v>#REF!</v>
      </c>
      <c r="DK40" t="e">
        <f>AND('BBP complete'!#REF!,"AAAAAFNz3nI=")</f>
        <v>#REF!</v>
      </c>
      <c r="DL40" t="e">
        <f>AND('BBP complete'!K25,"AAAAAFNz3nM=")</f>
        <v>#VALUE!</v>
      </c>
      <c r="DM40" t="e">
        <f>AND('BBP complete'!L25,"AAAAAFNz3nQ=")</f>
        <v>#VALUE!</v>
      </c>
      <c r="DN40" t="e">
        <f>AND('BBP complete'!M371,"AAAAAFNz3nU=")</f>
        <v>#VALUE!</v>
      </c>
      <c r="DO40" t="e">
        <f>AND('BBP complete'!N371,"AAAAAFNz3nY=")</f>
        <v>#VALUE!</v>
      </c>
      <c r="DP40" t="e">
        <f>AND('BBP complete'!P381,"AAAAAFNz3nc=")</f>
        <v>#VALUE!</v>
      </c>
      <c r="DQ40" t="e">
        <f>AND('BBP complete'!#REF!,"AAAAAFNz3ng=")</f>
        <v>#REF!</v>
      </c>
      <c r="DR40" t="e">
        <f>AND('BBP complete'!#REF!,"AAAAAFNz3nk=")</f>
        <v>#REF!</v>
      </c>
      <c r="DS40" t="e">
        <f>AND('BBP complete'!#REF!,"AAAAAFNz3no=")</f>
        <v>#REF!</v>
      </c>
      <c r="DT40" t="e">
        <f>AND('BBP complete'!K26,"AAAAAFNz3ns=")</f>
        <v>#VALUE!</v>
      </c>
      <c r="DU40" t="e">
        <f>AND('BBP complete'!L26,"AAAAAFNz3nw=")</f>
        <v>#VALUE!</v>
      </c>
      <c r="DV40" t="e">
        <f>AND('BBP complete'!M372,"AAAAAFNz3n0=")</f>
        <v>#VALUE!</v>
      </c>
      <c r="DW40" t="e">
        <f>AND('BBP complete'!N372,"AAAAAFNz3n4=")</f>
        <v>#VALUE!</v>
      </c>
      <c r="DX40" t="e">
        <f>AND('BBP complete'!P382,"AAAAAFNz3n8=")</f>
        <v>#VALUE!</v>
      </c>
      <c r="DY40" t="e">
        <f>AND('BBP complete'!#REF!,"AAAAAFNz3oA=")</f>
        <v>#REF!</v>
      </c>
      <c r="DZ40" t="e">
        <f>AND('BBP complete'!#REF!,"AAAAAFNz3oE=")</f>
        <v>#REF!</v>
      </c>
      <c r="EA40" t="e">
        <f>AND('BBP complete'!#REF!,"AAAAAFNz3oI=")</f>
        <v>#REF!</v>
      </c>
      <c r="EB40" t="e">
        <f>AND('BBP complete'!K27,"AAAAAFNz3oM=")</f>
        <v>#VALUE!</v>
      </c>
      <c r="EC40" t="e">
        <f>AND('BBP complete'!L27,"AAAAAFNz3oQ=")</f>
        <v>#VALUE!</v>
      </c>
      <c r="ED40" t="e">
        <f>AND('BBP complete'!M373,"AAAAAFNz3oU=")</f>
        <v>#VALUE!</v>
      </c>
      <c r="EE40" t="e">
        <f>AND('BBP complete'!N373,"AAAAAFNz3oY=")</f>
        <v>#VALUE!</v>
      </c>
      <c r="EF40" t="e">
        <f>AND('BBP complete'!P383,"AAAAAFNz3oc=")</f>
        <v>#VALUE!</v>
      </c>
      <c r="EG40" t="e">
        <f>AND('BBP complete'!#REF!,"AAAAAFNz3og=")</f>
        <v>#REF!</v>
      </c>
      <c r="EH40" t="e">
        <f>AND('BBP complete'!#REF!,"AAAAAFNz3ok=")</f>
        <v>#REF!</v>
      </c>
      <c r="EI40" t="e">
        <f>AND('BBP complete'!#REF!,"AAAAAFNz3oo=")</f>
        <v>#REF!</v>
      </c>
      <c r="EJ40" t="e">
        <f>AND('BBP complete'!K28,"AAAAAFNz3os=")</f>
        <v>#VALUE!</v>
      </c>
      <c r="EK40" t="e">
        <f>AND('BBP complete'!L28,"AAAAAFNz3ow=")</f>
        <v>#VALUE!</v>
      </c>
      <c r="EL40" t="e">
        <f>AND('BBP complete'!M374,"AAAAAFNz3o0=")</f>
        <v>#VALUE!</v>
      </c>
      <c r="EM40" t="e">
        <f>AND('BBP complete'!N374,"AAAAAFNz3o4=")</f>
        <v>#VALUE!</v>
      </c>
      <c r="EN40" t="e">
        <f>AND('BBP complete'!P384,"AAAAAFNz3o8=")</f>
        <v>#VALUE!</v>
      </c>
      <c r="EO40" t="e">
        <f>AND('BBP complete'!#REF!,"AAAAAFNz3pA=")</f>
        <v>#REF!</v>
      </c>
      <c r="EP40" t="e">
        <f>AND('BBP complete'!#REF!,"AAAAAFNz3pE=")</f>
        <v>#REF!</v>
      </c>
      <c r="EQ40" t="e">
        <f>AND('BBP complete'!#REF!,"AAAAAFNz3pI=")</f>
        <v>#REF!</v>
      </c>
      <c r="ER40" t="e">
        <f>AND('BBP complete'!K29,"AAAAAFNz3pM=")</f>
        <v>#VALUE!</v>
      </c>
      <c r="ES40" t="e">
        <f>AND('BBP complete'!L29,"AAAAAFNz3pQ=")</f>
        <v>#VALUE!</v>
      </c>
      <c r="ET40" t="e">
        <f>AND('BBP complete'!M375,"AAAAAFNz3pU=")</f>
        <v>#VALUE!</v>
      </c>
      <c r="EU40" t="e">
        <f>AND('BBP complete'!N375,"AAAAAFNz3pY=")</f>
        <v>#VALUE!</v>
      </c>
      <c r="EV40" t="e">
        <f>AND('BBP complete'!P385,"AAAAAFNz3pc=")</f>
        <v>#VALUE!</v>
      </c>
      <c r="EW40" t="e">
        <f>AND('BBP complete'!#REF!,"AAAAAFNz3pg=")</f>
        <v>#REF!</v>
      </c>
      <c r="EX40" t="e">
        <f>AND('BBP complete'!#REF!,"AAAAAFNz3pk=")</f>
        <v>#REF!</v>
      </c>
      <c r="EY40" t="e">
        <f>AND('BBP complete'!#REF!,"AAAAAFNz3po=")</f>
        <v>#REF!</v>
      </c>
      <c r="EZ40" t="e">
        <f>AND('BBP complete'!K30,"AAAAAFNz3ps=")</f>
        <v>#VALUE!</v>
      </c>
      <c r="FA40" t="e">
        <f>AND('BBP complete'!L30,"AAAAAFNz3pw=")</f>
        <v>#VALUE!</v>
      </c>
      <c r="FB40" t="e">
        <f>AND('BBP complete'!M376,"AAAAAFNz3p0=")</f>
        <v>#VALUE!</v>
      </c>
      <c r="FC40" t="e">
        <f>AND('BBP complete'!N376,"AAAAAFNz3p4=")</f>
        <v>#VALUE!</v>
      </c>
      <c r="FD40" t="e">
        <f>AND('BBP complete'!P386,"AAAAAFNz3p8=")</f>
        <v>#VALUE!</v>
      </c>
      <c r="FE40" t="e">
        <f>AND('BBP complete'!#REF!,"AAAAAFNz3qA=")</f>
        <v>#REF!</v>
      </c>
      <c r="FF40" t="e">
        <f>AND('BBP complete'!#REF!,"AAAAAFNz3qE=")</f>
        <v>#REF!</v>
      </c>
      <c r="FG40" t="e">
        <f>AND('BBP complete'!#REF!,"AAAAAFNz3qI=")</f>
        <v>#REF!</v>
      </c>
      <c r="FH40" t="e">
        <f>AND('BBP complete'!K31,"AAAAAFNz3qM=")</f>
        <v>#VALUE!</v>
      </c>
      <c r="FI40" t="e">
        <f>AND('BBP complete'!L31,"AAAAAFNz3qQ=")</f>
        <v>#VALUE!</v>
      </c>
      <c r="FJ40" t="e">
        <f>AND('BBP complete'!M377,"AAAAAFNz3qU=")</f>
        <v>#VALUE!</v>
      </c>
      <c r="FK40" t="e">
        <f>AND('BBP complete'!N377,"AAAAAFNz3qY=")</f>
        <v>#VALUE!</v>
      </c>
      <c r="FL40" t="e">
        <f>AND('BBP complete'!P387,"AAAAAFNz3qc=")</f>
        <v>#VALUE!</v>
      </c>
      <c r="FM40" t="e">
        <f>AND('BBP complete'!#REF!,"AAAAAFNz3qg=")</f>
        <v>#REF!</v>
      </c>
      <c r="FN40" t="e">
        <f>AND('BBP complete'!#REF!,"AAAAAFNz3qk=")</f>
        <v>#REF!</v>
      </c>
      <c r="FO40" t="e">
        <f>AND('BBP complete'!#REF!,"AAAAAFNz3qo=")</f>
        <v>#REF!</v>
      </c>
      <c r="FP40" t="e">
        <f>AND('BBP complete'!K32,"AAAAAFNz3qs=")</f>
        <v>#VALUE!</v>
      </c>
      <c r="FQ40" t="e">
        <f>AND('BBP complete'!L32,"AAAAAFNz3qw=")</f>
        <v>#VALUE!</v>
      </c>
      <c r="FR40" t="e">
        <f>AND('BBP complete'!M378,"AAAAAFNz3q0=")</f>
        <v>#VALUE!</v>
      </c>
      <c r="FS40" t="e">
        <f>AND('BBP complete'!N378,"AAAAAFNz3q4=")</f>
        <v>#VALUE!</v>
      </c>
      <c r="FT40" t="e">
        <f>AND('BBP complete'!P388,"AAAAAFNz3q8=")</f>
        <v>#VALUE!</v>
      </c>
      <c r="FU40" t="e">
        <f>AND('BBP complete'!#REF!,"AAAAAFNz3rA=")</f>
        <v>#REF!</v>
      </c>
      <c r="FV40" t="e">
        <f>AND('BBP complete'!#REF!,"AAAAAFNz3rE=")</f>
        <v>#REF!</v>
      </c>
      <c r="FW40" t="e">
        <f>AND('BBP complete'!#REF!,"AAAAAFNz3rI=")</f>
        <v>#REF!</v>
      </c>
      <c r="FX40" t="e">
        <f>AND('BBP complete'!K33,"AAAAAFNz3rM=")</f>
        <v>#VALUE!</v>
      </c>
      <c r="FY40" t="e">
        <f>AND('BBP complete'!L33,"AAAAAFNz3rQ=")</f>
        <v>#VALUE!</v>
      </c>
      <c r="FZ40" t="e">
        <f>AND('BBP complete'!M379,"AAAAAFNz3rU=")</f>
        <v>#VALUE!</v>
      </c>
      <c r="GA40" t="e">
        <f>AND('BBP complete'!N379,"AAAAAFNz3rY=")</f>
        <v>#VALUE!</v>
      </c>
      <c r="GB40" t="e">
        <f>AND('BBP complete'!P389,"AAAAAFNz3rc=")</f>
        <v>#VALUE!</v>
      </c>
      <c r="GC40" t="e">
        <f>AND('BBP complete'!#REF!,"AAAAAFNz3rg=")</f>
        <v>#REF!</v>
      </c>
      <c r="GD40" t="e">
        <f>AND('BBP complete'!#REF!,"AAAAAFNz3rk=")</f>
        <v>#REF!</v>
      </c>
      <c r="GE40" t="e">
        <f>AND('BBP complete'!#REF!,"AAAAAFNz3ro=")</f>
        <v>#REF!</v>
      </c>
      <c r="GF40" t="e">
        <f>AND('BBP complete'!K34,"AAAAAFNz3rs=")</f>
        <v>#VALUE!</v>
      </c>
      <c r="GG40" t="e">
        <f>AND('BBP complete'!L34,"AAAAAFNz3rw=")</f>
        <v>#VALUE!</v>
      </c>
      <c r="GH40" t="e">
        <f>AND('BBP complete'!M380,"AAAAAFNz3r0=")</f>
        <v>#VALUE!</v>
      </c>
      <c r="GI40" t="e">
        <f>AND('BBP complete'!N380,"AAAAAFNz3r4=")</f>
        <v>#VALUE!</v>
      </c>
      <c r="GJ40" t="e">
        <f>AND('BBP complete'!P390,"AAAAAFNz3r8=")</f>
        <v>#VALUE!</v>
      </c>
      <c r="GK40" t="e">
        <f>AND('BBP complete'!#REF!,"AAAAAFNz3sA=")</f>
        <v>#REF!</v>
      </c>
      <c r="GL40" t="e">
        <f>AND('BBP complete'!#REF!,"AAAAAFNz3sE=")</f>
        <v>#REF!</v>
      </c>
      <c r="GM40" t="e">
        <f>AND('BBP complete'!#REF!,"AAAAAFNz3sI=")</f>
        <v>#REF!</v>
      </c>
      <c r="GN40" t="e">
        <f>AND('BBP complete'!K35,"AAAAAFNz3sM=")</f>
        <v>#VALUE!</v>
      </c>
      <c r="GO40" t="e">
        <f>AND('BBP complete'!L35,"AAAAAFNz3sQ=")</f>
        <v>#VALUE!</v>
      </c>
      <c r="GP40" t="e">
        <f>AND('BBP complete'!M381,"AAAAAFNz3sU=")</f>
        <v>#VALUE!</v>
      </c>
      <c r="GQ40" t="e">
        <f>AND('BBP complete'!N381,"AAAAAFNz3sY=")</f>
        <v>#VALUE!</v>
      </c>
      <c r="GR40" t="e">
        <f>AND('BBP complete'!P391,"AAAAAFNz3sc=")</f>
        <v>#VALUE!</v>
      </c>
      <c r="GS40" t="e">
        <f>AND('BBP complete'!#REF!,"AAAAAFNz3sg=")</f>
        <v>#REF!</v>
      </c>
      <c r="GT40" t="e">
        <f>AND('BBP complete'!#REF!,"AAAAAFNz3sk=")</f>
        <v>#REF!</v>
      </c>
      <c r="GU40" t="e">
        <f>AND('BBP complete'!#REF!,"AAAAAFNz3so=")</f>
        <v>#REF!</v>
      </c>
      <c r="GV40" t="e">
        <f>AND('BBP complete'!K36,"AAAAAFNz3ss=")</f>
        <v>#VALUE!</v>
      </c>
      <c r="GW40" t="e">
        <f>AND('BBP complete'!L36,"AAAAAFNz3sw=")</f>
        <v>#VALUE!</v>
      </c>
      <c r="GX40" t="e">
        <f>AND('BBP complete'!M382,"AAAAAFNz3s0=")</f>
        <v>#VALUE!</v>
      </c>
      <c r="GY40" t="e">
        <f>AND('BBP complete'!N382,"AAAAAFNz3s4=")</f>
        <v>#VALUE!</v>
      </c>
      <c r="GZ40" t="e">
        <f>AND('BBP complete'!P392,"AAAAAFNz3s8=")</f>
        <v>#VALUE!</v>
      </c>
      <c r="HA40" t="e">
        <f>AND('BBP complete'!#REF!,"AAAAAFNz3tA=")</f>
        <v>#REF!</v>
      </c>
      <c r="HB40" t="e">
        <f>AND('BBP complete'!#REF!,"AAAAAFNz3tE=")</f>
        <v>#REF!</v>
      </c>
      <c r="HC40" t="e">
        <f>AND('BBP complete'!#REF!,"AAAAAFNz3tI=")</f>
        <v>#REF!</v>
      </c>
      <c r="HD40" t="e">
        <f>AND('BBP complete'!K37,"AAAAAFNz3tM=")</f>
        <v>#VALUE!</v>
      </c>
      <c r="HE40" t="e">
        <f>AND('BBP complete'!L37,"AAAAAFNz3tQ=")</f>
        <v>#VALUE!</v>
      </c>
      <c r="HF40" t="e">
        <f>AND('BBP complete'!M383,"AAAAAFNz3tU=")</f>
        <v>#VALUE!</v>
      </c>
      <c r="HG40" t="e">
        <f>AND('BBP complete'!N383,"AAAAAFNz3tY=")</f>
        <v>#VALUE!</v>
      </c>
      <c r="HH40" t="e">
        <f>AND('BBP complete'!P393,"AAAAAFNz3tc=")</f>
        <v>#VALUE!</v>
      </c>
      <c r="HI40" t="e">
        <f>AND('BBP complete'!#REF!,"AAAAAFNz3tg=")</f>
        <v>#REF!</v>
      </c>
      <c r="HJ40" t="e">
        <f>AND('BBP complete'!#REF!,"AAAAAFNz3tk=")</f>
        <v>#REF!</v>
      </c>
      <c r="HK40" t="e">
        <f>AND('BBP complete'!#REF!,"AAAAAFNz3to=")</f>
        <v>#REF!</v>
      </c>
      <c r="HL40" t="e">
        <f>AND('BBP complete'!K39,"AAAAAFNz3ts=")</f>
        <v>#VALUE!</v>
      </c>
      <c r="HM40" t="e">
        <f>AND('BBP complete'!L39,"AAAAAFNz3tw=")</f>
        <v>#VALUE!</v>
      </c>
      <c r="HN40" t="e">
        <f>AND('BBP complete'!M385,"AAAAAFNz3t0=")</f>
        <v>#VALUE!</v>
      </c>
      <c r="HO40" t="e">
        <f>AND('BBP complete'!N385,"AAAAAFNz3t4=")</f>
        <v>#VALUE!</v>
      </c>
      <c r="HP40" t="e">
        <f>AND('BBP complete'!P395,"AAAAAFNz3t8=")</f>
        <v>#VALUE!</v>
      </c>
      <c r="HQ40" t="e">
        <f>AND('BBP complete'!#REF!,"AAAAAFNz3uA=")</f>
        <v>#REF!</v>
      </c>
      <c r="HR40" t="e">
        <f>AND('BBP complete'!#REF!,"AAAAAFNz3uE=")</f>
        <v>#REF!</v>
      </c>
      <c r="HS40" t="e">
        <f>AND('BBP complete'!#REF!,"AAAAAFNz3uI=")</f>
        <v>#REF!</v>
      </c>
      <c r="HT40" t="e">
        <f>AND('BBP complete'!K40,"AAAAAFNz3uM=")</f>
        <v>#VALUE!</v>
      </c>
      <c r="HU40" t="e">
        <f>AND('BBP complete'!L40,"AAAAAFNz3uQ=")</f>
        <v>#VALUE!</v>
      </c>
      <c r="HV40" t="e">
        <f>AND('BBP complete'!M386,"AAAAAFNz3uU=")</f>
        <v>#VALUE!</v>
      </c>
      <c r="HW40" t="e">
        <f>AND('BBP complete'!N386,"AAAAAFNz3uY=")</f>
        <v>#VALUE!</v>
      </c>
      <c r="HX40" t="e">
        <f>AND('BBP complete'!P396,"AAAAAFNz3uc=")</f>
        <v>#VALUE!</v>
      </c>
      <c r="HY40" t="e">
        <f>AND('BBP complete'!#REF!,"AAAAAFNz3ug=")</f>
        <v>#REF!</v>
      </c>
      <c r="HZ40" t="e">
        <f>AND('BBP complete'!#REF!,"AAAAAFNz3uk=")</f>
        <v>#REF!</v>
      </c>
      <c r="IA40" t="e">
        <f>AND('BBP complete'!#REF!,"AAAAAFNz3uo=")</f>
        <v>#REF!</v>
      </c>
      <c r="IB40" t="e">
        <f>AND('BBP complete'!K41,"AAAAAFNz3us=")</f>
        <v>#VALUE!</v>
      </c>
      <c r="IC40" t="e">
        <f>AND('BBP complete'!L41,"AAAAAFNz3uw=")</f>
        <v>#VALUE!</v>
      </c>
      <c r="ID40" t="e">
        <f>AND('BBP complete'!M387,"AAAAAFNz3u0=")</f>
        <v>#VALUE!</v>
      </c>
      <c r="IE40" t="e">
        <f>AND('BBP complete'!N387,"AAAAAFNz3u4=")</f>
        <v>#VALUE!</v>
      </c>
      <c r="IF40" t="e">
        <f>AND('BBP complete'!P397,"AAAAAFNz3u8=")</f>
        <v>#VALUE!</v>
      </c>
      <c r="IG40" t="e">
        <f>AND('BBP complete'!#REF!,"AAAAAFNz3vA=")</f>
        <v>#REF!</v>
      </c>
      <c r="IH40" t="e">
        <f>AND('BBP complete'!#REF!,"AAAAAFNz3vE=")</f>
        <v>#REF!</v>
      </c>
      <c r="II40" t="e">
        <f>AND('BBP complete'!#REF!,"AAAAAFNz3vI=")</f>
        <v>#REF!</v>
      </c>
      <c r="IJ40" t="e">
        <f>AND('BBP complete'!K42,"AAAAAFNz3vM=")</f>
        <v>#VALUE!</v>
      </c>
      <c r="IK40" t="e">
        <f>AND('BBP complete'!L42,"AAAAAFNz3vQ=")</f>
        <v>#VALUE!</v>
      </c>
      <c r="IL40" t="e">
        <f>AND('BBP complete'!M388,"AAAAAFNz3vU=")</f>
        <v>#VALUE!</v>
      </c>
      <c r="IM40" t="e">
        <f>AND('BBP complete'!N388,"AAAAAFNz3vY=")</f>
        <v>#VALUE!</v>
      </c>
      <c r="IN40" t="e">
        <f>AND('BBP complete'!P398,"AAAAAFNz3vc=")</f>
        <v>#VALUE!</v>
      </c>
      <c r="IO40" t="e">
        <f>AND('BBP complete'!#REF!,"AAAAAFNz3vg=")</f>
        <v>#REF!</v>
      </c>
      <c r="IP40" t="e">
        <f>AND('BBP complete'!#REF!,"AAAAAFNz3vk=")</f>
        <v>#REF!</v>
      </c>
      <c r="IQ40" t="e">
        <f>AND('BBP complete'!#REF!,"AAAAAFNz3vo=")</f>
        <v>#REF!</v>
      </c>
      <c r="IR40" t="e">
        <f>AND('BBP complete'!K43,"AAAAAFNz3vs=")</f>
        <v>#VALUE!</v>
      </c>
      <c r="IS40" t="e">
        <f>AND('BBP complete'!L43,"AAAAAFNz3vw=")</f>
        <v>#VALUE!</v>
      </c>
      <c r="IT40" t="e">
        <f>AND('BBP complete'!M389,"AAAAAFNz3v0=")</f>
        <v>#VALUE!</v>
      </c>
      <c r="IU40" t="e">
        <f>AND('BBP complete'!N389,"AAAAAFNz3v4=")</f>
        <v>#VALUE!</v>
      </c>
      <c r="IV40" t="e">
        <f>AND('BBP complete'!P399,"AAAAAFNz3v8=")</f>
        <v>#VALUE!</v>
      </c>
    </row>
    <row r="41" spans="1:256" ht="15" customHeight="1" x14ac:dyDescent="0.25">
      <c r="A41" t="e">
        <f>AND('BBP complete'!#REF!,"AAAAAH3/nAA=")</f>
        <v>#REF!</v>
      </c>
      <c r="B41" t="e">
        <f>AND('BBP complete'!#REF!,"AAAAAH3/nAE=")</f>
        <v>#REF!</v>
      </c>
      <c r="C41" t="e">
        <f>AND('BBP complete'!#REF!,"AAAAAH3/nAI=")</f>
        <v>#REF!</v>
      </c>
      <c r="D41" t="e">
        <f>AND('BBP complete'!K44,"AAAAAH3/nAM=")</f>
        <v>#VALUE!</v>
      </c>
      <c r="E41" t="e">
        <f>AND('BBP complete'!L44,"AAAAAH3/nAQ=")</f>
        <v>#VALUE!</v>
      </c>
      <c r="F41" t="e">
        <f>AND('BBP complete'!M390,"AAAAAH3/nAU=")</f>
        <v>#VALUE!</v>
      </c>
      <c r="G41" t="e">
        <f>AND('BBP complete'!N390,"AAAAAH3/nAY=")</f>
        <v>#VALUE!</v>
      </c>
      <c r="H41" t="e">
        <f>AND('BBP complete'!P400,"AAAAAH3/nAc=")</f>
        <v>#VALUE!</v>
      </c>
      <c r="I41" t="e">
        <f>AND('BBP complete'!#REF!,"AAAAAH3/nAg=")</f>
        <v>#REF!</v>
      </c>
      <c r="J41" t="e">
        <f>AND('BBP complete'!#REF!,"AAAAAH3/nAk=")</f>
        <v>#REF!</v>
      </c>
      <c r="K41" t="e">
        <f>AND('BBP complete'!#REF!,"AAAAAH3/nAo=")</f>
        <v>#REF!</v>
      </c>
      <c r="L41" t="e">
        <f>AND('BBP complete'!K45,"AAAAAH3/nAs=")</f>
        <v>#VALUE!</v>
      </c>
      <c r="M41" t="e">
        <f>AND('BBP complete'!L45,"AAAAAH3/nAw=")</f>
        <v>#VALUE!</v>
      </c>
      <c r="N41" t="e">
        <f>AND('BBP complete'!M391,"AAAAAH3/nA0=")</f>
        <v>#VALUE!</v>
      </c>
      <c r="O41" t="e">
        <f>AND('BBP complete'!N391,"AAAAAH3/nA4=")</f>
        <v>#VALUE!</v>
      </c>
      <c r="P41" t="e">
        <f>AND('BBP complete'!P401,"AAAAAH3/nA8=")</f>
        <v>#VALUE!</v>
      </c>
      <c r="Q41" t="e">
        <f>AND('BBP complete'!#REF!,"AAAAAH3/nBA=")</f>
        <v>#REF!</v>
      </c>
      <c r="R41" t="e">
        <f>AND('BBP complete'!#REF!,"AAAAAH3/nBE=")</f>
        <v>#REF!</v>
      </c>
      <c r="S41" t="e">
        <f>AND('BBP complete'!#REF!,"AAAAAH3/nBI=")</f>
        <v>#REF!</v>
      </c>
      <c r="T41" t="e">
        <f>AND('BBP complete'!K46,"AAAAAH3/nBM=")</f>
        <v>#VALUE!</v>
      </c>
      <c r="U41" t="e">
        <f>AND('BBP complete'!L46,"AAAAAH3/nBQ=")</f>
        <v>#VALUE!</v>
      </c>
      <c r="V41" t="e">
        <f>AND('BBP complete'!M392,"AAAAAH3/nBU=")</f>
        <v>#VALUE!</v>
      </c>
      <c r="W41" t="e">
        <f>AND('BBP complete'!N392,"AAAAAH3/nBY=")</f>
        <v>#VALUE!</v>
      </c>
      <c r="X41" t="e">
        <f>AND('BBP complete'!P402,"AAAAAH3/nBc=")</f>
        <v>#VALUE!</v>
      </c>
      <c r="Y41" t="e">
        <f>AND('BBP complete'!#REF!,"AAAAAH3/nBg=")</f>
        <v>#REF!</v>
      </c>
      <c r="Z41" t="e">
        <f>AND('BBP complete'!#REF!,"AAAAAH3/nBk=")</f>
        <v>#REF!</v>
      </c>
      <c r="AA41" t="e">
        <f>AND('BBP complete'!#REF!,"AAAAAH3/nBo=")</f>
        <v>#REF!</v>
      </c>
      <c r="AB41" t="e">
        <f>AND('BBP complete'!K47,"AAAAAH3/nBs=")</f>
        <v>#VALUE!</v>
      </c>
      <c r="AC41" t="e">
        <f>AND('BBP complete'!L47,"AAAAAH3/nBw=")</f>
        <v>#VALUE!</v>
      </c>
      <c r="AD41" t="e">
        <f>AND('BBP complete'!M393,"AAAAAH3/nB0=")</f>
        <v>#VALUE!</v>
      </c>
      <c r="AE41" t="e">
        <f>AND('BBP complete'!N393,"AAAAAH3/nB4=")</f>
        <v>#VALUE!</v>
      </c>
      <c r="AF41" t="e">
        <f>AND('BBP complete'!P403,"AAAAAH3/nB8=")</f>
        <v>#VALUE!</v>
      </c>
      <c r="AG41" t="e">
        <f>AND('BBP complete'!#REF!,"AAAAAH3/nCA=")</f>
        <v>#REF!</v>
      </c>
      <c r="AH41" t="e">
        <f>AND('BBP complete'!#REF!,"AAAAAH3/nCE=")</f>
        <v>#REF!</v>
      </c>
      <c r="AI41" t="e">
        <f>AND('BBP complete'!#REF!,"AAAAAH3/nCI=")</f>
        <v>#REF!</v>
      </c>
      <c r="AJ41" t="e">
        <f>AND('BBP complete'!K48,"AAAAAH3/nCM=")</f>
        <v>#VALUE!</v>
      </c>
      <c r="AK41" t="e">
        <f>AND('BBP complete'!L48,"AAAAAH3/nCQ=")</f>
        <v>#VALUE!</v>
      </c>
      <c r="AL41" t="e">
        <f>AND('BBP complete'!M394,"AAAAAH3/nCU=")</f>
        <v>#VALUE!</v>
      </c>
      <c r="AM41" t="e">
        <f>AND('BBP complete'!N394,"AAAAAH3/nCY=")</f>
        <v>#VALUE!</v>
      </c>
      <c r="AN41" t="e">
        <f>AND('BBP complete'!P404,"AAAAAH3/nCc=")</f>
        <v>#VALUE!</v>
      </c>
      <c r="AO41" t="e">
        <f>AND('BBP complete'!#REF!,"AAAAAH3/nCg=")</f>
        <v>#REF!</v>
      </c>
      <c r="AP41" t="e">
        <f>AND('BBP complete'!#REF!,"AAAAAH3/nCk=")</f>
        <v>#REF!</v>
      </c>
      <c r="AQ41" t="e">
        <f>AND('BBP complete'!#REF!,"AAAAAH3/nCo=")</f>
        <v>#REF!</v>
      </c>
      <c r="AR41" t="e">
        <f>AND('BBP complete'!K49,"AAAAAH3/nCs=")</f>
        <v>#VALUE!</v>
      </c>
      <c r="AS41" t="e">
        <f>AND('BBP complete'!L49,"AAAAAH3/nCw=")</f>
        <v>#VALUE!</v>
      </c>
      <c r="AT41" t="e">
        <f>AND('BBP complete'!M395,"AAAAAH3/nC0=")</f>
        <v>#VALUE!</v>
      </c>
      <c r="AU41" t="e">
        <f>AND('BBP complete'!N395,"AAAAAH3/nC4=")</f>
        <v>#VALUE!</v>
      </c>
      <c r="AV41" t="e">
        <f>AND('BBP complete'!P405,"AAAAAH3/nC8=")</f>
        <v>#VALUE!</v>
      </c>
      <c r="AW41" t="e">
        <f>AND('BBP complete'!#REF!,"AAAAAH3/nDA=")</f>
        <v>#REF!</v>
      </c>
      <c r="AX41" t="e">
        <f>AND('BBP complete'!#REF!,"AAAAAH3/nDE=")</f>
        <v>#REF!</v>
      </c>
      <c r="AY41" t="e">
        <f>AND('BBP complete'!#REF!,"AAAAAH3/nDI=")</f>
        <v>#REF!</v>
      </c>
      <c r="AZ41" t="e">
        <f>AND('BBP complete'!K50,"AAAAAH3/nDM=")</f>
        <v>#VALUE!</v>
      </c>
      <c r="BA41" t="e">
        <f>AND('BBP complete'!L50,"AAAAAH3/nDQ=")</f>
        <v>#VALUE!</v>
      </c>
      <c r="BB41" t="e">
        <f>AND('BBP complete'!M396,"AAAAAH3/nDU=")</f>
        <v>#VALUE!</v>
      </c>
      <c r="BC41" t="e">
        <f>AND('BBP complete'!N396,"AAAAAH3/nDY=")</f>
        <v>#VALUE!</v>
      </c>
      <c r="BD41" t="e">
        <f>AND('BBP complete'!P406,"AAAAAH3/nDc=")</f>
        <v>#VALUE!</v>
      </c>
      <c r="BE41" t="e">
        <f>AND('BBP complete'!#REF!,"AAAAAH3/nDg=")</f>
        <v>#REF!</v>
      </c>
      <c r="BF41" t="e">
        <f>AND('BBP complete'!#REF!,"AAAAAH3/nDk=")</f>
        <v>#REF!</v>
      </c>
      <c r="BG41" t="e">
        <f>AND('BBP complete'!#REF!,"AAAAAH3/nDo=")</f>
        <v>#REF!</v>
      </c>
      <c r="BH41" t="e">
        <f>AND('BBP complete'!K51,"AAAAAH3/nDs=")</f>
        <v>#VALUE!</v>
      </c>
      <c r="BI41" t="e">
        <f>AND('BBP complete'!L51,"AAAAAH3/nDw=")</f>
        <v>#VALUE!</v>
      </c>
      <c r="BJ41" t="e">
        <f>AND('BBP complete'!M397,"AAAAAH3/nD0=")</f>
        <v>#VALUE!</v>
      </c>
      <c r="BK41" t="e">
        <f>AND('BBP complete'!N397,"AAAAAH3/nD4=")</f>
        <v>#VALUE!</v>
      </c>
      <c r="BL41" t="e">
        <f>AND('BBP complete'!P407,"AAAAAH3/nD8=")</f>
        <v>#VALUE!</v>
      </c>
      <c r="BM41" t="e">
        <f>AND('BBP complete'!#REF!,"AAAAAH3/nEA=")</f>
        <v>#REF!</v>
      </c>
      <c r="BN41" t="e">
        <f>AND('BBP complete'!#REF!,"AAAAAH3/nEE=")</f>
        <v>#REF!</v>
      </c>
      <c r="BO41" t="e">
        <f>AND('BBP complete'!#REF!,"AAAAAH3/nEI=")</f>
        <v>#REF!</v>
      </c>
      <c r="BP41" t="e">
        <f>AND('BBP complete'!K52,"AAAAAH3/nEM=")</f>
        <v>#VALUE!</v>
      </c>
      <c r="BQ41" t="e">
        <f>AND('BBP complete'!L52,"AAAAAH3/nEQ=")</f>
        <v>#VALUE!</v>
      </c>
      <c r="BR41" t="e">
        <f>AND('BBP complete'!M398,"AAAAAH3/nEU=")</f>
        <v>#VALUE!</v>
      </c>
      <c r="BS41" t="e">
        <f>AND('BBP complete'!N398,"AAAAAH3/nEY=")</f>
        <v>#VALUE!</v>
      </c>
      <c r="BT41" t="e">
        <f>AND('BBP complete'!P408,"AAAAAH3/nEc=")</f>
        <v>#VALUE!</v>
      </c>
      <c r="BU41" t="e">
        <f>AND('BBP complete'!#REF!,"AAAAAH3/nEg=")</f>
        <v>#REF!</v>
      </c>
      <c r="BV41" t="e">
        <f>AND('BBP complete'!#REF!,"AAAAAH3/nEk=")</f>
        <v>#REF!</v>
      </c>
      <c r="BW41" t="e">
        <f>AND('BBP complete'!#REF!,"AAAAAH3/nEo=")</f>
        <v>#REF!</v>
      </c>
      <c r="BX41" t="e">
        <f>AND('BBP complete'!K53,"AAAAAH3/nEs=")</f>
        <v>#VALUE!</v>
      </c>
      <c r="BY41" t="e">
        <f>AND('BBP complete'!L53,"AAAAAH3/nEw=")</f>
        <v>#VALUE!</v>
      </c>
      <c r="BZ41" t="e">
        <f>AND('BBP complete'!M399,"AAAAAH3/nE0=")</f>
        <v>#VALUE!</v>
      </c>
      <c r="CA41" t="e">
        <f>AND('BBP complete'!N399,"AAAAAH3/nE4=")</f>
        <v>#VALUE!</v>
      </c>
      <c r="CB41" t="e">
        <f>AND('BBP complete'!P409,"AAAAAH3/nE8=")</f>
        <v>#VALUE!</v>
      </c>
      <c r="CC41" t="e">
        <f>AND('BBP complete'!#REF!,"AAAAAH3/nFA=")</f>
        <v>#REF!</v>
      </c>
      <c r="CD41" t="e">
        <f>AND('BBP complete'!#REF!,"AAAAAH3/nFE=")</f>
        <v>#REF!</v>
      </c>
      <c r="CE41" t="e">
        <f>AND('BBP complete'!#REF!,"AAAAAH3/nFI=")</f>
        <v>#REF!</v>
      </c>
      <c r="CF41" t="e">
        <f>AND('BBP complete'!K54,"AAAAAH3/nFM=")</f>
        <v>#VALUE!</v>
      </c>
      <c r="CG41" t="e">
        <f>AND('BBP complete'!L54,"AAAAAH3/nFQ=")</f>
        <v>#VALUE!</v>
      </c>
      <c r="CH41" t="e">
        <f>AND('BBP complete'!M400,"AAAAAH3/nFU=")</f>
        <v>#VALUE!</v>
      </c>
      <c r="CI41" t="e">
        <f>AND('BBP complete'!N400,"AAAAAH3/nFY=")</f>
        <v>#VALUE!</v>
      </c>
      <c r="CJ41" t="e">
        <f>AND('BBP complete'!P410,"AAAAAH3/nFc=")</f>
        <v>#VALUE!</v>
      </c>
      <c r="CK41" t="e">
        <f>AND('BBP complete'!#REF!,"AAAAAH3/nFg=")</f>
        <v>#REF!</v>
      </c>
      <c r="CL41" t="e">
        <f>AND('BBP complete'!#REF!,"AAAAAH3/nFk=")</f>
        <v>#REF!</v>
      </c>
      <c r="CM41" t="e">
        <f>AND('BBP complete'!#REF!,"AAAAAH3/nFo=")</f>
        <v>#REF!</v>
      </c>
      <c r="CN41" t="e">
        <f>AND('BBP complete'!K55,"AAAAAH3/nFs=")</f>
        <v>#VALUE!</v>
      </c>
      <c r="CO41" t="e">
        <f>AND('BBP complete'!L55,"AAAAAH3/nFw=")</f>
        <v>#VALUE!</v>
      </c>
      <c r="CP41" t="e">
        <f>AND('BBP complete'!M401,"AAAAAH3/nF0=")</f>
        <v>#VALUE!</v>
      </c>
      <c r="CQ41" t="e">
        <f>AND('BBP complete'!N401,"AAAAAH3/nF4=")</f>
        <v>#VALUE!</v>
      </c>
      <c r="CR41" t="e">
        <f>AND('BBP complete'!P411,"AAAAAH3/nF8=")</f>
        <v>#VALUE!</v>
      </c>
      <c r="CS41" t="e">
        <f>AND('BBP complete'!#REF!,"AAAAAH3/nGA=")</f>
        <v>#REF!</v>
      </c>
      <c r="CT41" t="e">
        <f>AND('BBP complete'!#REF!,"AAAAAH3/nGE=")</f>
        <v>#REF!</v>
      </c>
      <c r="CU41" t="e">
        <f>AND('BBP complete'!#REF!,"AAAAAH3/nGI=")</f>
        <v>#REF!</v>
      </c>
      <c r="CV41" t="e">
        <f>AND('BBP complete'!K56,"AAAAAH3/nGM=")</f>
        <v>#VALUE!</v>
      </c>
      <c r="CW41" t="e">
        <f>AND('BBP complete'!L56,"AAAAAH3/nGQ=")</f>
        <v>#VALUE!</v>
      </c>
      <c r="CX41" t="e">
        <f>AND('BBP complete'!M402,"AAAAAH3/nGU=")</f>
        <v>#VALUE!</v>
      </c>
      <c r="CY41" t="e">
        <f>AND('BBP complete'!N402,"AAAAAH3/nGY=")</f>
        <v>#VALUE!</v>
      </c>
      <c r="CZ41" t="e">
        <f>AND('BBP complete'!P412,"AAAAAH3/nGc=")</f>
        <v>#VALUE!</v>
      </c>
      <c r="DA41" t="e">
        <f>AND('BBP complete'!#REF!,"AAAAAH3/nGg=")</f>
        <v>#REF!</v>
      </c>
      <c r="DB41" t="e">
        <f>AND('BBP complete'!#REF!,"AAAAAH3/nGk=")</f>
        <v>#REF!</v>
      </c>
      <c r="DC41" t="e">
        <f>AND('BBP complete'!#REF!,"AAAAAH3/nGo=")</f>
        <v>#REF!</v>
      </c>
      <c r="DD41" t="e">
        <f>AND('BBP complete'!K57,"AAAAAH3/nGs=")</f>
        <v>#VALUE!</v>
      </c>
      <c r="DE41" t="e">
        <f>AND('BBP complete'!L57,"AAAAAH3/nGw=")</f>
        <v>#VALUE!</v>
      </c>
      <c r="DF41" t="e">
        <f>AND('BBP complete'!M403,"AAAAAH3/nG0=")</f>
        <v>#VALUE!</v>
      </c>
      <c r="DG41" t="e">
        <f>AND('BBP complete'!N403,"AAAAAH3/nG4=")</f>
        <v>#VALUE!</v>
      </c>
      <c r="DH41" t="e">
        <f>AND('BBP complete'!P413,"AAAAAH3/nG8=")</f>
        <v>#VALUE!</v>
      </c>
      <c r="DI41" t="e">
        <f>AND('BBP complete'!#REF!,"AAAAAH3/nHA=")</f>
        <v>#REF!</v>
      </c>
      <c r="DJ41" t="e">
        <f>AND('BBP complete'!#REF!,"AAAAAH3/nHE=")</f>
        <v>#REF!</v>
      </c>
      <c r="DK41" t="e">
        <f>AND('BBP complete'!#REF!,"AAAAAH3/nHI=")</f>
        <v>#REF!</v>
      </c>
      <c r="DL41" t="e">
        <f>AND('BBP complete'!K58,"AAAAAH3/nHM=")</f>
        <v>#VALUE!</v>
      </c>
      <c r="DM41" t="e">
        <f>AND('BBP complete'!L58,"AAAAAH3/nHQ=")</f>
        <v>#VALUE!</v>
      </c>
      <c r="DN41" t="e">
        <f>AND('BBP complete'!M404,"AAAAAH3/nHU=")</f>
        <v>#VALUE!</v>
      </c>
      <c r="DO41" t="e">
        <f>AND('BBP complete'!N404,"AAAAAH3/nHY=")</f>
        <v>#VALUE!</v>
      </c>
      <c r="DP41" t="e">
        <f>AND('BBP complete'!P414,"AAAAAH3/nHc=")</f>
        <v>#VALUE!</v>
      </c>
      <c r="DQ41" t="e">
        <f>AND('BBP complete'!#REF!,"AAAAAH3/nHg=")</f>
        <v>#REF!</v>
      </c>
      <c r="DR41" t="e">
        <f>AND('BBP complete'!#REF!,"AAAAAH3/nHk=")</f>
        <v>#REF!</v>
      </c>
      <c r="DS41" t="e">
        <f>AND('BBP complete'!#REF!,"AAAAAH3/nHo=")</f>
        <v>#REF!</v>
      </c>
      <c r="DT41" t="e">
        <f>AND('BBP complete'!K59,"AAAAAH3/nHs=")</f>
        <v>#VALUE!</v>
      </c>
      <c r="DU41" t="e">
        <f>AND('BBP complete'!L59,"AAAAAH3/nHw=")</f>
        <v>#VALUE!</v>
      </c>
      <c r="DV41" t="e">
        <f>AND('BBP complete'!M405,"AAAAAH3/nH0=")</f>
        <v>#VALUE!</v>
      </c>
      <c r="DW41" t="e">
        <f>AND('BBP complete'!N405,"AAAAAH3/nH4=")</f>
        <v>#VALUE!</v>
      </c>
      <c r="DX41" t="e">
        <f>AND('BBP complete'!P415,"AAAAAH3/nH8=")</f>
        <v>#VALUE!</v>
      </c>
      <c r="DY41" t="e">
        <f>AND('BBP complete'!#REF!,"AAAAAH3/nIA=")</f>
        <v>#REF!</v>
      </c>
      <c r="DZ41" t="e">
        <f>AND('BBP complete'!#REF!,"AAAAAH3/nIE=")</f>
        <v>#REF!</v>
      </c>
      <c r="EA41" t="e">
        <f>AND('BBP complete'!#REF!,"AAAAAH3/nII=")</f>
        <v>#REF!</v>
      </c>
      <c r="EB41" t="e">
        <f>AND('BBP complete'!K60,"AAAAAH3/nIM=")</f>
        <v>#VALUE!</v>
      </c>
      <c r="EC41" t="e">
        <f>AND('BBP complete'!L60,"AAAAAH3/nIQ=")</f>
        <v>#VALUE!</v>
      </c>
      <c r="ED41" t="e">
        <f>AND('BBP complete'!M406,"AAAAAH3/nIU=")</f>
        <v>#VALUE!</v>
      </c>
      <c r="EE41" t="e">
        <f>AND('BBP complete'!N406,"AAAAAH3/nIY=")</f>
        <v>#VALUE!</v>
      </c>
      <c r="EF41" t="e">
        <f>AND('BBP complete'!P416,"AAAAAH3/nIc=")</f>
        <v>#VALUE!</v>
      </c>
      <c r="EG41" t="e">
        <f>AND('BBP complete'!#REF!,"AAAAAH3/nIg=")</f>
        <v>#REF!</v>
      </c>
      <c r="EH41" t="e">
        <f>AND('BBP complete'!#REF!,"AAAAAH3/nIk=")</f>
        <v>#REF!</v>
      </c>
      <c r="EI41" t="e">
        <f>AND('BBP complete'!#REF!,"AAAAAH3/nIo=")</f>
        <v>#REF!</v>
      </c>
      <c r="EJ41" t="e">
        <f>AND('BBP complete'!K61,"AAAAAH3/nIs=")</f>
        <v>#VALUE!</v>
      </c>
      <c r="EK41" t="e">
        <f>AND('BBP complete'!L61,"AAAAAH3/nIw=")</f>
        <v>#VALUE!</v>
      </c>
      <c r="EL41" t="e">
        <f>AND('BBP complete'!M407,"AAAAAH3/nI0=")</f>
        <v>#VALUE!</v>
      </c>
      <c r="EM41" t="e">
        <f>AND('BBP complete'!N407,"AAAAAH3/nI4=")</f>
        <v>#VALUE!</v>
      </c>
      <c r="EN41" t="e">
        <f>AND('BBP complete'!P417,"AAAAAH3/nI8=")</f>
        <v>#VALUE!</v>
      </c>
      <c r="EO41" t="e">
        <f>AND('BBP complete'!#REF!,"AAAAAH3/nJA=")</f>
        <v>#REF!</v>
      </c>
      <c r="EP41" t="e">
        <f>AND('BBP complete'!#REF!,"AAAAAH3/nJE=")</f>
        <v>#REF!</v>
      </c>
      <c r="EQ41" t="e">
        <f>AND('BBP complete'!#REF!,"AAAAAH3/nJI=")</f>
        <v>#REF!</v>
      </c>
      <c r="ER41" t="e">
        <f>AND('BBP complete'!K62,"AAAAAH3/nJM=")</f>
        <v>#VALUE!</v>
      </c>
      <c r="ES41" t="e">
        <f>AND('BBP complete'!L62,"AAAAAH3/nJQ=")</f>
        <v>#VALUE!</v>
      </c>
      <c r="ET41" t="e">
        <f>AND('BBP complete'!M408,"AAAAAH3/nJU=")</f>
        <v>#VALUE!</v>
      </c>
      <c r="EU41" t="e">
        <f>AND('BBP complete'!N408,"AAAAAH3/nJY=")</f>
        <v>#VALUE!</v>
      </c>
      <c r="EV41" t="e">
        <f>AND('BBP complete'!P418,"AAAAAH3/nJc=")</f>
        <v>#VALUE!</v>
      </c>
      <c r="EW41" t="e">
        <f>AND('BBP complete'!#REF!,"AAAAAH3/nJg=")</f>
        <v>#REF!</v>
      </c>
      <c r="EX41" t="e">
        <f>AND('BBP complete'!#REF!,"AAAAAH3/nJk=")</f>
        <v>#REF!</v>
      </c>
      <c r="EY41" t="e">
        <f>AND('BBP complete'!#REF!,"AAAAAH3/nJo=")</f>
        <v>#REF!</v>
      </c>
      <c r="EZ41" t="e">
        <f>AND('BBP complete'!K63,"AAAAAH3/nJs=")</f>
        <v>#VALUE!</v>
      </c>
      <c r="FA41" t="e">
        <f>AND('BBP complete'!L63,"AAAAAH3/nJw=")</f>
        <v>#VALUE!</v>
      </c>
      <c r="FB41" t="e">
        <f>AND('BBP complete'!M409,"AAAAAH3/nJ0=")</f>
        <v>#VALUE!</v>
      </c>
      <c r="FC41" t="e">
        <f>AND('BBP complete'!N409,"AAAAAH3/nJ4=")</f>
        <v>#VALUE!</v>
      </c>
      <c r="FD41" t="e">
        <f>AND('BBP complete'!P419,"AAAAAH3/nJ8=")</f>
        <v>#VALUE!</v>
      </c>
      <c r="FE41" t="e">
        <f>AND('BBP complete'!#REF!,"AAAAAH3/nKA=")</f>
        <v>#REF!</v>
      </c>
      <c r="FF41" t="e">
        <f>AND('BBP complete'!#REF!,"AAAAAH3/nKE=")</f>
        <v>#REF!</v>
      </c>
      <c r="FG41" t="e">
        <f>AND('BBP complete'!#REF!,"AAAAAH3/nKI=")</f>
        <v>#REF!</v>
      </c>
      <c r="FH41" t="e">
        <f>AND('BBP complete'!K64,"AAAAAH3/nKM=")</f>
        <v>#VALUE!</v>
      </c>
      <c r="FI41" t="e">
        <f>AND('BBP complete'!L64,"AAAAAH3/nKQ=")</f>
        <v>#VALUE!</v>
      </c>
      <c r="FJ41" t="e">
        <f>AND('BBP complete'!M410,"AAAAAH3/nKU=")</f>
        <v>#VALUE!</v>
      </c>
      <c r="FK41" t="e">
        <f>AND('BBP complete'!N410,"AAAAAH3/nKY=")</f>
        <v>#VALUE!</v>
      </c>
      <c r="FL41" t="e">
        <f>AND('BBP complete'!P420,"AAAAAH3/nKc=")</f>
        <v>#VALUE!</v>
      </c>
      <c r="FM41" t="e">
        <f>AND('BBP complete'!#REF!,"AAAAAH3/nKg=")</f>
        <v>#REF!</v>
      </c>
      <c r="FN41" t="e">
        <f>AND('BBP complete'!#REF!,"AAAAAH3/nKk=")</f>
        <v>#REF!</v>
      </c>
      <c r="FO41" t="e">
        <f>AND('BBP complete'!#REF!,"AAAAAH3/nKo=")</f>
        <v>#REF!</v>
      </c>
      <c r="FP41" t="e">
        <f>AND('BBP complete'!K65,"AAAAAH3/nKs=")</f>
        <v>#VALUE!</v>
      </c>
      <c r="FQ41" t="e">
        <f>AND('BBP complete'!L65,"AAAAAH3/nKw=")</f>
        <v>#VALUE!</v>
      </c>
      <c r="FR41" t="e">
        <f>AND('BBP complete'!M411,"AAAAAH3/nK0=")</f>
        <v>#VALUE!</v>
      </c>
      <c r="FS41" t="e">
        <f>AND('BBP complete'!N411,"AAAAAH3/nK4=")</f>
        <v>#VALUE!</v>
      </c>
      <c r="FT41" t="e">
        <f>AND('BBP complete'!P421,"AAAAAH3/nK8=")</f>
        <v>#VALUE!</v>
      </c>
      <c r="FU41" t="e">
        <f>AND('BBP complete'!#REF!,"AAAAAH3/nLA=")</f>
        <v>#REF!</v>
      </c>
      <c r="FV41" t="e">
        <f>AND('BBP complete'!#REF!,"AAAAAH3/nLE=")</f>
        <v>#REF!</v>
      </c>
      <c r="FW41" t="e">
        <f>AND('BBP complete'!#REF!,"AAAAAH3/nLI=")</f>
        <v>#REF!</v>
      </c>
      <c r="FX41" t="e">
        <f>AND('BBP complete'!K66,"AAAAAH3/nLM=")</f>
        <v>#VALUE!</v>
      </c>
      <c r="FY41" t="e">
        <f>AND('BBP complete'!L66,"AAAAAH3/nLQ=")</f>
        <v>#VALUE!</v>
      </c>
      <c r="FZ41" t="e">
        <f>AND('BBP complete'!M412,"AAAAAH3/nLU=")</f>
        <v>#VALUE!</v>
      </c>
      <c r="GA41" t="e">
        <f>AND('BBP complete'!N412,"AAAAAH3/nLY=")</f>
        <v>#VALUE!</v>
      </c>
      <c r="GB41" t="e">
        <f>AND('BBP complete'!P422,"AAAAAH3/nLc=")</f>
        <v>#VALUE!</v>
      </c>
      <c r="GC41" t="e">
        <f>AND('BBP complete'!#REF!,"AAAAAH3/nLg=")</f>
        <v>#REF!</v>
      </c>
      <c r="GD41" t="e">
        <f>AND('BBP complete'!#REF!,"AAAAAH3/nLk=")</f>
        <v>#REF!</v>
      </c>
      <c r="GE41" t="e">
        <f>AND('BBP complete'!#REF!,"AAAAAH3/nLo=")</f>
        <v>#REF!</v>
      </c>
      <c r="GF41" t="e">
        <f>AND('BBP complete'!K67,"AAAAAH3/nLs=")</f>
        <v>#VALUE!</v>
      </c>
      <c r="GG41" t="e">
        <f>AND('BBP complete'!L67,"AAAAAH3/nLw=")</f>
        <v>#VALUE!</v>
      </c>
      <c r="GH41" t="e">
        <f>AND('BBP complete'!M413,"AAAAAH3/nL0=")</f>
        <v>#VALUE!</v>
      </c>
      <c r="GI41" t="e">
        <f>AND('BBP complete'!N413,"AAAAAH3/nL4=")</f>
        <v>#VALUE!</v>
      </c>
      <c r="GJ41" t="e">
        <f>AND('BBP complete'!P423,"AAAAAH3/nL8=")</f>
        <v>#VALUE!</v>
      </c>
      <c r="GK41" t="e">
        <f>AND('BBP complete'!#REF!,"AAAAAH3/nMA=")</f>
        <v>#REF!</v>
      </c>
      <c r="GL41" t="e">
        <f>AND('BBP complete'!#REF!,"AAAAAH3/nME=")</f>
        <v>#REF!</v>
      </c>
      <c r="GM41" t="e">
        <f>AND('BBP complete'!#REF!,"AAAAAH3/nMI=")</f>
        <v>#REF!</v>
      </c>
      <c r="GN41" t="e">
        <f>AND('BBP complete'!K68,"AAAAAH3/nMM=")</f>
        <v>#VALUE!</v>
      </c>
      <c r="GO41" t="e">
        <f>AND('BBP complete'!L68,"AAAAAH3/nMQ=")</f>
        <v>#VALUE!</v>
      </c>
      <c r="GP41" t="e">
        <f>AND('BBP complete'!M414,"AAAAAH3/nMU=")</f>
        <v>#VALUE!</v>
      </c>
      <c r="GQ41" t="e">
        <f>AND('BBP complete'!N414,"AAAAAH3/nMY=")</f>
        <v>#VALUE!</v>
      </c>
      <c r="GR41" t="e">
        <f>AND('BBP complete'!P424,"AAAAAH3/nMc=")</f>
        <v>#VALUE!</v>
      </c>
      <c r="GS41" t="e">
        <f>AND('BBP complete'!#REF!,"AAAAAH3/nMg=")</f>
        <v>#REF!</v>
      </c>
      <c r="GT41" t="e">
        <f>AND('BBP complete'!#REF!,"AAAAAH3/nMk=")</f>
        <v>#REF!</v>
      </c>
      <c r="GU41" t="e">
        <f>AND('BBP complete'!#REF!,"AAAAAH3/nMo=")</f>
        <v>#REF!</v>
      </c>
      <c r="GV41" t="e">
        <f>AND('BBP complete'!K69,"AAAAAH3/nMs=")</f>
        <v>#VALUE!</v>
      </c>
      <c r="GW41" t="e">
        <f>AND('BBP complete'!L69,"AAAAAH3/nMw=")</f>
        <v>#VALUE!</v>
      </c>
      <c r="GX41" t="e">
        <f>AND('BBP complete'!M415,"AAAAAH3/nM0=")</f>
        <v>#VALUE!</v>
      </c>
      <c r="GY41" t="e">
        <f>AND('BBP complete'!N415,"AAAAAH3/nM4=")</f>
        <v>#VALUE!</v>
      </c>
      <c r="GZ41" t="e">
        <f>AND('BBP complete'!P425,"AAAAAH3/nM8=")</f>
        <v>#VALUE!</v>
      </c>
      <c r="HA41" t="e">
        <f>AND('BBP complete'!#REF!,"AAAAAH3/nNA=")</f>
        <v>#REF!</v>
      </c>
      <c r="HB41" t="e">
        <f>AND('BBP complete'!#REF!,"AAAAAH3/nNE=")</f>
        <v>#REF!</v>
      </c>
      <c r="HC41" t="e">
        <f>AND('BBP complete'!#REF!,"AAAAAH3/nNI=")</f>
        <v>#REF!</v>
      </c>
      <c r="HD41" t="e">
        <f>AND('BBP complete'!K70,"AAAAAH3/nNM=")</f>
        <v>#VALUE!</v>
      </c>
      <c r="HE41" t="e">
        <f>AND('BBP complete'!L70,"AAAAAH3/nNQ=")</f>
        <v>#VALUE!</v>
      </c>
      <c r="HF41" t="e">
        <f>AND('BBP complete'!M416,"AAAAAH3/nNU=")</f>
        <v>#VALUE!</v>
      </c>
      <c r="HG41" t="e">
        <f>AND('BBP complete'!N416,"AAAAAH3/nNY=")</f>
        <v>#VALUE!</v>
      </c>
      <c r="HH41" t="e">
        <f>AND('BBP complete'!P426,"AAAAAH3/nNc=")</f>
        <v>#VALUE!</v>
      </c>
      <c r="HI41" t="e">
        <f>AND('BBP complete'!#REF!,"AAAAAH3/nNg=")</f>
        <v>#REF!</v>
      </c>
      <c r="HJ41" t="e">
        <f>AND('BBP complete'!#REF!,"AAAAAH3/nNk=")</f>
        <v>#REF!</v>
      </c>
      <c r="HK41" t="e">
        <f>AND('BBP complete'!#REF!,"AAAAAH3/nNo=")</f>
        <v>#REF!</v>
      </c>
      <c r="HL41" t="e">
        <f>AND('BBP complete'!K71,"AAAAAH3/nNs=")</f>
        <v>#VALUE!</v>
      </c>
      <c r="HM41" t="e">
        <f>AND('BBP complete'!L71,"AAAAAH3/nNw=")</f>
        <v>#VALUE!</v>
      </c>
      <c r="HN41" t="e">
        <f>AND('BBP complete'!M417,"AAAAAH3/nN0=")</f>
        <v>#VALUE!</v>
      </c>
      <c r="HO41" t="e">
        <f>AND('BBP complete'!N417,"AAAAAH3/nN4=")</f>
        <v>#VALUE!</v>
      </c>
      <c r="HP41" t="e">
        <f>AND('BBP complete'!P427,"AAAAAH3/nN8=")</f>
        <v>#VALUE!</v>
      </c>
      <c r="HQ41" t="e">
        <f>AND('BBP complete'!#REF!,"AAAAAH3/nOA=")</f>
        <v>#REF!</v>
      </c>
      <c r="HR41" t="e">
        <f>AND('BBP complete'!#REF!,"AAAAAH3/nOE=")</f>
        <v>#REF!</v>
      </c>
      <c r="HS41" t="e">
        <f>AND('BBP complete'!#REF!,"AAAAAH3/nOI=")</f>
        <v>#REF!</v>
      </c>
      <c r="HT41" t="e">
        <f>AND('BBP complete'!K72,"AAAAAH3/nOM=")</f>
        <v>#VALUE!</v>
      </c>
      <c r="HU41" t="e">
        <f>AND('BBP complete'!L72,"AAAAAH3/nOQ=")</f>
        <v>#VALUE!</v>
      </c>
      <c r="HV41" t="e">
        <f>AND('BBP complete'!M418,"AAAAAH3/nOU=")</f>
        <v>#VALUE!</v>
      </c>
      <c r="HW41" t="e">
        <f>AND('BBP complete'!N418,"AAAAAH3/nOY=")</f>
        <v>#VALUE!</v>
      </c>
      <c r="HX41" t="e">
        <f>AND('BBP complete'!P428,"AAAAAH3/nOc=")</f>
        <v>#VALUE!</v>
      </c>
      <c r="HY41" t="e">
        <f>AND('BBP complete'!#REF!,"AAAAAH3/nOg=")</f>
        <v>#REF!</v>
      </c>
      <c r="HZ41" t="e">
        <f>AND('BBP complete'!#REF!,"AAAAAH3/nOk=")</f>
        <v>#REF!</v>
      </c>
      <c r="IA41" t="e">
        <f>AND('BBP complete'!#REF!,"AAAAAH3/nOo=")</f>
        <v>#REF!</v>
      </c>
      <c r="IB41" t="e">
        <f>AND('BBP complete'!K73,"AAAAAH3/nOs=")</f>
        <v>#VALUE!</v>
      </c>
      <c r="IC41" t="e">
        <f>AND('BBP complete'!L73,"AAAAAH3/nOw=")</f>
        <v>#VALUE!</v>
      </c>
      <c r="ID41" t="e">
        <f>AND('BBP complete'!M419,"AAAAAH3/nO0=")</f>
        <v>#VALUE!</v>
      </c>
      <c r="IE41" t="e">
        <f>AND('BBP complete'!N419,"AAAAAH3/nO4=")</f>
        <v>#VALUE!</v>
      </c>
      <c r="IF41" t="e">
        <f>AND('BBP complete'!P429,"AAAAAH3/nO8=")</f>
        <v>#VALUE!</v>
      </c>
      <c r="IG41" t="e">
        <f>AND('BBP complete'!#REF!,"AAAAAH3/nPA=")</f>
        <v>#REF!</v>
      </c>
      <c r="IH41" t="e">
        <f>AND('BBP complete'!#REF!,"AAAAAH3/nPE=")</f>
        <v>#REF!</v>
      </c>
      <c r="II41" t="e">
        <f>AND('BBP complete'!#REF!,"AAAAAH3/nPI=")</f>
        <v>#REF!</v>
      </c>
      <c r="IJ41" t="e">
        <f>AND('BBP complete'!K74,"AAAAAH3/nPM=")</f>
        <v>#VALUE!</v>
      </c>
      <c r="IK41" t="e">
        <f>AND('BBP complete'!L74,"AAAAAH3/nPQ=")</f>
        <v>#VALUE!</v>
      </c>
      <c r="IL41" t="e">
        <f>AND('BBP complete'!M420,"AAAAAH3/nPU=")</f>
        <v>#VALUE!</v>
      </c>
      <c r="IM41" t="e">
        <f>AND('BBP complete'!N420,"AAAAAH3/nPY=")</f>
        <v>#VALUE!</v>
      </c>
      <c r="IN41" t="e">
        <f>AND('BBP complete'!P430,"AAAAAH3/nPc=")</f>
        <v>#VALUE!</v>
      </c>
      <c r="IO41" t="e">
        <f>AND('BBP complete'!#REF!,"AAAAAH3/nPg=")</f>
        <v>#REF!</v>
      </c>
      <c r="IP41" t="e">
        <f>AND('BBP complete'!#REF!,"AAAAAH3/nPk=")</f>
        <v>#REF!</v>
      </c>
      <c r="IQ41" t="e">
        <f>AND('BBP complete'!#REF!,"AAAAAH3/nPo=")</f>
        <v>#REF!</v>
      </c>
      <c r="IR41" t="e">
        <f>AND('BBP complete'!K75,"AAAAAH3/nPs=")</f>
        <v>#VALUE!</v>
      </c>
      <c r="IS41" t="e">
        <f>AND('BBP complete'!L75,"AAAAAH3/nPw=")</f>
        <v>#VALUE!</v>
      </c>
      <c r="IT41" t="e">
        <f>AND('BBP complete'!M421,"AAAAAH3/nP0=")</f>
        <v>#VALUE!</v>
      </c>
      <c r="IU41" t="e">
        <f>AND('BBP complete'!N421,"AAAAAH3/nP4=")</f>
        <v>#VALUE!</v>
      </c>
      <c r="IV41" t="e">
        <f>AND('BBP complete'!P431,"AAAAAH3/nP8=")</f>
        <v>#VALUE!</v>
      </c>
    </row>
    <row r="42" spans="1:256" ht="15" customHeight="1" x14ac:dyDescent="0.25">
      <c r="A42" t="e">
        <f>AND('BBP complete'!#REF!,"AAAAAD37/wA=")</f>
        <v>#REF!</v>
      </c>
      <c r="B42" t="e">
        <f>AND('BBP complete'!#REF!,"AAAAAD37/wE=")</f>
        <v>#REF!</v>
      </c>
      <c r="C42" t="e">
        <f>AND('BBP complete'!#REF!,"AAAAAD37/wI=")</f>
        <v>#REF!</v>
      </c>
      <c r="D42" t="e">
        <f>AND('BBP complete'!K76,"AAAAAD37/wM=")</f>
        <v>#VALUE!</v>
      </c>
      <c r="E42" t="e">
        <f>AND('BBP complete'!L76,"AAAAAD37/wQ=")</f>
        <v>#VALUE!</v>
      </c>
      <c r="F42" t="e">
        <f>AND('BBP complete'!M422,"AAAAAD37/wU=")</f>
        <v>#VALUE!</v>
      </c>
      <c r="G42" t="e">
        <f>AND('BBP complete'!N422,"AAAAAD37/wY=")</f>
        <v>#VALUE!</v>
      </c>
      <c r="H42" t="e">
        <f>AND('BBP complete'!P432,"AAAAAD37/wc=")</f>
        <v>#VALUE!</v>
      </c>
      <c r="I42" t="e">
        <f>AND('BBP complete'!#REF!,"AAAAAD37/wg=")</f>
        <v>#REF!</v>
      </c>
      <c r="J42" t="e">
        <f>AND('BBP complete'!#REF!,"AAAAAD37/wk=")</f>
        <v>#REF!</v>
      </c>
      <c r="K42" t="e">
        <f>AND('BBP complete'!#REF!,"AAAAAD37/wo=")</f>
        <v>#REF!</v>
      </c>
      <c r="L42" t="e">
        <f>AND('BBP complete'!K77,"AAAAAD37/ws=")</f>
        <v>#VALUE!</v>
      </c>
      <c r="M42" t="e">
        <f>AND('BBP complete'!L77,"AAAAAD37/ww=")</f>
        <v>#VALUE!</v>
      </c>
      <c r="N42" t="e">
        <f>AND('BBP complete'!M423,"AAAAAD37/w0=")</f>
        <v>#VALUE!</v>
      </c>
      <c r="O42" t="e">
        <f>AND('BBP complete'!N423,"AAAAAD37/w4=")</f>
        <v>#VALUE!</v>
      </c>
      <c r="P42" t="e">
        <f>AND('BBP complete'!P433,"AAAAAD37/w8=")</f>
        <v>#VALUE!</v>
      </c>
      <c r="Q42" t="e">
        <f>AND('BBP complete'!#REF!,"AAAAAD37/xA=")</f>
        <v>#REF!</v>
      </c>
      <c r="R42" t="e">
        <f>AND('BBP complete'!#REF!,"AAAAAD37/xE=")</f>
        <v>#REF!</v>
      </c>
      <c r="S42" t="e">
        <f>AND('BBP complete'!#REF!,"AAAAAD37/xI=")</f>
        <v>#REF!</v>
      </c>
      <c r="T42" t="e">
        <f>AND('BBP complete'!K78,"AAAAAD37/xM=")</f>
        <v>#VALUE!</v>
      </c>
      <c r="U42" t="e">
        <f>AND('BBP complete'!L78,"AAAAAD37/xQ=")</f>
        <v>#VALUE!</v>
      </c>
      <c r="V42" t="e">
        <f>AND('BBP complete'!M424,"AAAAAD37/xU=")</f>
        <v>#VALUE!</v>
      </c>
      <c r="W42" t="e">
        <f>AND('BBP complete'!N424,"AAAAAD37/xY=")</f>
        <v>#VALUE!</v>
      </c>
      <c r="X42" t="e">
        <f>AND('BBP complete'!P434,"AAAAAD37/xc=")</f>
        <v>#VALUE!</v>
      </c>
      <c r="Y42" t="e">
        <f>AND('BBP complete'!#REF!,"AAAAAD37/xg=")</f>
        <v>#REF!</v>
      </c>
      <c r="Z42" t="e">
        <f>AND('BBP complete'!#REF!,"AAAAAD37/xk=")</f>
        <v>#REF!</v>
      </c>
      <c r="AA42" t="e">
        <f>AND('BBP complete'!#REF!,"AAAAAD37/xo=")</f>
        <v>#REF!</v>
      </c>
      <c r="AB42" t="e">
        <f>AND('BBP complete'!K79,"AAAAAD37/xs=")</f>
        <v>#VALUE!</v>
      </c>
      <c r="AC42" t="e">
        <f>AND('BBP complete'!L79,"AAAAAD37/xw=")</f>
        <v>#VALUE!</v>
      </c>
      <c r="AD42" t="e">
        <f>AND('BBP complete'!M425,"AAAAAD37/x0=")</f>
        <v>#VALUE!</v>
      </c>
      <c r="AE42" t="e">
        <f>AND('BBP complete'!N425,"AAAAAD37/x4=")</f>
        <v>#VALUE!</v>
      </c>
      <c r="AF42" t="e">
        <f>AND('BBP complete'!P435,"AAAAAD37/x8=")</f>
        <v>#VALUE!</v>
      </c>
      <c r="AG42" t="e">
        <f>AND('BBP complete'!#REF!,"AAAAAD37/yA=")</f>
        <v>#REF!</v>
      </c>
      <c r="AH42" t="e">
        <f>AND('BBP complete'!#REF!,"AAAAAD37/yE=")</f>
        <v>#REF!</v>
      </c>
      <c r="AI42" t="e">
        <f>AND('BBP complete'!#REF!,"AAAAAD37/yI=")</f>
        <v>#REF!</v>
      </c>
      <c r="AJ42" t="e">
        <f>AND('BBP complete'!K80,"AAAAAD37/yM=")</f>
        <v>#VALUE!</v>
      </c>
      <c r="AK42" t="e">
        <f>AND('BBP complete'!L80,"AAAAAD37/yQ=")</f>
        <v>#VALUE!</v>
      </c>
      <c r="AL42" t="e">
        <f>AND('BBP complete'!M426,"AAAAAD37/yU=")</f>
        <v>#VALUE!</v>
      </c>
      <c r="AM42" t="e">
        <f>AND('BBP complete'!N426,"AAAAAD37/yY=")</f>
        <v>#VALUE!</v>
      </c>
      <c r="AN42" t="e">
        <f>AND('BBP complete'!P436,"AAAAAD37/yc=")</f>
        <v>#VALUE!</v>
      </c>
      <c r="AO42" t="e">
        <f>AND('BBP complete'!#REF!,"AAAAAD37/yg=")</f>
        <v>#REF!</v>
      </c>
      <c r="AP42" t="e">
        <f>AND('BBP complete'!#REF!,"AAAAAD37/yk=")</f>
        <v>#REF!</v>
      </c>
      <c r="AQ42" t="e">
        <f>AND('BBP complete'!#REF!,"AAAAAD37/yo=")</f>
        <v>#REF!</v>
      </c>
      <c r="AR42" t="e">
        <f>AND('BBP complete'!K81,"AAAAAD37/ys=")</f>
        <v>#VALUE!</v>
      </c>
      <c r="AS42" t="e">
        <f>AND('BBP complete'!L81,"AAAAAD37/yw=")</f>
        <v>#VALUE!</v>
      </c>
      <c r="AT42" t="e">
        <f>AND('BBP complete'!M427,"AAAAAD37/y0=")</f>
        <v>#VALUE!</v>
      </c>
      <c r="AU42" t="e">
        <f>AND('BBP complete'!N427,"AAAAAD37/y4=")</f>
        <v>#VALUE!</v>
      </c>
      <c r="AV42" t="e">
        <f>AND('BBP complete'!P437,"AAAAAD37/y8=")</f>
        <v>#VALUE!</v>
      </c>
      <c r="AW42" t="e">
        <f>AND('BBP complete'!#REF!,"AAAAAD37/zA=")</f>
        <v>#REF!</v>
      </c>
      <c r="AX42" t="e">
        <f>AND('BBP complete'!#REF!,"AAAAAD37/zE=")</f>
        <v>#REF!</v>
      </c>
      <c r="AY42" t="e">
        <f>AND('BBP complete'!#REF!,"AAAAAD37/zI=")</f>
        <v>#REF!</v>
      </c>
      <c r="AZ42" t="e">
        <f>AND('BBP complete'!K82,"AAAAAD37/zM=")</f>
        <v>#VALUE!</v>
      </c>
      <c r="BA42" t="e">
        <f>AND('BBP complete'!L82,"AAAAAD37/zQ=")</f>
        <v>#VALUE!</v>
      </c>
      <c r="BB42" t="e">
        <f>AND('BBP complete'!M428,"AAAAAD37/zU=")</f>
        <v>#VALUE!</v>
      </c>
      <c r="BC42" t="e">
        <f>AND('BBP complete'!N428,"AAAAAD37/zY=")</f>
        <v>#VALUE!</v>
      </c>
      <c r="BD42" t="e">
        <f>AND('BBP complete'!P438,"AAAAAD37/zc=")</f>
        <v>#VALUE!</v>
      </c>
      <c r="BE42" t="e">
        <f>AND('BBP complete'!#REF!,"AAAAAD37/zg=")</f>
        <v>#REF!</v>
      </c>
      <c r="BF42" t="e">
        <f>AND('BBP complete'!#REF!,"AAAAAD37/zk=")</f>
        <v>#REF!</v>
      </c>
      <c r="BG42" t="e">
        <f>AND('BBP complete'!#REF!,"AAAAAD37/zo=")</f>
        <v>#REF!</v>
      </c>
      <c r="BH42" t="e">
        <f>AND('BBP complete'!K83,"AAAAAD37/zs=")</f>
        <v>#VALUE!</v>
      </c>
      <c r="BI42" t="e">
        <f>AND('BBP complete'!L83,"AAAAAD37/zw=")</f>
        <v>#VALUE!</v>
      </c>
      <c r="BJ42" t="e">
        <f>AND('BBP complete'!M429,"AAAAAD37/z0=")</f>
        <v>#VALUE!</v>
      </c>
      <c r="BK42" t="e">
        <f>AND('BBP complete'!N429,"AAAAAD37/z4=")</f>
        <v>#VALUE!</v>
      </c>
      <c r="BL42" t="e">
        <f>AND('BBP complete'!P439,"AAAAAD37/z8=")</f>
        <v>#VALUE!</v>
      </c>
      <c r="BM42" t="e">
        <f>AND('BBP complete'!#REF!,"AAAAAD37/0A=")</f>
        <v>#REF!</v>
      </c>
      <c r="BN42" t="e">
        <f>AND('BBP complete'!#REF!,"AAAAAD37/0E=")</f>
        <v>#REF!</v>
      </c>
      <c r="BO42" t="e">
        <f>AND('BBP complete'!#REF!,"AAAAAD37/0I=")</f>
        <v>#REF!</v>
      </c>
      <c r="BP42" t="e">
        <f>AND('BBP complete'!K84,"AAAAAD37/0M=")</f>
        <v>#VALUE!</v>
      </c>
      <c r="BQ42" t="e">
        <f>AND('BBP complete'!L84,"AAAAAD37/0Q=")</f>
        <v>#VALUE!</v>
      </c>
      <c r="BR42" t="e">
        <f>AND('BBP complete'!M430,"AAAAAD37/0U=")</f>
        <v>#VALUE!</v>
      </c>
      <c r="BS42" t="e">
        <f>AND('BBP complete'!N430,"AAAAAD37/0Y=")</f>
        <v>#VALUE!</v>
      </c>
      <c r="BT42" t="e">
        <f>AND('BBP complete'!P440,"AAAAAD37/0c=")</f>
        <v>#VALUE!</v>
      </c>
      <c r="BU42" t="e">
        <f>AND('BBP complete'!#REF!,"AAAAAD37/0g=")</f>
        <v>#REF!</v>
      </c>
      <c r="BV42" t="e">
        <f>AND('BBP complete'!#REF!,"AAAAAD37/0k=")</f>
        <v>#REF!</v>
      </c>
      <c r="BW42" t="e">
        <f>AND('BBP complete'!#REF!,"AAAAAD37/0o=")</f>
        <v>#REF!</v>
      </c>
      <c r="BX42" t="e">
        <f>AND('BBP complete'!K85,"AAAAAD37/0s=")</f>
        <v>#VALUE!</v>
      </c>
      <c r="BY42" t="e">
        <f>AND('BBP complete'!L85,"AAAAAD37/0w=")</f>
        <v>#VALUE!</v>
      </c>
      <c r="BZ42" t="e">
        <f>AND('BBP complete'!M431,"AAAAAD37/00=")</f>
        <v>#VALUE!</v>
      </c>
      <c r="CA42" t="e">
        <f>AND('BBP complete'!N431,"AAAAAD37/04=")</f>
        <v>#VALUE!</v>
      </c>
      <c r="CB42" t="e">
        <f>AND('BBP complete'!P441,"AAAAAD37/08=")</f>
        <v>#VALUE!</v>
      </c>
      <c r="CC42" t="e">
        <f>AND('BBP complete'!#REF!,"AAAAAD37/1A=")</f>
        <v>#REF!</v>
      </c>
      <c r="CD42" t="e">
        <f>AND('BBP complete'!#REF!,"AAAAAD37/1E=")</f>
        <v>#REF!</v>
      </c>
      <c r="CE42" t="e">
        <f>AND('BBP complete'!#REF!,"AAAAAD37/1I=")</f>
        <v>#REF!</v>
      </c>
      <c r="CF42" t="e">
        <f>AND('BBP complete'!K86,"AAAAAD37/1M=")</f>
        <v>#VALUE!</v>
      </c>
      <c r="CG42" t="e">
        <f>AND('BBP complete'!L86,"AAAAAD37/1Q=")</f>
        <v>#VALUE!</v>
      </c>
      <c r="CH42" t="e">
        <f>AND('BBP complete'!M432,"AAAAAD37/1U=")</f>
        <v>#VALUE!</v>
      </c>
      <c r="CI42" t="e">
        <f>AND('BBP complete'!N432,"AAAAAD37/1Y=")</f>
        <v>#VALUE!</v>
      </c>
      <c r="CJ42" t="e">
        <f>AND('BBP complete'!P442,"AAAAAD37/1c=")</f>
        <v>#VALUE!</v>
      </c>
      <c r="CK42" t="e">
        <f>AND('BBP complete'!#REF!,"AAAAAD37/1g=")</f>
        <v>#REF!</v>
      </c>
      <c r="CL42" t="e">
        <f>AND('BBP complete'!#REF!,"AAAAAD37/1k=")</f>
        <v>#REF!</v>
      </c>
      <c r="CM42" t="e">
        <f>AND('BBP complete'!#REF!,"AAAAAD37/1o=")</f>
        <v>#REF!</v>
      </c>
      <c r="CN42" t="e">
        <f>AND('BBP complete'!K87,"AAAAAD37/1s=")</f>
        <v>#VALUE!</v>
      </c>
      <c r="CO42" t="e">
        <f>AND('BBP complete'!L87,"AAAAAD37/1w=")</f>
        <v>#VALUE!</v>
      </c>
      <c r="CP42" t="e">
        <f>AND('BBP complete'!M433,"AAAAAD37/10=")</f>
        <v>#VALUE!</v>
      </c>
      <c r="CQ42" t="e">
        <f>AND('BBP complete'!N433,"AAAAAD37/14=")</f>
        <v>#VALUE!</v>
      </c>
      <c r="CR42" t="e">
        <f>AND('BBP complete'!P443,"AAAAAD37/18=")</f>
        <v>#VALUE!</v>
      </c>
      <c r="CS42" t="e">
        <f>AND('BBP complete'!#REF!,"AAAAAD37/2A=")</f>
        <v>#REF!</v>
      </c>
      <c r="CT42" t="e">
        <f>AND('BBP complete'!#REF!,"AAAAAD37/2E=")</f>
        <v>#REF!</v>
      </c>
      <c r="CU42" t="e">
        <f>AND('BBP complete'!#REF!,"AAAAAD37/2I=")</f>
        <v>#REF!</v>
      </c>
      <c r="CV42" t="e">
        <f>AND('BBP complete'!K88,"AAAAAD37/2M=")</f>
        <v>#VALUE!</v>
      </c>
      <c r="CW42" t="e">
        <f>AND('BBP complete'!L88,"AAAAAD37/2Q=")</f>
        <v>#VALUE!</v>
      </c>
      <c r="CX42" t="e">
        <f>AND('BBP complete'!M434,"AAAAAD37/2U=")</f>
        <v>#VALUE!</v>
      </c>
      <c r="CY42" t="e">
        <f>AND('BBP complete'!N434,"AAAAAD37/2Y=")</f>
        <v>#VALUE!</v>
      </c>
      <c r="CZ42" t="e">
        <f>AND('BBP complete'!P444,"AAAAAD37/2c=")</f>
        <v>#VALUE!</v>
      </c>
      <c r="DA42" t="e">
        <f>AND('BBP complete'!#REF!,"AAAAAD37/2g=")</f>
        <v>#REF!</v>
      </c>
      <c r="DB42" t="e">
        <f>AND('BBP complete'!#REF!,"AAAAAD37/2k=")</f>
        <v>#REF!</v>
      </c>
      <c r="DC42" t="e">
        <f>AND('BBP complete'!#REF!,"AAAAAD37/2o=")</f>
        <v>#REF!</v>
      </c>
      <c r="DD42" t="e">
        <f>AND('BBP complete'!K89,"AAAAAD37/2s=")</f>
        <v>#VALUE!</v>
      </c>
      <c r="DE42" t="e">
        <f>AND('BBP complete'!L89,"AAAAAD37/2w=")</f>
        <v>#VALUE!</v>
      </c>
      <c r="DF42" t="e">
        <f>AND('BBP complete'!M435,"AAAAAD37/20=")</f>
        <v>#VALUE!</v>
      </c>
      <c r="DG42" t="e">
        <f>AND('BBP complete'!N435,"AAAAAD37/24=")</f>
        <v>#VALUE!</v>
      </c>
      <c r="DH42" t="e">
        <f>AND('BBP complete'!P445,"AAAAAD37/28=")</f>
        <v>#VALUE!</v>
      </c>
      <c r="DI42" t="e">
        <f>AND('BBP complete'!#REF!,"AAAAAD37/3A=")</f>
        <v>#REF!</v>
      </c>
      <c r="DJ42" t="e">
        <f>AND('BBP complete'!#REF!,"AAAAAD37/3E=")</f>
        <v>#REF!</v>
      </c>
      <c r="DK42" t="e">
        <f>AND('BBP complete'!#REF!,"AAAAAD37/3I=")</f>
        <v>#REF!</v>
      </c>
      <c r="DL42" t="e">
        <f>AND('BBP complete'!K90,"AAAAAD37/3M=")</f>
        <v>#VALUE!</v>
      </c>
      <c r="DM42" t="e">
        <f>AND('BBP complete'!L90,"AAAAAD37/3Q=")</f>
        <v>#VALUE!</v>
      </c>
      <c r="DN42" t="e">
        <f>AND('BBP complete'!M436,"AAAAAD37/3U=")</f>
        <v>#VALUE!</v>
      </c>
      <c r="DO42" t="e">
        <f>AND('BBP complete'!N436,"AAAAAD37/3Y=")</f>
        <v>#VALUE!</v>
      </c>
      <c r="DP42" t="e">
        <f>AND('BBP complete'!P446,"AAAAAD37/3c=")</f>
        <v>#VALUE!</v>
      </c>
      <c r="DQ42" t="e">
        <f>AND('BBP complete'!#REF!,"AAAAAD37/3g=")</f>
        <v>#REF!</v>
      </c>
      <c r="DR42" t="e">
        <f>AND('BBP complete'!#REF!,"AAAAAD37/3k=")</f>
        <v>#REF!</v>
      </c>
      <c r="DS42" t="e">
        <f>AND('BBP complete'!#REF!,"AAAAAD37/3o=")</f>
        <v>#REF!</v>
      </c>
      <c r="DT42" t="e">
        <f>AND('BBP complete'!K91,"AAAAAD37/3s=")</f>
        <v>#VALUE!</v>
      </c>
      <c r="DU42" t="e">
        <f>AND('BBP complete'!L91,"AAAAAD37/3w=")</f>
        <v>#VALUE!</v>
      </c>
      <c r="DV42" t="e">
        <f>AND('BBP complete'!M437,"AAAAAD37/30=")</f>
        <v>#VALUE!</v>
      </c>
      <c r="DW42" t="e">
        <f>AND('BBP complete'!N437,"AAAAAD37/34=")</f>
        <v>#VALUE!</v>
      </c>
      <c r="DX42" t="e">
        <f>AND('BBP complete'!P447,"AAAAAD37/38=")</f>
        <v>#VALUE!</v>
      </c>
      <c r="DY42" t="e">
        <f>AND('BBP complete'!#REF!,"AAAAAD37/4A=")</f>
        <v>#REF!</v>
      </c>
      <c r="DZ42" t="e">
        <f>AND('BBP complete'!#REF!,"AAAAAD37/4E=")</f>
        <v>#REF!</v>
      </c>
      <c r="EA42" t="e">
        <f>AND('BBP complete'!#REF!,"AAAAAD37/4I=")</f>
        <v>#REF!</v>
      </c>
      <c r="EB42" t="e">
        <f>AND('BBP complete'!K92,"AAAAAD37/4M=")</f>
        <v>#VALUE!</v>
      </c>
      <c r="EC42" t="e">
        <f>AND('BBP complete'!L92,"AAAAAD37/4Q=")</f>
        <v>#VALUE!</v>
      </c>
      <c r="ED42" t="e">
        <f>AND('BBP complete'!M438,"AAAAAD37/4U=")</f>
        <v>#VALUE!</v>
      </c>
      <c r="EE42" t="e">
        <f>AND('BBP complete'!N438,"AAAAAD37/4Y=")</f>
        <v>#VALUE!</v>
      </c>
      <c r="EF42" t="e">
        <f>AND('BBP complete'!P448,"AAAAAD37/4c=")</f>
        <v>#VALUE!</v>
      </c>
      <c r="EG42" t="e">
        <f>AND('BBP complete'!#REF!,"AAAAAD37/4g=")</f>
        <v>#REF!</v>
      </c>
      <c r="EH42" t="e">
        <f>AND('BBP complete'!#REF!,"AAAAAD37/4k=")</f>
        <v>#REF!</v>
      </c>
      <c r="EI42" t="e">
        <f>AND('BBP complete'!#REF!,"AAAAAD37/4o=")</f>
        <v>#REF!</v>
      </c>
      <c r="EJ42" t="e">
        <f>AND('BBP complete'!K93,"AAAAAD37/4s=")</f>
        <v>#VALUE!</v>
      </c>
      <c r="EK42" t="e">
        <f>AND('BBP complete'!L93,"AAAAAD37/4w=")</f>
        <v>#VALUE!</v>
      </c>
      <c r="EL42" t="e">
        <f>AND('BBP complete'!M439,"AAAAAD37/40=")</f>
        <v>#VALUE!</v>
      </c>
      <c r="EM42" t="e">
        <f>AND('BBP complete'!N439,"AAAAAD37/44=")</f>
        <v>#VALUE!</v>
      </c>
      <c r="EN42" t="e">
        <f>AND('BBP complete'!P449,"AAAAAD37/48=")</f>
        <v>#VALUE!</v>
      </c>
      <c r="EO42" t="e">
        <f>AND('BBP complete'!#REF!,"AAAAAD37/5A=")</f>
        <v>#REF!</v>
      </c>
      <c r="EP42" t="e">
        <f>AND('BBP complete'!#REF!,"AAAAAD37/5E=")</f>
        <v>#REF!</v>
      </c>
      <c r="EQ42" t="e">
        <f>AND('BBP complete'!#REF!,"AAAAAD37/5I=")</f>
        <v>#REF!</v>
      </c>
      <c r="ER42" t="e">
        <f>AND('BBP complete'!K94,"AAAAAD37/5M=")</f>
        <v>#VALUE!</v>
      </c>
      <c r="ES42" t="e">
        <f>AND('BBP complete'!L94,"AAAAAD37/5Q=")</f>
        <v>#VALUE!</v>
      </c>
      <c r="ET42" t="e">
        <f>AND('BBP complete'!M440,"AAAAAD37/5U=")</f>
        <v>#VALUE!</v>
      </c>
      <c r="EU42" t="e">
        <f>AND('BBP complete'!N440,"AAAAAD37/5Y=")</f>
        <v>#VALUE!</v>
      </c>
      <c r="EV42" t="e">
        <f>AND('BBP complete'!P450,"AAAAAD37/5c=")</f>
        <v>#VALUE!</v>
      </c>
      <c r="EW42" t="e">
        <f>AND('BBP complete'!#REF!,"AAAAAD37/5g=")</f>
        <v>#REF!</v>
      </c>
      <c r="EX42" t="e">
        <f>AND('BBP complete'!#REF!,"AAAAAD37/5k=")</f>
        <v>#REF!</v>
      </c>
      <c r="EY42" t="e">
        <f>AND('BBP complete'!#REF!,"AAAAAD37/5o=")</f>
        <v>#REF!</v>
      </c>
      <c r="EZ42" t="e">
        <f>AND('BBP complete'!K95,"AAAAAD37/5s=")</f>
        <v>#VALUE!</v>
      </c>
      <c r="FA42" t="e">
        <f>AND('BBP complete'!L95,"AAAAAD37/5w=")</f>
        <v>#VALUE!</v>
      </c>
      <c r="FB42" t="e">
        <f>AND('BBP complete'!M441,"AAAAAD37/50=")</f>
        <v>#VALUE!</v>
      </c>
      <c r="FC42" t="e">
        <f>AND('BBP complete'!N441,"AAAAAD37/54=")</f>
        <v>#VALUE!</v>
      </c>
      <c r="FD42" t="e">
        <f>AND('BBP complete'!P451,"AAAAAD37/58=")</f>
        <v>#VALUE!</v>
      </c>
      <c r="FE42" t="e">
        <f>AND('BBP complete'!#REF!,"AAAAAD37/6A=")</f>
        <v>#REF!</v>
      </c>
      <c r="FF42" t="e">
        <f>AND('BBP complete'!#REF!,"AAAAAD37/6E=")</f>
        <v>#REF!</v>
      </c>
      <c r="FG42" t="e">
        <f>AND('BBP complete'!#REF!,"AAAAAD37/6I=")</f>
        <v>#REF!</v>
      </c>
      <c r="FH42" t="e">
        <f>AND('BBP complete'!K96,"AAAAAD37/6M=")</f>
        <v>#VALUE!</v>
      </c>
      <c r="FI42" t="e">
        <f>AND('BBP complete'!L96,"AAAAAD37/6Q=")</f>
        <v>#VALUE!</v>
      </c>
      <c r="FJ42" t="e">
        <f>AND('BBP complete'!M442,"AAAAAD37/6U=")</f>
        <v>#VALUE!</v>
      </c>
      <c r="FK42" t="e">
        <f>AND('BBP complete'!N442,"AAAAAD37/6Y=")</f>
        <v>#VALUE!</v>
      </c>
      <c r="FL42" t="e">
        <f>AND('BBP complete'!P452,"AAAAAD37/6c=")</f>
        <v>#VALUE!</v>
      </c>
      <c r="FM42" t="e">
        <f>AND('BBP complete'!#REF!,"AAAAAD37/6g=")</f>
        <v>#REF!</v>
      </c>
      <c r="FN42" t="e">
        <f>AND('BBP complete'!#REF!,"AAAAAD37/6k=")</f>
        <v>#REF!</v>
      </c>
      <c r="FO42" t="e">
        <f>AND('BBP complete'!#REF!,"AAAAAD37/6o=")</f>
        <v>#REF!</v>
      </c>
      <c r="FP42" t="e">
        <f>AND('BBP complete'!K97,"AAAAAD37/6s=")</f>
        <v>#VALUE!</v>
      </c>
      <c r="FQ42" t="e">
        <f>AND('BBP complete'!L97,"AAAAAD37/6w=")</f>
        <v>#VALUE!</v>
      </c>
      <c r="FR42" t="e">
        <f>AND('BBP complete'!M443,"AAAAAD37/60=")</f>
        <v>#VALUE!</v>
      </c>
      <c r="FS42" t="e">
        <f>AND('BBP complete'!N443,"AAAAAD37/64=")</f>
        <v>#VALUE!</v>
      </c>
      <c r="FT42" t="e">
        <f>AND('BBP complete'!P453,"AAAAAD37/68=")</f>
        <v>#VALUE!</v>
      </c>
      <c r="FU42" t="e">
        <f>AND('BBP complete'!#REF!,"AAAAAD37/7A=")</f>
        <v>#REF!</v>
      </c>
      <c r="FV42" t="e">
        <f>AND('BBP complete'!#REF!,"AAAAAD37/7E=")</f>
        <v>#REF!</v>
      </c>
      <c r="FW42" t="e">
        <f>AND('BBP complete'!#REF!,"AAAAAD37/7I=")</f>
        <v>#REF!</v>
      </c>
      <c r="FX42" t="e">
        <f>AND('BBP complete'!K98,"AAAAAD37/7M=")</f>
        <v>#VALUE!</v>
      </c>
      <c r="FY42" t="e">
        <f>AND('BBP complete'!L98,"AAAAAD37/7Q=")</f>
        <v>#VALUE!</v>
      </c>
      <c r="FZ42" t="e">
        <f>AND('BBP complete'!M444,"AAAAAD37/7U=")</f>
        <v>#VALUE!</v>
      </c>
      <c r="GA42" t="e">
        <f>AND('BBP complete'!N444,"AAAAAD37/7Y=")</f>
        <v>#VALUE!</v>
      </c>
      <c r="GB42" t="e">
        <f>AND('BBP complete'!P454,"AAAAAD37/7c=")</f>
        <v>#VALUE!</v>
      </c>
      <c r="GC42" t="e">
        <f>AND('BBP complete'!#REF!,"AAAAAD37/7g=")</f>
        <v>#REF!</v>
      </c>
      <c r="GD42" t="e">
        <f>AND('BBP complete'!#REF!,"AAAAAD37/7k=")</f>
        <v>#REF!</v>
      </c>
      <c r="GE42" t="e">
        <f>AND('BBP complete'!#REF!,"AAAAAD37/7o=")</f>
        <v>#REF!</v>
      </c>
      <c r="GF42" t="e">
        <f>AND('BBP complete'!K99,"AAAAAD37/7s=")</f>
        <v>#VALUE!</v>
      </c>
      <c r="GG42" t="e">
        <f>AND('BBP complete'!L99,"AAAAAD37/7w=")</f>
        <v>#VALUE!</v>
      </c>
      <c r="GH42" t="e">
        <f>AND('BBP complete'!M445,"AAAAAD37/70=")</f>
        <v>#VALUE!</v>
      </c>
      <c r="GI42" t="e">
        <f>AND('BBP complete'!N445,"AAAAAD37/74=")</f>
        <v>#VALUE!</v>
      </c>
      <c r="GJ42" t="e">
        <f>AND('BBP complete'!P455,"AAAAAD37/78=")</f>
        <v>#VALUE!</v>
      </c>
      <c r="GK42" t="e">
        <f>AND('BBP complete'!#REF!,"AAAAAD37/8A=")</f>
        <v>#REF!</v>
      </c>
      <c r="GL42" t="e">
        <f>AND('BBP complete'!#REF!,"AAAAAD37/8E=")</f>
        <v>#REF!</v>
      </c>
      <c r="GM42" t="e">
        <f>AND('BBP complete'!#REF!,"AAAAAD37/8I=")</f>
        <v>#REF!</v>
      </c>
      <c r="GN42" t="e">
        <f>AND('BBP complete'!K100,"AAAAAD37/8M=")</f>
        <v>#VALUE!</v>
      </c>
      <c r="GO42" t="e">
        <f>AND('BBP complete'!L100,"AAAAAD37/8Q=")</f>
        <v>#VALUE!</v>
      </c>
      <c r="GP42" t="e">
        <f>AND('BBP complete'!M446,"AAAAAD37/8U=")</f>
        <v>#VALUE!</v>
      </c>
      <c r="GQ42" t="e">
        <f>AND('BBP complete'!N446,"AAAAAD37/8Y=")</f>
        <v>#VALUE!</v>
      </c>
      <c r="GR42" t="e">
        <f>AND('BBP complete'!P456,"AAAAAD37/8c=")</f>
        <v>#VALUE!</v>
      </c>
      <c r="GS42" t="e">
        <f>AND('BBP complete'!#REF!,"AAAAAD37/8g=")</f>
        <v>#REF!</v>
      </c>
      <c r="GT42" t="e">
        <f>AND('BBP complete'!#REF!,"AAAAAD37/8k=")</f>
        <v>#REF!</v>
      </c>
      <c r="GU42" t="e">
        <f>AND('BBP complete'!#REF!,"AAAAAD37/8o=")</f>
        <v>#REF!</v>
      </c>
      <c r="GV42" t="e">
        <f>AND('BBP complete'!K101,"AAAAAD37/8s=")</f>
        <v>#VALUE!</v>
      </c>
      <c r="GW42" t="e">
        <f>AND('BBP complete'!L101,"AAAAAD37/8w=")</f>
        <v>#VALUE!</v>
      </c>
      <c r="GX42" t="e">
        <f>AND('BBP complete'!M447,"AAAAAD37/80=")</f>
        <v>#VALUE!</v>
      </c>
      <c r="GY42" t="e">
        <f>AND('BBP complete'!N447,"AAAAAD37/84=")</f>
        <v>#VALUE!</v>
      </c>
      <c r="GZ42" t="e">
        <f>AND('BBP complete'!P457,"AAAAAD37/88=")</f>
        <v>#VALUE!</v>
      </c>
      <c r="HA42" t="e">
        <f>AND('BBP complete'!#REF!,"AAAAAD37/9A=")</f>
        <v>#REF!</v>
      </c>
      <c r="HB42" t="e">
        <f>AND('BBP complete'!#REF!,"AAAAAD37/9E=")</f>
        <v>#REF!</v>
      </c>
      <c r="HC42" t="e">
        <f>AND('BBP complete'!#REF!,"AAAAAD37/9I=")</f>
        <v>#REF!</v>
      </c>
      <c r="HD42" t="e">
        <f>AND('BBP complete'!K102,"AAAAAD37/9M=")</f>
        <v>#VALUE!</v>
      </c>
      <c r="HE42" t="e">
        <f>AND('BBP complete'!L102,"AAAAAD37/9Q=")</f>
        <v>#VALUE!</v>
      </c>
      <c r="HF42" t="e">
        <f>AND('BBP complete'!M448,"AAAAAD37/9U=")</f>
        <v>#VALUE!</v>
      </c>
      <c r="HG42" t="e">
        <f>AND('BBP complete'!N448,"AAAAAD37/9Y=")</f>
        <v>#VALUE!</v>
      </c>
      <c r="HH42" t="e">
        <f>AND('BBP complete'!P458,"AAAAAD37/9c=")</f>
        <v>#VALUE!</v>
      </c>
      <c r="HI42" t="e">
        <f>AND('BBP complete'!#REF!,"AAAAAD37/9g=")</f>
        <v>#REF!</v>
      </c>
      <c r="HJ42" t="e">
        <f>AND('BBP complete'!#REF!,"AAAAAD37/9k=")</f>
        <v>#REF!</v>
      </c>
      <c r="HK42" t="e">
        <f>AND('BBP complete'!#REF!,"AAAAAD37/9o=")</f>
        <v>#REF!</v>
      </c>
      <c r="HL42" t="e">
        <f>AND('BBP complete'!K103,"AAAAAD37/9s=")</f>
        <v>#VALUE!</v>
      </c>
      <c r="HM42" t="e">
        <f>AND('BBP complete'!L103,"AAAAAD37/9w=")</f>
        <v>#VALUE!</v>
      </c>
      <c r="HN42" t="e">
        <f>AND('BBP complete'!M449,"AAAAAD37/90=")</f>
        <v>#VALUE!</v>
      </c>
      <c r="HO42" t="e">
        <f>AND('BBP complete'!N449,"AAAAAD37/94=")</f>
        <v>#VALUE!</v>
      </c>
      <c r="HP42" t="e">
        <f>AND('BBP complete'!P459,"AAAAAD37/98=")</f>
        <v>#VALUE!</v>
      </c>
      <c r="HQ42" t="e">
        <f>AND('BBP complete'!#REF!,"AAAAAD37/+A=")</f>
        <v>#REF!</v>
      </c>
      <c r="HR42" t="e">
        <f>AND('BBP complete'!#REF!,"AAAAAD37/+E=")</f>
        <v>#REF!</v>
      </c>
      <c r="HS42" t="e">
        <f>AND('BBP complete'!#REF!,"AAAAAD37/+I=")</f>
        <v>#REF!</v>
      </c>
      <c r="HT42" t="e">
        <f>AND('BBP complete'!K104,"AAAAAD37/+M=")</f>
        <v>#VALUE!</v>
      </c>
      <c r="HU42" t="e">
        <f>AND('BBP complete'!L104,"AAAAAD37/+Q=")</f>
        <v>#VALUE!</v>
      </c>
      <c r="HV42" t="e">
        <f>AND('BBP complete'!M450,"AAAAAD37/+U=")</f>
        <v>#VALUE!</v>
      </c>
      <c r="HW42" t="e">
        <f>AND('BBP complete'!N450,"AAAAAD37/+Y=")</f>
        <v>#VALUE!</v>
      </c>
      <c r="HX42" t="e">
        <f>AND('BBP complete'!P460,"AAAAAD37/+c=")</f>
        <v>#VALUE!</v>
      </c>
      <c r="HY42" t="e">
        <f>AND('BBP complete'!#REF!,"AAAAAD37/+g=")</f>
        <v>#REF!</v>
      </c>
      <c r="HZ42" t="e">
        <f>AND('BBP complete'!#REF!,"AAAAAD37/+k=")</f>
        <v>#REF!</v>
      </c>
      <c r="IA42" t="e">
        <f>AND('BBP complete'!#REF!,"AAAAAD37/+o=")</f>
        <v>#REF!</v>
      </c>
      <c r="IB42" t="e">
        <f>AND('BBP complete'!K105,"AAAAAD37/+s=")</f>
        <v>#VALUE!</v>
      </c>
      <c r="IC42" t="e">
        <f>AND('BBP complete'!L105,"AAAAAD37/+w=")</f>
        <v>#VALUE!</v>
      </c>
      <c r="ID42" t="e">
        <f>AND('BBP complete'!M451,"AAAAAD37/+0=")</f>
        <v>#VALUE!</v>
      </c>
      <c r="IE42" t="e">
        <f>AND('BBP complete'!N451,"AAAAAD37/+4=")</f>
        <v>#VALUE!</v>
      </c>
      <c r="IF42" t="e">
        <f>AND('BBP complete'!P461,"AAAAAD37/+8=")</f>
        <v>#VALUE!</v>
      </c>
      <c r="IG42" t="e">
        <f>AND('BBP complete'!#REF!,"AAAAAD37//A=")</f>
        <v>#REF!</v>
      </c>
      <c r="IH42" t="e">
        <f>AND('BBP complete'!#REF!,"AAAAAD37//E=")</f>
        <v>#REF!</v>
      </c>
      <c r="II42" t="e">
        <f>AND('BBP complete'!#REF!,"AAAAAD37//I=")</f>
        <v>#REF!</v>
      </c>
      <c r="IJ42" t="e">
        <f>AND('BBP complete'!K106,"AAAAAD37//M=")</f>
        <v>#VALUE!</v>
      </c>
      <c r="IK42" t="e">
        <f>AND('BBP complete'!L106,"AAAAAD37//Q=")</f>
        <v>#VALUE!</v>
      </c>
      <c r="IL42" t="e">
        <f>AND('BBP complete'!M452,"AAAAAD37//U=")</f>
        <v>#VALUE!</v>
      </c>
      <c r="IM42" t="e">
        <f>AND('BBP complete'!N452,"AAAAAD37//Y=")</f>
        <v>#VALUE!</v>
      </c>
      <c r="IN42" t="e">
        <f>AND('BBP complete'!P462,"AAAAAD37//c=")</f>
        <v>#VALUE!</v>
      </c>
      <c r="IO42" t="e">
        <f>AND('BBP complete'!#REF!,"AAAAAD37//g=")</f>
        <v>#REF!</v>
      </c>
      <c r="IP42" t="e">
        <f>AND('BBP complete'!#REF!,"AAAAAD37//k=")</f>
        <v>#REF!</v>
      </c>
      <c r="IQ42" t="e">
        <f>AND('BBP complete'!#REF!,"AAAAAD37//o=")</f>
        <v>#REF!</v>
      </c>
      <c r="IR42" t="e">
        <f>AND('BBP complete'!K107,"AAAAAD37//s=")</f>
        <v>#VALUE!</v>
      </c>
      <c r="IS42" t="e">
        <f>AND('BBP complete'!L107,"AAAAAD37//w=")</f>
        <v>#VALUE!</v>
      </c>
      <c r="IT42" t="e">
        <f>AND('BBP complete'!M453,"AAAAAD37//0=")</f>
        <v>#VALUE!</v>
      </c>
      <c r="IU42" t="e">
        <f>AND('BBP complete'!N453,"AAAAAD37//4=")</f>
        <v>#VALUE!</v>
      </c>
      <c r="IV42" t="e">
        <f>AND('BBP complete'!P463,"AAAAAD37//8=")</f>
        <v>#VALUE!</v>
      </c>
    </row>
    <row r="43" spans="1:256" ht="15" customHeight="1" x14ac:dyDescent="0.25">
      <c r="A43" t="e">
        <f>AND('BBP complete'!#REF!,"AAAAAHr9qwA=")</f>
        <v>#REF!</v>
      </c>
      <c r="B43" t="e">
        <f>AND('BBP complete'!#REF!,"AAAAAHr9qwE=")</f>
        <v>#REF!</v>
      </c>
      <c r="C43" t="e">
        <f>AND('BBP complete'!#REF!,"AAAAAHr9qwI=")</f>
        <v>#REF!</v>
      </c>
      <c r="D43" t="e">
        <f>AND('BBP complete'!K108,"AAAAAHr9qwM=")</f>
        <v>#VALUE!</v>
      </c>
      <c r="E43" t="e">
        <f>AND('BBP complete'!L108,"AAAAAHr9qwQ=")</f>
        <v>#VALUE!</v>
      </c>
      <c r="F43" t="e">
        <f>AND('BBP complete'!M454,"AAAAAHr9qwU=")</f>
        <v>#VALUE!</v>
      </c>
      <c r="G43" t="e">
        <f>AND('BBP complete'!N454,"AAAAAHr9qwY=")</f>
        <v>#VALUE!</v>
      </c>
      <c r="H43" t="e">
        <f>AND('BBP complete'!P464,"AAAAAHr9qwc=")</f>
        <v>#VALUE!</v>
      </c>
      <c r="I43" t="e">
        <f>AND('BBP complete'!#REF!,"AAAAAHr9qwg=")</f>
        <v>#REF!</v>
      </c>
      <c r="J43" t="e">
        <f>AND('BBP complete'!#REF!,"AAAAAHr9qwk=")</f>
        <v>#REF!</v>
      </c>
      <c r="K43" t="e">
        <f>AND('BBP complete'!#REF!,"AAAAAHr9qwo=")</f>
        <v>#REF!</v>
      </c>
      <c r="L43" t="e">
        <f>AND('BBP complete'!K109,"AAAAAHr9qws=")</f>
        <v>#VALUE!</v>
      </c>
      <c r="M43" t="e">
        <f>AND('BBP complete'!L109,"AAAAAHr9qww=")</f>
        <v>#VALUE!</v>
      </c>
      <c r="N43" t="e">
        <f>AND('BBP complete'!M455,"AAAAAHr9qw0=")</f>
        <v>#VALUE!</v>
      </c>
      <c r="O43" t="e">
        <f>AND('BBP complete'!N455,"AAAAAHr9qw4=")</f>
        <v>#VALUE!</v>
      </c>
      <c r="P43" t="e">
        <f>AND('BBP complete'!P465,"AAAAAHr9qw8=")</f>
        <v>#VALUE!</v>
      </c>
      <c r="Q43" t="e">
        <f>AND('BBP complete'!#REF!,"AAAAAHr9qxA=")</f>
        <v>#REF!</v>
      </c>
      <c r="R43" t="e">
        <f>AND('BBP complete'!#REF!,"AAAAAHr9qxE=")</f>
        <v>#REF!</v>
      </c>
      <c r="S43" t="e">
        <f>AND('BBP complete'!#REF!,"AAAAAHr9qxI=")</f>
        <v>#REF!</v>
      </c>
      <c r="T43" t="e">
        <f>AND('BBP complete'!K110,"AAAAAHr9qxM=")</f>
        <v>#VALUE!</v>
      </c>
      <c r="U43" t="e">
        <f>AND('BBP complete'!L110,"AAAAAHr9qxQ=")</f>
        <v>#VALUE!</v>
      </c>
      <c r="V43" t="e">
        <f>AND('BBP complete'!M456,"AAAAAHr9qxU=")</f>
        <v>#VALUE!</v>
      </c>
      <c r="W43" t="e">
        <f>AND('BBP complete'!N456,"AAAAAHr9qxY=")</f>
        <v>#VALUE!</v>
      </c>
      <c r="X43" t="e">
        <f>AND('BBP complete'!P466,"AAAAAHr9qxc=")</f>
        <v>#VALUE!</v>
      </c>
      <c r="Y43" t="e">
        <f>AND('BBP complete'!#REF!,"AAAAAHr9qxg=")</f>
        <v>#REF!</v>
      </c>
      <c r="Z43" t="e">
        <f>AND('BBP complete'!#REF!,"AAAAAHr9qxk=")</f>
        <v>#REF!</v>
      </c>
      <c r="AA43" t="e">
        <f>AND('BBP complete'!#REF!,"AAAAAHr9qxo=")</f>
        <v>#REF!</v>
      </c>
      <c r="AB43" t="e">
        <f>AND('BBP complete'!K111,"AAAAAHr9qxs=")</f>
        <v>#VALUE!</v>
      </c>
      <c r="AC43" t="e">
        <f>AND('BBP complete'!L111,"AAAAAHr9qxw=")</f>
        <v>#VALUE!</v>
      </c>
      <c r="AD43" t="e">
        <f>AND('BBP complete'!M457,"AAAAAHr9qx0=")</f>
        <v>#VALUE!</v>
      </c>
      <c r="AE43" t="e">
        <f>AND('BBP complete'!N457,"AAAAAHr9qx4=")</f>
        <v>#VALUE!</v>
      </c>
      <c r="AF43" t="e">
        <f>AND('BBP complete'!P467,"AAAAAHr9qx8=")</f>
        <v>#VALUE!</v>
      </c>
      <c r="AG43" t="e">
        <f>AND('BBP complete'!#REF!,"AAAAAHr9qyA=")</f>
        <v>#REF!</v>
      </c>
      <c r="AH43" t="e">
        <f>AND('BBP complete'!#REF!,"AAAAAHr9qyE=")</f>
        <v>#REF!</v>
      </c>
      <c r="AI43" t="e">
        <f>AND('BBP complete'!#REF!,"AAAAAHr9qyI=")</f>
        <v>#REF!</v>
      </c>
      <c r="AJ43" t="e">
        <f>AND('BBP complete'!K112,"AAAAAHr9qyM=")</f>
        <v>#VALUE!</v>
      </c>
      <c r="AK43" t="e">
        <f>AND('BBP complete'!L112,"AAAAAHr9qyQ=")</f>
        <v>#VALUE!</v>
      </c>
      <c r="AL43" t="e">
        <f>AND('BBP complete'!M458,"AAAAAHr9qyU=")</f>
        <v>#VALUE!</v>
      </c>
      <c r="AM43" t="e">
        <f>AND('BBP complete'!N458,"AAAAAHr9qyY=")</f>
        <v>#VALUE!</v>
      </c>
      <c r="AN43" t="e">
        <f>AND('BBP complete'!P468,"AAAAAHr9qyc=")</f>
        <v>#VALUE!</v>
      </c>
      <c r="AO43" t="e">
        <f>AND('BBP complete'!#REF!,"AAAAAHr9qyg=")</f>
        <v>#REF!</v>
      </c>
      <c r="AP43" t="e">
        <f>AND('BBP complete'!#REF!,"AAAAAHr9qyk=")</f>
        <v>#REF!</v>
      </c>
      <c r="AQ43" t="e">
        <f>AND('BBP complete'!#REF!,"AAAAAHr9qyo=")</f>
        <v>#REF!</v>
      </c>
      <c r="AR43" t="e">
        <f>AND('BBP complete'!K113,"AAAAAHr9qys=")</f>
        <v>#VALUE!</v>
      </c>
      <c r="AS43" t="e">
        <f>AND('BBP complete'!L113,"AAAAAHr9qyw=")</f>
        <v>#VALUE!</v>
      </c>
      <c r="AT43" t="e">
        <f>AND('BBP complete'!M459,"AAAAAHr9qy0=")</f>
        <v>#VALUE!</v>
      </c>
      <c r="AU43" t="e">
        <f>AND('BBP complete'!N459,"AAAAAHr9qy4=")</f>
        <v>#VALUE!</v>
      </c>
      <c r="AV43" t="e">
        <f>AND('BBP complete'!P469,"AAAAAHr9qy8=")</f>
        <v>#VALUE!</v>
      </c>
      <c r="AW43" t="e">
        <f>AND('BBP complete'!#REF!,"AAAAAHr9qzA=")</f>
        <v>#REF!</v>
      </c>
      <c r="AX43" t="e">
        <f>AND('BBP complete'!#REF!,"AAAAAHr9qzE=")</f>
        <v>#REF!</v>
      </c>
      <c r="AY43" t="e">
        <f>AND('BBP complete'!#REF!,"AAAAAHr9qzI=")</f>
        <v>#REF!</v>
      </c>
      <c r="AZ43" t="e">
        <f>AND('BBP complete'!K114,"AAAAAHr9qzM=")</f>
        <v>#VALUE!</v>
      </c>
      <c r="BA43" t="e">
        <f>AND('BBP complete'!L114,"AAAAAHr9qzQ=")</f>
        <v>#VALUE!</v>
      </c>
      <c r="BB43" t="e">
        <f>AND('BBP complete'!M460,"AAAAAHr9qzU=")</f>
        <v>#VALUE!</v>
      </c>
      <c r="BC43" t="e">
        <f>AND('BBP complete'!N460,"AAAAAHr9qzY=")</f>
        <v>#VALUE!</v>
      </c>
      <c r="BD43" t="e">
        <f>AND('BBP complete'!P470,"AAAAAHr9qzc=")</f>
        <v>#VALUE!</v>
      </c>
      <c r="BE43" t="e">
        <f>AND('BBP complete'!#REF!,"AAAAAHr9qzg=")</f>
        <v>#REF!</v>
      </c>
      <c r="BF43" t="e">
        <f>AND('BBP complete'!#REF!,"AAAAAHr9qzk=")</f>
        <v>#REF!</v>
      </c>
      <c r="BG43" t="e">
        <f>AND('BBP complete'!#REF!,"AAAAAHr9qzo=")</f>
        <v>#REF!</v>
      </c>
      <c r="BH43" t="e">
        <f>AND('BBP complete'!K115,"AAAAAHr9qzs=")</f>
        <v>#VALUE!</v>
      </c>
      <c r="BI43" t="e">
        <f>AND('BBP complete'!L115,"AAAAAHr9qzw=")</f>
        <v>#VALUE!</v>
      </c>
      <c r="BJ43" t="e">
        <f>AND('BBP complete'!M461,"AAAAAHr9qz0=")</f>
        <v>#VALUE!</v>
      </c>
      <c r="BK43" t="e">
        <f>AND('BBP complete'!N461,"AAAAAHr9qz4=")</f>
        <v>#VALUE!</v>
      </c>
      <c r="BL43" t="e">
        <f>AND('BBP complete'!P471,"AAAAAHr9qz8=")</f>
        <v>#VALUE!</v>
      </c>
      <c r="BM43" t="e">
        <f>AND('BBP complete'!#REF!,"AAAAAHr9q0A=")</f>
        <v>#REF!</v>
      </c>
      <c r="BN43" t="e">
        <f>AND('BBP complete'!#REF!,"AAAAAHr9q0E=")</f>
        <v>#REF!</v>
      </c>
      <c r="BO43" t="e">
        <f>AND('BBP complete'!#REF!,"AAAAAHr9q0I=")</f>
        <v>#REF!</v>
      </c>
      <c r="BP43" t="e">
        <f>AND('BBP complete'!K116,"AAAAAHr9q0M=")</f>
        <v>#VALUE!</v>
      </c>
      <c r="BQ43" t="e">
        <f>AND('BBP complete'!L116,"AAAAAHr9q0Q=")</f>
        <v>#VALUE!</v>
      </c>
      <c r="BR43" t="e">
        <f>AND('BBP complete'!M462,"AAAAAHr9q0U=")</f>
        <v>#VALUE!</v>
      </c>
      <c r="BS43" t="e">
        <f>AND('BBP complete'!N462,"AAAAAHr9q0Y=")</f>
        <v>#VALUE!</v>
      </c>
      <c r="BT43" t="e">
        <f>AND('BBP complete'!P472,"AAAAAHr9q0c=")</f>
        <v>#VALUE!</v>
      </c>
      <c r="BU43" t="e">
        <f>AND('BBP complete'!#REF!,"AAAAAHr9q0g=")</f>
        <v>#REF!</v>
      </c>
      <c r="BV43" t="e">
        <f>AND('BBP complete'!#REF!,"AAAAAHr9q0k=")</f>
        <v>#REF!</v>
      </c>
      <c r="BW43" t="e">
        <f>AND('BBP complete'!#REF!,"AAAAAHr9q0o=")</f>
        <v>#REF!</v>
      </c>
      <c r="BX43" t="e">
        <f>AND('BBP complete'!K117,"AAAAAHr9q0s=")</f>
        <v>#VALUE!</v>
      </c>
      <c r="BY43" t="e">
        <f>AND('BBP complete'!L117,"AAAAAHr9q0w=")</f>
        <v>#VALUE!</v>
      </c>
      <c r="BZ43" t="e">
        <f>AND('BBP complete'!M463,"AAAAAHr9q00=")</f>
        <v>#VALUE!</v>
      </c>
      <c r="CA43" t="e">
        <f>AND('BBP complete'!N463,"AAAAAHr9q04=")</f>
        <v>#VALUE!</v>
      </c>
      <c r="CB43" t="e">
        <f>AND('BBP complete'!P473,"AAAAAHr9q08=")</f>
        <v>#VALUE!</v>
      </c>
      <c r="CC43" t="e">
        <f>AND('BBP complete'!#REF!,"AAAAAHr9q1A=")</f>
        <v>#REF!</v>
      </c>
      <c r="CD43" t="e">
        <f>AND('BBP complete'!#REF!,"AAAAAHr9q1E=")</f>
        <v>#REF!</v>
      </c>
      <c r="CE43" t="e">
        <f>AND('BBP complete'!#REF!,"AAAAAHr9q1I=")</f>
        <v>#REF!</v>
      </c>
      <c r="CF43" t="e">
        <f>AND('BBP complete'!K118,"AAAAAHr9q1M=")</f>
        <v>#VALUE!</v>
      </c>
      <c r="CG43" t="e">
        <f>AND('BBP complete'!L118,"AAAAAHr9q1Q=")</f>
        <v>#VALUE!</v>
      </c>
      <c r="CH43" t="e">
        <f>AND('BBP complete'!M464,"AAAAAHr9q1U=")</f>
        <v>#VALUE!</v>
      </c>
      <c r="CI43" t="e">
        <f>AND('BBP complete'!N464,"AAAAAHr9q1Y=")</f>
        <v>#VALUE!</v>
      </c>
      <c r="CJ43" t="e">
        <f>AND('BBP complete'!P474,"AAAAAHr9q1c=")</f>
        <v>#VALUE!</v>
      </c>
      <c r="CK43" t="e">
        <f>AND('BBP complete'!#REF!,"AAAAAHr9q1g=")</f>
        <v>#REF!</v>
      </c>
      <c r="CL43" t="e">
        <f>AND('BBP complete'!#REF!,"AAAAAHr9q1k=")</f>
        <v>#REF!</v>
      </c>
      <c r="CM43" t="e">
        <f>AND('BBP complete'!#REF!,"AAAAAHr9q1o=")</f>
        <v>#REF!</v>
      </c>
      <c r="CN43" t="e">
        <f>AND('BBP complete'!K119,"AAAAAHr9q1s=")</f>
        <v>#VALUE!</v>
      </c>
      <c r="CO43" t="e">
        <f>AND('BBP complete'!L119,"AAAAAHr9q1w=")</f>
        <v>#VALUE!</v>
      </c>
      <c r="CP43" t="e">
        <f>AND('BBP complete'!M465,"AAAAAHr9q10=")</f>
        <v>#VALUE!</v>
      </c>
      <c r="CQ43" t="e">
        <f>AND('BBP complete'!N465,"AAAAAHr9q14=")</f>
        <v>#VALUE!</v>
      </c>
      <c r="CR43" t="e">
        <f>AND('BBP complete'!P475,"AAAAAHr9q18=")</f>
        <v>#VALUE!</v>
      </c>
      <c r="CS43" t="e">
        <f>AND('BBP complete'!#REF!,"AAAAAHr9q2A=")</f>
        <v>#REF!</v>
      </c>
      <c r="CT43" t="e">
        <f>AND('BBP complete'!#REF!,"AAAAAHr9q2E=")</f>
        <v>#REF!</v>
      </c>
      <c r="CU43" t="e">
        <f>AND('BBP complete'!#REF!,"AAAAAHr9q2I=")</f>
        <v>#REF!</v>
      </c>
      <c r="CV43" t="e">
        <f>AND('BBP complete'!K120,"AAAAAHr9q2M=")</f>
        <v>#VALUE!</v>
      </c>
      <c r="CW43" t="e">
        <f>AND('BBP complete'!L120,"AAAAAHr9q2Q=")</f>
        <v>#VALUE!</v>
      </c>
      <c r="CX43" t="e">
        <f>AND('BBP complete'!M466,"AAAAAHr9q2U=")</f>
        <v>#VALUE!</v>
      </c>
      <c r="CY43" t="e">
        <f>AND('BBP complete'!N466,"AAAAAHr9q2Y=")</f>
        <v>#VALUE!</v>
      </c>
      <c r="CZ43" t="e">
        <f>AND('BBP complete'!P476,"AAAAAHr9q2c=")</f>
        <v>#VALUE!</v>
      </c>
      <c r="DA43" t="e">
        <f>AND('BBP complete'!J122,"AAAAAHr9q2g=")</f>
        <v>#VALUE!</v>
      </c>
      <c r="DB43" t="e">
        <f>AND('BBP complete'!#REF!,"AAAAAHr9q2k=")</f>
        <v>#REF!</v>
      </c>
      <c r="DC43" t="e">
        <f>AND('BBP complete'!#REF!,"AAAAAHr9q2o=")</f>
        <v>#REF!</v>
      </c>
      <c r="DD43" t="e">
        <f>AND('BBP complete'!#REF!,"AAAAAHr9q2s=")</f>
        <v>#REF!</v>
      </c>
      <c r="DE43" t="e">
        <f>AND('BBP complete'!K122,"AAAAAHr9q2w=")</f>
        <v>#VALUE!</v>
      </c>
      <c r="DF43" t="e">
        <f>AND('BBP complete'!L122,"AAAAAHr9q20=")</f>
        <v>#VALUE!</v>
      </c>
      <c r="DG43" t="e">
        <f>AND('BBP complete'!M468,"AAAAAHr9q24=")</f>
        <v>#VALUE!</v>
      </c>
      <c r="DH43" t="e">
        <f>AND('BBP complete'!N468,"AAAAAHr9q28=")</f>
        <v>#VALUE!</v>
      </c>
      <c r="DI43" t="e">
        <f>AND('BBP complete'!P478,"AAAAAHr9q3A=")</f>
        <v>#VALUE!</v>
      </c>
      <c r="DJ43" t="e">
        <f>AND('BBP complete'!J123,"AAAAAHr9q3E=")</f>
        <v>#VALUE!</v>
      </c>
      <c r="DK43" t="e">
        <f>AND('BBP complete'!#REF!,"AAAAAHr9q3I=")</f>
        <v>#REF!</v>
      </c>
      <c r="DL43" t="e">
        <f>AND('BBP complete'!#REF!,"AAAAAHr9q3M=")</f>
        <v>#REF!</v>
      </c>
      <c r="DM43" t="e">
        <f>AND('BBP complete'!#REF!,"AAAAAHr9q3Q=")</f>
        <v>#REF!</v>
      </c>
      <c r="DN43" t="e">
        <f>AND('BBP complete'!K123,"AAAAAHr9q3U=")</f>
        <v>#VALUE!</v>
      </c>
      <c r="DO43" t="e">
        <f>AND('BBP complete'!L123,"AAAAAHr9q3Y=")</f>
        <v>#VALUE!</v>
      </c>
      <c r="DP43" t="e">
        <f>AND('BBP complete'!M469,"AAAAAHr9q3c=")</f>
        <v>#VALUE!</v>
      </c>
      <c r="DQ43" t="e">
        <f>AND('BBP complete'!N469,"AAAAAHr9q3g=")</f>
        <v>#VALUE!</v>
      </c>
      <c r="DR43" t="e">
        <f>AND('BBP complete'!P479,"AAAAAHr9q3k=")</f>
        <v>#VALUE!</v>
      </c>
      <c r="DS43" t="e">
        <f>AND('BBP complete'!J124,"AAAAAHr9q3o=")</f>
        <v>#VALUE!</v>
      </c>
      <c r="DT43" t="e">
        <f>AND('BBP complete'!#REF!,"AAAAAHr9q3s=")</f>
        <v>#REF!</v>
      </c>
      <c r="DU43" t="e">
        <f>AND('BBP complete'!#REF!,"AAAAAHr9q3w=")</f>
        <v>#REF!</v>
      </c>
      <c r="DV43" t="e">
        <f>AND('BBP complete'!#REF!,"AAAAAHr9q30=")</f>
        <v>#REF!</v>
      </c>
      <c r="DW43" t="e">
        <f>AND('BBP complete'!K124,"AAAAAHr9q34=")</f>
        <v>#VALUE!</v>
      </c>
      <c r="DX43" t="e">
        <f>AND('BBP complete'!L124,"AAAAAHr9q38=")</f>
        <v>#VALUE!</v>
      </c>
      <c r="DY43" t="e">
        <f>AND('BBP complete'!M470,"AAAAAHr9q4A=")</f>
        <v>#VALUE!</v>
      </c>
      <c r="DZ43" t="e">
        <f>AND('BBP complete'!N470,"AAAAAHr9q4E=")</f>
        <v>#VALUE!</v>
      </c>
      <c r="EA43" t="e">
        <f>AND('BBP complete'!P480,"AAAAAHr9q4I=")</f>
        <v>#VALUE!</v>
      </c>
      <c r="EB43" t="e">
        <f>AND('BBP complete'!J125,"AAAAAHr9q4M=")</f>
        <v>#VALUE!</v>
      </c>
      <c r="EC43" t="e">
        <f>AND('BBP complete'!#REF!,"AAAAAHr9q4Q=")</f>
        <v>#REF!</v>
      </c>
      <c r="ED43" t="e">
        <f>AND('BBP complete'!#REF!,"AAAAAHr9q4U=")</f>
        <v>#REF!</v>
      </c>
      <c r="EE43" t="e">
        <f>AND('BBP complete'!#REF!,"AAAAAHr9q4Y=")</f>
        <v>#REF!</v>
      </c>
      <c r="EF43" t="e">
        <f>AND('BBP complete'!K125,"AAAAAHr9q4c=")</f>
        <v>#VALUE!</v>
      </c>
      <c r="EG43" t="e">
        <f>AND('BBP complete'!L125,"AAAAAHr9q4g=")</f>
        <v>#VALUE!</v>
      </c>
      <c r="EH43" t="e">
        <f>AND('BBP complete'!M471,"AAAAAHr9q4k=")</f>
        <v>#VALUE!</v>
      </c>
      <c r="EI43" t="e">
        <f>AND('BBP complete'!N471,"AAAAAHr9q4o=")</f>
        <v>#VALUE!</v>
      </c>
      <c r="EJ43" t="e">
        <f>AND('BBP complete'!P481,"AAAAAHr9q4s=")</f>
        <v>#VALUE!</v>
      </c>
      <c r="EK43" t="e">
        <f>AND('BBP complete'!J126,"AAAAAHr9q4w=")</f>
        <v>#VALUE!</v>
      </c>
      <c r="EL43" t="e">
        <f>AND('BBP complete'!#REF!,"AAAAAHr9q40=")</f>
        <v>#REF!</v>
      </c>
      <c r="EM43" t="e">
        <f>AND('BBP complete'!#REF!,"AAAAAHr9q44=")</f>
        <v>#REF!</v>
      </c>
      <c r="EN43" t="e">
        <f>AND('BBP complete'!#REF!,"AAAAAHr9q48=")</f>
        <v>#REF!</v>
      </c>
      <c r="EO43" t="e">
        <f>AND('BBP complete'!K126,"AAAAAHr9q5A=")</f>
        <v>#VALUE!</v>
      </c>
      <c r="EP43" t="e">
        <f>AND('BBP complete'!L126,"AAAAAHr9q5E=")</f>
        <v>#VALUE!</v>
      </c>
      <c r="EQ43" t="e">
        <f>AND('BBP complete'!M472,"AAAAAHr9q5I=")</f>
        <v>#VALUE!</v>
      </c>
      <c r="ER43" t="e">
        <f>AND('BBP complete'!N472,"AAAAAHr9q5M=")</f>
        <v>#VALUE!</v>
      </c>
      <c r="ES43" t="e">
        <f>AND('BBP complete'!P482,"AAAAAHr9q5Q=")</f>
        <v>#VALUE!</v>
      </c>
      <c r="ET43" t="e">
        <f>AND('BBP complete'!J127,"AAAAAHr9q5U=")</f>
        <v>#VALUE!</v>
      </c>
      <c r="EU43" t="e">
        <f>AND('BBP complete'!#REF!,"AAAAAHr9q5Y=")</f>
        <v>#REF!</v>
      </c>
      <c r="EV43" t="e">
        <f>AND('BBP complete'!#REF!,"AAAAAHr9q5c=")</f>
        <v>#REF!</v>
      </c>
      <c r="EW43" t="e">
        <f>AND('BBP complete'!#REF!,"AAAAAHr9q5g=")</f>
        <v>#REF!</v>
      </c>
      <c r="EX43" t="e">
        <f>AND('BBP complete'!K127,"AAAAAHr9q5k=")</f>
        <v>#VALUE!</v>
      </c>
      <c r="EY43" t="e">
        <f>AND('BBP complete'!L127,"AAAAAHr9q5o=")</f>
        <v>#VALUE!</v>
      </c>
      <c r="EZ43" t="e">
        <f>AND('BBP complete'!M473,"AAAAAHr9q5s=")</f>
        <v>#VALUE!</v>
      </c>
      <c r="FA43" t="e">
        <f>AND('BBP complete'!N473,"AAAAAHr9q5w=")</f>
        <v>#VALUE!</v>
      </c>
      <c r="FB43" t="e">
        <f>AND('BBP complete'!P483,"AAAAAHr9q50=")</f>
        <v>#VALUE!</v>
      </c>
      <c r="FC43" t="e">
        <f>AND('BBP complete'!J128,"AAAAAHr9q54=")</f>
        <v>#VALUE!</v>
      </c>
      <c r="FD43" t="e">
        <f>AND('BBP complete'!#REF!,"AAAAAHr9q58=")</f>
        <v>#REF!</v>
      </c>
      <c r="FE43" t="e">
        <f>AND('BBP complete'!#REF!,"AAAAAHr9q6A=")</f>
        <v>#REF!</v>
      </c>
      <c r="FF43" t="e">
        <f>AND('BBP complete'!#REF!,"AAAAAHr9q6E=")</f>
        <v>#REF!</v>
      </c>
      <c r="FG43" t="e">
        <f>AND('BBP complete'!K128,"AAAAAHr9q6I=")</f>
        <v>#VALUE!</v>
      </c>
      <c r="FH43" t="e">
        <f>AND('BBP complete'!L128,"AAAAAHr9q6M=")</f>
        <v>#VALUE!</v>
      </c>
      <c r="FI43" t="e">
        <f>AND('BBP complete'!M474,"AAAAAHr9q6Q=")</f>
        <v>#VALUE!</v>
      </c>
      <c r="FJ43" t="e">
        <f>AND('BBP complete'!N474,"AAAAAHr9q6U=")</f>
        <v>#VALUE!</v>
      </c>
      <c r="FK43" t="e">
        <f>AND('BBP complete'!P484,"AAAAAHr9q6Y=")</f>
        <v>#VALUE!</v>
      </c>
      <c r="FL43" t="e">
        <f>AND('BBP complete'!J129,"AAAAAHr9q6c=")</f>
        <v>#VALUE!</v>
      </c>
      <c r="FM43" t="e">
        <f>AND('BBP complete'!#REF!,"AAAAAHr9q6g=")</f>
        <v>#REF!</v>
      </c>
      <c r="FN43" t="e">
        <f>AND('BBP complete'!#REF!,"AAAAAHr9q6k=")</f>
        <v>#REF!</v>
      </c>
      <c r="FO43" t="e">
        <f>AND('BBP complete'!#REF!,"AAAAAHr9q6o=")</f>
        <v>#REF!</v>
      </c>
      <c r="FP43" t="e">
        <f>AND('BBP complete'!K129,"AAAAAHr9q6s=")</f>
        <v>#VALUE!</v>
      </c>
      <c r="FQ43" t="e">
        <f>AND('BBP complete'!L129,"AAAAAHr9q6w=")</f>
        <v>#VALUE!</v>
      </c>
      <c r="FR43" t="e">
        <f>AND('BBP complete'!M475,"AAAAAHr9q60=")</f>
        <v>#VALUE!</v>
      </c>
      <c r="FS43" t="e">
        <f>AND('BBP complete'!N475,"AAAAAHr9q64=")</f>
        <v>#VALUE!</v>
      </c>
      <c r="FT43" t="e">
        <f>AND('BBP complete'!P485,"AAAAAHr9q68=")</f>
        <v>#VALUE!</v>
      </c>
      <c r="FU43" t="e">
        <f>AND('BBP complete'!J130,"AAAAAHr9q7A=")</f>
        <v>#VALUE!</v>
      </c>
      <c r="FV43" t="e">
        <f>AND('BBP complete'!#REF!,"AAAAAHr9q7E=")</f>
        <v>#REF!</v>
      </c>
      <c r="FW43" t="e">
        <f>AND('BBP complete'!#REF!,"AAAAAHr9q7I=")</f>
        <v>#REF!</v>
      </c>
      <c r="FX43" t="e">
        <f>AND('BBP complete'!#REF!,"AAAAAHr9q7M=")</f>
        <v>#REF!</v>
      </c>
      <c r="FY43" t="e">
        <f>AND('BBP complete'!K130,"AAAAAHr9q7Q=")</f>
        <v>#VALUE!</v>
      </c>
      <c r="FZ43" t="e">
        <f>AND('BBP complete'!L130,"AAAAAHr9q7U=")</f>
        <v>#VALUE!</v>
      </c>
      <c r="GA43" t="e">
        <f>AND('BBP complete'!M476,"AAAAAHr9q7Y=")</f>
        <v>#VALUE!</v>
      </c>
      <c r="GB43" t="e">
        <f>AND('BBP complete'!N476,"AAAAAHr9q7c=")</f>
        <v>#VALUE!</v>
      </c>
      <c r="GC43" t="e">
        <f>AND('BBP complete'!P486,"AAAAAHr9q7g=")</f>
        <v>#VALUE!</v>
      </c>
      <c r="GD43" t="e">
        <f>AND('BBP complete'!J131,"AAAAAHr9q7k=")</f>
        <v>#VALUE!</v>
      </c>
      <c r="GE43" t="e">
        <f>AND('BBP complete'!#REF!,"AAAAAHr9q7o=")</f>
        <v>#REF!</v>
      </c>
      <c r="GF43" t="e">
        <f>AND('BBP complete'!#REF!,"AAAAAHr9q7s=")</f>
        <v>#REF!</v>
      </c>
      <c r="GG43" t="e">
        <f>AND('BBP complete'!#REF!,"AAAAAHr9q7w=")</f>
        <v>#REF!</v>
      </c>
      <c r="GH43" t="e">
        <f>AND('BBP complete'!K131,"AAAAAHr9q70=")</f>
        <v>#VALUE!</v>
      </c>
      <c r="GI43" t="e">
        <f>AND('BBP complete'!L131,"AAAAAHr9q74=")</f>
        <v>#VALUE!</v>
      </c>
      <c r="GJ43" t="e">
        <f>AND('BBP complete'!M477,"AAAAAHr9q78=")</f>
        <v>#VALUE!</v>
      </c>
      <c r="GK43" t="e">
        <f>AND('BBP complete'!N477,"AAAAAHr9q8A=")</f>
        <v>#VALUE!</v>
      </c>
      <c r="GL43" t="e">
        <f>AND('BBP complete'!P487,"AAAAAHr9q8E=")</f>
        <v>#VALUE!</v>
      </c>
      <c r="GM43" t="e">
        <f>AND('BBP complete'!J132,"AAAAAHr9q8I=")</f>
        <v>#VALUE!</v>
      </c>
      <c r="GN43" t="e">
        <f>AND('BBP complete'!#REF!,"AAAAAHr9q8M=")</f>
        <v>#REF!</v>
      </c>
      <c r="GO43" t="e">
        <f>AND('BBP complete'!#REF!,"AAAAAHr9q8Q=")</f>
        <v>#REF!</v>
      </c>
      <c r="GP43" t="e">
        <f>AND('BBP complete'!#REF!,"AAAAAHr9q8U=")</f>
        <v>#REF!</v>
      </c>
      <c r="GQ43" t="e">
        <f>AND('BBP complete'!K132,"AAAAAHr9q8Y=")</f>
        <v>#VALUE!</v>
      </c>
      <c r="GR43" t="e">
        <f>AND('BBP complete'!L132,"AAAAAHr9q8c=")</f>
        <v>#VALUE!</v>
      </c>
      <c r="GS43" t="e">
        <f>AND('BBP complete'!M478,"AAAAAHr9q8g=")</f>
        <v>#VALUE!</v>
      </c>
      <c r="GT43" t="e">
        <f>AND('BBP complete'!N478,"AAAAAHr9q8k=")</f>
        <v>#VALUE!</v>
      </c>
      <c r="GU43" t="e">
        <f>AND('BBP complete'!P488,"AAAAAHr9q8o=")</f>
        <v>#VALUE!</v>
      </c>
      <c r="GV43" t="e">
        <f>AND('BBP complete'!J133,"AAAAAHr9q8s=")</f>
        <v>#VALUE!</v>
      </c>
      <c r="GW43" t="e">
        <f>AND('BBP complete'!#REF!,"AAAAAHr9q8w=")</f>
        <v>#REF!</v>
      </c>
      <c r="GX43" t="e">
        <f>AND('BBP complete'!#REF!,"AAAAAHr9q80=")</f>
        <v>#REF!</v>
      </c>
      <c r="GY43" t="e">
        <f>AND('BBP complete'!#REF!,"AAAAAHr9q84=")</f>
        <v>#REF!</v>
      </c>
      <c r="GZ43" t="e">
        <f>AND('BBP complete'!K133,"AAAAAHr9q88=")</f>
        <v>#VALUE!</v>
      </c>
      <c r="HA43" t="e">
        <f>AND('BBP complete'!L133,"AAAAAHr9q9A=")</f>
        <v>#VALUE!</v>
      </c>
      <c r="HB43" t="e">
        <f>AND('BBP complete'!M479,"AAAAAHr9q9E=")</f>
        <v>#VALUE!</v>
      </c>
      <c r="HC43" t="e">
        <f>AND('BBP complete'!N479,"AAAAAHr9q9I=")</f>
        <v>#VALUE!</v>
      </c>
      <c r="HD43" t="e">
        <f>AND('BBP complete'!P489,"AAAAAHr9q9M=")</f>
        <v>#VALUE!</v>
      </c>
      <c r="HE43" t="e">
        <f>AND('BBP complete'!J134,"AAAAAHr9q9Q=")</f>
        <v>#VALUE!</v>
      </c>
      <c r="HF43" t="e">
        <f>AND('BBP complete'!#REF!,"AAAAAHr9q9U=")</f>
        <v>#REF!</v>
      </c>
      <c r="HG43" t="e">
        <f>AND('BBP complete'!#REF!,"AAAAAHr9q9Y=")</f>
        <v>#REF!</v>
      </c>
      <c r="HH43" t="e">
        <f>AND('BBP complete'!#REF!,"AAAAAHr9q9c=")</f>
        <v>#REF!</v>
      </c>
      <c r="HI43" t="e">
        <f>AND('BBP complete'!K134,"AAAAAHr9q9g=")</f>
        <v>#VALUE!</v>
      </c>
      <c r="HJ43" t="e">
        <f>AND('BBP complete'!L134,"AAAAAHr9q9k=")</f>
        <v>#VALUE!</v>
      </c>
      <c r="HK43" t="e">
        <f>AND('BBP complete'!M480,"AAAAAHr9q9o=")</f>
        <v>#VALUE!</v>
      </c>
      <c r="HL43" t="e">
        <f>AND('BBP complete'!N480,"AAAAAHr9q9s=")</f>
        <v>#VALUE!</v>
      </c>
      <c r="HM43" t="e">
        <f>AND('BBP complete'!P490,"AAAAAHr9q9w=")</f>
        <v>#VALUE!</v>
      </c>
      <c r="HN43" t="e">
        <f>AND('BBP complete'!J135,"AAAAAHr9q90=")</f>
        <v>#VALUE!</v>
      </c>
      <c r="HO43" t="e">
        <f>AND('BBP complete'!#REF!,"AAAAAHr9q94=")</f>
        <v>#REF!</v>
      </c>
      <c r="HP43" t="e">
        <f>AND('BBP complete'!#REF!,"AAAAAHr9q98=")</f>
        <v>#REF!</v>
      </c>
      <c r="HQ43" t="e">
        <f>AND('BBP complete'!#REF!,"AAAAAHr9q+A=")</f>
        <v>#REF!</v>
      </c>
      <c r="HR43" t="e">
        <f>AND('BBP complete'!K135,"AAAAAHr9q+E=")</f>
        <v>#VALUE!</v>
      </c>
      <c r="HS43" t="e">
        <f>AND('BBP complete'!L135,"AAAAAHr9q+I=")</f>
        <v>#VALUE!</v>
      </c>
      <c r="HT43" t="e">
        <f>AND('BBP complete'!M481,"AAAAAHr9q+M=")</f>
        <v>#VALUE!</v>
      </c>
      <c r="HU43" t="e">
        <f>AND('BBP complete'!N481,"AAAAAHr9q+Q=")</f>
        <v>#VALUE!</v>
      </c>
      <c r="HV43" t="e">
        <f>AND('BBP complete'!P491,"AAAAAHr9q+U=")</f>
        <v>#VALUE!</v>
      </c>
      <c r="HW43" t="e">
        <f>AND('BBP complete'!J136,"AAAAAHr9q+Y=")</f>
        <v>#VALUE!</v>
      </c>
      <c r="HX43" t="e">
        <f>AND('BBP complete'!#REF!,"AAAAAHr9q+c=")</f>
        <v>#REF!</v>
      </c>
      <c r="HY43" t="e">
        <f>AND('BBP complete'!#REF!,"AAAAAHr9q+g=")</f>
        <v>#REF!</v>
      </c>
      <c r="HZ43" t="e">
        <f>AND('BBP complete'!#REF!,"AAAAAHr9q+k=")</f>
        <v>#REF!</v>
      </c>
      <c r="IA43" t="e">
        <f>AND('BBP complete'!K136,"AAAAAHr9q+o=")</f>
        <v>#VALUE!</v>
      </c>
      <c r="IB43" t="e">
        <f>AND('BBP complete'!L136,"AAAAAHr9q+s=")</f>
        <v>#VALUE!</v>
      </c>
      <c r="IC43" t="e">
        <f>AND('BBP complete'!M482,"AAAAAHr9q+w=")</f>
        <v>#VALUE!</v>
      </c>
      <c r="ID43" t="e">
        <f>AND('BBP complete'!N482,"AAAAAHr9q+0=")</f>
        <v>#VALUE!</v>
      </c>
      <c r="IE43" t="e">
        <f>AND('BBP complete'!P492,"AAAAAHr9q+4=")</f>
        <v>#VALUE!</v>
      </c>
      <c r="IF43" t="e">
        <f>AND('BBP complete'!J137,"AAAAAHr9q+8=")</f>
        <v>#VALUE!</v>
      </c>
      <c r="IG43" t="e">
        <f>AND('BBP complete'!#REF!,"AAAAAHr9q/A=")</f>
        <v>#REF!</v>
      </c>
      <c r="IH43" t="e">
        <f>AND('BBP complete'!#REF!,"AAAAAHr9q/E=")</f>
        <v>#REF!</v>
      </c>
      <c r="II43" t="e">
        <f>AND('BBP complete'!#REF!,"AAAAAHr9q/I=")</f>
        <v>#REF!</v>
      </c>
      <c r="IJ43" t="e">
        <f>AND('BBP complete'!K137,"AAAAAHr9q/M=")</f>
        <v>#VALUE!</v>
      </c>
      <c r="IK43" t="e">
        <f>AND('BBP complete'!L137,"AAAAAHr9q/Q=")</f>
        <v>#VALUE!</v>
      </c>
      <c r="IL43" t="e">
        <f>AND('BBP complete'!M483,"AAAAAHr9q/U=")</f>
        <v>#VALUE!</v>
      </c>
      <c r="IM43" t="e">
        <f>AND('BBP complete'!N483,"AAAAAHr9q/Y=")</f>
        <v>#VALUE!</v>
      </c>
      <c r="IN43" t="e">
        <f>AND('BBP complete'!P493,"AAAAAHr9q/c=")</f>
        <v>#VALUE!</v>
      </c>
      <c r="IO43" t="e">
        <f>AND('BBP complete'!J138,"AAAAAHr9q/g=")</f>
        <v>#VALUE!</v>
      </c>
      <c r="IP43" t="e">
        <f>AND('BBP complete'!#REF!,"AAAAAHr9q/k=")</f>
        <v>#REF!</v>
      </c>
      <c r="IQ43" t="e">
        <f>AND('BBP complete'!#REF!,"AAAAAHr9q/o=")</f>
        <v>#REF!</v>
      </c>
      <c r="IR43" t="e">
        <f>AND('BBP complete'!#REF!,"AAAAAHr9q/s=")</f>
        <v>#REF!</v>
      </c>
      <c r="IS43" t="e">
        <f>AND('BBP complete'!K138,"AAAAAHr9q/w=")</f>
        <v>#VALUE!</v>
      </c>
      <c r="IT43" t="e">
        <f>AND('BBP complete'!L138,"AAAAAHr9q/0=")</f>
        <v>#VALUE!</v>
      </c>
      <c r="IU43" t="e">
        <f>AND('BBP complete'!M484,"AAAAAHr9q/4=")</f>
        <v>#VALUE!</v>
      </c>
      <c r="IV43" t="e">
        <f>AND('BBP complete'!N484,"AAAAAHr9q/8=")</f>
        <v>#VALUE!</v>
      </c>
    </row>
    <row r="44" spans="1:256" ht="15" customHeight="1" x14ac:dyDescent="0.25">
      <c r="A44" t="e">
        <f>AND('BBP complete'!P494,"AAAAAGsdmwA=")</f>
        <v>#VALUE!</v>
      </c>
      <c r="B44" t="e">
        <f>AND('BBP complete'!J139,"AAAAAGsdmwE=")</f>
        <v>#VALUE!</v>
      </c>
      <c r="C44" t="e">
        <f>AND('BBP complete'!#REF!,"AAAAAGsdmwI=")</f>
        <v>#REF!</v>
      </c>
      <c r="D44" t="e">
        <f>AND('BBP complete'!#REF!,"AAAAAGsdmwM=")</f>
        <v>#REF!</v>
      </c>
      <c r="E44" t="e">
        <f>AND('BBP complete'!#REF!,"AAAAAGsdmwQ=")</f>
        <v>#REF!</v>
      </c>
      <c r="F44" t="e">
        <f>AND('BBP complete'!K139,"AAAAAGsdmwU=")</f>
        <v>#VALUE!</v>
      </c>
      <c r="G44" t="e">
        <f>AND('BBP complete'!L139,"AAAAAGsdmwY=")</f>
        <v>#VALUE!</v>
      </c>
      <c r="H44" t="e">
        <f>AND('BBP complete'!M485,"AAAAAGsdmwc=")</f>
        <v>#VALUE!</v>
      </c>
      <c r="I44" t="e">
        <f>AND('BBP complete'!N485,"AAAAAGsdmwg=")</f>
        <v>#VALUE!</v>
      </c>
      <c r="J44" t="e">
        <f>AND('BBP complete'!P495,"AAAAAGsdmwk=")</f>
        <v>#VALUE!</v>
      </c>
      <c r="K44" t="e">
        <f>AND('BBP complete'!J140,"AAAAAGsdmwo=")</f>
        <v>#VALUE!</v>
      </c>
      <c r="L44" t="e">
        <f>AND('BBP complete'!#REF!,"AAAAAGsdmws=")</f>
        <v>#REF!</v>
      </c>
      <c r="M44" t="e">
        <f>AND('BBP complete'!#REF!,"AAAAAGsdmww=")</f>
        <v>#REF!</v>
      </c>
      <c r="N44" t="e">
        <f>AND('BBP complete'!#REF!,"AAAAAGsdmw0=")</f>
        <v>#REF!</v>
      </c>
      <c r="O44" t="e">
        <f>AND('BBP complete'!K140,"AAAAAGsdmw4=")</f>
        <v>#VALUE!</v>
      </c>
      <c r="P44" t="e">
        <f>AND('BBP complete'!L140,"AAAAAGsdmw8=")</f>
        <v>#VALUE!</v>
      </c>
      <c r="Q44" t="e">
        <f>AND('BBP complete'!M486,"AAAAAGsdmxA=")</f>
        <v>#VALUE!</v>
      </c>
      <c r="R44" t="e">
        <f>AND('BBP complete'!N486,"AAAAAGsdmxE=")</f>
        <v>#VALUE!</v>
      </c>
      <c r="S44" t="e">
        <f>AND('BBP complete'!P496,"AAAAAGsdmxI=")</f>
        <v>#VALUE!</v>
      </c>
      <c r="T44" t="e">
        <f>AND('BBP complete'!J141,"AAAAAGsdmxM=")</f>
        <v>#VALUE!</v>
      </c>
      <c r="U44" t="e">
        <f>AND('BBP complete'!#REF!,"AAAAAGsdmxQ=")</f>
        <v>#REF!</v>
      </c>
      <c r="V44" t="e">
        <f>AND('BBP complete'!#REF!,"AAAAAGsdmxU=")</f>
        <v>#REF!</v>
      </c>
      <c r="W44" t="e">
        <f>AND('BBP complete'!#REF!,"AAAAAGsdmxY=")</f>
        <v>#REF!</v>
      </c>
      <c r="X44" t="e">
        <f>AND('BBP complete'!K141,"AAAAAGsdmxc=")</f>
        <v>#VALUE!</v>
      </c>
      <c r="Y44" t="e">
        <f>AND('BBP complete'!L141,"AAAAAGsdmxg=")</f>
        <v>#VALUE!</v>
      </c>
      <c r="Z44" t="e">
        <f>AND('BBP complete'!M487,"AAAAAGsdmxk=")</f>
        <v>#VALUE!</v>
      </c>
      <c r="AA44" t="e">
        <f>AND('BBP complete'!N487,"AAAAAGsdmxo=")</f>
        <v>#VALUE!</v>
      </c>
      <c r="AB44" t="e">
        <f>AND('BBP complete'!P497,"AAAAAGsdmxs=")</f>
        <v>#VALUE!</v>
      </c>
      <c r="AC44" t="e">
        <f>AND('BBP complete'!J142,"AAAAAGsdmxw=")</f>
        <v>#VALUE!</v>
      </c>
      <c r="AD44" t="e">
        <f>AND('BBP complete'!#REF!,"AAAAAGsdmx0=")</f>
        <v>#REF!</v>
      </c>
      <c r="AE44" t="e">
        <f>AND('BBP complete'!#REF!,"AAAAAGsdmx4=")</f>
        <v>#REF!</v>
      </c>
      <c r="AF44" t="e">
        <f>AND('BBP complete'!#REF!,"AAAAAGsdmx8=")</f>
        <v>#REF!</v>
      </c>
      <c r="AG44" t="e">
        <f>AND('BBP complete'!K142,"AAAAAGsdmyA=")</f>
        <v>#VALUE!</v>
      </c>
      <c r="AH44" t="e">
        <f>AND('BBP complete'!L142,"AAAAAGsdmyE=")</f>
        <v>#VALUE!</v>
      </c>
      <c r="AI44" t="e">
        <f>AND('BBP complete'!M488,"AAAAAGsdmyI=")</f>
        <v>#VALUE!</v>
      </c>
      <c r="AJ44" t="e">
        <f>AND('BBP complete'!N488,"AAAAAGsdmyM=")</f>
        <v>#VALUE!</v>
      </c>
      <c r="AK44" t="e">
        <f>AND('BBP complete'!P498,"AAAAAGsdmyQ=")</f>
        <v>#VALUE!</v>
      </c>
      <c r="AL44" t="e">
        <f>AND('BBP complete'!J143,"AAAAAGsdmyU=")</f>
        <v>#VALUE!</v>
      </c>
      <c r="AM44" t="e">
        <f>AND('BBP complete'!#REF!,"AAAAAGsdmyY=")</f>
        <v>#REF!</v>
      </c>
      <c r="AN44" t="e">
        <f>AND('BBP complete'!#REF!,"AAAAAGsdmyc=")</f>
        <v>#REF!</v>
      </c>
      <c r="AO44" t="e">
        <f>AND('BBP complete'!#REF!,"AAAAAGsdmyg=")</f>
        <v>#REF!</v>
      </c>
      <c r="AP44" t="e">
        <f>AND('BBP complete'!K143,"AAAAAGsdmyk=")</f>
        <v>#VALUE!</v>
      </c>
      <c r="AQ44" t="e">
        <f>AND('BBP complete'!L143,"AAAAAGsdmyo=")</f>
        <v>#VALUE!</v>
      </c>
      <c r="AR44" t="e">
        <f>AND('BBP complete'!M489,"AAAAAGsdmys=")</f>
        <v>#VALUE!</v>
      </c>
      <c r="AS44" t="e">
        <f>AND('BBP complete'!N489,"AAAAAGsdmyw=")</f>
        <v>#VALUE!</v>
      </c>
      <c r="AT44" t="e">
        <f>AND('BBP complete'!P499,"AAAAAGsdmy0=")</f>
        <v>#VALUE!</v>
      </c>
      <c r="AU44" t="e">
        <f>AND('BBP complete'!J144,"AAAAAGsdmy4=")</f>
        <v>#VALUE!</v>
      </c>
      <c r="AV44" t="e">
        <f>AND('BBP complete'!#REF!,"AAAAAGsdmy8=")</f>
        <v>#REF!</v>
      </c>
      <c r="AW44" t="e">
        <f>AND('BBP complete'!#REF!,"AAAAAGsdmzA=")</f>
        <v>#REF!</v>
      </c>
      <c r="AX44" t="e">
        <f>AND('BBP complete'!#REF!,"AAAAAGsdmzE=")</f>
        <v>#REF!</v>
      </c>
      <c r="AY44" t="e">
        <f>AND('BBP complete'!K144,"AAAAAGsdmzI=")</f>
        <v>#VALUE!</v>
      </c>
      <c r="AZ44" t="e">
        <f>AND('BBP complete'!L144,"AAAAAGsdmzM=")</f>
        <v>#VALUE!</v>
      </c>
      <c r="BA44" t="e">
        <f>AND('BBP complete'!M490,"AAAAAGsdmzQ=")</f>
        <v>#VALUE!</v>
      </c>
      <c r="BB44" t="e">
        <f>AND('BBP complete'!N490,"AAAAAGsdmzU=")</f>
        <v>#VALUE!</v>
      </c>
      <c r="BC44" t="e">
        <f>AND('BBP complete'!P500,"AAAAAGsdmzY=")</f>
        <v>#VALUE!</v>
      </c>
      <c r="BD44" t="e">
        <f>AND('BBP complete'!J145,"AAAAAGsdmzc=")</f>
        <v>#VALUE!</v>
      </c>
      <c r="BE44" t="e">
        <f>AND('BBP complete'!#REF!,"AAAAAGsdmzg=")</f>
        <v>#REF!</v>
      </c>
      <c r="BF44" t="e">
        <f>AND('BBP complete'!#REF!,"AAAAAGsdmzk=")</f>
        <v>#REF!</v>
      </c>
      <c r="BG44" t="e">
        <f>AND('BBP complete'!#REF!,"AAAAAGsdmzo=")</f>
        <v>#REF!</v>
      </c>
      <c r="BH44" t="e">
        <f>AND('BBP complete'!K145,"AAAAAGsdmzs=")</f>
        <v>#VALUE!</v>
      </c>
      <c r="BI44" t="e">
        <f>AND('BBP complete'!L145,"AAAAAGsdmzw=")</f>
        <v>#VALUE!</v>
      </c>
      <c r="BJ44" t="e">
        <f>AND('BBP complete'!M491,"AAAAAGsdmz0=")</f>
        <v>#VALUE!</v>
      </c>
      <c r="BK44" t="e">
        <f>AND('BBP complete'!N491,"AAAAAGsdmz4=")</f>
        <v>#VALUE!</v>
      </c>
      <c r="BL44" t="e">
        <f>AND('BBP complete'!P501,"AAAAAGsdmz8=")</f>
        <v>#VALUE!</v>
      </c>
      <c r="BM44" t="e">
        <f>AND('BBP complete'!J146,"AAAAAGsdm0A=")</f>
        <v>#VALUE!</v>
      </c>
      <c r="BN44" t="e">
        <f>AND('BBP complete'!#REF!,"AAAAAGsdm0E=")</f>
        <v>#REF!</v>
      </c>
      <c r="BO44" t="e">
        <f>AND('BBP complete'!#REF!,"AAAAAGsdm0I=")</f>
        <v>#REF!</v>
      </c>
      <c r="BP44" t="e">
        <f>AND('BBP complete'!#REF!,"AAAAAGsdm0M=")</f>
        <v>#REF!</v>
      </c>
      <c r="BQ44" t="e">
        <f>AND('BBP complete'!K146,"AAAAAGsdm0Q=")</f>
        <v>#VALUE!</v>
      </c>
      <c r="BR44" t="e">
        <f>AND('BBP complete'!L146,"AAAAAGsdm0U=")</f>
        <v>#VALUE!</v>
      </c>
      <c r="BS44" t="e">
        <f>AND('BBP complete'!M492,"AAAAAGsdm0Y=")</f>
        <v>#VALUE!</v>
      </c>
      <c r="BT44" t="e">
        <f>AND('BBP complete'!N492,"AAAAAGsdm0c=")</f>
        <v>#VALUE!</v>
      </c>
      <c r="BU44" t="e">
        <f>AND('BBP complete'!P502,"AAAAAGsdm0g=")</f>
        <v>#VALUE!</v>
      </c>
      <c r="BV44" t="e">
        <f>AND('BBP complete'!J147,"AAAAAGsdm0k=")</f>
        <v>#VALUE!</v>
      </c>
      <c r="BW44" t="e">
        <f>AND('BBP complete'!#REF!,"AAAAAGsdm0o=")</f>
        <v>#REF!</v>
      </c>
      <c r="BX44" t="e">
        <f>AND('BBP complete'!#REF!,"AAAAAGsdm0s=")</f>
        <v>#REF!</v>
      </c>
      <c r="BY44" t="e">
        <f>AND('BBP complete'!#REF!,"AAAAAGsdm0w=")</f>
        <v>#REF!</v>
      </c>
      <c r="BZ44" t="e">
        <f>AND('BBP complete'!K147,"AAAAAGsdm00=")</f>
        <v>#VALUE!</v>
      </c>
      <c r="CA44" t="e">
        <f>AND('BBP complete'!L147,"AAAAAGsdm04=")</f>
        <v>#VALUE!</v>
      </c>
      <c r="CB44" t="e">
        <f>AND('BBP complete'!M493,"AAAAAGsdm08=")</f>
        <v>#VALUE!</v>
      </c>
      <c r="CC44" t="e">
        <f>AND('BBP complete'!N493,"AAAAAGsdm1A=")</f>
        <v>#VALUE!</v>
      </c>
      <c r="CD44" t="e">
        <f>AND('BBP complete'!P503,"AAAAAGsdm1E=")</f>
        <v>#VALUE!</v>
      </c>
      <c r="CE44" t="e">
        <f>AND('BBP complete'!J148,"AAAAAGsdm1I=")</f>
        <v>#VALUE!</v>
      </c>
      <c r="CF44" t="e">
        <f>AND('BBP complete'!#REF!,"AAAAAGsdm1M=")</f>
        <v>#REF!</v>
      </c>
      <c r="CG44" t="e">
        <f>AND('BBP complete'!#REF!,"AAAAAGsdm1Q=")</f>
        <v>#REF!</v>
      </c>
      <c r="CH44" t="e">
        <f>AND('BBP complete'!#REF!,"AAAAAGsdm1U=")</f>
        <v>#REF!</v>
      </c>
      <c r="CI44" t="e">
        <f>AND('BBP complete'!K148,"AAAAAGsdm1Y=")</f>
        <v>#VALUE!</v>
      </c>
      <c r="CJ44" t="e">
        <f>AND('BBP complete'!L148,"AAAAAGsdm1c=")</f>
        <v>#VALUE!</v>
      </c>
      <c r="CK44" t="e">
        <f>AND('BBP complete'!M494,"AAAAAGsdm1g=")</f>
        <v>#VALUE!</v>
      </c>
      <c r="CL44" t="e">
        <f>AND('BBP complete'!N494,"AAAAAGsdm1k=")</f>
        <v>#VALUE!</v>
      </c>
      <c r="CM44" t="e">
        <f>AND('BBP complete'!P504,"AAAAAGsdm1o=")</f>
        <v>#VALUE!</v>
      </c>
      <c r="CN44" t="e">
        <f>AND('BBP complete'!J149,"AAAAAGsdm1s=")</f>
        <v>#VALUE!</v>
      </c>
      <c r="CO44" t="e">
        <f>AND('BBP complete'!#REF!,"AAAAAGsdm1w=")</f>
        <v>#REF!</v>
      </c>
      <c r="CP44" t="e">
        <f>AND('BBP complete'!#REF!,"AAAAAGsdm10=")</f>
        <v>#REF!</v>
      </c>
      <c r="CQ44" t="e">
        <f>AND('BBP complete'!#REF!,"AAAAAGsdm14=")</f>
        <v>#REF!</v>
      </c>
      <c r="CR44" t="e">
        <f>AND('BBP complete'!K149,"AAAAAGsdm18=")</f>
        <v>#VALUE!</v>
      </c>
      <c r="CS44" t="e">
        <f>AND('BBP complete'!L149,"AAAAAGsdm2A=")</f>
        <v>#VALUE!</v>
      </c>
      <c r="CT44" t="e">
        <f>AND('BBP complete'!M495,"AAAAAGsdm2E=")</f>
        <v>#VALUE!</v>
      </c>
      <c r="CU44" t="e">
        <f>AND('BBP complete'!N495,"AAAAAGsdm2I=")</f>
        <v>#VALUE!</v>
      </c>
      <c r="CV44" t="e">
        <f>AND('BBP complete'!P505,"AAAAAGsdm2M=")</f>
        <v>#VALUE!</v>
      </c>
      <c r="CW44" t="e">
        <f>AND('BBP complete'!J150,"AAAAAGsdm2Q=")</f>
        <v>#VALUE!</v>
      </c>
      <c r="CX44" t="e">
        <f>AND('BBP complete'!#REF!,"AAAAAGsdm2U=")</f>
        <v>#REF!</v>
      </c>
      <c r="CY44" t="e">
        <f>AND('BBP complete'!#REF!,"AAAAAGsdm2Y=")</f>
        <v>#REF!</v>
      </c>
      <c r="CZ44" t="e">
        <f>AND('BBP complete'!#REF!,"AAAAAGsdm2c=")</f>
        <v>#REF!</v>
      </c>
      <c r="DA44" t="e">
        <f>AND('BBP complete'!K150,"AAAAAGsdm2g=")</f>
        <v>#VALUE!</v>
      </c>
      <c r="DB44" t="e">
        <f>AND('BBP complete'!L150,"AAAAAGsdm2k=")</f>
        <v>#VALUE!</v>
      </c>
      <c r="DC44" t="e">
        <f>AND('BBP complete'!M496,"AAAAAGsdm2o=")</f>
        <v>#VALUE!</v>
      </c>
      <c r="DD44" t="e">
        <f>AND('BBP complete'!N496,"AAAAAGsdm2s=")</f>
        <v>#VALUE!</v>
      </c>
      <c r="DE44" t="e">
        <f>AND('BBP complete'!P506,"AAAAAGsdm2w=")</f>
        <v>#VALUE!</v>
      </c>
      <c r="DF44" t="e">
        <f>AND('BBP complete'!J151,"AAAAAGsdm20=")</f>
        <v>#VALUE!</v>
      </c>
      <c r="DG44" t="e">
        <f>AND('BBP complete'!#REF!,"AAAAAGsdm24=")</f>
        <v>#REF!</v>
      </c>
      <c r="DH44" t="e">
        <f>AND('BBP complete'!#REF!,"AAAAAGsdm28=")</f>
        <v>#REF!</v>
      </c>
      <c r="DI44" t="e">
        <f>AND('BBP complete'!#REF!,"AAAAAGsdm3A=")</f>
        <v>#REF!</v>
      </c>
      <c r="DJ44" t="e">
        <f>AND('BBP complete'!K151,"AAAAAGsdm3E=")</f>
        <v>#VALUE!</v>
      </c>
      <c r="DK44" t="e">
        <f>AND('BBP complete'!L151,"AAAAAGsdm3I=")</f>
        <v>#VALUE!</v>
      </c>
      <c r="DL44" t="e">
        <f>AND('BBP complete'!M497,"AAAAAGsdm3M=")</f>
        <v>#VALUE!</v>
      </c>
      <c r="DM44" t="e">
        <f>AND('BBP complete'!N497,"AAAAAGsdm3Q=")</f>
        <v>#VALUE!</v>
      </c>
      <c r="DN44" t="e">
        <f>AND('BBP complete'!P507,"AAAAAGsdm3U=")</f>
        <v>#VALUE!</v>
      </c>
      <c r="DO44" t="e">
        <f>AND('BBP complete'!J152,"AAAAAGsdm3Y=")</f>
        <v>#VALUE!</v>
      </c>
      <c r="DP44" t="e">
        <f>AND('BBP complete'!#REF!,"AAAAAGsdm3c=")</f>
        <v>#REF!</v>
      </c>
      <c r="DQ44" t="e">
        <f>AND('BBP complete'!#REF!,"AAAAAGsdm3g=")</f>
        <v>#REF!</v>
      </c>
      <c r="DR44" t="e">
        <f>AND('BBP complete'!#REF!,"AAAAAGsdm3k=")</f>
        <v>#REF!</v>
      </c>
      <c r="DS44" t="e">
        <f>AND('BBP complete'!K152,"AAAAAGsdm3o=")</f>
        <v>#VALUE!</v>
      </c>
      <c r="DT44" t="e">
        <f>AND('BBP complete'!L152,"AAAAAGsdm3s=")</f>
        <v>#VALUE!</v>
      </c>
      <c r="DU44" t="e">
        <f>AND('BBP complete'!M498,"AAAAAGsdm3w=")</f>
        <v>#VALUE!</v>
      </c>
      <c r="DV44" t="e">
        <f>AND('BBP complete'!N498,"AAAAAGsdm30=")</f>
        <v>#VALUE!</v>
      </c>
      <c r="DW44" t="e">
        <f>AND('BBP complete'!P508,"AAAAAGsdm34=")</f>
        <v>#VALUE!</v>
      </c>
      <c r="DX44" t="e">
        <f>AND('BBP complete'!J153,"AAAAAGsdm38=")</f>
        <v>#VALUE!</v>
      </c>
      <c r="DY44" t="e">
        <f>AND('BBP complete'!#REF!,"AAAAAGsdm4A=")</f>
        <v>#REF!</v>
      </c>
      <c r="DZ44" t="e">
        <f>AND('BBP complete'!#REF!,"AAAAAGsdm4E=")</f>
        <v>#REF!</v>
      </c>
      <c r="EA44" t="e">
        <f>AND('BBP complete'!#REF!,"AAAAAGsdm4I=")</f>
        <v>#REF!</v>
      </c>
      <c r="EB44" t="e">
        <f>AND('BBP complete'!K153,"AAAAAGsdm4M=")</f>
        <v>#VALUE!</v>
      </c>
      <c r="EC44" t="e">
        <f>AND('BBP complete'!L153,"AAAAAGsdm4Q=")</f>
        <v>#VALUE!</v>
      </c>
      <c r="ED44" t="e">
        <f>AND('BBP complete'!M499,"AAAAAGsdm4U=")</f>
        <v>#VALUE!</v>
      </c>
      <c r="EE44" t="e">
        <f>AND('BBP complete'!N499,"AAAAAGsdm4Y=")</f>
        <v>#VALUE!</v>
      </c>
      <c r="EF44" t="e">
        <f>AND('BBP complete'!P509,"AAAAAGsdm4c=")</f>
        <v>#VALUE!</v>
      </c>
      <c r="EG44" t="e">
        <f>AND('BBP complete'!J154,"AAAAAGsdm4g=")</f>
        <v>#VALUE!</v>
      </c>
      <c r="EH44" t="e">
        <f>AND('BBP complete'!#REF!,"AAAAAGsdm4k=")</f>
        <v>#REF!</v>
      </c>
      <c r="EI44" t="e">
        <f>AND('BBP complete'!#REF!,"AAAAAGsdm4o=")</f>
        <v>#REF!</v>
      </c>
      <c r="EJ44" t="e">
        <f>AND('BBP complete'!#REF!,"AAAAAGsdm4s=")</f>
        <v>#REF!</v>
      </c>
      <c r="EK44" t="e">
        <f>AND('BBP complete'!K154,"AAAAAGsdm4w=")</f>
        <v>#VALUE!</v>
      </c>
      <c r="EL44" t="e">
        <f>AND('BBP complete'!L154,"AAAAAGsdm40=")</f>
        <v>#VALUE!</v>
      </c>
      <c r="EM44" t="e">
        <f>AND('BBP complete'!M500,"AAAAAGsdm44=")</f>
        <v>#VALUE!</v>
      </c>
      <c r="EN44" t="e">
        <f>AND('BBP complete'!N500,"AAAAAGsdm48=")</f>
        <v>#VALUE!</v>
      </c>
      <c r="EO44" t="e">
        <f>AND('BBP complete'!P510,"AAAAAGsdm5A=")</f>
        <v>#VALUE!</v>
      </c>
      <c r="EP44" t="e">
        <f>AND('BBP complete'!J155,"AAAAAGsdm5E=")</f>
        <v>#VALUE!</v>
      </c>
      <c r="EQ44" t="e">
        <f>AND('BBP complete'!#REF!,"AAAAAGsdm5I=")</f>
        <v>#REF!</v>
      </c>
      <c r="ER44" t="e">
        <f>AND('BBP complete'!#REF!,"AAAAAGsdm5M=")</f>
        <v>#REF!</v>
      </c>
      <c r="ES44" t="e">
        <f>AND('BBP complete'!#REF!,"AAAAAGsdm5Q=")</f>
        <v>#REF!</v>
      </c>
      <c r="ET44" t="e">
        <f>AND('BBP complete'!K155,"AAAAAGsdm5U=")</f>
        <v>#VALUE!</v>
      </c>
      <c r="EU44" t="e">
        <f>AND('BBP complete'!L155,"AAAAAGsdm5Y=")</f>
        <v>#VALUE!</v>
      </c>
      <c r="EV44" t="e">
        <f>AND('BBP complete'!M501,"AAAAAGsdm5c=")</f>
        <v>#VALUE!</v>
      </c>
      <c r="EW44" t="e">
        <f>AND('BBP complete'!N501,"AAAAAGsdm5g=")</f>
        <v>#VALUE!</v>
      </c>
      <c r="EX44" t="e">
        <f>AND('BBP complete'!P511,"AAAAAGsdm5k=")</f>
        <v>#VALUE!</v>
      </c>
      <c r="EY44" t="e">
        <f>AND('BBP complete'!J156,"AAAAAGsdm5o=")</f>
        <v>#VALUE!</v>
      </c>
      <c r="EZ44" t="e">
        <f>AND('BBP complete'!#REF!,"AAAAAGsdm5s=")</f>
        <v>#REF!</v>
      </c>
      <c r="FA44" t="e">
        <f>AND('BBP complete'!#REF!,"AAAAAGsdm5w=")</f>
        <v>#REF!</v>
      </c>
      <c r="FB44" t="e">
        <f>AND('BBP complete'!#REF!,"AAAAAGsdm50=")</f>
        <v>#REF!</v>
      </c>
      <c r="FC44" t="e">
        <f>AND('BBP complete'!K156,"AAAAAGsdm54=")</f>
        <v>#VALUE!</v>
      </c>
      <c r="FD44" t="e">
        <f>AND('BBP complete'!L156,"AAAAAGsdm58=")</f>
        <v>#VALUE!</v>
      </c>
      <c r="FE44" t="e">
        <f>AND('BBP complete'!M502,"AAAAAGsdm6A=")</f>
        <v>#VALUE!</v>
      </c>
      <c r="FF44" t="e">
        <f>AND('BBP complete'!N502,"AAAAAGsdm6E=")</f>
        <v>#VALUE!</v>
      </c>
      <c r="FG44" t="e">
        <f>AND('BBP complete'!P512,"AAAAAGsdm6I=")</f>
        <v>#VALUE!</v>
      </c>
      <c r="FH44" t="e">
        <f>AND('BBP complete'!J157,"AAAAAGsdm6M=")</f>
        <v>#VALUE!</v>
      </c>
      <c r="FI44" t="e">
        <f>AND('BBP complete'!#REF!,"AAAAAGsdm6Q=")</f>
        <v>#REF!</v>
      </c>
      <c r="FJ44" t="e">
        <f>AND('BBP complete'!#REF!,"AAAAAGsdm6U=")</f>
        <v>#REF!</v>
      </c>
      <c r="FK44" t="e">
        <f>AND('BBP complete'!#REF!,"AAAAAGsdm6Y=")</f>
        <v>#REF!</v>
      </c>
      <c r="FL44" t="e">
        <f>AND('BBP complete'!K157,"AAAAAGsdm6c=")</f>
        <v>#VALUE!</v>
      </c>
      <c r="FM44" t="e">
        <f>AND('BBP complete'!L157,"AAAAAGsdm6g=")</f>
        <v>#VALUE!</v>
      </c>
      <c r="FN44" t="e">
        <f>AND('BBP complete'!M503,"AAAAAGsdm6k=")</f>
        <v>#VALUE!</v>
      </c>
      <c r="FO44" t="e">
        <f>AND('BBP complete'!N503,"AAAAAGsdm6o=")</f>
        <v>#VALUE!</v>
      </c>
      <c r="FP44" t="e">
        <f>AND('BBP complete'!P513,"AAAAAGsdm6s=")</f>
        <v>#VALUE!</v>
      </c>
      <c r="FQ44" t="e">
        <f>AND('BBP complete'!J158,"AAAAAGsdm6w=")</f>
        <v>#VALUE!</v>
      </c>
      <c r="FR44" t="e">
        <f>AND('BBP complete'!#REF!,"AAAAAGsdm60=")</f>
        <v>#REF!</v>
      </c>
      <c r="FS44" t="e">
        <f>AND('BBP complete'!#REF!,"AAAAAGsdm64=")</f>
        <v>#REF!</v>
      </c>
      <c r="FT44" t="e">
        <f>AND('BBP complete'!#REF!,"AAAAAGsdm68=")</f>
        <v>#REF!</v>
      </c>
      <c r="FU44" t="e">
        <f>AND('BBP complete'!K158,"AAAAAGsdm7A=")</f>
        <v>#VALUE!</v>
      </c>
      <c r="FV44" t="e">
        <f>AND('BBP complete'!L158,"AAAAAGsdm7E=")</f>
        <v>#VALUE!</v>
      </c>
      <c r="FW44" t="e">
        <f>AND('BBP complete'!M504,"AAAAAGsdm7I=")</f>
        <v>#VALUE!</v>
      </c>
      <c r="FX44" t="e">
        <f>AND('BBP complete'!N504,"AAAAAGsdm7M=")</f>
        <v>#VALUE!</v>
      </c>
      <c r="FY44" t="e">
        <f>AND('BBP complete'!P514,"AAAAAGsdm7Q=")</f>
        <v>#VALUE!</v>
      </c>
      <c r="FZ44" t="e">
        <f>AND('BBP complete'!J159,"AAAAAGsdm7U=")</f>
        <v>#VALUE!</v>
      </c>
      <c r="GA44" t="e">
        <f>AND('BBP complete'!#REF!,"AAAAAGsdm7Y=")</f>
        <v>#REF!</v>
      </c>
      <c r="GB44" t="e">
        <f>AND('BBP complete'!#REF!,"AAAAAGsdm7c=")</f>
        <v>#REF!</v>
      </c>
      <c r="GC44" t="e">
        <f>AND('BBP complete'!#REF!,"AAAAAGsdm7g=")</f>
        <v>#REF!</v>
      </c>
      <c r="GD44" t="e">
        <f>AND('BBP complete'!K159,"AAAAAGsdm7k=")</f>
        <v>#VALUE!</v>
      </c>
      <c r="GE44" t="e">
        <f>AND('BBP complete'!L159,"AAAAAGsdm7o=")</f>
        <v>#VALUE!</v>
      </c>
      <c r="GF44" t="e">
        <f>AND('BBP complete'!M505,"AAAAAGsdm7s=")</f>
        <v>#VALUE!</v>
      </c>
      <c r="GG44" t="e">
        <f>AND('BBP complete'!N505,"AAAAAGsdm7w=")</f>
        <v>#VALUE!</v>
      </c>
      <c r="GH44" t="e">
        <f>AND('BBP complete'!P515,"AAAAAGsdm70=")</f>
        <v>#VALUE!</v>
      </c>
      <c r="GI44" t="e">
        <f>AND('BBP complete'!J160,"AAAAAGsdm74=")</f>
        <v>#VALUE!</v>
      </c>
      <c r="GJ44" t="e">
        <f>AND('BBP complete'!#REF!,"AAAAAGsdm78=")</f>
        <v>#REF!</v>
      </c>
      <c r="GK44" t="e">
        <f>AND('BBP complete'!#REF!,"AAAAAGsdm8A=")</f>
        <v>#REF!</v>
      </c>
      <c r="GL44" t="e">
        <f>AND('BBP complete'!#REF!,"AAAAAGsdm8E=")</f>
        <v>#REF!</v>
      </c>
      <c r="GM44" t="e">
        <f>AND('BBP complete'!K160,"AAAAAGsdm8I=")</f>
        <v>#VALUE!</v>
      </c>
      <c r="GN44" t="e">
        <f>AND('BBP complete'!L160,"AAAAAGsdm8M=")</f>
        <v>#VALUE!</v>
      </c>
      <c r="GO44" t="e">
        <f>AND('BBP complete'!M506,"AAAAAGsdm8Q=")</f>
        <v>#VALUE!</v>
      </c>
      <c r="GP44" t="e">
        <f>AND('BBP complete'!N506,"AAAAAGsdm8U=")</f>
        <v>#VALUE!</v>
      </c>
      <c r="GQ44" t="e">
        <f>AND('BBP complete'!P516,"AAAAAGsdm8Y=")</f>
        <v>#VALUE!</v>
      </c>
      <c r="GR44" t="e">
        <f>AND('BBP complete'!J161,"AAAAAGsdm8c=")</f>
        <v>#VALUE!</v>
      </c>
      <c r="GS44" t="e">
        <f>AND('BBP complete'!#REF!,"AAAAAGsdm8g=")</f>
        <v>#REF!</v>
      </c>
      <c r="GT44" t="e">
        <f>AND('BBP complete'!#REF!,"AAAAAGsdm8k=")</f>
        <v>#REF!</v>
      </c>
      <c r="GU44" t="e">
        <f>AND('BBP complete'!#REF!,"AAAAAGsdm8o=")</f>
        <v>#REF!</v>
      </c>
      <c r="GV44" t="e">
        <f>AND('BBP complete'!K161,"AAAAAGsdm8s=")</f>
        <v>#VALUE!</v>
      </c>
      <c r="GW44" t="e">
        <f>AND('BBP complete'!L161,"AAAAAGsdm8w=")</f>
        <v>#VALUE!</v>
      </c>
      <c r="GX44" t="e">
        <f>AND('BBP complete'!M507,"AAAAAGsdm80=")</f>
        <v>#VALUE!</v>
      </c>
      <c r="GY44" t="e">
        <f>AND('BBP complete'!N507,"AAAAAGsdm84=")</f>
        <v>#VALUE!</v>
      </c>
      <c r="GZ44" t="e">
        <f>AND('BBP complete'!P517,"AAAAAGsdm88=")</f>
        <v>#VALUE!</v>
      </c>
      <c r="HA44" t="e">
        <f>AND('BBP complete'!J162,"AAAAAGsdm9A=")</f>
        <v>#VALUE!</v>
      </c>
      <c r="HB44" t="e">
        <f>AND('BBP complete'!#REF!,"AAAAAGsdm9E=")</f>
        <v>#REF!</v>
      </c>
      <c r="HC44" t="e">
        <f>AND('BBP complete'!#REF!,"AAAAAGsdm9I=")</f>
        <v>#REF!</v>
      </c>
      <c r="HD44" t="e">
        <f>AND('BBP complete'!#REF!,"AAAAAGsdm9M=")</f>
        <v>#REF!</v>
      </c>
      <c r="HE44" t="e">
        <f>AND('BBP complete'!K162,"AAAAAGsdm9Q=")</f>
        <v>#VALUE!</v>
      </c>
      <c r="HF44" t="e">
        <f>AND('BBP complete'!L162,"AAAAAGsdm9U=")</f>
        <v>#VALUE!</v>
      </c>
      <c r="HG44" t="e">
        <f>AND('BBP complete'!M508,"AAAAAGsdm9Y=")</f>
        <v>#VALUE!</v>
      </c>
      <c r="HH44" t="e">
        <f>AND('BBP complete'!N508,"AAAAAGsdm9c=")</f>
        <v>#VALUE!</v>
      </c>
      <c r="HI44" t="e">
        <f>AND('BBP complete'!P518,"AAAAAGsdm9g=")</f>
        <v>#VALUE!</v>
      </c>
      <c r="HJ44" t="e">
        <f>AND('BBP complete'!J163,"AAAAAGsdm9k=")</f>
        <v>#VALUE!</v>
      </c>
      <c r="HK44" t="e">
        <f>AND('BBP complete'!#REF!,"AAAAAGsdm9o=")</f>
        <v>#REF!</v>
      </c>
      <c r="HL44" t="e">
        <f>AND('BBP complete'!#REF!,"AAAAAGsdm9s=")</f>
        <v>#REF!</v>
      </c>
      <c r="HM44" t="e">
        <f>AND('BBP complete'!#REF!,"AAAAAGsdm9w=")</f>
        <v>#REF!</v>
      </c>
      <c r="HN44" t="e">
        <f>AND('BBP complete'!K163,"AAAAAGsdm90=")</f>
        <v>#VALUE!</v>
      </c>
      <c r="HO44" t="e">
        <f>AND('BBP complete'!L163,"AAAAAGsdm94=")</f>
        <v>#VALUE!</v>
      </c>
      <c r="HP44" t="e">
        <f>AND('BBP complete'!M509,"AAAAAGsdm98=")</f>
        <v>#VALUE!</v>
      </c>
      <c r="HQ44" t="e">
        <f>AND('BBP complete'!N509,"AAAAAGsdm+A=")</f>
        <v>#VALUE!</v>
      </c>
      <c r="HR44" t="e">
        <f>AND('BBP complete'!P519,"AAAAAGsdm+E=")</f>
        <v>#VALUE!</v>
      </c>
      <c r="HS44" t="e">
        <f>AND('BBP complete'!J164,"AAAAAGsdm+I=")</f>
        <v>#VALUE!</v>
      </c>
      <c r="HT44" t="e">
        <f>AND('BBP complete'!#REF!,"AAAAAGsdm+M=")</f>
        <v>#REF!</v>
      </c>
      <c r="HU44" t="e">
        <f>AND('BBP complete'!#REF!,"AAAAAGsdm+Q=")</f>
        <v>#REF!</v>
      </c>
      <c r="HV44" t="e">
        <f>AND('BBP complete'!#REF!,"AAAAAGsdm+U=")</f>
        <v>#REF!</v>
      </c>
      <c r="HW44" t="e">
        <f>AND('BBP complete'!K164,"AAAAAGsdm+Y=")</f>
        <v>#VALUE!</v>
      </c>
      <c r="HX44" t="e">
        <f>AND('BBP complete'!L164,"AAAAAGsdm+c=")</f>
        <v>#VALUE!</v>
      </c>
      <c r="HY44" t="e">
        <f>AND('BBP complete'!M510,"AAAAAGsdm+g=")</f>
        <v>#VALUE!</v>
      </c>
      <c r="HZ44" t="e">
        <f>AND('BBP complete'!N510,"AAAAAGsdm+k=")</f>
        <v>#VALUE!</v>
      </c>
      <c r="IA44" t="e">
        <f>AND('BBP complete'!P520,"AAAAAGsdm+o=")</f>
        <v>#VALUE!</v>
      </c>
      <c r="IB44" t="e">
        <f>AND('BBP complete'!J165,"AAAAAGsdm+s=")</f>
        <v>#VALUE!</v>
      </c>
      <c r="IC44" t="e">
        <f>AND('BBP complete'!#REF!,"AAAAAGsdm+w=")</f>
        <v>#REF!</v>
      </c>
      <c r="ID44" t="e">
        <f>AND('BBP complete'!#REF!,"AAAAAGsdm+0=")</f>
        <v>#REF!</v>
      </c>
      <c r="IE44" t="e">
        <f>AND('BBP complete'!#REF!,"AAAAAGsdm+4=")</f>
        <v>#REF!</v>
      </c>
      <c r="IF44" t="e">
        <f>AND('BBP complete'!K165,"AAAAAGsdm+8=")</f>
        <v>#VALUE!</v>
      </c>
      <c r="IG44" t="e">
        <f>AND('BBP complete'!L165,"AAAAAGsdm/A=")</f>
        <v>#VALUE!</v>
      </c>
      <c r="IH44" t="e">
        <f>AND('BBP complete'!M511,"AAAAAGsdm/E=")</f>
        <v>#VALUE!</v>
      </c>
      <c r="II44" t="e">
        <f>AND('BBP complete'!N511,"AAAAAGsdm/I=")</f>
        <v>#VALUE!</v>
      </c>
      <c r="IJ44" t="e">
        <f>AND('BBP complete'!P521,"AAAAAGsdm/M=")</f>
        <v>#VALUE!</v>
      </c>
      <c r="IK44" t="e">
        <f>AND('BBP complete'!J166,"AAAAAGsdm/Q=")</f>
        <v>#VALUE!</v>
      </c>
      <c r="IL44" t="e">
        <f>AND('BBP complete'!#REF!,"AAAAAGsdm/U=")</f>
        <v>#REF!</v>
      </c>
      <c r="IM44" t="e">
        <f>AND('BBP complete'!#REF!,"AAAAAGsdm/Y=")</f>
        <v>#REF!</v>
      </c>
      <c r="IN44" t="e">
        <f>AND('BBP complete'!#REF!,"AAAAAGsdm/c=")</f>
        <v>#REF!</v>
      </c>
      <c r="IO44" t="e">
        <f>AND('BBP complete'!K166,"AAAAAGsdm/g=")</f>
        <v>#VALUE!</v>
      </c>
      <c r="IP44" t="e">
        <f>AND('BBP complete'!L166,"AAAAAGsdm/k=")</f>
        <v>#VALUE!</v>
      </c>
      <c r="IQ44" t="e">
        <f>AND('BBP complete'!M512,"AAAAAGsdm/o=")</f>
        <v>#VALUE!</v>
      </c>
      <c r="IR44" t="e">
        <f>AND('BBP complete'!N512,"AAAAAGsdm/s=")</f>
        <v>#VALUE!</v>
      </c>
      <c r="IS44" t="e">
        <f>AND('BBP complete'!P522,"AAAAAGsdm/w=")</f>
        <v>#VALUE!</v>
      </c>
      <c r="IT44" t="e">
        <f>AND('BBP complete'!J167,"AAAAAGsdm/0=")</f>
        <v>#VALUE!</v>
      </c>
      <c r="IU44" t="e">
        <f>AND('BBP complete'!#REF!,"AAAAAGsdm/4=")</f>
        <v>#REF!</v>
      </c>
      <c r="IV44" t="e">
        <f>AND('BBP complete'!#REF!,"AAAAAGsdm/8=")</f>
        <v>#REF!</v>
      </c>
    </row>
    <row r="45" spans="1:256" ht="15" customHeight="1" x14ac:dyDescent="0.25">
      <c r="A45" t="e">
        <f>AND('BBP complete'!#REF!,"AAAAAE/17wA=")</f>
        <v>#REF!</v>
      </c>
      <c r="B45" t="e">
        <f>AND('BBP complete'!K167,"AAAAAE/17wE=")</f>
        <v>#VALUE!</v>
      </c>
      <c r="C45" t="e">
        <f>AND('BBP complete'!L167,"AAAAAE/17wI=")</f>
        <v>#VALUE!</v>
      </c>
      <c r="D45" t="e">
        <f>AND('BBP complete'!M513,"AAAAAE/17wM=")</f>
        <v>#VALUE!</v>
      </c>
      <c r="E45" t="e">
        <f>AND('BBP complete'!N513,"AAAAAE/17wQ=")</f>
        <v>#VALUE!</v>
      </c>
      <c r="F45" t="e">
        <f>AND('BBP complete'!P523,"AAAAAE/17wU=")</f>
        <v>#VALUE!</v>
      </c>
      <c r="G45" t="e">
        <f>AND('BBP complete'!J168,"AAAAAE/17wY=")</f>
        <v>#VALUE!</v>
      </c>
      <c r="H45" t="e">
        <f>AND('BBP complete'!#REF!,"AAAAAE/17wc=")</f>
        <v>#REF!</v>
      </c>
      <c r="I45" t="e">
        <f>AND('BBP complete'!#REF!,"AAAAAE/17wg=")</f>
        <v>#REF!</v>
      </c>
      <c r="J45" t="e">
        <f>AND('BBP complete'!#REF!,"AAAAAE/17wk=")</f>
        <v>#REF!</v>
      </c>
      <c r="K45" t="e">
        <f>AND('BBP complete'!K168,"AAAAAE/17wo=")</f>
        <v>#VALUE!</v>
      </c>
      <c r="L45" t="e">
        <f>AND('BBP complete'!L168,"AAAAAE/17ws=")</f>
        <v>#VALUE!</v>
      </c>
      <c r="M45" t="e">
        <f>AND('BBP complete'!M514,"AAAAAE/17ww=")</f>
        <v>#VALUE!</v>
      </c>
      <c r="N45" t="e">
        <f>AND('BBP complete'!N514,"AAAAAE/17w0=")</f>
        <v>#VALUE!</v>
      </c>
      <c r="O45" t="e">
        <f>AND('BBP complete'!P524,"AAAAAE/17w4=")</f>
        <v>#VALUE!</v>
      </c>
      <c r="P45" t="e">
        <f>AND('BBP complete'!J169,"AAAAAE/17w8=")</f>
        <v>#VALUE!</v>
      </c>
      <c r="Q45" t="e">
        <f>AND('BBP complete'!#REF!,"AAAAAE/17xA=")</f>
        <v>#REF!</v>
      </c>
      <c r="R45" t="e">
        <f>AND('BBP complete'!#REF!,"AAAAAE/17xE=")</f>
        <v>#REF!</v>
      </c>
      <c r="S45" t="e">
        <f>AND('BBP complete'!#REF!,"AAAAAE/17xI=")</f>
        <v>#REF!</v>
      </c>
      <c r="T45" t="e">
        <f>AND('BBP complete'!K169,"AAAAAE/17xM=")</f>
        <v>#VALUE!</v>
      </c>
      <c r="U45" t="e">
        <f>AND('BBP complete'!L169,"AAAAAE/17xQ=")</f>
        <v>#VALUE!</v>
      </c>
      <c r="V45" t="e">
        <f>AND('BBP complete'!M515,"AAAAAE/17xU=")</f>
        <v>#VALUE!</v>
      </c>
      <c r="W45" t="e">
        <f>AND('BBP complete'!N515,"AAAAAE/17xY=")</f>
        <v>#VALUE!</v>
      </c>
      <c r="X45" t="e">
        <f>AND('BBP complete'!P525,"AAAAAE/17xc=")</f>
        <v>#VALUE!</v>
      </c>
      <c r="Y45" t="e">
        <f>AND('BBP complete'!J170,"AAAAAE/17xg=")</f>
        <v>#VALUE!</v>
      </c>
      <c r="Z45" t="e">
        <f>AND('BBP complete'!#REF!,"AAAAAE/17xk=")</f>
        <v>#REF!</v>
      </c>
      <c r="AA45" t="e">
        <f>AND('BBP complete'!#REF!,"AAAAAE/17xo=")</f>
        <v>#REF!</v>
      </c>
      <c r="AB45" t="e">
        <f>AND('BBP complete'!#REF!,"AAAAAE/17xs=")</f>
        <v>#REF!</v>
      </c>
      <c r="AC45" t="e">
        <f>AND('BBP complete'!K170,"AAAAAE/17xw=")</f>
        <v>#VALUE!</v>
      </c>
      <c r="AD45" t="e">
        <f>AND('BBP complete'!L170,"AAAAAE/17x0=")</f>
        <v>#VALUE!</v>
      </c>
      <c r="AE45" t="e">
        <f>AND('BBP complete'!M516,"AAAAAE/17x4=")</f>
        <v>#VALUE!</v>
      </c>
      <c r="AF45" t="e">
        <f>AND('BBP complete'!N516,"AAAAAE/17x8=")</f>
        <v>#VALUE!</v>
      </c>
      <c r="AG45" t="e">
        <f>AND('BBP complete'!P526,"AAAAAE/17yA=")</f>
        <v>#VALUE!</v>
      </c>
      <c r="AH45" t="e">
        <f>AND('BBP complete'!J171,"AAAAAE/17yE=")</f>
        <v>#VALUE!</v>
      </c>
      <c r="AI45" t="e">
        <f>AND('BBP complete'!#REF!,"AAAAAE/17yI=")</f>
        <v>#REF!</v>
      </c>
      <c r="AJ45" t="e">
        <f>AND('BBP complete'!#REF!,"AAAAAE/17yM=")</f>
        <v>#REF!</v>
      </c>
      <c r="AK45" t="e">
        <f>AND('BBP complete'!#REF!,"AAAAAE/17yQ=")</f>
        <v>#REF!</v>
      </c>
      <c r="AL45" t="e">
        <f>AND('BBP complete'!K171,"AAAAAE/17yU=")</f>
        <v>#VALUE!</v>
      </c>
      <c r="AM45" t="e">
        <f>AND('BBP complete'!L171,"AAAAAE/17yY=")</f>
        <v>#VALUE!</v>
      </c>
      <c r="AN45" t="e">
        <f>AND('BBP complete'!M517,"AAAAAE/17yc=")</f>
        <v>#VALUE!</v>
      </c>
      <c r="AO45" t="e">
        <f>AND('BBP complete'!N517,"AAAAAE/17yg=")</f>
        <v>#VALUE!</v>
      </c>
      <c r="AP45" t="e">
        <f>AND('BBP complete'!P527,"AAAAAE/17yk=")</f>
        <v>#VALUE!</v>
      </c>
      <c r="AQ45" t="e">
        <f>AND('BBP complete'!J172,"AAAAAE/17yo=")</f>
        <v>#VALUE!</v>
      </c>
      <c r="AR45" t="e">
        <f>AND('BBP complete'!#REF!,"AAAAAE/17ys=")</f>
        <v>#REF!</v>
      </c>
      <c r="AS45" t="e">
        <f>AND('BBP complete'!#REF!,"AAAAAE/17yw=")</f>
        <v>#REF!</v>
      </c>
      <c r="AT45" t="e">
        <f>AND('BBP complete'!#REF!,"AAAAAE/17y0=")</f>
        <v>#REF!</v>
      </c>
      <c r="AU45" t="e">
        <f>AND('BBP complete'!K172,"AAAAAE/17y4=")</f>
        <v>#VALUE!</v>
      </c>
      <c r="AV45" t="e">
        <f>AND('BBP complete'!L172,"AAAAAE/17y8=")</f>
        <v>#VALUE!</v>
      </c>
      <c r="AW45" t="e">
        <f>AND('BBP complete'!M518,"AAAAAE/17zA=")</f>
        <v>#VALUE!</v>
      </c>
      <c r="AX45" t="e">
        <f>AND('BBP complete'!N518,"AAAAAE/17zE=")</f>
        <v>#VALUE!</v>
      </c>
      <c r="AY45" t="e">
        <f>AND('BBP complete'!P528,"AAAAAE/17zI=")</f>
        <v>#VALUE!</v>
      </c>
      <c r="AZ45" t="e">
        <f>AND('BBP complete'!J173,"AAAAAE/17zM=")</f>
        <v>#VALUE!</v>
      </c>
      <c r="BA45" t="e">
        <f>AND('BBP complete'!#REF!,"AAAAAE/17zQ=")</f>
        <v>#REF!</v>
      </c>
      <c r="BB45" t="e">
        <f>AND('BBP complete'!#REF!,"AAAAAE/17zU=")</f>
        <v>#REF!</v>
      </c>
      <c r="BC45" t="e">
        <f>AND('BBP complete'!#REF!,"AAAAAE/17zY=")</f>
        <v>#REF!</v>
      </c>
      <c r="BD45" t="e">
        <f>AND('BBP complete'!K173,"AAAAAE/17zc=")</f>
        <v>#VALUE!</v>
      </c>
      <c r="BE45" t="e">
        <f>AND('BBP complete'!L173,"AAAAAE/17zg=")</f>
        <v>#VALUE!</v>
      </c>
      <c r="BF45" t="e">
        <f>AND('BBP complete'!M519,"AAAAAE/17zk=")</f>
        <v>#VALUE!</v>
      </c>
      <c r="BG45" t="e">
        <f>AND('BBP complete'!N519,"AAAAAE/17zo=")</f>
        <v>#VALUE!</v>
      </c>
      <c r="BH45" t="e">
        <f>AND('BBP complete'!P529,"AAAAAE/17zs=")</f>
        <v>#VALUE!</v>
      </c>
      <c r="BI45" t="e">
        <f>AND('BBP complete'!J174,"AAAAAE/17zw=")</f>
        <v>#VALUE!</v>
      </c>
      <c r="BJ45" t="e">
        <f>AND('BBP complete'!#REF!,"AAAAAE/17z0=")</f>
        <v>#REF!</v>
      </c>
      <c r="BK45" t="e">
        <f>AND('BBP complete'!#REF!,"AAAAAE/17z4=")</f>
        <v>#REF!</v>
      </c>
      <c r="BL45" t="e">
        <f>AND('BBP complete'!#REF!,"AAAAAE/17z8=")</f>
        <v>#REF!</v>
      </c>
      <c r="BM45" t="e">
        <f>AND('BBP complete'!K174,"AAAAAE/170A=")</f>
        <v>#VALUE!</v>
      </c>
      <c r="BN45" t="e">
        <f>AND('BBP complete'!L174,"AAAAAE/170E=")</f>
        <v>#VALUE!</v>
      </c>
      <c r="BO45" t="e">
        <f>AND('BBP complete'!M520,"AAAAAE/170I=")</f>
        <v>#VALUE!</v>
      </c>
      <c r="BP45" t="e">
        <f>AND('BBP complete'!N520,"AAAAAE/170M=")</f>
        <v>#VALUE!</v>
      </c>
      <c r="BQ45" t="e">
        <f>AND('BBP complete'!P530,"AAAAAE/170Q=")</f>
        <v>#VALUE!</v>
      </c>
      <c r="BR45" t="e">
        <f>AND('BBP complete'!J175,"AAAAAE/170U=")</f>
        <v>#VALUE!</v>
      </c>
      <c r="BS45" t="e">
        <f>AND('BBP complete'!#REF!,"AAAAAE/170Y=")</f>
        <v>#REF!</v>
      </c>
      <c r="BT45" t="e">
        <f>AND('BBP complete'!#REF!,"AAAAAE/170c=")</f>
        <v>#REF!</v>
      </c>
      <c r="BU45" t="e">
        <f>AND('BBP complete'!#REF!,"AAAAAE/170g=")</f>
        <v>#REF!</v>
      </c>
      <c r="BV45" t="e">
        <f>AND('BBP complete'!K175,"AAAAAE/170k=")</f>
        <v>#VALUE!</v>
      </c>
      <c r="BW45" t="e">
        <f>AND('BBP complete'!L175,"AAAAAE/170o=")</f>
        <v>#VALUE!</v>
      </c>
      <c r="BX45" t="e">
        <f>AND('BBP complete'!M521,"AAAAAE/170s=")</f>
        <v>#VALUE!</v>
      </c>
      <c r="BY45" t="e">
        <f>AND('BBP complete'!N521,"AAAAAE/170w=")</f>
        <v>#VALUE!</v>
      </c>
      <c r="BZ45" t="e">
        <f>AND('BBP complete'!P531,"AAAAAE/1700=")</f>
        <v>#VALUE!</v>
      </c>
      <c r="CA45" t="e">
        <f>AND('BBP complete'!J176,"AAAAAE/1704=")</f>
        <v>#VALUE!</v>
      </c>
      <c r="CB45" t="e">
        <f>AND('BBP complete'!#REF!,"AAAAAE/1708=")</f>
        <v>#REF!</v>
      </c>
      <c r="CC45" t="e">
        <f>AND('BBP complete'!#REF!,"AAAAAE/171A=")</f>
        <v>#REF!</v>
      </c>
      <c r="CD45" t="e">
        <f>AND('BBP complete'!#REF!,"AAAAAE/171E=")</f>
        <v>#REF!</v>
      </c>
      <c r="CE45" t="e">
        <f>AND('BBP complete'!K176,"AAAAAE/171I=")</f>
        <v>#VALUE!</v>
      </c>
      <c r="CF45" t="e">
        <f>AND('BBP complete'!L176,"AAAAAE/171M=")</f>
        <v>#VALUE!</v>
      </c>
      <c r="CG45" t="e">
        <f>AND('BBP complete'!M522,"AAAAAE/171Q=")</f>
        <v>#VALUE!</v>
      </c>
      <c r="CH45" t="e">
        <f>AND('BBP complete'!N522,"AAAAAE/171U=")</f>
        <v>#VALUE!</v>
      </c>
      <c r="CI45" t="e">
        <f>AND('BBP complete'!P532,"AAAAAE/171Y=")</f>
        <v>#VALUE!</v>
      </c>
      <c r="CJ45" t="e">
        <f>AND('BBP complete'!J177,"AAAAAE/171c=")</f>
        <v>#VALUE!</v>
      </c>
      <c r="CK45" t="e">
        <f>AND('BBP complete'!#REF!,"AAAAAE/171g=")</f>
        <v>#REF!</v>
      </c>
      <c r="CL45" t="e">
        <f>AND('BBP complete'!#REF!,"AAAAAE/171k=")</f>
        <v>#REF!</v>
      </c>
      <c r="CM45" t="e">
        <f>AND('BBP complete'!#REF!,"AAAAAE/171o=")</f>
        <v>#REF!</v>
      </c>
      <c r="CN45" t="e">
        <f>AND('BBP complete'!K177,"AAAAAE/171s=")</f>
        <v>#VALUE!</v>
      </c>
      <c r="CO45" t="e">
        <f>AND('BBP complete'!L177,"AAAAAE/171w=")</f>
        <v>#VALUE!</v>
      </c>
      <c r="CP45" t="e">
        <f>AND('BBP complete'!M523,"AAAAAE/1710=")</f>
        <v>#VALUE!</v>
      </c>
      <c r="CQ45" t="e">
        <f>AND('BBP complete'!N523,"AAAAAE/1714=")</f>
        <v>#VALUE!</v>
      </c>
      <c r="CR45" t="e">
        <f>AND('BBP complete'!P533,"AAAAAE/1718=")</f>
        <v>#VALUE!</v>
      </c>
      <c r="CS45" t="e">
        <f>AND('BBP complete'!J178,"AAAAAE/172A=")</f>
        <v>#VALUE!</v>
      </c>
      <c r="CT45" t="e">
        <f>AND('BBP complete'!#REF!,"AAAAAE/172E=")</f>
        <v>#REF!</v>
      </c>
      <c r="CU45" t="e">
        <f>AND('BBP complete'!#REF!,"AAAAAE/172I=")</f>
        <v>#REF!</v>
      </c>
      <c r="CV45" t="e">
        <f>AND('BBP complete'!#REF!,"AAAAAE/172M=")</f>
        <v>#REF!</v>
      </c>
      <c r="CW45" t="e">
        <f>AND('BBP complete'!K178,"AAAAAE/172Q=")</f>
        <v>#VALUE!</v>
      </c>
      <c r="CX45" t="e">
        <f>AND('BBP complete'!L178,"AAAAAE/172U=")</f>
        <v>#VALUE!</v>
      </c>
      <c r="CY45" t="e">
        <f>AND('BBP complete'!M524,"AAAAAE/172Y=")</f>
        <v>#VALUE!</v>
      </c>
      <c r="CZ45" t="e">
        <f>AND('BBP complete'!N524,"AAAAAE/172c=")</f>
        <v>#VALUE!</v>
      </c>
      <c r="DA45" t="e">
        <f>AND('BBP complete'!P534,"AAAAAE/172g=")</f>
        <v>#VALUE!</v>
      </c>
      <c r="DB45" t="e">
        <f>AND('BBP complete'!J179,"AAAAAE/172k=")</f>
        <v>#VALUE!</v>
      </c>
      <c r="DC45" t="e">
        <f>AND('BBP complete'!#REF!,"AAAAAE/172o=")</f>
        <v>#REF!</v>
      </c>
      <c r="DD45" t="e">
        <f>AND('BBP complete'!#REF!,"AAAAAE/172s=")</f>
        <v>#REF!</v>
      </c>
      <c r="DE45" t="e">
        <f>AND('BBP complete'!#REF!,"AAAAAE/172w=")</f>
        <v>#REF!</v>
      </c>
      <c r="DF45" t="e">
        <f>AND('BBP complete'!K179,"AAAAAE/1720=")</f>
        <v>#VALUE!</v>
      </c>
      <c r="DG45" t="e">
        <f>AND('BBP complete'!L179,"AAAAAE/1724=")</f>
        <v>#VALUE!</v>
      </c>
      <c r="DH45" t="e">
        <f>AND('BBP complete'!M525,"AAAAAE/1728=")</f>
        <v>#VALUE!</v>
      </c>
      <c r="DI45" t="e">
        <f>AND('BBP complete'!N525,"AAAAAE/173A=")</f>
        <v>#VALUE!</v>
      </c>
      <c r="DJ45" t="e">
        <f>AND('BBP complete'!P535,"AAAAAE/173E=")</f>
        <v>#VALUE!</v>
      </c>
      <c r="DK45" t="e">
        <f>AND('BBP complete'!J180,"AAAAAE/173I=")</f>
        <v>#VALUE!</v>
      </c>
      <c r="DL45" t="e">
        <f>AND('BBP complete'!#REF!,"AAAAAE/173M=")</f>
        <v>#REF!</v>
      </c>
      <c r="DM45" t="e">
        <f>AND('BBP complete'!#REF!,"AAAAAE/173Q=")</f>
        <v>#REF!</v>
      </c>
      <c r="DN45" t="e">
        <f>AND('BBP complete'!#REF!,"AAAAAE/173U=")</f>
        <v>#REF!</v>
      </c>
      <c r="DO45" t="e">
        <f>AND('BBP complete'!K180,"AAAAAE/173Y=")</f>
        <v>#VALUE!</v>
      </c>
      <c r="DP45" t="e">
        <f>AND('BBP complete'!L180,"AAAAAE/173c=")</f>
        <v>#VALUE!</v>
      </c>
      <c r="DQ45" t="e">
        <f>AND('BBP complete'!M526,"AAAAAE/173g=")</f>
        <v>#VALUE!</v>
      </c>
      <c r="DR45" t="e">
        <f>AND('BBP complete'!N526,"AAAAAE/173k=")</f>
        <v>#VALUE!</v>
      </c>
      <c r="DS45" t="e">
        <f>AND('BBP complete'!P536,"AAAAAE/173o=")</f>
        <v>#VALUE!</v>
      </c>
      <c r="DT45" t="e">
        <f>AND('BBP complete'!J181,"AAAAAE/173s=")</f>
        <v>#VALUE!</v>
      </c>
      <c r="DU45" t="e">
        <f>AND('BBP complete'!#REF!,"AAAAAE/173w=")</f>
        <v>#REF!</v>
      </c>
      <c r="DV45" t="e">
        <f>AND('BBP complete'!#REF!,"AAAAAE/1730=")</f>
        <v>#REF!</v>
      </c>
      <c r="DW45" t="e">
        <f>AND('BBP complete'!#REF!,"AAAAAE/1734=")</f>
        <v>#REF!</v>
      </c>
      <c r="DX45" t="e">
        <f>AND('BBP complete'!K181,"AAAAAE/1738=")</f>
        <v>#VALUE!</v>
      </c>
      <c r="DY45" t="e">
        <f>AND('BBP complete'!L181,"AAAAAE/174A=")</f>
        <v>#VALUE!</v>
      </c>
      <c r="DZ45" t="e">
        <f>AND('BBP complete'!M527,"AAAAAE/174E=")</f>
        <v>#VALUE!</v>
      </c>
      <c r="EA45" t="e">
        <f>AND('BBP complete'!N527,"AAAAAE/174I=")</f>
        <v>#VALUE!</v>
      </c>
      <c r="EB45" t="e">
        <f>AND('BBP complete'!P537,"AAAAAE/174M=")</f>
        <v>#VALUE!</v>
      </c>
      <c r="EC45" t="e">
        <f>AND('BBP complete'!J182,"AAAAAE/174Q=")</f>
        <v>#VALUE!</v>
      </c>
      <c r="ED45" t="e">
        <f>AND('BBP complete'!#REF!,"AAAAAE/174U=")</f>
        <v>#REF!</v>
      </c>
      <c r="EE45" t="e">
        <f>AND('BBP complete'!#REF!,"AAAAAE/174Y=")</f>
        <v>#REF!</v>
      </c>
      <c r="EF45" t="e">
        <f>AND('BBP complete'!#REF!,"AAAAAE/174c=")</f>
        <v>#REF!</v>
      </c>
      <c r="EG45" t="e">
        <f>AND('BBP complete'!K182,"AAAAAE/174g=")</f>
        <v>#VALUE!</v>
      </c>
      <c r="EH45" t="e">
        <f>AND('BBP complete'!L182,"AAAAAE/174k=")</f>
        <v>#VALUE!</v>
      </c>
      <c r="EI45" t="e">
        <f>AND('BBP complete'!M528,"AAAAAE/174o=")</f>
        <v>#VALUE!</v>
      </c>
      <c r="EJ45" t="e">
        <f>AND('BBP complete'!N528,"AAAAAE/174s=")</f>
        <v>#VALUE!</v>
      </c>
      <c r="EK45" t="e">
        <f>AND('BBP complete'!P538,"AAAAAE/174w=")</f>
        <v>#VALUE!</v>
      </c>
      <c r="EL45" t="e">
        <f>AND('BBP complete'!J183,"AAAAAE/1740=")</f>
        <v>#VALUE!</v>
      </c>
      <c r="EM45" t="e">
        <f>AND('BBP complete'!#REF!,"AAAAAE/1744=")</f>
        <v>#REF!</v>
      </c>
      <c r="EN45" t="e">
        <f>AND('BBP complete'!#REF!,"AAAAAE/1748=")</f>
        <v>#REF!</v>
      </c>
      <c r="EO45" t="e">
        <f>AND('BBP complete'!#REF!,"AAAAAE/175A=")</f>
        <v>#REF!</v>
      </c>
      <c r="EP45" t="e">
        <f>AND('BBP complete'!K183,"AAAAAE/175E=")</f>
        <v>#VALUE!</v>
      </c>
      <c r="EQ45" t="e">
        <f>AND('BBP complete'!L183,"AAAAAE/175I=")</f>
        <v>#VALUE!</v>
      </c>
      <c r="ER45" t="e">
        <f>AND('BBP complete'!M529,"AAAAAE/175M=")</f>
        <v>#VALUE!</v>
      </c>
      <c r="ES45" t="e">
        <f>AND('BBP complete'!N529,"AAAAAE/175Q=")</f>
        <v>#VALUE!</v>
      </c>
      <c r="ET45" t="e">
        <f>AND('BBP complete'!P539,"AAAAAE/175U=")</f>
        <v>#VALUE!</v>
      </c>
      <c r="EU45" t="e">
        <f>AND('BBP complete'!J184,"AAAAAE/175Y=")</f>
        <v>#VALUE!</v>
      </c>
      <c r="EV45" t="e">
        <f>AND('BBP complete'!#REF!,"AAAAAE/175c=")</f>
        <v>#REF!</v>
      </c>
      <c r="EW45" t="e">
        <f>AND('BBP complete'!#REF!,"AAAAAE/175g=")</f>
        <v>#REF!</v>
      </c>
      <c r="EX45" t="e">
        <f>AND('BBP complete'!#REF!,"AAAAAE/175k=")</f>
        <v>#REF!</v>
      </c>
      <c r="EY45" t="e">
        <f>AND('BBP complete'!K184,"AAAAAE/175o=")</f>
        <v>#VALUE!</v>
      </c>
      <c r="EZ45" t="e">
        <f>AND('BBP complete'!L184,"AAAAAE/175s=")</f>
        <v>#VALUE!</v>
      </c>
      <c r="FA45" t="e">
        <f>AND('BBP complete'!M530,"AAAAAE/175w=")</f>
        <v>#VALUE!</v>
      </c>
      <c r="FB45" t="e">
        <f>AND('BBP complete'!N530,"AAAAAE/1750=")</f>
        <v>#VALUE!</v>
      </c>
      <c r="FC45" t="e">
        <f>AND('BBP complete'!P540,"AAAAAE/1754=")</f>
        <v>#VALUE!</v>
      </c>
      <c r="FD45" t="e">
        <f>AND('BBP complete'!J185,"AAAAAE/1758=")</f>
        <v>#VALUE!</v>
      </c>
      <c r="FE45" t="e">
        <f>AND('BBP complete'!#REF!,"AAAAAE/176A=")</f>
        <v>#REF!</v>
      </c>
      <c r="FF45" t="e">
        <f>AND('BBP complete'!#REF!,"AAAAAE/176E=")</f>
        <v>#REF!</v>
      </c>
      <c r="FG45" t="e">
        <f>AND('BBP complete'!#REF!,"AAAAAE/176I=")</f>
        <v>#REF!</v>
      </c>
      <c r="FH45" t="e">
        <f>AND('BBP complete'!K185,"AAAAAE/176M=")</f>
        <v>#VALUE!</v>
      </c>
      <c r="FI45" t="e">
        <f>AND('BBP complete'!L185,"AAAAAE/176Q=")</f>
        <v>#VALUE!</v>
      </c>
      <c r="FJ45" t="e">
        <f>AND('BBP complete'!M531,"AAAAAE/176U=")</f>
        <v>#VALUE!</v>
      </c>
      <c r="FK45" t="e">
        <f>AND('BBP complete'!N531,"AAAAAE/176Y=")</f>
        <v>#VALUE!</v>
      </c>
      <c r="FL45" t="e">
        <f>AND('BBP complete'!P541,"AAAAAE/176c=")</f>
        <v>#VALUE!</v>
      </c>
      <c r="FM45" t="e">
        <f>AND('BBP complete'!J186,"AAAAAE/176g=")</f>
        <v>#VALUE!</v>
      </c>
      <c r="FN45" t="e">
        <f>AND('BBP complete'!#REF!,"AAAAAE/176k=")</f>
        <v>#REF!</v>
      </c>
      <c r="FO45" t="e">
        <f>AND('BBP complete'!#REF!,"AAAAAE/176o=")</f>
        <v>#REF!</v>
      </c>
      <c r="FP45" t="e">
        <f>AND('BBP complete'!#REF!,"AAAAAE/176s=")</f>
        <v>#REF!</v>
      </c>
      <c r="FQ45" t="e">
        <f>AND('BBP complete'!K186,"AAAAAE/176w=")</f>
        <v>#VALUE!</v>
      </c>
      <c r="FR45" t="e">
        <f>AND('BBP complete'!L186,"AAAAAE/1760=")</f>
        <v>#VALUE!</v>
      </c>
      <c r="FS45" t="e">
        <f>AND('BBP complete'!M532,"AAAAAE/1764=")</f>
        <v>#VALUE!</v>
      </c>
      <c r="FT45" t="e">
        <f>AND('BBP complete'!N532,"AAAAAE/1768=")</f>
        <v>#VALUE!</v>
      </c>
      <c r="FU45" t="e">
        <f>AND('BBP complete'!P542,"AAAAAE/177A=")</f>
        <v>#VALUE!</v>
      </c>
      <c r="FV45" t="e">
        <f>AND('BBP complete'!J187,"AAAAAE/177E=")</f>
        <v>#VALUE!</v>
      </c>
      <c r="FW45" t="e">
        <f>AND('BBP complete'!#REF!,"AAAAAE/177I=")</f>
        <v>#REF!</v>
      </c>
      <c r="FX45" t="e">
        <f>AND('BBP complete'!#REF!,"AAAAAE/177M=")</f>
        <v>#REF!</v>
      </c>
      <c r="FY45" t="e">
        <f>AND('BBP complete'!#REF!,"AAAAAE/177Q=")</f>
        <v>#REF!</v>
      </c>
      <c r="FZ45" t="e">
        <f>AND('BBP complete'!K187,"AAAAAE/177U=")</f>
        <v>#VALUE!</v>
      </c>
      <c r="GA45" t="e">
        <f>AND('BBP complete'!L187,"AAAAAE/177Y=")</f>
        <v>#VALUE!</v>
      </c>
      <c r="GB45" t="e">
        <f>AND('BBP complete'!M533,"AAAAAE/177c=")</f>
        <v>#VALUE!</v>
      </c>
      <c r="GC45" t="e">
        <f>AND('BBP complete'!N533,"AAAAAE/177g=")</f>
        <v>#VALUE!</v>
      </c>
      <c r="GD45" t="e">
        <f>AND('BBP complete'!P543,"AAAAAE/177k=")</f>
        <v>#VALUE!</v>
      </c>
      <c r="GE45" t="e">
        <f>AND('BBP complete'!J188,"AAAAAE/177o=")</f>
        <v>#VALUE!</v>
      </c>
      <c r="GF45" t="e">
        <f>AND('BBP complete'!#REF!,"AAAAAE/177s=")</f>
        <v>#REF!</v>
      </c>
      <c r="GG45" t="e">
        <f>AND('BBP complete'!#REF!,"AAAAAE/177w=")</f>
        <v>#REF!</v>
      </c>
      <c r="GH45" t="e">
        <f>AND('BBP complete'!#REF!,"AAAAAE/1770=")</f>
        <v>#REF!</v>
      </c>
      <c r="GI45" t="e">
        <f>AND('BBP complete'!K188,"AAAAAE/1774=")</f>
        <v>#VALUE!</v>
      </c>
      <c r="GJ45" t="e">
        <f>AND('BBP complete'!L188,"AAAAAE/1778=")</f>
        <v>#VALUE!</v>
      </c>
      <c r="GK45" t="e">
        <f>AND('BBP complete'!M534,"AAAAAE/178A=")</f>
        <v>#VALUE!</v>
      </c>
      <c r="GL45" t="e">
        <f>AND('BBP complete'!N534,"AAAAAE/178E=")</f>
        <v>#VALUE!</v>
      </c>
      <c r="GM45" t="e">
        <f>AND('BBP complete'!P544,"AAAAAE/178I=")</f>
        <v>#VALUE!</v>
      </c>
      <c r="GN45" t="e">
        <f>AND('BBP complete'!J189,"AAAAAE/178M=")</f>
        <v>#VALUE!</v>
      </c>
      <c r="GO45" t="e">
        <f>AND('BBP complete'!#REF!,"AAAAAE/178Q=")</f>
        <v>#REF!</v>
      </c>
      <c r="GP45" t="e">
        <f>AND('BBP complete'!#REF!,"AAAAAE/178U=")</f>
        <v>#REF!</v>
      </c>
      <c r="GQ45" t="e">
        <f>AND('BBP complete'!#REF!,"AAAAAE/178Y=")</f>
        <v>#REF!</v>
      </c>
      <c r="GR45" t="e">
        <f>AND('BBP complete'!K189,"AAAAAE/178c=")</f>
        <v>#VALUE!</v>
      </c>
      <c r="GS45" t="e">
        <f>AND('BBP complete'!L189,"AAAAAE/178g=")</f>
        <v>#VALUE!</v>
      </c>
      <c r="GT45" t="e">
        <f>AND('BBP complete'!M535,"AAAAAE/178k=")</f>
        <v>#VALUE!</v>
      </c>
      <c r="GU45" t="e">
        <f>AND('BBP complete'!N535,"AAAAAE/178o=")</f>
        <v>#VALUE!</v>
      </c>
      <c r="GV45" t="e">
        <f>AND('BBP complete'!P545,"AAAAAE/178s=")</f>
        <v>#VALUE!</v>
      </c>
      <c r="GW45" t="e">
        <f>AND('BBP complete'!J190,"AAAAAE/178w=")</f>
        <v>#VALUE!</v>
      </c>
      <c r="GX45" t="e">
        <f>AND('BBP complete'!#REF!,"AAAAAE/1780=")</f>
        <v>#REF!</v>
      </c>
      <c r="GY45" t="e">
        <f>AND('BBP complete'!#REF!,"AAAAAE/1784=")</f>
        <v>#REF!</v>
      </c>
      <c r="GZ45" t="e">
        <f>AND('BBP complete'!#REF!,"AAAAAE/1788=")</f>
        <v>#REF!</v>
      </c>
      <c r="HA45" t="e">
        <f>AND('BBP complete'!K190,"AAAAAE/179A=")</f>
        <v>#VALUE!</v>
      </c>
      <c r="HB45" t="e">
        <f>AND('BBP complete'!L190,"AAAAAE/179E=")</f>
        <v>#VALUE!</v>
      </c>
      <c r="HC45" t="e">
        <f>AND('BBP complete'!M536,"AAAAAE/179I=")</f>
        <v>#VALUE!</v>
      </c>
      <c r="HD45" t="e">
        <f>AND('BBP complete'!N536,"AAAAAE/179M=")</f>
        <v>#VALUE!</v>
      </c>
      <c r="HE45" t="e">
        <f>AND('BBP complete'!P546,"AAAAAE/179Q=")</f>
        <v>#VALUE!</v>
      </c>
      <c r="HF45" t="e">
        <f>AND('BBP complete'!J191,"AAAAAE/179U=")</f>
        <v>#VALUE!</v>
      </c>
      <c r="HG45" t="e">
        <f>AND('BBP complete'!#REF!,"AAAAAE/179Y=")</f>
        <v>#REF!</v>
      </c>
      <c r="HH45" t="e">
        <f>AND('BBP complete'!#REF!,"AAAAAE/179c=")</f>
        <v>#REF!</v>
      </c>
      <c r="HI45" t="e">
        <f>AND('BBP complete'!#REF!,"AAAAAE/179g=")</f>
        <v>#REF!</v>
      </c>
      <c r="HJ45" t="e">
        <f>AND('BBP complete'!K191,"AAAAAE/179k=")</f>
        <v>#VALUE!</v>
      </c>
      <c r="HK45" t="e">
        <f>AND('BBP complete'!L191,"AAAAAE/179o=")</f>
        <v>#VALUE!</v>
      </c>
      <c r="HL45" t="e">
        <f>AND('BBP complete'!M537,"AAAAAE/179s=")</f>
        <v>#VALUE!</v>
      </c>
      <c r="HM45" t="e">
        <f>AND('BBP complete'!N537,"AAAAAE/179w=")</f>
        <v>#VALUE!</v>
      </c>
      <c r="HN45" t="e">
        <f>AND('BBP complete'!P547,"AAAAAE/1790=")</f>
        <v>#VALUE!</v>
      </c>
      <c r="HO45" t="e">
        <f>AND('BBP complete'!J192,"AAAAAE/1794=")</f>
        <v>#VALUE!</v>
      </c>
      <c r="HP45" t="e">
        <f>AND('BBP complete'!#REF!,"AAAAAE/1798=")</f>
        <v>#REF!</v>
      </c>
      <c r="HQ45" t="e">
        <f>AND('BBP complete'!#REF!,"AAAAAE/17+A=")</f>
        <v>#REF!</v>
      </c>
      <c r="HR45" t="e">
        <f>AND('BBP complete'!#REF!,"AAAAAE/17+E=")</f>
        <v>#REF!</v>
      </c>
      <c r="HS45" t="e">
        <f>AND('BBP complete'!K192,"AAAAAE/17+I=")</f>
        <v>#VALUE!</v>
      </c>
      <c r="HT45" t="e">
        <f>AND('BBP complete'!L192,"AAAAAE/17+M=")</f>
        <v>#VALUE!</v>
      </c>
      <c r="HU45" t="e">
        <f>AND('BBP complete'!M538,"AAAAAE/17+Q=")</f>
        <v>#VALUE!</v>
      </c>
      <c r="HV45" t="e">
        <f>AND('BBP complete'!N538,"AAAAAE/17+U=")</f>
        <v>#VALUE!</v>
      </c>
      <c r="HW45" t="e">
        <f>AND('BBP complete'!P548,"AAAAAE/17+Y=")</f>
        <v>#VALUE!</v>
      </c>
      <c r="HX45" t="e">
        <f>AND('BBP complete'!J193,"AAAAAE/17+c=")</f>
        <v>#VALUE!</v>
      </c>
      <c r="HY45" t="e">
        <f>AND('BBP complete'!#REF!,"AAAAAE/17+g=")</f>
        <v>#REF!</v>
      </c>
      <c r="HZ45" t="e">
        <f>AND('BBP complete'!#REF!,"AAAAAE/17+k=")</f>
        <v>#REF!</v>
      </c>
      <c r="IA45" t="e">
        <f>AND('BBP complete'!#REF!,"AAAAAE/17+o=")</f>
        <v>#REF!</v>
      </c>
      <c r="IB45" t="e">
        <f>AND('BBP complete'!K193,"AAAAAE/17+s=")</f>
        <v>#VALUE!</v>
      </c>
      <c r="IC45" t="e">
        <f>AND('BBP complete'!L193,"AAAAAE/17+w=")</f>
        <v>#VALUE!</v>
      </c>
      <c r="ID45" t="e">
        <f>AND('BBP complete'!M539,"AAAAAE/17+0=")</f>
        <v>#VALUE!</v>
      </c>
      <c r="IE45" t="e">
        <f>AND('BBP complete'!N539,"AAAAAE/17+4=")</f>
        <v>#VALUE!</v>
      </c>
      <c r="IF45" t="e">
        <f>AND('BBP complete'!P549,"AAAAAE/17+8=")</f>
        <v>#VALUE!</v>
      </c>
      <c r="IG45" t="e">
        <f>AND('BBP complete'!J194,"AAAAAE/17/A=")</f>
        <v>#VALUE!</v>
      </c>
      <c r="IH45" t="e">
        <f>AND('BBP complete'!#REF!,"AAAAAE/17/E=")</f>
        <v>#REF!</v>
      </c>
      <c r="II45" t="e">
        <f>AND('BBP complete'!#REF!,"AAAAAE/17/I=")</f>
        <v>#REF!</v>
      </c>
      <c r="IJ45" t="e">
        <f>AND('BBP complete'!#REF!,"AAAAAE/17/M=")</f>
        <v>#REF!</v>
      </c>
      <c r="IK45" t="e">
        <f>AND('BBP complete'!K194,"AAAAAE/17/Q=")</f>
        <v>#VALUE!</v>
      </c>
      <c r="IL45" t="e">
        <f>AND('BBP complete'!L194,"AAAAAE/17/U=")</f>
        <v>#VALUE!</v>
      </c>
      <c r="IM45" t="e">
        <f>AND('BBP complete'!M540,"AAAAAE/17/Y=")</f>
        <v>#VALUE!</v>
      </c>
      <c r="IN45" t="e">
        <f>AND('BBP complete'!N540,"AAAAAE/17/c=")</f>
        <v>#VALUE!</v>
      </c>
      <c r="IO45" t="e">
        <f>AND('BBP complete'!P550,"AAAAAE/17/g=")</f>
        <v>#VALUE!</v>
      </c>
      <c r="IP45" t="e">
        <f>AND('BBP complete'!J195,"AAAAAE/17/k=")</f>
        <v>#VALUE!</v>
      </c>
      <c r="IQ45" t="e">
        <f>AND('BBP complete'!#REF!,"AAAAAE/17/o=")</f>
        <v>#REF!</v>
      </c>
      <c r="IR45" t="e">
        <f>AND('BBP complete'!#REF!,"AAAAAE/17/s=")</f>
        <v>#REF!</v>
      </c>
      <c r="IS45" t="e">
        <f>AND('BBP complete'!#REF!,"AAAAAE/17/w=")</f>
        <v>#REF!</v>
      </c>
      <c r="IT45" t="e">
        <f>AND('BBP complete'!K195,"AAAAAE/17/0=")</f>
        <v>#VALUE!</v>
      </c>
      <c r="IU45" t="e">
        <f>AND('BBP complete'!L195,"AAAAAE/17/4=")</f>
        <v>#VALUE!</v>
      </c>
      <c r="IV45" t="e">
        <f>AND('BBP complete'!M541,"AAAAAE/17/8=")</f>
        <v>#VALUE!</v>
      </c>
    </row>
    <row r="46" spans="1:256" ht="15" customHeight="1" x14ac:dyDescent="0.25">
      <c r="A46" t="e">
        <f>AND('BBP complete'!N541,"AAAAAD9f1wA=")</f>
        <v>#VALUE!</v>
      </c>
      <c r="B46" t="e">
        <f>AND('BBP complete'!P551,"AAAAAD9f1wE=")</f>
        <v>#VALUE!</v>
      </c>
      <c r="C46" t="e">
        <f>AND('BBP complete'!J196,"AAAAAD9f1wI=")</f>
        <v>#VALUE!</v>
      </c>
      <c r="D46" t="e">
        <f>AND('BBP complete'!#REF!,"AAAAAD9f1wM=")</f>
        <v>#REF!</v>
      </c>
      <c r="E46" t="e">
        <f>AND('BBP complete'!#REF!,"AAAAAD9f1wQ=")</f>
        <v>#REF!</v>
      </c>
      <c r="F46" t="e">
        <f>AND('BBP complete'!#REF!,"AAAAAD9f1wU=")</f>
        <v>#REF!</v>
      </c>
      <c r="G46" t="e">
        <f>AND('BBP complete'!K196,"AAAAAD9f1wY=")</f>
        <v>#VALUE!</v>
      </c>
      <c r="H46" t="e">
        <f>AND('BBP complete'!L196,"AAAAAD9f1wc=")</f>
        <v>#VALUE!</v>
      </c>
      <c r="I46" t="e">
        <f>AND('BBP complete'!M542,"AAAAAD9f1wg=")</f>
        <v>#VALUE!</v>
      </c>
      <c r="J46" t="e">
        <f>AND('BBP complete'!N542,"AAAAAD9f1wk=")</f>
        <v>#VALUE!</v>
      </c>
      <c r="K46" t="e">
        <f>AND('BBP complete'!P552,"AAAAAD9f1wo=")</f>
        <v>#VALUE!</v>
      </c>
      <c r="L46" t="e">
        <f>AND('BBP complete'!J197,"AAAAAD9f1ws=")</f>
        <v>#VALUE!</v>
      </c>
      <c r="M46" t="e">
        <f>AND('BBP complete'!#REF!,"AAAAAD9f1ww=")</f>
        <v>#REF!</v>
      </c>
      <c r="N46" t="e">
        <f>AND('BBP complete'!#REF!,"AAAAAD9f1w0=")</f>
        <v>#REF!</v>
      </c>
      <c r="O46" t="e">
        <f>AND('BBP complete'!#REF!,"AAAAAD9f1w4=")</f>
        <v>#REF!</v>
      </c>
      <c r="P46" t="e">
        <f>AND('BBP complete'!K197,"AAAAAD9f1w8=")</f>
        <v>#VALUE!</v>
      </c>
      <c r="Q46" t="e">
        <f>AND('BBP complete'!L197,"AAAAAD9f1xA=")</f>
        <v>#VALUE!</v>
      </c>
      <c r="R46" t="e">
        <f>AND('BBP complete'!M543,"AAAAAD9f1xE=")</f>
        <v>#VALUE!</v>
      </c>
      <c r="S46" t="e">
        <f>AND('BBP complete'!N543,"AAAAAD9f1xI=")</f>
        <v>#VALUE!</v>
      </c>
      <c r="T46" t="e">
        <f>AND('BBP complete'!P553,"AAAAAD9f1xM=")</f>
        <v>#VALUE!</v>
      </c>
      <c r="U46" t="e">
        <f>AND('BBP complete'!J198,"AAAAAD9f1xQ=")</f>
        <v>#VALUE!</v>
      </c>
      <c r="V46" t="e">
        <f>AND('BBP complete'!#REF!,"AAAAAD9f1xU=")</f>
        <v>#REF!</v>
      </c>
      <c r="W46" t="e">
        <f>AND('BBP complete'!#REF!,"AAAAAD9f1xY=")</f>
        <v>#REF!</v>
      </c>
      <c r="X46" t="e">
        <f>AND('BBP complete'!#REF!,"AAAAAD9f1xc=")</f>
        <v>#REF!</v>
      </c>
      <c r="Y46" t="e">
        <f>AND('BBP complete'!K198,"AAAAAD9f1xg=")</f>
        <v>#VALUE!</v>
      </c>
      <c r="Z46" t="e">
        <f>AND('BBP complete'!L198,"AAAAAD9f1xk=")</f>
        <v>#VALUE!</v>
      </c>
      <c r="AA46" t="e">
        <f>AND('BBP complete'!M544,"AAAAAD9f1xo=")</f>
        <v>#VALUE!</v>
      </c>
      <c r="AB46" t="e">
        <f>AND('BBP complete'!N544,"AAAAAD9f1xs=")</f>
        <v>#VALUE!</v>
      </c>
      <c r="AC46" t="e">
        <f>AND('BBP complete'!P554,"AAAAAD9f1xw=")</f>
        <v>#VALUE!</v>
      </c>
      <c r="AD46" t="e">
        <f>AND('BBP complete'!J199,"AAAAAD9f1x0=")</f>
        <v>#VALUE!</v>
      </c>
      <c r="AE46" t="e">
        <f>AND('BBP complete'!#REF!,"AAAAAD9f1x4=")</f>
        <v>#REF!</v>
      </c>
      <c r="AF46" t="e">
        <f>AND('BBP complete'!#REF!,"AAAAAD9f1x8=")</f>
        <v>#REF!</v>
      </c>
      <c r="AG46" t="e">
        <f>AND('BBP complete'!#REF!,"AAAAAD9f1yA=")</f>
        <v>#REF!</v>
      </c>
      <c r="AH46" t="e">
        <f>AND('BBP complete'!K199,"AAAAAD9f1yE=")</f>
        <v>#VALUE!</v>
      </c>
      <c r="AI46" t="e">
        <f>AND('BBP complete'!L199,"AAAAAD9f1yI=")</f>
        <v>#VALUE!</v>
      </c>
      <c r="AJ46" t="e">
        <f>AND('BBP complete'!M545,"AAAAAD9f1yM=")</f>
        <v>#VALUE!</v>
      </c>
      <c r="AK46" t="e">
        <f>AND('BBP complete'!N545,"AAAAAD9f1yQ=")</f>
        <v>#VALUE!</v>
      </c>
      <c r="AL46" t="e">
        <f>AND('BBP complete'!P555,"AAAAAD9f1yU=")</f>
        <v>#VALUE!</v>
      </c>
      <c r="AM46" t="e">
        <f>AND('BBP complete'!J200,"AAAAAD9f1yY=")</f>
        <v>#VALUE!</v>
      </c>
      <c r="AN46" t="e">
        <f>AND('BBP complete'!#REF!,"AAAAAD9f1yc=")</f>
        <v>#REF!</v>
      </c>
      <c r="AO46" t="e">
        <f>AND('BBP complete'!#REF!,"AAAAAD9f1yg=")</f>
        <v>#REF!</v>
      </c>
      <c r="AP46" t="e">
        <f>AND('BBP complete'!#REF!,"AAAAAD9f1yk=")</f>
        <v>#REF!</v>
      </c>
      <c r="AQ46" t="e">
        <f>AND('BBP complete'!K200,"AAAAAD9f1yo=")</f>
        <v>#VALUE!</v>
      </c>
      <c r="AR46" t="e">
        <f>AND('BBP complete'!L200,"AAAAAD9f1ys=")</f>
        <v>#VALUE!</v>
      </c>
      <c r="AS46" t="e">
        <f>AND('BBP complete'!M546,"AAAAAD9f1yw=")</f>
        <v>#VALUE!</v>
      </c>
      <c r="AT46" t="e">
        <f>AND('BBP complete'!N546,"AAAAAD9f1y0=")</f>
        <v>#VALUE!</v>
      </c>
      <c r="AU46" t="e">
        <f>AND('BBP complete'!P556,"AAAAAD9f1y4=")</f>
        <v>#VALUE!</v>
      </c>
      <c r="AV46" t="e">
        <f>AND('BBP complete'!J201,"AAAAAD9f1y8=")</f>
        <v>#VALUE!</v>
      </c>
      <c r="AW46" t="e">
        <f>AND('BBP complete'!#REF!,"AAAAAD9f1zA=")</f>
        <v>#REF!</v>
      </c>
      <c r="AX46" t="e">
        <f>AND('BBP complete'!#REF!,"AAAAAD9f1zE=")</f>
        <v>#REF!</v>
      </c>
      <c r="AY46" t="e">
        <f>AND('BBP complete'!#REF!,"AAAAAD9f1zI=")</f>
        <v>#REF!</v>
      </c>
      <c r="AZ46" t="e">
        <f>AND('BBP complete'!K201,"AAAAAD9f1zM=")</f>
        <v>#VALUE!</v>
      </c>
      <c r="BA46" t="e">
        <f>AND('BBP complete'!L201,"AAAAAD9f1zQ=")</f>
        <v>#VALUE!</v>
      </c>
      <c r="BB46" t="e">
        <f>AND('BBP complete'!M547,"AAAAAD9f1zU=")</f>
        <v>#VALUE!</v>
      </c>
      <c r="BC46" t="e">
        <f>AND('BBP complete'!N547,"AAAAAD9f1zY=")</f>
        <v>#VALUE!</v>
      </c>
      <c r="BD46" t="e">
        <f>AND('BBP complete'!P557,"AAAAAD9f1zc=")</f>
        <v>#VALUE!</v>
      </c>
      <c r="BE46" t="e">
        <f>AND('BBP complete'!J202,"AAAAAD9f1zg=")</f>
        <v>#VALUE!</v>
      </c>
      <c r="BF46" t="e">
        <f>AND('BBP complete'!#REF!,"AAAAAD9f1zk=")</f>
        <v>#REF!</v>
      </c>
      <c r="BG46" t="e">
        <f>AND('BBP complete'!#REF!,"AAAAAD9f1zo=")</f>
        <v>#REF!</v>
      </c>
      <c r="BH46" t="e">
        <f>AND('BBP complete'!#REF!,"AAAAAD9f1zs=")</f>
        <v>#REF!</v>
      </c>
      <c r="BI46" t="e">
        <f>AND('BBP complete'!K202,"AAAAAD9f1zw=")</f>
        <v>#VALUE!</v>
      </c>
      <c r="BJ46" t="e">
        <f>AND('BBP complete'!L202,"AAAAAD9f1z0=")</f>
        <v>#VALUE!</v>
      </c>
      <c r="BK46" t="e">
        <f>AND('BBP complete'!M548,"AAAAAD9f1z4=")</f>
        <v>#VALUE!</v>
      </c>
      <c r="BL46" t="e">
        <f>AND('BBP complete'!N548,"AAAAAD9f1z8=")</f>
        <v>#VALUE!</v>
      </c>
      <c r="BM46" t="e">
        <f>AND('BBP complete'!P558,"AAAAAD9f10A=")</f>
        <v>#VALUE!</v>
      </c>
      <c r="BN46" t="e">
        <f>AND('BBP complete'!J203,"AAAAAD9f10E=")</f>
        <v>#VALUE!</v>
      </c>
      <c r="BO46" t="e">
        <f>AND('BBP complete'!#REF!,"AAAAAD9f10I=")</f>
        <v>#REF!</v>
      </c>
      <c r="BP46" t="e">
        <f>AND('BBP complete'!#REF!,"AAAAAD9f10M=")</f>
        <v>#REF!</v>
      </c>
      <c r="BQ46" t="e">
        <f>AND('BBP complete'!#REF!,"AAAAAD9f10Q=")</f>
        <v>#REF!</v>
      </c>
      <c r="BR46" t="e">
        <f>AND('BBP complete'!K203,"AAAAAD9f10U=")</f>
        <v>#VALUE!</v>
      </c>
      <c r="BS46" t="e">
        <f>AND('BBP complete'!L203,"AAAAAD9f10Y=")</f>
        <v>#VALUE!</v>
      </c>
      <c r="BT46" t="e">
        <f>AND('BBP complete'!M549,"AAAAAD9f10c=")</f>
        <v>#VALUE!</v>
      </c>
      <c r="BU46" t="e">
        <f>AND('BBP complete'!N549,"AAAAAD9f10g=")</f>
        <v>#VALUE!</v>
      </c>
      <c r="BV46" t="e">
        <f>AND('BBP complete'!P559,"AAAAAD9f10k=")</f>
        <v>#VALUE!</v>
      </c>
      <c r="BW46" t="e">
        <f>AND('BBP complete'!J204,"AAAAAD9f10o=")</f>
        <v>#VALUE!</v>
      </c>
      <c r="BX46" t="e">
        <f>AND('BBP complete'!#REF!,"AAAAAD9f10s=")</f>
        <v>#REF!</v>
      </c>
      <c r="BY46" t="e">
        <f>AND('BBP complete'!#REF!,"AAAAAD9f10w=")</f>
        <v>#REF!</v>
      </c>
      <c r="BZ46" t="e">
        <f>AND('BBP complete'!#REF!,"AAAAAD9f100=")</f>
        <v>#REF!</v>
      </c>
      <c r="CA46" t="e">
        <f>AND('BBP complete'!K204,"AAAAAD9f104=")</f>
        <v>#VALUE!</v>
      </c>
      <c r="CB46" t="e">
        <f>AND('BBP complete'!L204,"AAAAAD9f108=")</f>
        <v>#VALUE!</v>
      </c>
      <c r="CC46" t="e">
        <f>AND('BBP complete'!M550,"AAAAAD9f11A=")</f>
        <v>#VALUE!</v>
      </c>
      <c r="CD46" t="e">
        <f>AND('BBP complete'!N550,"AAAAAD9f11E=")</f>
        <v>#VALUE!</v>
      </c>
      <c r="CE46" t="e">
        <f>AND('BBP complete'!P560,"AAAAAD9f11I=")</f>
        <v>#VALUE!</v>
      </c>
      <c r="CF46" t="e">
        <f>AND('BBP complete'!J205,"AAAAAD9f11M=")</f>
        <v>#VALUE!</v>
      </c>
      <c r="CG46" t="e">
        <f>AND('BBP complete'!#REF!,"AAAAAD9f11Q=")</f>
        <v>#REF!</v>
      </c>
      <c r="CH46" t="e">
        <f>AND('BBP complete'!#REF!,"AAAAAD9f11U=")</f>
        <v>#REF!</v>
      </c>
      <c r="CI46" t="e">
        <f>AND('BBP complete'!#REF!,"AAAAAD9f11Y=")</f>
        <v>#REF!</v>
      </c>
      <c r="CJ46" t="e">
        <f>AND('BBP complete'!K205,"AAAAAD9f11c=")</f>
        <v>#VALUE!</v>
      </c>
      <c r="CK46" t="e">
        <f>AND('BBP complete'!L205,"AAAAAD9f11g=")</f>
        <v>#VALUE!</v>
      </c>
      <c r="CL46" t="e">
        <f>AND('BBP complete'!M551,"AAAAAD9f11k=")</f>
        <v>#VALUE!</v>
      </c>
      <c r="CM46" t="e">
        <f>AND('BBP complete'!N551,"AAAAAD9f11o=")</f>
        <v>#VALUE!</v>
      </c>
      <c r="CN46" t="e">
        <f>AND('BBP complete'!P561,"AAAAAD9f11s=")</f>
        <v>#VALUE!</v>
      </c>
      <c r="CO46" t="e">
        <f>AND('BBP complete'!J206,"AAAAAD9f11w=")</f>
        <v>#VALUE!</v>
      </c>
      <c r="CP46" t="e">
        <f>AND('BBP complete'!#REF!,"AAAAAD9f110=")</f>
        <v>#REF!</v>
      </c>
      <c r="CQ46" t="e">
        <f>AND('BBP complete'!#REF!,"AAAAAD9f114=")</f>
        <v>#REF!</v>
      </c>
      <c r="CR46" t="e">
        <f>AND('BBP complete'!#REF!,"AAAAAD9f118=")</f>
        <v>#REF!</v>
      </c>
      <c r="CS46" t="e">
        <f>AND('BBP complete'!K206,"AAAAAD9f12A=")</f>
        <v>#VALUE!</v>
      </c>
      <c r="CT46" t="e">
        <f>AND('BBP complete'!L206,"AAAAAD9f12E=")</f>
        <v>#VALUE!</v>
      </c>
      <c r="CU46" t="e">
        <f>AND('BBP complete'!M552,"AAAAAD9f12I=")</f>
        <v>#VALUE!</v>
      </c>
      <c r="CV46" t="e">
        <f>AND('BBP complete'!N552,"AAAAAD9f12M=")</f>
        <v>#VALUE!</v>
      </c>
      <c r="CW46" t="e">
        <f>AND('BBP complete'!P562,"AAAAAD9f12Q=")</f>
        <v>#VALUE!</v>
      </c>
      <c r="CX46" t="e">
        <f>AND('BBP complete'!J207,"AAAAAD9f12U=")</f>
        <v>#VALUE!</v>
      </c>
      <c r="CY46" t="e">
        <f>AND('BBP complete'!#REF!,"AAAAAD9f12Y=")</f>
        <v>#REF!</v>
      </c>
      <c r="CZ46" t="e">
        <f>AND('BBP complete'!#REF!,"AAAAAD9f12c=")</f>
        <v>#REF!</v>
      </c>
      <c r="DA46" t="e">
        <f>AND('BBP complete'!#REF!,"AAAAAD9f12g=")</f>
        <v>#REF!</v>
      </c>
      <c r="DB46" t="e">
        <f>AND('BBP complete'!K207,"AAAAAD9f12k=")</f>
        <v>#VALUE!</v>
      </c>
      <c r="DC46" t="e">
        <f>AND('BBP complete'!L207,"AAAAAD9f12o=")</f>
        <v>#VALUE!</v>
      </c>
      <c r="DD46" t="e">
        <f>AND('BBP complete'!M553,"AAAAAD9f12s=")</f>
        <v>#VALUE!</v>
      </c>
      <c r="DE46" t="e">
        <f>AND('BBP complete'!N553,"AAAAAD9f12w=")</f>
        <v>#VALUE!</v>
      </c>
      <c r="DF46" t="e">
        <f>AND('BBP complete'!P563,"AAAAAD9f120=")</f>
        <v>#VALUE!</v>
      </c>
      <c r="DG46" t="e">
        <f>AND('BBP complete'!J208,"AAAAAD9f124=")</f>
        <v>#VALUE!</v>
      </c>
      <c r="DH46" t="e">
        <f>AND('BBP complete'!#REF!,"AAAAAD9f128=")</f>
        <v>#REF!</v>
      </c>
      <c r="DI46" t="e">
        <f>AND('BBP complete'!#REF!,"AAAAAD9f13A=")</f>
        <v>#REF!</v>
      </c>
      <c r="DJ46" t="e">
        <f>AND('BBP complete'!#REF!,"AAAAAD9f13E=")</f>
        <v>#REF!</v>
      </c>
      <c r="DK46" t="e">
        <f>AND('BBP complete'!K208,"AAAAAD9f13I=")</f>
        <v>#VALUE!</v>
      </c>
      <c r="DL46" t="e">
        <f>AND('BBP complete'!L208,"AAAAAD9f13M=")</f>
        <v>#VALUE!</v>
      </c>
      <c r="DM46" t="e">
        <f>AND('BBP complete'!M554,"AAAAAD9f13Q=")</f>
        <v>#VALUE!</v>
      </c>
      <c r="DN46" t="e">
        <f>AND('BBP complete'!N554,"AAAAAD9f13U=")</f>
        <v>#VALUE!</v>
      </c>
      <c r="DO46" t="e">
        <f>AND('BBP complete'!P564,"AAAAAD9f13Y=")</f>
        <v>#VALUE!</v>
      </c>
      <c r="DP46" t="e">
        <f>AND('BBP complete'!J209,"AAAAAD9f13c=")</f>
        <v>#VALUE!</v>
      </c>
      <c r="DQ46" t="e">
        <f>AND('BBP complete'!#REF!,"AAAAAD9f13g=")</f>
        <v>#REF!</v>
      </c>
      <c r="DR46" t="e">
        <f>AND('BBP complete'!#REF!,"AAAAAD9f13k=")</f>
        <v>#REF!</v>
      </c>
      <c r="DS46" t="e">
        <f>AND('BBP complete'!#REF!,"AAAAAD9f13o=")</f>
        <v>#REF!</v>
      </c>
      <c r="DT46" t="e">
        <f>AND('BBP complete'!K209,"AAAAAD9f13s=")</f>
        <v>#VALUE!</v>
      </c>
      <c r="DU46" t="e">
        <f>AND('BBP complete'!L209,"AAAAAD9f13w=")</f>
        <v>#VALUE!</v>
      </c>
      <c r="DV46" t="e">
        <f>AND('BBP complete'!M555,"AAAAAD9f130=")</f>
        <v>#VALUE!</v>
      </c>
      <c r="DW46" t="e">
        <f>AND('BBP complete'!N555,"AAAAAD9f134=")</f>
        <v>#VALUE!</v>
      </c>
      <c r="DX46" t="e">
        <f>AND('BBP complete'!P565,"AAAAAD9f138=")</f>
        <v>#VALUE!</v>
      </c>
      <c r="DY46" t="e">
        <f>AND('BBP complete'!J210,"AAAAAD9f14A=")</f>
        <v>#VALUE!</v>
      </c>
      <c r="DZ46" t="e">
        <f>AND('BBP complete'!#REF!,"AAAAAD9f14E=")</f>
        <v>#REF!</v>
      </c>
      <c r="EA46" t="e">
        <f>AND('BBP complete'!#REF!,"AAAAAD9f14I=")</f>
        <v>#REF!</v>
      </c>
      <c r="EB46" t="e">
        <f>AND('BBP complete'!#REF!,"AAAAAD9f14M=")</f>
        <v>#REF!</v>
      </c>
      <c r="EC46" t="e">
        <f>AND('BBP complete'!K210,"AAAAAD9f14Q=")</f>
        <v>#VALUE!</v>
      </c>
      <c r="ED46" t="e">
        <f>AND('BBP complete'!L210,"AAAAAD9f14U=")</f>
        <v>#VALUE!</v>
      </c>
      <c r="EE46" t="e">
        <f>AND('BBP complete'!M556,"AAAAAD9f14Y=")</f>
        <v>#VALUE!</v>
      </c>
      <c r="EF46" t="e">
        <f>AND('BBP complete'!N556,"AAAAAD9f14c=")</f>
        <v>#VALUE!</v>
      </c>
      <c r="EG46" t="e">
        <f>AND('BBP complete'!P566,"AAAAAD9f14g=")</f>
        <v>#VALUE!</v>
      </c>
      <c r="EH46" t="e">
        <f>AND('BBP complete'!J211,"AAAAAD9f14k=")</f>
        <v>#VALUE!</v>
      </c>
      <c r="EI46" t="e">
        <f>AND('BBP complete'!#REF!,"AAAAAD9f14o=")</f>
        <v>#REF!</v>
      </c>
      <c r="EJ46" t="e">
        <f>AND('BBP complete'!#REF!,"AAAAAD9f14s=")</f>
        <v>#REF!</v>
      </c>
      <c r="EK46" t="e">
        <f>AND('BBP complete'!#REF!,"AAAAAD9f14w=")</f>
        <v>#REF!</v>
      </c>
      <c r="EL46" t="e">
        <f>AND('BBP complete'!K211,"AAAAAD9f140=")</f>
        <v>#VALUE!</v>
      </c>
      <c r="EM46" t="e">
        <f>AND('BBP complete'!L211,"AAAAAD9f144=")</f>
        <v>#VALUE!</v>
      </c>
      <c r="EN46" t="e">
        <f>AND('BBP complete'!M557,"AAAAAD9f148=")</f>
        <v>#VALUE!</v>
      </c>
      <c r="EO46" t="e">
        <f>AND('BBP complete'!N557,"AAAAAD9f15A=")</f>
        <v>#VALUE!</v>
      </c>
      <c r="EP46" t="e">
        <f>AND('BBP complete'!P567,"AAAAAD9f15E=")</f>
        <v>#VALUE!</v>
      </c>
      <c r="EQ46" t="e">
        <f>AND('BBP complete'!J212,"AAAAAD9f15I=")</f>
        <v>#VALUE!</v>
      </c>
      <c r="ER46" t="e">
        <f>AND('BBP complete'!#REF!,"AAAAAD9f15M=")</f>
        <v>#REF!</v>
      </c>
      <c r="ES46" t="e">
        <f>AND('BBP complete'!#REF!,"AAAAAD9f15Q=")</f>
        <v>#REF!</v>
      </c>
      <c r="ET46" t="e">
        <f>AND('BBP complete'!#REF!,"AAAAAD9f15U=")</f>
        <v>#REF!</v>
      </c>
      <c r="EU46" t="e">
        <f>AND('BBP complete'!K212,"AAAAAD9f15Y=")</f>
        <v>#VALUE!</v>
      </c>
      <c r="EV46" t="e">
        <f>AND('BBP complete'!L212,"AAAAAD9f15c=")</f>
        <v>#VALUE!</v>
      </c>
      <c r="EW46" t="e">
        <f>AND('BBP complete'!M558,"AAAAAD9f15g=")</f>
        <v>#VALUE!</v>
      </c>
      <c r="EX46" t="e">
        <f>AND('BBP complete'!N558,"AAAAAD9f15k=")</f>
        <v>#VALUE!</v>
      </c>
      <c r="EY46" t="e">
        <f>AND('BBP complete'!P568,"AAAAAD9f15o=")</f>
        <v>#VALUE!</v>
      </c>
      <c r="EZ46" t="e">
        <f>AND('BBP complete'!J213,"AAAAAD9f15s=")</f>
        <v>#VALUE!</v>
      </c>
      <c r="FA46" t="e">
        <f>AND('BBP complete'!#REF!,"AAAAAD9f15w=")</f>
        <v>#REF!</v>
      </c>
      <c r="FB46" t="e">
        <f>AND('BBP complete'!#REF!,"AAAAAD9f150=")</f>
        <v>#REF!</v>
      </c>
      <c r="FC46" t="e">
        <f>AND('BBP complete'!#REF!,"AAAAAD9f154=")</f>
        <v>#REF!</v>
      </c>
      <c r="FD46" t="e">
        <f>AND('BBP complete'!K213,"AAAAAD9f158=")</f>
        <v>#VALUE!</v>
      </c>
      <c r="FE46" t="e">
        <f>AND('BBP complete'!L213,"AAAAAD9f16A=")</f>
        <v>#VALUE!</v>
      </c>
      <c r="FF46" t="e">
        <f>AND('BBP complete'!M559,"AAAAAD9f16E=")</f>
        <v>#VALUE!</v>
      </c>
      <c r="FG46" t="e">
        <f>AND('BBP complete'!N559,"AAAAAD9f16I=")</f>
        <v>#VALUE!</v>
      </c>
      <c r="FH46" t="e">
        <f>AND('BBP complete'!P569,"AAAAAD9f16M=")</f>
        <v>#VALUE!</v>
      </c>
      <c r="FI46" t="e">
        <f>AND('BBP complete'!J214,"AAAAAD9f16Q=")</f>
        <v>#VALUE!</v>
      </c>
      <c r="FJ46" t="e">
        <f>AND('BBP complete'!#REF!,"AAAAAD9f16U=")</f>
        <v>#REF!</v>
      </c>
      <c r="FK46" t="e">
        <f>AND('BBP complete'!#REF!,"AAAAAD9f16Y=")</f>
        <v>#REF!</v>
      </c>
      <c r="FL46" t="e">
        <f>AND('BBP complete'!#REF!,"AAAAAD9f16c=")</f>
        <v>#REF!</v>
      </c>
      <c r="FM46" t="e">
        <f>AND('BBP complete'!K214,"AAAAAD9f16g=")</f>
        <v>#VALUE!</v>
      </c>
      <c r="FN46" t="e">
        <f>AND('BBP complete'!L214,"AAAAAD9f16k=")</f>
        <v>#VALUE!</v>
      </c>
      <c r="FO46" t="e">
        <f>AND('BBP complete'!M560,"AAAAAD9f16o=")</f>
        <v>#VALUE!</v>
      </c>
      <c r="FP46" t="e">
        <f>AND('BBP complete'!N560,"AAAAAD9f16s=")</f>
        <v>#VALUE!</v>
      </c>
      <c r="FQ46" t="e">
        <f>AND('BBP complete'!P570,"AAAAAD9f16w=")</f>
        <v>#VALUE!</v>
      </c>
      <c r="FR46" t="e">
        <f>AND('BBP complete'!J215,"AAAAAD9f160=")</f>
        <v>#VALUE!</v>
      </c>
      <c r="FS46" t="e">
        <f>AND('BBP complete'!#REF!,"AAAAAD9f164=")</f>
        <v>#REF!</v>
      </c>
      <c r="FT46" t="e">
        <f>AND('BBP complete'!#REF!,"AAAAAD9f168=")</f>
        <v>#REF!</v>
      </c>
      <c r="FU46" t="e">
        <f>AND('BBP complete'!#REF!,"AAAAAD9f17A=")</f>
        <v>#REF!</v>
      </c>
      <c r="FV46" t="e">
        <f>AND('BBP complete'!K215,"AAAAAD9f17E=")</f>
        <v>#VALUE!</v>
      </c>
      <c r="FW46" t="e">
        <f>AND('BBP complete'!L215,"AAAAAD9f17I=")</f>
        <v>#VALUE!</v>
      </c>
      <c r="FX46" t="e">
        <f>AND('BBP complete'!M561,"AAAAAD9f17M=")</f>
        <v>#VALUE!</v>
      </c>
      <c r="FY46" t="e">
        <f>AND('BBP complete'!N561,"AAAAAD9f17Q=")</f>
        <v>#VALUE!</v>
      </c>
      <c r="FZ46" t="e">
        <f>AND('BBP complete'!P571,"AAAAAD9f17U=")</f>
        <v>#VALUE!</v>
      </c>
      <c r="GA46" t="e">
        <f>AND('BBP complete'!J216,"AAAAAD9f17Y=")</f>
        <v>#VALUE!</v>
      </c>
      <c r="GB46" t="e">
        <f>AND('BBP complete'!#REF!,"AAAAAD9f17c=")</f>
        <v>#REF!</v>
      </c>
      <c r="GC46" t="e">
        <f>AND('BBP complete'!#REF!,"AAAAAD9f17g=")</f>
        <v>#REF!</v>
      </c>
      <c r="GD46" t="e">
        <f>AND('BBP complete'!#REF!,"AAAAAD9f17k=")</f>
        <v>#REF!</v>
      </c>
      <c r="GE46" t="e">
        <f>AND('BBP complete'!K216,"AAAAAD9f17o=")</f>
        <v>#VALUE!</v>
      </c>
      <c r="GF46" t="e">
        <f>AND('BBP complete'!L216,"AAAAAD9f17s=")</f>
        <v>#VALUE!</v>
      </c>
      <c r="GG46" t="e">
        <f>AND('BBP complete'!M562,"AAAAAD9f17w=")</f>
        <v>#VALUE!</v>
      </c>
      <c r="GH46" t="e">
        <f>AND('BBP complete'!N562,"AAAAAD9f170=")</f>
        <v>#VALUE!</v>
      </c>
      <c r="GI46" t="e">
        <f>AND('BBP complete'!P572,"AAAAAD9f174=")</f>
        <v>#VALUE!</v>
      </c>
      <c r="GJ46" t="e">
        <f>AND('BBP complete'!J217,"AAAAAD9f178=")</f>
        <v>#VALUE!</v>
      </c>
      <c r="GK46" t="e">
        <f>AND('BBP complete'!#REF!,"AAAAAD9f18A=")</f>
        <v>#REF!</v>
      </c>
      <c r="GL46" t="e">
        <f>AND('BBP complete'!#REF!,"AAAAAD9f18E=")</f>
        <v>#REF!</v>
      </c>
      <c r="GM46" t="e">
        <f>AND('BBP complete'!#REF!,"AAAAAD9f18I=")</f>
        <v>#REF!</v>
      </c>
      <c r="GN46" t="e">
        <f>AND('BBP complete'!K217,"AAAAAD9f18M=")</f>
        <v>#VALUE!</v>
      </c>
      <c r="GO46" t="e">
        <f>AND('BBP complete'!L217,"AAAAAD9f18Q=")</f>
        <v>#VALUE!</v>
      </c>
      <c r="GP46" t="e">
        <f>AND('BBP complete'!M563,"AAAAAD9f18U=")</f>
        <v>#VALUE!</v>
      </c>
      <c r="GQ46" t="e">
        <f>AND('BBP complete'!N563,"AAAAAD9f18Y=")</f>
        <v>#VALUE!</v>
      </c>
      <c r="GR46" t="e">
        <f>AND('BBP complete'!P573,"AAAAAD9f18c=")</f>
        <v>#VALUE!</v>
      </c>
      <c r="GS46" t="e">
        <f>AND('BBP complete'!J218,"AAAAAD9f18g=")</f>
        <v>#VALUE!</v>
      </c>
      <c r="GT46" t="e">
        <f>AND('BBP complete'!#REF!,"AAAAAD9f18k=")</f>
        <v>#REF!</v>
      </c>
      <c r="GU46" t="e">
        <f>AND('BBP complete'!#REF!,"AAAAAD9f18o=")</f>
        <v>#REF!</v>
      </c>
      <c r="GV46" t="e">
        <f>AND('BBP complete'!#REF!,"AAAAAD9f18s=")</f>
        <v>#REF!</v>
      </c>
      <c r="GW46" t="e">
        <f>AND('BBP complete'!K218,"AAAAAD9f18w=")</f>
        <v>#VALUE!</v>
      </c>
      <c r="GX46" t="e">
        <f>AND('BBP complete'!L218,"AAAAAD9f180=")</f>
        <v>#VALUE!</v>
      </c>
      <c r="GY46" t="e">
        <f>AND('BBP complete'!M564,"AAAAAD9f184=")</f>
        <v>#VALUE!</v>
      </c>
      <c r="GZ46" t="e">
        <f>AND('BBP complete'!N564,"AAAAAD9f188=")</f>
        <v>#VALUE!</v>
      </c>
      <c r="HA46" t="e">
        <f>AND('BBP complete'!P574,"AAAAAD9f19A=")</f>
        <v>#VALUE!</v>
      </c>
      <c r="HB46" t="e">
        <f>AND('BBP complete'!J219,"AAAAAD9f19E=")</f>
        <v>#VALUE!</v>
      </c>
      <c r="HC46" t="e">
        <f>AND('BBP complete'!#REF!,"AAAAAD9f19I=")</f>
        <v>#REF!</v>
      </c>
      <c r="HD46" t="e">
        <f>AND('BBP complete'!#REF!,"AAAAAD9f19M=")</f>
        <v>#REF!</v>
      </c>
      <c r="HE46" t="e">
        <f>AND('BBP complete'!#REF!,"AAAAAD9f19Q=")</f>
        <v>#REF!</v>
      </c>
      <c r="HF46" t="e">
        <f>AND('BBP complete'!K219,"AAAAAD9f19U=")</f>
        <v>#VALUE!</v>
      </c>
      <c r="HG46" t="e">
        <f>AND('BBP complete'!L219,"AAAAAD9f19Y=")</f>
        <v>#VALUE!</v>
      </c>
      <c r="HH46" t="e">
        <f>AND('BBP complete'!M565,"AAAAAD9f19c=")</f>
        <v>#VALUE!</v>
      </c>
      <c r="HI46" t="e">
        <f>AND('BBP complete'!N565,"AAAAAD9f19g=")</f>
        <v>#VALUE!</v>
      </c>
      <c r="HJ46" t="e">
        <f>AND('BBP complete'!P575,"AAAAAD9f19k=")</f>
        <v>#VALUE!</v>
      </c>
      <c r="HK46" t="e">
        <f>AND('BBP complete'!J220,"AAAAAD9f19o=")</f>
        <v>#VALUE!</v>
      </c>
      <c r="HL46" t="e">
        <f>AND('BBP complete'!#REF!,"AAAAAD9f19s=")</f>
        <v>#REF!</v>
      </c>
      <c r="HM46" t="e">
        <f>AND('BBP complete'!#REF!,"AAAAAD9f19w=")</f>
        <v>#REF!</v>
      </c>
      <c r="HN46" t="e">
        <f>AND('BBP complete'!#REF!,"AAAAAD9f190=")</f>
        <v>#REF!</v>
      </c>
      <c r="HO46" t="e">
        <f>AND('BBP complete'!K220,"AAAAAD9f194=")</f>
        <v>#VALUE!</v>
      </c>
      <c r="HP46" t="e">
        <f>AND('BBP complete'!L220,"AAAAAD9f198=")</f>
        <v>#VALUE!</v>
      </c>
      <c r="HQ46" t="e">
        <f>AND('BBP complete'!M566,"AAAAAD9f1+A=")</f>
        <v>#VALUE!</v>
      </c>
      <c r="HR46" t="e">
        <f>AND('BBP complete'!N566,"AAAAAD9f1+E=")</f>
        <v>#VALUE!</v>
      </c>
      <c r="HS46" t="e">
        <f>AND('BBP complete'!P576,"AAAAAD9f1+I=")</f>
        <v>#VALUE!</v>
      </c>
      <c r="HT46" t="e">
        <f>AND('BBP complete'!J221,"AAAAAD9f1+M=")</f>
        <v>#VALUE!</v>
      </c>
      <c r="HU46" t="e">
        <f>AND('BBP complete'!#REF!,"AAAAAD9f1+Q=")</f>
        <v>#REF!</v>
      </c>
      <c r="HV46" t="e">
        <f>AND('BBP complete'!#REF!,"AAAAAD9f1+U=")</f>
        <v>#REF!</v>
      </c>
      <c r="HW46" t="e">
        <f>AND('BBP complete'!#REF!,"AAAAAD9f1+Y=")</f>
        <v>#REF!</v>
      </c>
      <c r="HX46" t="e">
        <f>AND('BBP complete'!K221,"AAAAAD9f1+c=")</f>
        <v>#VALUE!</v>
      </c>
      <c r="HY46" t="e">
        <f>AND('BBP complete'!L221,"AAAAAD9f1+g=")</f>
        <v>#VALUE!</v>
      </c>
      <c r="HZ46" t="e">
        <f>AND('BBP complete'!M567,"AAAAAD9f1+k=")</f>
        <v>#VALUE!</v>
      </c>
      <c r="IA46" t="e">
        <f>AND('BBP complete'!N567,"AAAAAD9f1+o=")</f>
        <v>#VALUE!</v>
      </c>
      <c r="IB46" t="e">
        <f>AND('BBP complete'!P577,"AAAAAD9f1+s=")</f>
        <v>#VALUE!</v>
      </c>
      <c r="IC46" t="e">
        <f>AND('BBP complete'!J222,"AAAAAD9f1+w=")</f>
        <v>#VALUE!</v>
      </c>
      <c r="ID46" t="e">
        <f>AND('BBP complete'!#REF!,"AAAAAD9f1+0=")</f>
        <v>#REF!</v>
      </c>
      <c r="IE46" t="e">
        <f>AND('BBP complete'!#REF!,"AAAAAD9f1+4=")</f>
        <v>#REF!</v>
      </c>
      <c r="IF46" t="e">
        <f>AND('BBP complete'!#REF!,"AAAAAD9f1+8=")</f>
        <v>#REF!</v>
      </c>
      <c r="IG46" t="e">
        <f>AND('BBP complete'!K222,"AAAAAD9f1/A=")</f>
        <v>#VALUE!</v>
      </c>
      <c r="IH46" t="e">
        <f>AND('BBP complete'!L222,"AAAAAD9f1/E=")</f>
        <v>#VALUE!</v>
      </c>
      <c r="II46" t="e">
        <f>AND('BBP complete'!M568,"AAAAAD9f1/I=")</f>
        <v>#VALUE!</v>
      </c>
      <c r="IJ46" t="e">
        <f>AND('BBP complete'!N568,"AAAAAD9f1/M=")</f>
        <v>#VALUE!</v>
      </c>
      <c r="IK46" t="e">
        <f>AND('BBP complete'!P578,"AAAAAD9f1/Q=")</f>
        <v>#VALUE!</v>
      </c>
      <c r="IL46" t="e">
        <f>AND('BBP complete'!J223,"AAAAAD9f1/U=")</f>
        <v>#VALUE!</v>
      </c>
      <c r="IM46" t="e">
        <f>AND('BBP complete'!#REF!,"AAAAAD9f1/Y=")</f>
        <v>#REF!</v>
      </c>
      <c r="IN46" t="e">
        <f>AND('BBP complete'!#REF!,"AAAAAD9f1/c=")</f>
        <v>#REF!</v>
      </c>
      <c r="IO46" t="e">
        <f>AND('BBP complete'!#REF!,"AAAAAD9f1/g=")</f>
        <v>#REF!</v>
      </c>
      <c r="IP46" t="e">
        <f>AND('BBP complete'!K223,"AAAAAD9f1/k=")</f>
        <v>#VALUE!</v>
      </c>
      <c r="IQ46" t="e">
        <f>AND('BBP complete'!L223,"AAAAAD9f1/o=")</f>
        <v>#VALUE!</v>
      </c>
      <c r="IR46" t="e">
        <f>AND('BBP complete'!M569,"AAAAAD9f1/s=")</f>
        <v>#VALUE!</v>
      </c>
      <c r="IS46" t="e">
        <f>AND('BBP complete'!N569,"AAAAAD9f1/w=")</f>
        <v>#VALUE!</v>
      </c>
      <c r="IT46" t="e">
        <f>AND('BBP complete'!P579,"AAAAAD9f1/0=")</f>
        <v>#VALUE!</v>
      </c>
      <c r="IU46" t="e">
        <f>AND('BBP complete'!J224,"AAAAAD9f1/4=")</f>
        <v>#VALUE!</v>
      </c>
      <c r="IV46" t="e">
        <f>AND('BBP complete'!#REF!,"AAAAAD9f1/8=")</f>
        <v>#REF!</v>
      </c>
    </row>
    <row r="47" spans="1:256" ht="15" customHeight="1" x14ac:dyDescent="0.25">
      <c r="A47" t="e">
        <f>AND('BBP complete'!#REF!,"AAAAAHpz/QA=")</f>
        <v>#REF!</v>
      </c>
      <c r="B47" t="e">
        <f>AND('BBP complete'!#REF!,"AAAAAHpz/QE=")</f>
        <v>#REF!</v>
      </c>
      <c r="C47" t="e">
        <f>AND('BBP complete'!K224,"AAAAAHpz/QI=")</f>
        <v>#VALUE!</v>
      </c>
      <c r="D47" t="e">
        <f>AND('BBP complete'!L224,"AAAAAHpz/QM=")</f>
        <v>#VALUE!</v>
      </c>
      <c r="E47" t="e">
        <f>AND('BBP complete'!M570,"AAAAAHpz/QQ=")</f>
        <v>#VALUE!</v>
      </c>
      <c r="F47" t="e">
        <f>AND('BBP complete'!N570,"AAAAAHpz/QU=")</f>
        <v>#VALUE!</v>
      </c>
      <c r="G47" t="e">
        <f>AND('BBP complete'!P580,"AAAAAHpz/QY=")</f>
        <v>#VALUE!</v>
      </c>
      <c r="H47" t="e">
        <f>AND('BBP complete'!J225,"AAAAAHpz/Qc=")</f>
        <v>#VALUE!</v>
      </c>
      <c r="I47" t="e">
        <f>AND('BBP complete'!#REF!,"AAAAAHpz/Qg=")</f>
        <v>#REF!</v>
      </c>
      <c r="J47" t="e">
        <f>AND('BBP complete'!#REF!,"AAAAAHpz/Qk=")</f>
        <v>#REF!</v>
      </c>
      <c r="K47" t="e">
        <f>AND('BBP complete'!#REF!,"AAAAAHpz/Qo=")</f>
        <v>#REF!</v>
      </c>
      <c r="L47" t="e">
        <f>AND('BBP complete'!K225,"AAAAAHpz/Qs=")</f>
        <v>#VALUE!</v>
      </c>
      <c r="M47" t="e">
        <f>AND('BBP complete'!L225,"AAAAAHpz/Qw=")</f>
        <v>#VALUE!</v>
      </c>
      <c r="N47" t="e">
        <f>AND('BBP complete'!M571,"AAAAAHpz/Q0=")</f>
        <v>#VALUE!</v>
      </c>
      <c r="O47" t="e">
        <f>AND('BBP complete'!N571,"AAAAAHpz/Q4=")</f>
        <v>#VALUE!</v>
      </c>
      <c r="P47" t="e">
        <f>AND('BBP complete'!P581,"AAAAAHpz/Q8=")</f>
        <v>#VALUE!</v>
      </c>
      <c r="Q47" t="e">
        <f>AND('BBP complete'!J226,"AAAAAHpz/RA=")</f>
        <v>#VALUE!</v>
      </c>
      <c r="R47" t="e">
        <f>AND('BBP complete'!#REF!,"AAAAAHpz/RE=")</f>
        <v>#REF!</v>
      </c>
      <c r="S47" t="e">
        <f>AND('BBP complete'!#REF!,"AAAAAHpz/RI=")</f>
        <v>#REF!</v>
      </c>
      <c r="T47" t="e">
        <f>AND('BBP complete'!#REF!,"AAAAAHpz/RM=")</f>
        <v>#REF!</v>
      </c>
      <c r="U47" t="e">
        <f>AND('BBP complete'!K226,"AAAAAHpz/RQ=")</f>
        <v>#VALUE!</v>
      </c>
      <c r="V47" t="e">
        <f>AND('BBP complete'!L226,"AAAAAHpz/RU=")</f>
        <v>#VALUE!</v>
      </c>
      <c r="W47" t="e">
        <f>AND('BBP complete'!M572,"AAAAAHpz/RY=")</f>
        <v>#VALUE!</v>
      </c>
      <c r="X47" t="e">
        <f>AND('BBP complete'!N572,"AAAAAHpz/Rc=")</f>
        <v>#VALUE!</v>
      </c>
      <c r="Y47" t="e">
        <f>AND('BBP complete'!P582,"AAAAAHpz/Rg=")</f>
        <v>#VALUE!</v>
      </c>
      <c r="Z47" t="e">
        <f>AND('BBP complete'!J227,"AAAAAHpz/Rk=")</f>
        <v>#VALUE!</v>
      </c>
      <c r="AA47" t="e">
        <f>AND('BBP complete'!#REF!,"AAAAAHpz/Ro=")</f>
        <v>#REF!</v>
      </c>
      <c r="AB47" t="e">
        <f>AND('BBP complete'!#REF!,"AAAAAHpz/Rs=")</f>
        <v>#REF!</v>
      </c>
      <c r="AC47" t="e">
        <f>AND('BBP complete'!#REF!,"AAAAAHpz/Rw=")</f>
        <v>#REF!</v>
      </c>
      <c r="AD47" t="e">
        <f>AND('BBP complete'!K227,"AAAAAHpz/R0=")</f>
        <v>#VALUE!</v>
      </c>
      <c r="AE47" t="e">
        <f>AND('BBP complete'!L227,"AAAAAHpz/R4=")</f>
        <v>#VALUE!</v>
      </c>
      <c r="AF47" t="e">
        <f>AND('BBP complete'!M573,"AAAAAHpz/R8=")</f>
        <v>#VALUE!</v>
      </c>
      <c r="AG47" t="e">
        <f>AND('BBP complete'!N573,"AAAAAHpz/SA=")</f>
        <v>#VALUE!</v>
      </c>
      <c r="AH47" t="e">
        <f>AND('BBP complete'!P583,"AAAAAHpz/SE=")</f>
        <v>#VALUE!</v>
      </c>
      <c r="AI47" t="e">
        <f>AND('BBP complete'!J228,"AAAAAHpz/SI=")</f>
        <v>#VALUE!</v>
      </c>
      <c r="AJ47" t="e">
        <f>AND('BBP complete'!#REF!,"AAAAAHpz/SM=")</f>
        <v>#REF!</v>
      </c>
      <c r="AK47" t="e">
        <f>AND('BBP complete'!#REF!,"AAAAAHpz/SQ=")</f>
        <v>#REF!</v>
      </c>
      <c r="AL47" t="e">
        <f>AND('BBP complete'!#REF!,"AAAAAHpz/SU=")</f>
        <v>#REF!</v>
      </c>
      <c r="AM47" t="e">
        <f>AND('BBP complete'!K228,"AAAAAHpz/SY=")</f>
        <v>#VALUE!</v>
      </c>
      <c r="AN47" t="e">
        <f>AND('BBP complete'!L228,"AAAAAHpz/Sc=")</f>
        <v>#VALUE!</v>
      </c>
      <c r="AO47" t="e">
        <f>AND('BBP complete'!M574,"AAAAAHpz/Sg=")</f>
        <v>#VALUE!</v>
      </c>
      <c r="AP47" t="e">
        <f>AND('BBP complete'!N574,"AAAAAHpz/Sk=")</f>
        <v>#VALUE!</v>
      </c>
      <c r="AQ47" t="e">
        <f>AND('BBP complete'!P584,"AAAAAHpz/So=")</f>
        <v>#VALUE!</v>
      </c>
      <c r="AR47" t="e">
        <f>AND('BBP complete'!J229,"AAAAAHpz/Ss=")</f>
        <v>#VALUE!</v>
      </c>
      <c r="AS47" t="e">
        <f>AND('BBP complete'!#REF!,"AAAAAHpz/Sw=")</f>
        <v>#REF!</v>
      </c>
      <c r="AT47" t="e">
        <f>AND('BBP complete'!#REF!,"AAAAAHpz/S0=")</f>
        <v>#REF!</v>
      </c>
      <c r="AU47" t="e">
        <f>AND('BBP complete'!#REF!,"AAAAAHpz/S4=")</f>
        <v>#REF!</v>
      </c>
      <c r="AV47" t="e">
        <f>AND('BBP complete'!K229,"AAAAAHpz/S8=")</f>
        <v>#VALUE!</v>
      </c>
      <c r="AW47" t="e">
        <f>AND('BBP complete'!L229,"AAAAAHpz/TA=")</f>
        <v>#VALUE!</v>
      </c>
      <c r="AX47" t="e">
        <f>AND('BBP complete'!M575,"AAAAAHpz/TE=")</f>
        <v>#VALUE!</v>
      </c>
      <c r="AY47" t="e">
        <f>AND('BBP complete'!N575,"AAAAAHpz/TI=")</f>
        <v>#VALUE!</v>
      </c>
      <c r="AZ47" t="e">
        <f>AND('BBP complete'!P585,"AAAAAHpz/TM=")</f>
        <v>#VALUE!</v>
      </c>
      <c r="BA47" t="e">
        <f>AND('BBP complete'!J230,"AAAAAHpz/TQ=")</f>
        <v>#VALUE!</v>
      </c>
      <c r="BB47" t="e">
        <f>AND('BBP complete'!#REF!,"AAAAAHpz/TU=")</f>
        <v>#REF!</v>
      </c>
      <c r="BC47" t="e">
        <f>AND('BBP complete'!#REF!,"AAAAAHpz/TY=")</f>
        <v>#REF!</v>
      </c>
      <c r="BD47" t="e">
        <f>AND('BBP complete'!#REF!,"AAAAAHpz/Tc=")</f>
        <v>#REF!</v>
      </c>
      <c r="BE47" t="e">
        <f>AND('BBP complete'!K230,"AAAAAHpz/Tg=")</f>
        <v>#VALUE!</v>
      </c>
      <c r="BF47" t="e">
        <f>AND('BBP complete'!L230,"AAAAAHpz/Tk=")</f>
        <v>#VALUE!</v>
      </c>
      <c r="BG47" t="e">
        <f>AND('BBP complete'!M576,"AAAAAHpz/To=")</f>
        <v>#VALUE!</v>
      </c>
      <c r="BH47" t="e">
        <f>AND('BBP complete'!N576,"AAAAAHpz/Ts=")</f>
        <v>#VALUE!</v>
      </c>
      <c r="BI47" t="e">
        <f>AND('BBP complete'!P586,"AAAAAHpz/Tw=")</f>
        <v>#VALUE!</v>
      </c>
      <c r="BJ47" t="e">
        <f>AND('BBP complete'!J231,"AAAAAHpz/T0=")</f>
        <v>#VALUE!</v>
      </c>
      <c r="BK47" t="e">
        <f>AND('BBP complete'!#REF!,"AAAAAHpz/T4=")</f>
        <v>#REF!</v>
      </c>
      <c r="BL47" t="e">
        <f>AND('BBP complete'!#REF!,"AAAAAHpz/T8=")</f>
        <v>#REF!</v>
      </c>
      <c r="BM47" t="e">
        <f>AND('BBP complete'!#REF!,"AAAAAHpz/UA=")</f>
        <v>#REF!</v>
      </c>
      <c r="BN47" t="e">
        <f>AND('BBP complete'!K231,"AAAAAHpz/UE=")</f>
        <v>#VALUE!</v>
      </c>
      <c r="BO47" t="e">
        <f>AND('BBP complete'!L231,"AAAAAHpz/UI=")</f>
        <v>#VALUE!</v>
      </c>
      <c r="BP47" t="e">
        <f>AND('BBP complete'!M577,"AAAAAHpz/UM=")</f>
        <v>#VALUE!</v>
      </c>
      <c r="BQ47" t="e">
        <f>AND('BBP complete'!N577,"AAAAAHpz/UQ=")</f>
        <v>#VALUE!</v>
      </c>
      <c r="BR47" t="e">
        <f>AND('BBP complete'!P587,"AAAAAHpz/UU=")</f>
        <v>#VALUE!</v>
      </c>
      <c r="BS47" t="e">
        <f>AND('BBP complete'!J232,"AAAAAHpz/UY=")</f>
        <v>#VALUE!</v>
      </c>
      <c r="BT47" t="e">
        <f>AND('BBP complete'!#REF!,"AAAAAHpz/Uc=")</f>
        <v>#REF!</v>
      </c>
      <c r="BU47" t="e">
        <f>AND('BBP complete'!#REF!,"AAAAAHpz/Ug=")</f>
        <v>#REF!</v>
      </c>
      <c r="BV47" t="e">
        <f>AND('BBP complete'!#REF!,"AAAAAHpz/Uk=")</f>
        <v>#REF!</v>
      </c>
      <c r="BW47" t="e">
        <f>AND('BBP complete'!K232,"AAAAAHpz/Uo=")</f>
        <v>#VALUE!</v>
      </c>
      <c r="BX47" t="e">
        <f>AND('BBP complete'!L232,"AAAAAHpz/Us=")</f>
        <v>#VALUE!</v>
      </c>
      <c r="BY47" t="e">
        <f>AND('BBP complete'!M578,"AAAAAHpz/Uw=")</f>
        <v>#VALUE!</v>
      </c>
      <c r="BZ47" t="e">
        <f>AND('BBP complete'!N578,"AAAAAHpz/U0=")</f>
        <v>#VALUE!</v>
      </c>
      <c r="CA47" t="e">
        <f>AND('BBP complete'!P588,"AAAAAHpz/U4=")</f>
        <v>#VALUE!</v>
      </c>
      <c r="CB47" t="e">
        <f>AND('BBP complete'!J233,"AAAAAHpz/U8=")</f>
        <v>#VALUE!</v>
      </c>
      <c r="CC47" t="e">
        <f>AND('BBP complete'!#REF!,"AAAAAHpz/VA=")</f>
        <v>#REF!</v>
      </c>
      <c r="CD47" t="e">
        <f>AND('BBP complete'!#REF!,"AAAAAHpz/VE=")</f>
        <v>#REF!</v>
      </c>
      <c r="CE47" t="e">
        <f>AND('BBP complete'!#REF!,"AAAAAHpz/VI=")</f>
        <v>#REF!</v>
      </c>
      <c r="CF47" t="e">
        <f>AND('BBP complete'!K233,"AAAAAHpz/VM=")</f>
        <v>#VALUE!</v>
      </c>
      <c r="CG47" t="e">
        <f>AND('BBP complete'!L233,"AAAAAHpz/VQ=")</f>
        <v>#VALUE!</v>
      </c>
      <c r="CH47" t="e">
        <f>AND('BBP complete'!M579,"AAAAAHpz/VU=")</f>
        <v>#VALUE!</v>
      </c>
      <c r="CI47" t="e">
        <f>AND('BBP complete'!N579,"AAAAAHpz/VY=")</f>
        <v>#VALUE!</v>
      </c>
      <c r="CJ47" t="e">
        <f>AND('BBP complete'!P589,"AAAAAHpz/Vc=")</f>
        <v>#VALUE!</v>
      </c>
      <c r="CK47" t="e">
        <f>AND('BBP complete'!J234,"AAAAAHpz/Vg=")</f>
        <v>#VALUE!</v>
      </c>
      <c r="CL47" t="e">
        <f>AND('BBP complete'!#REF!,"AAAAAHpz/Vk=")</f>
        <v>#REF!</v>
      </c>
      <c r="CM47" t="e">
        <f>AND('BBP complete'!#REF!,"AAAAAHpz/Vo=")</f>
        <v>#REF!</v>
      </c>
      <c r="CN47" t="e">
        <f>AND('BBP complete'!#REF!,"AAAAAHpz/Vs=")</f>
        <v>#REF!</v>
      </c>
      <c r="CO47" t="e">
        <f>AND('BBP complete'!K234,"AAAAAHpz/Vw=")</f>
        <v>#VALUE!</v>
      </c>
      <c r="CP47" t="e">
        <f>AND('BBP complete'!L234,"AAAAAHpz/V0=")</f>
        <v>#VALUE!</v>
      </c>
      <c r="CQ47" t="e">
        <f>AND('BBP complete'!M580,"AAAAAHpz/V4=")</f>
        <v>#VALUE!</v>
      </c>
      <c r="CR47" t="e">
        <f>AND('BBP complete'!N580,"AAAAAHpz/V8=")</f>
        <v>#VALUE!</v>
      </c>
      <c r="CS47" t="e">
        <f>AND('BBP complete'!P590,"AAAAAHpz/WA=")</f>
        <v>#VALUE!</v>
      </c>
      <c r="CT47" t="e">
        <f>AND('BBP complete'!J235,"AAAAAHpz/WE=")</f>
        <v>#VALUE!</v>
      </c>
      <c r="CU47" t="e">
        <f>AND('BBP complete'!#REF!,"AAAAAHpz/WI=")</f>
        <v>#REF!</v>
      </c>
      <c r="CV47" t="e">
        <f>AND('BBP complete'!#REF!,"AAAAAHpz/WM=")</f>
        <v>#REF!</v>
      </c>
      <c r="CW47" t="e">
        <f>AND('BBP complete'!#REF!,"AAAAAHpz/WQ=")</f>
        <v>#REF!</v>
      </c>
      <c r="CX47" t="e">
        <f>AND('BBP complete'!K235,"AAAAAHpz/WU=")</f>
        <v>#VALUE!</v>
      </c>
      <c r="CY47" t="e">
        <f>AND('BBP complete'!L235,"AAAAAHpz/WY=")</f>
        <v>#VALUE!</v>
      </c>
      <c r="CZ47" t="e">
        <f>AND('BBP complete'!M581,"AAAAAHpz/Wc=")</f>
        <v>#VALUE!</v>
      </c>
      <c r="DA47" t="e">
        <f>AND('BBP complete'!N581,"AAAAAHpz/Wg=")</f>
        <v>#VALUE!</v>
      </c>
      <c r="DB47" t="e">
        <f>AND('BBP complete'!P591,"AAAAAHpz/Wk=")</f>
        <v>#VALUE!</v>
      </c>
      <c r="DC47" t="e">
        <f>AND('BBP complete'!J236,"AAAAAHpz/Wo=")</f>
        <v>#VALUE!</v>
      </c>
      <c r="DD47" t="e">
        <f>AND('BBP complete'!#REF!,"AAAAAHpz/Ws=")</f>
        <v>#REF!</v>
      </c>
      <c r="DE47" t="e">
        <f>AND('BBP complete'!#REF!,"AAAAAHpz/Ww=")</f>
        <v>#REF!</v>
      </c>
      <c r="DF47" t="e">
        <f>AND('BBP complete'!#REF!,"AAAAAHpz/W0=")</f>
        <v>#REF!</v>
      </c>
      <c r="DG47" t="e">
        <f>AND('BBP complete'!K236,"AAAAAHpz/W4=")</f>
        <v>#VALUE!</v>
      </c>
      <c r="DH47" t="e">
        <f>AND('BBP complete'!L236,"AAAAAHpz/W8=")</f>
        <v>#VALUE!</v>
      </c>
      <c r="DI47" t="e">
        <f>AND('BBP complete'!M582,"AAAAAHpz/XA=")</f>
        <v>#VALUE!</v>
      </c>
      <c r="DJ47" t="e">
        <f>AND('BBP complete'!N582,"AAAAAHpz/XE=")</f>
        <v>#VALUE!</v>
      </c>
      <c r="DK47" t="e">
        <f>AND('BBP complete'!P592,"AAAAAHpz/XI=")</f>
        <v>#VALUE!</v>
      </c>
      <c r="DL47" t="e">
        <f>AND('BBP complete'!J237,"AAAAAHpz/XM=")</f>
        <v>#VALUE!</v>
      </c>
      <c r="DM47" t="e">
        <f>AND('BBP complete'!#REF!,"AAAAAHpz/XQ=")</f>
        <v>#REF!</v>
      </c>
      <c r="DN47" t="e">
        <f>AND('BBP complete'!#REF!,"AAAAAHpz/XU=")</f>
        <v>#REF!</v>
      </c>
      <c r="DO47" t="e">
        <f>AND('BBP complete'!#REF!,"AAAAAHpz/XY=")</f>
        <v>#REF!</v>
      </c>
      <c r="DP47" t="e">
        <f>AND('BBP complete'!K237,"AAAAAHpz/Xc=")</f>
        <v>#VALUE!</v>
      </c>
      <c r="DQ47" t="e">
        <f>AND('BBP complete'!L237,"AAAAAHpz/Xg=")</f>
        <v>#VALUE!</v>
      </c>
      <c r="DR47" t="e">
        <f>AND('BBP complete'!M583,"AAAAAHpz/Xk=")</f>
        <v>#VALUE!</v>
      </c>
      <c r="DS47" t="e">
        <f>AND('BBP complete'!N583,"AAAAAHpz/Xo=")</f>
        <v>#VALUE!</v>
      </c>
      <c r="DT47" t="e">
        <f>AND('BBP complete'!P593,"AAAAAHpz/Xs=")</f>
        <v>#VALUE!</v>
      </c>
      <c r="DU47" t="e">
        <f>AND('BBP complete'!J238,"AAAAAHpz/Xw=")</f>
        <v>#VALUE!</v>
      </c>
      <c r="DV47" t="e">
        <f>AND('BBP complete'!#REF!,"AAAAAHpz/X0=")</f>
        <v>#REF!</v>
      </c>
      <c r="DW47" t="e">
        <f>AND('BBP complete'!#REF!,"AAAAAHpz/X4=")</f>
        <v>#REF!</v>
      </c>
      <c r="DX47" t="e">
        <f>AND('BBP complete'!#REF!,"AAAAAHpz/X8=")</f>
        <v>#REF!</v>
      </c>
      <c r="DY47" t="e">
        <f>AND('BBP complete'!K238,"AAAAAHpz/YA=")</f>
        <v>#VALUE!</v>
      </c>
      <c r="DZ47" t="e">
        <f>AND('BBP complete'!L238,"AAAAAHpz/YE=")</f>
        <v>#VALUE!</v>
      </c>
      <c r="EA47" t="e">
        <f>AND('BBP complete'!M584,"AAAAAHpz/YI=")</f>
        <v>#VALUE!</v>
      </c>
      <c r="EB47" t="e">
        <f>AND('BBP complete'!N584,"AAAAAHpz/YM=")</f>
        <v>#VALUE!</v>
      </c>
      <c r="EC47" t="e">
        <f>AND('BBP complete'!P594,"AAAAAHpz/YQ=")</f>
        <v>#VALUE!</v>
      </c>
      <c r="ED47" t="e">
        <f>AND('BBP complete'!J239,"AAAAAHpz/YU=")</f>
        <v>#VALUE!</v>
      </c>
      <c r="EE47" t="e">
        <f>AND('BBP complete'!#REF!,"AAAAAHpz/YY=")</f>
        <v>#REF!</v>
      </c>
      <c r="EF47" t="e">
        <f>AND('BBP complete'!#REF!,"AAAAAHpz/Yc=")</f>
        <v>#REF!</v>
      </c>
      <c r="EG47" t="e">
        <f>AND('BBP complete'!#REF!,"AAAAAHpz/Yg=")</f>
        <v>#REF!</v>
      </c>
      <c r="EH47" t="e">
        <f>AND('BBP complete'!K239,"AAAAAHpz/Yk=")</f>
        <v>#VALUE!</v>
      </c>
      <c r="EI47" t="e">
        <f>AND('BBP complete'!L239,"AAAAAHpz/Yo=")</f>
        <v>#VALUE!</v>
      </c>
      <c r="EJ47" t="e">
        <f>AND('BBP complete'!M585,"AAAAAHpz/Ys=")</f>
        <v>#VALUE!</v>
      </c>
      <c r="EK47" t="e">
        <f>AND('BBP complete'!N585,"AAAAAHpz/Yw=")</f>
        <v>#VALUE!</v>
      </c>
      <c r="EL47" t="e">
        <f>AND('BBP complete'!P595,"AAAAAHpz/Y0=")</f>
        <v>#VALUE!</v>
      </c>
      <c r="EM47" t="e">
        <f>AND('BBP complete'!J240,"AAAAAHpz/Y4=")</f>
        <v>#VALUE!</v>
      </c>
      <c r="EN47" t="e">
        <f>AND('BBP complete'!#REF!,"AAAAAHpz/Y8=")</f>
        <v>#REF!</v>
      </c>
      <c r="EO47" t="e">
        <f>AND('BBP complete'!#REF!,"AAAAAHpz/ZA=")</f>
        <v>#REF!</v>
      </c>
      <c r="EP47" t="e">
        <f>AND('BBP complete'!#REF!,"AAAAAHpz/ZE=")</f>
        <v>#REF!</v>
      </c>
      <c r="EQ47" t="e">
        <f>AND('BBP complete'!K240,"AAAAAHpz/ZI=")</f>
        <v>#VALUE!</v>
      </c>
      <c r="ER47" t="e">
        <f>AND('BBP complete'!L240,"AAAAAHpz/ZM=")</f>
        <v>#VALUE!</v>
      </c>
      <c r="ES47" t="e">
        <f>AND('BBP complete'!M586,"AAAAAHpz/ZQ=")</f>
        <v>#VALUE!</v>
      </c>
      <c r="ET47" t="e">
        <f>AND('BBP complete'!N586,"AAAAAHpz/ZU=")</f>
        <v>#VALUE!</v>
      </c>
      <c r="EU47" t="e">
        <f>AND('BBP complete'!P596,"AAAAAHpz/ZY=")</f>
        <v>#VALUE!</v>
      </c>
      <c r="EV47" t="e">
        <f>AND('BBP complete'!J241,"AAAAAHpz/Zc=")</f>
        <v>#VALUE!</v>
      </c>
      <c r="EW47" t="e">
        <f>AND('BBP complete'!#REF!,"AAAAAHpz/Zg=")</f>
        <v>#REF!</v>
      </c>
      <c r="EX47" t="e">
        <f>AND('BBP complete'!#REF!,"AAAAAHpz/Zk=")</f>
        <v>#REF!</v>
      </c>
      <c r="EY47" t="e">
        <f>AND('BBP complete'!#REF!,"AAAAAHpz/Zo=")</f>
        <v>#REF!</v>
      </c>
      <c r="EZ47" t="e">
        <f>AND('BBP complete'!K241,"AAAAAHpz/Zs=")</f>
        <v>#VALUE!</v>
      </c>
      <c r="FA47" t="e">
        <f>AND('BBP complete'!L241,"AAAAAHpz/Zw=")</f>
        <v>#VALUE!</v>
      </c>
      <c r="FB47" t="e">
        <f>AND('BBP complete'!M587,"AAAAAHpz/Z0=")</f>
        <v>#VALUE!</v>
      </c>
      <c r="FC47" t="e">
        <f>AND('BBP complete'!N587,"AAAAAHpz/Z4=")</f>
        <v>#VALUE!</v>
      </c>
      <c r="FD47" t="e">
        <f>AND('BBP complete'!P597,"AAAAAHpz/Z8=")</f>
        <v>#VALUE!</v>
      </c>
      <c r="FE47" t="e">
        <f>AND('BBP complete'!J242,"AAAAAHpz/aA=")</f>
        <v>#VALUE!</v>
      </c>
      <c r="FF47" t="e">
        <f>AND('BBP complete'!#REF!,"AAAAAHpz/aE=")</f>
        <v>#REF!</v>
      </c>
      <c r="FG47" t="e">
        <f>AND('BBP complete'!#REF!,"AAAAAHpz/aI=")</f>
        <v>#REF!</v>
      </c>
      <c r="FH47" t="e">
        <f>AND('BBP complete'!#REF!,"AAAAAHpz/aM=")</f>
        <v>#REF!</v>
      </c>
      <c r="FI47" t="e">
        <f>AND('BBP complete'!K242,"AAAAAHpz/aQ=")</f>
        <v>#VALUE!</v>
      </c>
      <c r="FJ47" t="e">
        <f>AND('BBP complete'!L242,"AAAAAHpz/aU=")</f>
        <v>#VALUE!</v>
      </c>
      <c r="FK47" t="e">
        <f>AND('BBP complete'!M588,"AAAAAHpz/aY=")</f>
        <v>#VALUE!</v>
      </c>
      <c r="FL47" t="e">
        <f>AND('BBP complete'!N588,"AAAAAHpz/ac=")</f>
        <v>#VALUE!</v>
      </c>
      <c r="FM47" t="e">
        <f>AND('BBP complete'!P598,"AAAAAHpz/ag=")</f>
        <v>#VALUE!</v>
      </c>
      <c r="FN47" t="e">
        <f>AND('BBP complete'!J243,"AAAAAHpz/ak=")</f>
        <v>#VALUE!</v>
      </c>
      <c r="FO47" t="e">
        <f>AND('BBP complete'!#REF!,"AAAAAHpz/ao=")</f>
        <v>#REF!</v>
      </c>
      <c r="FP47" t="e">
        <f>AND('BBP complete'!#REF!,"AAAAAHpz/as=")</f>
        <v>#REF!</v>
      </c>
      <c r="FQ47" t="e">
        <f>AND('BBP complete'!#REF!,"AAAAAHpz/aw=")</f>
        <v>#REF!</v>
      </c>
      <c r="FR47" t="e">
        <f>AND('BBP complete'!K243,"AAAAAHpz/a0=")</f>
        <v>#VALUE!</v>
      </c>
      <c r="FS47" t="e">
        <f>AND('BBP complete'!L243,"AAAAAHpz/a4=")</f>
        <v>#VALUE!</v>
      </c>
      <c r="FT47" t="e">
        <f>AND('BBP complete'!M589,"AAAAAHpz/a8=")</f>
        <v>#VALUE!</v>
      </c>
      <c r="FU47" t="e">
        <f>AND('BBP complete'!N589,"AAAAAHpz/bA=")</f>
        <v>#VALUE!</v>
      </c>
      <c r="FV47" t="e">
        <f>AND('BBP complete'!P599,"AAAAAHpz/bE=")</f>
        <v>#VALUE!</v>
      </c>
      <c r="FW47" t="e">
        <f>AND('BBP complete'!J244,"AAAAAHpz/bI=")</f>
        <v>#VALUE!</v>
      </c>
      <c r="FX47" t="e">
        <f>AND('BBP complete'!#REF!,"AAAAAHpz/bM=")</f>
        <v>#REF!</v>
      </c>
      <c r="FY47" t="e">
        <f>AND('BBP complete'!#REF!,"AAAAAHpz/bQ=")</f>
        <v>#REF!</v>
      </c>
      <c r="FZ47" t="e">
        <f>AND('BBP complete'!#REF!,"AAAAAHpz/bU=")</f>
        <v>#REF!</v>
      </c>
      <c r="GA47" t="e">
        <f>AND('BBP complete'!K244,"AAAAAHpz/bY=")</f>
        <v>#VALUE!</v>
      </c>
      <c r="GB47" t="e">
        <f>AND('BBP complete'!L244,"AAAAAHpz/bc=")</f>
        <v>#VALUE!</v>
      </c>
      <c r="GC47" t="e">
        <f>AND('BBP complete'!M590,"AAAAAHpz/bg=")</f>
        <v>#VALUE!</v>
      </c>
      <c r="GD47" t="e">
        <f>AND('BBP complete'!N590,"AAAAAHpz/bk=")</f>
        <v>#VALUE!</v>
      </c>
      <c r="GE47" t="e">
        <f>AND('BBP complete'!P600,"AAAAAHpz/bo=")</f>
        <v>#VALUE!</v>
      </c>
      <c r="GF47" t="e">
        <f>AND('BBP complete'!J245,"AAAAAHpz/bs=")</f>
        <v>#VALUE!</v>
      </c>
      <c r="GG47" t="e">
        <f>AND('BBP complete'!#REF!,"AAAAAHpz/bw=")</f>
        <v>#REF!</v>
      </c>
      <c r="GH47" t="e">
        <f>AND('BBP complete'!#REF!,"AAAAAHpz/b0=")</f>
        <v>#REF!</v>
      </c>
      <c r="GI47" t="e">
        <f>AND('BBP complete'!#REF!,"AAAAAHpz/b4=")</f>
        <v>#REF!</v>
      </c>
      <c r="GJ47" t="e">
        <f>AND('BBP complete'!K245,"AAAAAHpz/b8=")</f>
        <v>#VALUE!</v>
      </c>
      <c r="GK47" t="e">
        <f>AND('BBP complete'!L245,"AAAAAHpz/cA=")</f>
        <v>#VALUE!</v>
      </c>
      <c r="GL47" t="e">
        <f>AND('BBP complete'!M591,"AAAAAHpz/cE=")</f>
        <v>#VALUE!</v>
      </c>
      <c r="GM47" t="e">
        <f>AND('BBP complete'!N591,"AAAAAHpz/cI=")</f>
        <v>#VALUE!</v>
      </c>
      <c r="GN47" t="e">
        <f>AND('BBP complete'!P601,"AAAAAHpz/cM=")</f>
        <v>#VALUE!</v>
      </c>
      <c r="GO47" t="e">
        <f>AND('BBP complete'!J246,"AAAAAHpz/cQ=")</f>
        <v>#VALUE!</v>
      </c>
      <c r="GP47" t="e">
        <f>AND('BBP complete'!#REF!,"AAAAAHpz/cU=")</f>
        <v>#REF!</v>
      </c>
      <c r="GQ47" t="e">
        <f>AND('BBP complete'!#REF!,"AAAAAHpz/cY=")</f>
        <v>#REF!</v>
      </c>
      <c r="GR47" t="e">
        <f>AND('BBP complete'!#REF!,"AAAAAHpz/cc=")</f>
        <v>#REF!</v>
      </c>
      <c r="GS47" t="e">
        <f>AND('BBP complete'!K246,"AAAAAHpz/cg=")</f>
        <v>#VALUE!</v>
      </c>
      <c r="GT47" t="e">
        <f>AND('BBP complete'!L246,"AAAAAHpz/ck=")</f>
        <v>#VALUE!</v>
      </c>
      <c r="GU47" t="e">
        <f>AND('BBP complete'!M592,"AAAAAHpz/co=")</f>
        <v>#VALUE!</v>
      </c>
      <c r="GV47" t="e">
        <f>AND('BBP complete'!N592,"AAAAAHpz/cs=")</f>
        <v>#VALUE!</v>
      </c>
      <c r="GW47" t="e">
        <f>AND('BBP complete'!P602,"AAAAAHpz/cw=")</f>
        <v>#VALUE!</v>
      </c>
      <c r="GX47" t="e">
        <f>AND('BBP complete'!J247,"AAAAAHpz/c0=")</f>
        <v>#VALUE!</v>
      </c>
      <c r="GY47" t="e">
        <f>AND('BBP complete'!#REF!,"AAAAAHpz/c4=")</f>
        <v>#REF!</v>
      </c>
      <c r="GZ47" t="e">
        <f>AND('BBP complete'!#REF!,"AAAAAHpz/c8=")</f>
        <v>#REF!</v>
      </c>
      <c r="HA47" t="e">
        <f>AND('BBP complete'!#REF!,"AAAAAHpz/dA=")</f>
        <v>#REF!</v>
      </c>
      <c r="HB47" t="e">
        <f>AND('BBP complete'!K247,"AAAAAHpz/dE=")</f>
        <v>#VALUE!</v>
      </c>
      <c r="HC47" t="e">
        <f>AND('BBP complete'!L247,"AAAAAHpz/dI=")</f>
        <v>#VALUE!</v>
      </c>
      <c r="HD47" t="e">
        <f>AND('BBP complete'!M593,"AAAAAHpz/dM=")</f>
        <v>#VALUE!</v>
      </c>
      <c r="HE47" t="e">
        <f>AND('BBP complete'!N593,"AAAAAHpz/dQ=")</f>
        <v>#VALUE!</v>
      </c>
      <c r="HF47" t="e">
        <f>AND('BBP complete'!P603,"AAAAAHpz/dU=")</f>
        <v>#VALUE!</v>
      </c>
      <c r="HG47" t="e">
        <f>AND('BBP complete'!J248,"AAAAAHpz/dY=")</f>
        <v>#VALUE!</v>
      </c>
      <c r="HH47" t="e">
        <f>AND('BBP complete'!#REF!,"AAAAAHpz/dc=")</f>
        <v>#REF!</v>
      </c>
      <c r="HI47" t="e">
        <f>AND('BBP complete'!#REF!,"AAAAAHpz/dg=")</f>
        <v>#REF!</v>
      </c>
      <c r="HJ47" t="e">
        <f>AND('BBP complete'!#REF!,"AAAAAHpz/dk=")</f>
        <v>#REF!</v>
      </c>
      <c r="HK47" t="e">
        <f>AND('BBP complete'!K248,"AAAAAHpz/do=")</f>
        <v>#VALUE!</v>
      </c>
      <c r="HL47" t="e">
        <f>AND('BBP complete'!L248,"AAAAAHpz/ds=")</f>
        <v>#VALUE!</v>
      </c>
      <c r="HM47" t="e">
        <f>AND('BBP complete'!M594,"AAAAAHpz/dw=")</f>
        <v>#VALUE!</v>
      </c>
      <c r="HN47" t="e">
        <f>AND('BBP complete'!N594,"AAAAAHpz/d0=")</f>
        <v>#VALUE!</v>
      </c>
      <c r="HO47" t="e">
        <f>AND('BBP complete'!P604,"AAAAAHpz/d4=")</f>
        <v>#VALUE!</v>
      </c>
      <c r="HP47" t="e">
        <f>AND('BBP complete'!J249,"AAAAAHpz/d8=")</f>
        <v>#VALUE!</v>
      </c>
      <c r="HQ47" t="e">
        <f>AND('BBP complete'!#REF!,"AAAAAHpz/eA=")</f>
        <v>#REF!</v>
      </c>
      <c r="HR47" t="e">
        <f>AND('BBP complete'!#REF!,"AAAAAHpz/eE=")</f>
        <v>#REF!</v>
      </c>
      <c r="HS47" t="e">
        <f>AND('BBP complete'!#REF!,"AAAAAHpz/eI=")</f>
        <v>#REF!</v>
      </c>
      <c r="HT47" t="e">
        <f>AND('BBP complete'!K249,"AAAAAHpz/eM=")</f>
        <v>#VALUE!</v>
      </c>
      <c r="HU47" t="e">
        <f>AND('BBP complete'!L249,"AAAAAHpz/eQ=")</f>
        <v>#VALUE!</v>
      </c>
      <c r="HV47" t="e">
        <f>AND('BBP complete'!M595,"AAAAAHpz/eU=")</f>
        <v>#VALUE!</v>
      </c>
      <c r="HW47" t="e">
        <f>AND('BBP complete'!N595,"AAAAAHpz/eY=")</f>
        <v>#VALUE!</v>
      </c>
      <c r="HX47" t="e">
        <f>AND('BBP complete'!P605,"AAAAAHpz/ec=")</f>
        <v>#VALUE!</v>
      </c>
      <c r="HY47" t="e">
        <f>AND('BBP complete'!J250,"AAAAAHpz/eg=")</f>
        <v>#VALUE!</v>
      </c>
      <c r="HZ47" t="e">
        <f>AND('BBP complete'!#REF!,"AAAAAHpz/ek=")</f>
        <v>#REF!</v>
      </c>
      <c r="IA47" t="e">
        <f>AND('BBP complete'!#REF!,"AAAAAHpz/eo=")</f>
        <v>#REF!</v>
      </c>
      <c r="IB47" t="e">
        <f>AND('BBP complete'!#REF!,"AAAAAHpz/es=")</f>
        <v>#REF!</v>
      </c>
      <c r="IC47" t="e">
        <f>AND('BBP complete'!K250,"AAAAAHpz/ew=")</f>
        <v>#VALUE!</v>
      </c>
      <c r="ID47" t="e">
        <f>AND('BBP complete'!L250,"AAAAAHpz/e0=")</f>
        <v>#VALUE!</v>
      </c>
      <c r="IE47" t="e">
        <f>AND('BBP complete'!M596,"AAAAAHpz/e4=")</f>
        <v>#VALUE!</v>
      </c>
      <c r="IF47" t="e">
        <f>AND('BBP complete'!N596,"AAAAAHpz/e8=")</f>
        <v>#VALUE!</v>
      </c>
      <c r="IG47" t="e">
        <f>AND('BBP complete'!P606,"AAAAAHpz/fA=")</f>
        <v>#VALUE!</v>
      </c>
      <c r="IH47" t="e">
        <f>AND('BBP complete'!J251,"AAAAAHpz/fE=")</f>
        <v>#VALUE!</v>
      </c>
      <c r="II47" t="e">
        <f>AND('BBP complete'!#REF!,"AAAAAHpz/fI=")</f>
        <v>#REF!</v>
      </c>
      <c r="IJ47" t="e">
        <f>AND('BBP complete'!#REF!,"AAAAAHpz/fM=")</f>
        <v>#REF!</v>
      </c>
      <c r="IK47" t="e">
        <f>AND('BBP complete'!#REF!,"AAAAAHpz/fQ=")</f>
        <v>#REF!</v>
      </c>
      <c r="IL47" t="e">
        <f>AND('BBP complete'!K251,"AAAAAHpz/fU=")</f>
        <v>#VALUE!</v>
      </c>
      <c r="IM47" t="e">
        <f>AND('BBP complete'!L251,"AAAAAHpz/fY=")</f>
        <v>#VALUE!</v>
      </c>
      <c r="IN47" t="e">
        <f>AND('BBP complete'!M597,"AAAAAHpz/fc=")</f>
        <v>#VALUE!</v>
      </c>
      <c r="IO47" t="e">
        <f>AND('BBP complete'!N597,"AAAAAHpz/fg=")</f>
        <v>#VALUE!</v>
      </c>
      <c r="IP47" t="e">
        <f>AND('BBP complete'!P607,"AAAAAHpz/fk=")</f>
        <v>#VALUE!</v>
      </c>
      <c r="IQ47" t="e">
        <f>AND('BBP complete'!J252,"AAAAAHpz/fo=")</f>
        <v>#VALUE!</v>
      </c>
      <c r="IR47" t="e">
        <f>AND('BBP complete'!#REF!,"AAAAAHpz/fs=")</f>
        <v>#REF!</v>
      </c>
      <c r="IS47" t="e">
        <f>AND('BBP complete'!#REF!,"AAAAAHpz/fw=")</f>
        <v>#REF!</v>
      </c>
      <c r="IT47" t="e">
        <f>AND('BBP complete'!#REF!,"AAAAAHpz/f0=")</f>
        <v>#REF!</v>
      </c>
      <c r="IU47" t="e">
        <f>AND('BBP complete'!K252,"AAAAAHpz/f4=")</f>
        <v>#VALUE!</v>
      </c>
      <c r="IV47" t="e">
        <f>AND('BBP complete'!L252,"AAAAAHpz/f8=")</f>
        <v>#VALUE!</v>
      </c>
    </row>
    <row r="48" spans="1:256" ht="15" customHeight="1" x14ac:dyDescent="0.25">
      <c r="A48" t="e">
        <f>AND('BBP complete'!M598,"AAAAAHvnzwA=")</f>
        <v>#VALUE!</v>
      </c>
      <c r="B48" t="e">
        <f>AND('BBP complete'!N598,"AAAAAHvnzwE=")</f>
        <v>#VALUE!</v>
      </c>
      <c r="C48" t="e">
        <f>AND('BBP complete'!P608,"AAAAAHvnzwI=")</f>
        <v>#VALUE!</v>
      </c>
      <c r="D48" t="e">
        <f>AND('BBP complete'!J253,"AAAAAHvnzwM=")</f>
        <v>#VALUE!</v>
      </c>
      <c r="E48" t="e">
        <f>AND('BBP complete'!#REF!,"AAAAAHvnzwQ=")</f>
        <v>#REF!</v>
      </c>
      <c r="F48" t="e">
        <f>AND('BBP complete'!#REF!,"AAAAAHvnzwU=")</f>
        <v>#REF!</v>
      </c>
      <c r="G48" t="e">
        <f>AND('BBP complete'!#REF!,"AAAAAHvnzwY=")</f>
        <v>#REF!</v>
      </c>
      <c r="H48" t="e">
        <f>AND('BBP complete'!K253,"AAAAAHvnzwc=")</f>
        <v>#VALUE!</v>
      </c>
      <c r="I48" t="e">
        <f>AND('BBP complete'!L253,"AAAAAHvnzwg=")</f>
        <v>#VALUE!</v>
      </c>
      <c r="J48" t="e">
        <f>AND('BBP complete'!M599,"AAAAAHvnzwk=")</f>
        <v>#VALUE!</v>
      </c>
      <c r="K48" t="e">
        <f>AND('BBP complete'!N599,"AAAAAHvnzwo=")</f>
        <v>#VALUE!</v>
      </c>
      <c r="L48" t="e">
        <f>AND('BBP complete'!P609,"AAAAAHvnzws=")</f>
        <v>#VALUE!</v>
      </c>
      <c r="M48" t="e">
        <f>AND('BBP complete'!J254,"AAAAAHvnzww=")</f>
        <v>#VALUE!</v>
      </c>
      <c r="N48" t="e">
        <f>AND('BBP complete'!#REF!,"AAAAAHvnzw0=")</f>
        <v>#REF!</v>
      </c>
      <c r="O48" t="e">
        <f>AND('BBP complete'!#REF!,"AAAAAHvnzw4=")</f>
        <v>#REF!</v>
      </c>
      <c r="P48" t="e">
        <f>AND('BBP complete'!#REF!,"AAAAAHvnzw8=")</f>
        <v>#REF!</v>
      </c>
      <c r="Q48" t="e">
        <f>AND('BBP complete'!K254,"AAAAAHvnzxA=")</f>
        <v>#VALUE!</v>
      </c>
      <c r="R48" t="e">
        <f>AND('BBP complete'!L254,"AAAAAHvnzxE=")</f>
        <v>#VALUE!</v>
      </c>
      <c r="S48" t="e">
        <f>AND('BBP complete'!M600,"AAAAAHvnzxI=")</f>
        <v>#VALUE!</v>
      </c>
      <c r="T48" t="e">
        <f>AND('BBP complete'!N600,"AAAAAHvnzxM=")</f>
        <v>#VALUE!</v>
      </c>
      <c r="U48" t="e">
        <f>AND('BBP complete'!P610,"AAAAAHvnzxQ=")</f>
        <v>#VALUE!</v>
      </c>
      <c r="V48" t="e">
        <f>AND('BBP complete'!J255,"AAAAAHvnzxU=")</f>
        <v>#VALUE!</v>
      </c>
      <c r="W48" t="e">
        <f>AND('BBP complete'!#REF!,"AAAAAHvnzxY=")</f>
        <v>#REF!</v>
      </c>
      <c r="X48" t="e">
        <f>AND('BBP complete'!#REF!,"AAAAAHvnzxc=")</f>
        <v>#REF!</v>
      </c>
      <c r="Y48" t="e">
        <f>AND('BBP complete'!#REF!,"AAAAAHvnzxg=")</f>
        <v>#REF!</v>
      </c>
      <c r="Z48" t="e">
        <f>AND('BBP complete'!K255,"AAAAAHvnzxk=")</f>
        <v>#VALUE!</v>
      </c>
      <c r="AA48" t="e">
        <f>AND('BBP complete'!L255,"AAAAAHvnzxo=")</f>
        <v>#VALUE!</v>
      </c>
      <c r="AB48" t="e">
        <f>AND('BBP complete'!M601,"AAAAAHvnzxs=")</f>
        <v>#VALUE!</v>
      </c>
      <c r="AC48" t="e">
        <f>AND('BBP complete'!N601,"AAAAAHvnzxw=")</f>
        <v>#VALUE!</v>
      </c>
      <c r="AD48" t="e">
        <f>AND('BBP complete'!P611,"AAAAAHvnzx0=")</f>
        <v>#VALUE!</v>
      </c>
      <c r="AE48" t="e">
        <f>AND('BBP complete'!J256,"AAAAAHvnzx4=")</f>
        <v>#VALUE!</v>
      </c>
      <c r="AF48" t="e">
        <f>AND('BBP complete'!#REF!,"AAAAAHvnzx8=")</f>
        <v>#REF!</v>
      </c>
      <c r="AG48" t="e">
        <f>AND('BBP complete'!#REF!,"AAAAAHvnzyA=")</f>
        <v>#REF!</v>
      </c>
      <c r="AH48" t="e">
        <f>AND('BBP complete'!#REF!,"AAAAAHvnzyE=")</f>
        <v>#REF!</v>
      </c>
      <c r="AI48" t="e">
        <f>AND('BBP complete'!K256,"AAAAAHvnzyI=")</f>
        <v>#VALUE!</v>
      </c>
      <c r="AJ48" t="e">
        <f>AND('BBP complete'!L256,"AAAAAHvnzyM=")</f>
        <v>#VALUE!</v>
      </c>
      <c r="AK48" t="e">
        <f>AND('BBP complete'!M602,"AAAAAHvnzyQ=")</f>
        <v>#VALUE!</v>
      </c>
      <c r="AL48" t="e">
        <f>AND('BBP complete'!N602,"AAAAAHvnzyU=")</f>
        <v>#VALUE!</v>
      </c>
      <c r="AM48" t="e">
        <f>AND('BBP complete'!P612,"AAAAAHvnzyY=")</f>
        <v>#VALUE!</v>
      </c>
      <c r="AN48" t="e">
        <f>AND('BBP complete'!J257,"AAAAAHvnzyc=")</f>
        <v>#VALUE!</v>
      </c>
      <c r="AO48" t="e">
        <f>AND('BBP complete'!#REF!,"AAAAAHvnzyg=")</f>
        <v>#REF!</v>
      </c>
      <c r="AP48" t="e">
        <f>AND('BBP complete'!#REF!,"AAAAAHvnzyk=")</f>
        <v>#REF!</v>
      </c>
      <c r="AQ48" t="e">
        <f>AND('BBP complete'!#REF!,"AAAAAHvnzyo=")</f>
        <v>#REF!</v>
      </c>
      <c r="AR48" t="e">
        <f>AND('BBP complete'!K257,"AAAAAHvnzys=")</f>
        <v>#VALUE!</v>
      </c>
      <c r="AS48" t="e">
        <f>AND('BBP complete'!L257,"AAAAAHvnzyw=")</f>
        <v>#VALUE!</v>
      </c>
      <c r="AT48" t="e">
        <f>AND('BBP complete'!M603,"AAAAAHvnzy0=")</f>
        <v>#VALUE!</v>
      </c>
      <c r="AU48" t="e">
        <f>AND('BBP complete'!N603,"AAAAAHvnzy4=")</f>
        <v>#VALUE!</v>
      </c>
      <c r="AV48" t="e">
        <f>AND('BBP complete'!P613,"AAAAAHvnzy8=")</f>
        <v>#VALUE!</v>
      </c>
      <c r="AW48" t="e">
        <f>AND('BBP complete'!J258,"AAAAAHvnzzA=")</f>
        <v>#VALUE!</v>
      </c>
      <c r="AX48" t="e">
        <f>AND('BBP complete'!#REF!,"AAAAAHvnzzE=")</f>
        <v>#REF!</v>
      </c>
      <c r="AY48" t="e">
        <f>AND('BBP complete'!#REF!,"AAAAAHvnzzI=")</f>
        <v>#REF!</v>
      </c>
      <c r="AZ48" t="e">
        <f>AND('BBP complete'!#REF!,"AAAAAHvnzzM=")</f>
        <v>#REF!</v>
      </c>
      <c r="BA48" t="e">
        <f>AND('BBP complete'!K258,"AAAAAHvnzzQ=")</f>
        <v>#VALUE!</v>
      </c>
      <c r="BB48" t="e">
        <f>AND('BBP complete'!L258,"AAAAAHvnzzU=")</f>
        <v>#VALUE!</v>
      </c>
      <c r="BC48" t="e">
        <f>AND('BBP complete'!M604,"AAAAAHvnzzY=")</f>
        <v>#VALUE!</v>
      </c>
      <c r="BD48" t="e">
        <f>AND('BBP complete'!N604,"AAAAAHvnzzc=")</f>
        <v>#VALUE!</v>
      </c>
      <c r="BE48" t="e">
        <f>AND('BBP complete'!P614,"AAAAAHvnzzg=")</f>
        <v>#VALUE!</v>
      </c>
      <c r="BF48" t="e">
        <f>AND('BBP complete'!J259,"AAAAAHvnzzk=")</f>
        <v>#VALUE!</v>
      </c>
      <c r="BG48" t="e">
        <f>AND('BBP complete'!#REF!,"AAAAAHvnzzo=")</f>
        <v>#REF!</v>
      </c>
      <c r="BH48" t="e">
        <f>AND('BBP complete'!#REF!,"AAAAAHvnzzs=")</f>
        <v>#REF!</v>
      </c>
      <c r="BI48" t="e">
        <f>AND('BBP complete'!#REF!,"AAAAAHvnzzw=")</f>
        <v>#REF!</v>
      </c>
      <c r="BJ48" t="e">
        <f>AND('BBP complete'!K259,"AAAAAHvnzz0=")</f>
        <v>#VALUE!</v>
      </c>
      <c r="BK48" t="e">
        <f>AND('BBP complete'!L259,"AAAAAHvnzz4=")</f>
        <v>#VALUE!</v>
      </c>
      <c r="BL48" t="e">
        <f>AND('BBP complete'!M605,"AAAAAHvnzz8=")</f>
        <v>#VALUE!</v>
      </c>
      <c r="BM48" t="e">
        <f>AND('BBP complete'!N605,"AAAAAHvnz0A=")</f>
        <v>#VALUE!</v>
      </c>
      <c r="BN48" t="e">
        <f>AND('BBP complete'!P615,"AAAAAHvnz0E=")</f>
        <v>#VALUE!</v>
      </c>
      <c r="BO48" t="e">
        <f>AND('BBP complete'!J260,"AAAAAHvnz0I=")</f>
        <v>#VALUE!</v>
      </c>
      <c r="BP48" t="e">
        <f>AND('BBP complete'!#REF!,"AAAAAHvnz0M=")</f>
        <v>#REF!</v>
      </c>
      <c r="BQ48" t="e">
        <f>AND('BBP complete'!#REF!,"AAAAAHvnz0Q=")</f>
        <v>#REF!</v>
      </c>
      <c r="BR48" t="e">
        <f>AND('BBP complete'!#REF!,"AAAAAHvnz0U=")</f>
        <v>#REF!</v>
      </c>
      <c r="BS48" t="e">
        <f>AND('BBP complete'!K260,"AAAAAHvnz0Y=")</f>
        <v>#VALUE!</v>
      </c>
      <c r="BT48" t="e">
        <f>AND('BBP complete'!L260,"AAAAAHvnz0c=")</f>
        <v>#VALUE!</v>
      </c>
      <c r="BU48" t="e">
        <f>AND('BBP complete'!M606,"AAAAAHvnz0g=")</f>
        <v>#VALUE!</v>
      </c>
      <c r="BV48" t="e">
        <f>AND('BBP complete'!N606,"AAAAAHvnz0k=")</f>
        <v>#VALUE!</v>
      </c>
      <c r="BW48" t="e">
        <f>AND('BBP complete'!P616,"AAAAAHvnz0o=")</f>
        <v>#VALUE!</v>
      </c>
      <c r="BX48" t="e">
        <f>AND('BBP complete'!J261,"AAAAAHvnz0s=")</f>
        <v>#VALUE!</v>
      </c>
      <c r="BY48" t="e">
        <f>AND('BBP complete'!#REF!,"AAAAAHvnz0w=")</f>
        <v>#REF!</v>
      </c>
      <c r="BZ48" t="e">
        <f>AND('BBP complete'!#REF!,"AAAAAHvnz00=")</f>
        <v>#REF!</v>
      </c>
      <c r="CA48" t="e">
        <f>AND('BBP complete'!#REF!,"AAAAAHvnz04=")</f>
        <v>#REF!</v>
      </c>
      <c r="CB48" t="e">
        <f>AND('BBP complete'!K261,"AAAAAHvnz08=")</f>
        <v>#VALUE!</v>
      </c>
      <c r="CC48" t="e">
        <f>AND('BBP complete'!L261,"AAAAAHvnz1A=")</f>
        <v>#VALUE!</v>
      </c>
      <c r="CD48" t="e">
        <f>AND('BBP complete'!M607,"AAAAAHvnz1E=")</f>
        <v>#VALUE!</v>
      </c>
      <c r="CE48" t="e">
        <f>AND('BBP complete'!N607,"AAAAAHvnz1I=")</f>
        <v>#VALUE!</v>
      </c>
      <c r="CF48" t="e">
        <f>AND('BBP complete'!P617,"AAAAAHvnz1M=")</f>
        <v>#VALUE!</v>
      </c>
      <c r="CG48" t="e">
        <f>AND('BBP complete'!J262,"AAAAAHvnz1Q=")</f>
        <v>#VALUE!</v>
      </c>
      <c r="CH48" t="e">
        <f>AND('BBP complete'!#REF!,"AAAAAHvnz1U=")</f>
        <v>#REF!</v>
      </c>
      <c r="CI48" t="e">
        <f>AND('BBP complete'!#REF!,"AAAAAHvnz1Y=")</f>
        <v>#REF!</v>
      </c>
      <c r="CJ48" t="e">
        <f>AND('BBP complete'!#REF!,"AAAAAHvnz1c=")</f>
        <v>#REF!</v>
      </c>
      <c r="CK48" t="e">
        <f>AND('BBP complete'!K262,"AAAAAHvnz1g=")</f>
        <v>#VALUE!</v>
      </c>
      <c r="CL48" t="e">
        <f>AND('BBP complete'!L262,"AAAAAHvnz1k=")</f>
        <v>#VALUE!</v>
      </c>
      <c r="CM48" t="e">
        <f>AND('BBP complete'!M608,"AAAAAHvnz1o=")</f>
        <v>#VALUE!</v>
      </c>
      <c r="CN48" t="e">
        <f>AND('BBP complete'!N608,"AAAAAHvnz1s=")</f>
        <v>#VALUE!</v>
      </c>
      <c r="CO48" t="e">
        <f>AND('BBP complete'!P618,"AAAAAHvnz1w=")</f>
        <v>#VALUE!</v>
      </c>
      <c r="CP48" t="e">
        <f>AND('BBP complete'!J263,"AAAAAHvnz10=")</f>
        <v>#VALUE!</v>
      </c>
      <c r="CQ48" t="e">
        <f>AND('BBP complete'!#REF!,"AAAAAHvnz14=")</f>
        <v>#REF!</v>
      </c>
      <c r="CR48" t="e">
        <f>AND('BBP complete'!#REF!,"AAAAAHvnz18=")</f>
        <v>#REF!</v>
      </c>
      <c r="CS48" t="e">
        <f>AND('BBP complete'!#REF!,"AAAAAHvnz2A=")</f>
        <v>#REF!</v>
      </c>
      <c r="CT48" t="e">
        <f>AND('BBP complete'!K263,"AAAAAHvnz2E=")</f>
        <v>#VALUE!</v>
      </c>
      <c r="CU48" t="e">
        <f>AND('BBP complete'!L263,"AAAAAHvnz2I=")</f>
        <v>#VALUE!</v>
      </c>
      <c r="CV48" t="e">
        <f>AND('BBP complete'!M609,"AAAAAHvnz2M=")</f>
        <v>#VALUE!</v>
      </c>
      <c r="CW48" t="e">
        <f>AND('BBP complete'!N609,"AAAAAHvnz2Q=")</f>
        <v>#VALUE!</v>
      </c>
      <c r="CX48" t="e">
        <f>AND('BBP complete'!P619,"AAAAAHvnz2U=")</f>
        <v>#VALUE!</v>
      </c>
      <c r="CY48" t="e">
        <f>AND('BBP complete'!J264,"AAAAAHvnz2Y=")</f>
        <v>#VALUE!</v>
      </c>
      <c r="CZ48" t="e">
        <f>AND('BBP complete'!#REF!,"AAAAAHvnz2c=")</f>
        <v>#REF!</v>
      </c>
      <c r="DA48" t="e">
        <f>AND('BBP complete'!#REF!,"AAAAAHvnz2g=")</f>
        <v>#REF!</v>
      </c>
      <c r="DB48" t="e">
        <f>AND('BBP complete'!#REF!,"AAAAAHvnz2k=")</f>
        <v>#REF!</v>
      </c>
      <c r="DC48" t="e">
        <f>AND('BBP complete'!K264,"AAAAAHvnz2o=")</f>
        <v>#VALUE!</v>
      </c>
      <c r="DD48" t="e">
        <f>AND('BBP complete'!L264,"AAAAAHvnz2s=")</f>
        <v>#VALUE!</v>
      </c>
      <c r="DE48" t="e">
        <f>AND('BBP complete'!M610,"AAAAAHvnz2w=")</f>
        <v>#VALUE!</v>
      </c>
      <c r="DF48" t="e">
        <f>AND('BBP complete'!N610,"AAAAAHvnz20=")</f>
        <v>#VALUE!</v>
      </c>
      <c r="DG48" t="e">
        <f>AND('BBP complete'!P620,"AAAAAHvnz24=")</f>
        <v>#VALUE!</v>
      </c>
      <c r="DH48" t="e">
        <f>AND('BBP complete'!J265,"AAAAAHvnz28=")</f>
        <v>#VALUE!</v>
      </c>
      <c r="DI48" t="e">
        <f>AND('BBP complete'!#REF!,"AAAAAHvnz3A=")</f>
        <v>#REF!</v>
      </c>
      <c r="DJ48" t="e">
        <f>AND('BBP complete'!#REF!,"AAAAAHvnz3E=")</f>
        <v>#REF!</v>
      </c>
      <c r="DK48" t="e">
        <f>AND('BBP complete'!#REF!,"AAAAAHvnz3I=")</f>
        <v>#REF!</v>
      </c>
      <c r="DL48" t="e">
        <f>AND('BBP complete'!K265,"AAAAAHvnz3M=")</f>
        <v>#VALUE!</v>
      </c>
      <c r="DM48" t="e">
        <f>AND('BBP complete'!L265,"AAAAAHvnz3Q=")</f>
        <v>#VALUE!</v>
      </c>
      <c r="DN48" t="e">
        <f>AND('BBP complete'!M611,"AAAAAHvnz3U=")</f>
        <v>#VALUE!</v>
      </c>
      <c r="DO48" t="e">
        <f>AND('BBP complete'!N611,"AAAAAHvnz3Y=")</f>
        <v>#VALUE!</v>
      </c>
      <c r="DP48" t="e">
        <f>AND('BBP complete'!P621,"AAAAAHvnz3c=")</f>
        <v>#VALUE!</v>
      </c>
      <c r="DQ48" t="e">
        <f>AND('BBP complete'!J266,"AAAAAHvnz3g=")</f>
        <v>#VALUE!</v>
      </c>
      <c r="DR48" t="e">
        <f>AND('BBP complete'!#REF!,"AAAAAHvnz3k=")</f>
        <v>#REF!</v>
      </c>
      <c r="DS48" t="e">
        <f>AND('BBP complete'!#REF!,"AAAAAHvnz3o=")</f>
        <v>#REF!</v>
      </c>
      <c r="DT48" t="e">
        <f>AND('BBP complete'!#REF!,"AAAAAHvnz3s=")</f>
        <v>#REF!</v>
      </c>
      <c r="DU48" t="e">
        <f>AND('BBP complete'!K266,"AAAAAHvnz3w=")</f>
        <v>#VALUE!</v>
      </c>
      <c r="DV48" t="e">
        <f>AND('BBP complete'!L266,"AAAAAHvnz30=")</f>
        <v>#VALUE!</v>
      </c>
      <c r="DW48" t="e">
        <f>AND('BBP complete'!M612,"AAAAAHvnz34=")</f>
        <v>#VALUE!</v>
      </c>
      <c r="DX48" t="e">
        <f>AND('BBP complete'!N612,"AAAAAHvnz38=")</f>
        <v>#VALUE!</v>
      </c>
      <c r="DY48" t="e">
        <f>AND('BBP complete'!P622,"AAAAAHvnz4A=")</f>
        <v>#VALUE!</v>
      </c>
      <c r="DZ48" t="e">
        <f>AND('BBP complete'!J267,"AAAAAHvnz4E=")</f>
        <v>#VALUE!</v>
      </c>
      <c r="EA48" t="e">
        <f>AND('BBP complete'!#REF!,"AAAAAHvnz4I=")</f>
        <v>#REF!</v>
      </c>
      <c r="EB48" t="e">
        <f>AND('BBP complete'!#REF!,"AAAAAHvnz4M=")</f>
        <v>#REF!</v>
      </c>
      <c r="EC48" t="e">
        <f>AND('BBP complete'!#REF!,"AAAAAHvnz4Q=")</f>
        <v>#REF!</v>
      </c>
      <c r="ED48" t="e">
        <f>AND('BBP complete'!K267,"AAAAAHvnz4U=")</f>
        <v>#VALUE!</v>
      </c>
      <c r="EE48" t="e">
        <f>AND('BBP complete'!L267,"AAAAAHvnz4Y=")</f>
        <v>#VALUE!</v>
      </c>
      <c r="EF48" t="e">
        <f>AND('BBP complete'!M613,"AAAAAHvnz4c=")</f>
        <v>#VALUE!</v>
      </c>
      <c r="EG48" t="e">
        <f>AND('BBP complete'!N613,"AAAAAHvnz4g=")</f>
        <v>#VALUE!</v>
      </c>
      <c r="EH48" t="e">
        <f>AND('BBP complete'!P623,"AAAAAHvnz4k=")</f>
        <v>#VALUE!</v>
      </c>
      <c r="EI48" t="e">
        <f>AND('BBP complete'!J268,"AAAAAHvnz4o=")</f>
        <v>#VALUE!</v>
      </c>
      <c r="EJ48" t="e">
        <f>AND('BBP complete'!#REF!,"AAAAAHvnz4s=")</f>
        <v>#REF!</v>
      </c>
      <c r="EK48" t="e">
        <f>AND('BBP complete'!#REF!,"AAAAAHvnz4w=")</f>
        <v>#REF!</v>
      </c>
      <c r="EL48" t="e">
        <f>AND('BBP complete'!#REF!,"AAAAAHvnz40=")</f>
        <v>#REF!</v>
      </c>
      <c r="EM48" t="e">
        <f>AND('BBP complete'!K268,"AAAAAHvnz44=")</f>
        <v>#VALUE!</v>
      </c>
      <c r="EN48" t="e">
        <f>AND('BBP complete'!L268,"AAAAAHvnz48=")</f>
        <v>#VALUE!</v>
      </c>
      <c r="EO48" t="e">
        <f>AND('BBP complete'!M614,"AAAAAHvnz5A=")</f>
        <v>#VALUE!</v>
      </c>
      <c r="EP48" t="e">
        <f>AND('BBP complete'!N614,"AAAAAHvnz5E=")</f>
        <v>#VALUE!</v>
      </c>
      <c r="EQ48" t="e">
        <f>AND('BBP complete'!P624,"AAAAAHvnz5I=")</f>
        <v>#VALUE!</v>
      </c>
      <c r="ER48" t="e">
        <f>AND('BBP complete'!J269,"AAAAAHvnz5M=")</f>
        <v>#VALUE!</v>
      </c>
      <c r="ES48" t="e">
        <f>AND('BBP complete'!#REF!,"AAAAAHvnz5Q=")</f>
        <v>#REF!</v>
      </c>
      <c r="ET48" t="e">
        <f>AND('BBP complete'!#REF!,"AAAAAHvnz5U=")</f>
        <v>#REF!</v>
      </c>
      <c r="EU48" t="e">
        <f>AND('BBP complete'!#REF!,"AAAAAHvnz5Y=")</f>
        <v>#REF!</v>
      </c>
      <c r="EV48" t="e">
        <f>AND('BBP complete'!K269,"AAAAAHvnz5c=")</f>
        <v>#VALUE!</v>
      </c>
      <c r="EW48" t="e">
        <f>AND('BBP complete'!L269,"AAAAAHvnz5g=")</f>
        <v>#VALUE!</v>
      </c>
      <c r="EX48" t="e">
        <f>AND('BBP complete'!M615,"AAAAAHvnz5k=")</f>
        <v>#VALUE!</v>
      </c>
      <c r="EY48" t="e">
        <f>AND('BBP complete'!N615,"AAAAAHvnz5o=")</f>
        <v>#VALUE!</v>
      </c>
      <c r="EZ48" t="e">
        <f>AND('BBP complete'!P625,"AAAAAHvnz5s=")</f>
        <v>#VALUE!</v>
      </c>
      <c r="FA48" t="e">
        <f>AND('BBP complete'!J270,"AAAAAHvnz5w=")</f>
        <v>#VALUE!</v>
      </c>
      <c r="FB48" t="e">
        <f>AND('BBP complete'!#REF!,"AAAAAHvnz50=")</f>
        <v>#REF!</v>
      </c>
      <c r="FC48" t="e">
        <f>AND('BBP complete'!#REF!,"AAAAAHvnz54=")</f>
        <v>#REF!</v>
      </c>
      <c r="FD48" t="e">
        <f>AND('BBP complete'!#REF!,"AAAAAHvnz58=")</f>
        <v>#REF!</v>
      </c>
      <c r="FE48" t="e">
        <f>AND('BBP complete'!K270,"AAAAAHvnz6A=")</f>
        <v>#VALUE!</v>
      </c>
      <c r="FF48" t="e">
        <f>AND('BBP complete'!L270,"AAAAAHvnz6E=")</f>
        <v>#VALUE!</v>
      </c>
      <c r="FG48" t="e">
        <f>AND('BBP complete'!M616,"AAAAAHvnz6I=")</f>
        <v>#VALUE!</v>
      </c>
      <c r="FH48" t="e">
        <f>AND('BBP complete'!N616,"AAAAAHvnz6M=")</f>
        <v>#VALUE!</v>
      </c>
      <c r="FI48" t="e">
        <f>AND('BBP complete'!P626,"AAAAAHvnz6Q=")</f>
        <v>#VALUE!</v>
      </c>
      <c r="FJ48" t="e">
        <f>AND('BBP complete'!J271,"AAAAAHvnz6U=")</f>
        <v>#VALUE!</v>
      </c>
      <c r="FK48" t="e">
        <f>AND('BBP complete'!#REF!,"AAAAAHvnz6Y=")</f>
        <v>#REF!</v>
      </c>
      <c r="FL48" t="e">
        <f>AND('BBP complete'!#REF!,"AAAAAHvnz6c=")</f>
        <v>#REF!</v>
      </c>
      <c r="FM48" t="e">
        <f>AND('BBP complete'!#REF!,"AAAAAHvnz6g=")</f>
        <v>#REF!</v>
      </c>
      <c r="FN48" t="e">
        <f>AND('BBP complete'!K271,"AAAAAHvnz6k=")</f>
        <v>#VALUE!</v>
      </c>
      <c r="FO48" t="e">
        <f>AND('BBP complete'!L271,"AAAAAHvnz6o=")</f>
        <v>#VALUE!</v>
      </c>
      <c r="FP48" t="e">
        <f>AND('BBP complete'!M617,"AAAAAHvnz6s=")</f>
        <v>#VALUE!</v>
      </c>
      <c r="FQ48" t="e">
        <f>AND('BBP complete'!N617,"AAAAAHvnz6w=")</f>
        <v>#VALUE!</v>
      </c>
      <c r="FR48" t="e">
        <f>AND('BBP complete'!P627,"AAAAAHvnz60=")</f>
        <v>#VALUE!</v>
      </c>
      <c r="FS48" t="e">
        <f>AND('BBP complete'!J272,"AAAAAHvnz64=")</f>
        <v>#VALUE!</v>
      </c>
      <c r="FT48" t="e">
        <f>AND('BBP complete'!#REF!,"AAAAAHvnz68=")</f>
        <v>#REF!</v>
      </c>
      <c r="FU48" t="e">
        <f>AND('BBP complete'!#REF!,"AAAAAHvnz7A=")</f>
        <v>#REF!</v>
      </c>
      <c r="FV48" t="e">
        <f>AND('BBP complete'!#REF!,"AAAAAHvnz7E=")</f>
        <v>#REF!</v>
      </c>
      <c r="FW48" t="e">
        <f>AND('BBP complete'!K272,"AAAAAHvnz7I=")</f>
        <v>#VALUE!</v>
      </c>
      <c r="FX48" t="e">
        <f>AND('BBP complete'!L272,"AAAAAHvnz7M=")</f>
        <v>#VALUE!</v>
      </c>
      <c r="FY48" t="e">
        <f>AND('BBP complete'!M618,"AAAAAHvnz7Q=")</f>
        <v>#VALUE!</v>
      </c>
      <c r="FZ48" t="e">
        <f>AND('BBP complete'!N618,"AAAAAHvnz7U=")</f>
        <v>#VALUE!</v>
      </c>
      <c r="GA48" t="e">
        <f>AND('BBP complete'!P628,"AAAAAHvnz7Y=")</f>
        <v>#VALUE!</v>
      </c>
      <c r="GB48" t="e">
        <f>AND('BBP complete'!J273,"AAAAAHvnz7c=")</f>
        <v>#VALUE!</v>
      </c>
      <c r="GC48" t="e">
        <f>AND('BBP complete'!#REF!,"AAAAAHvnz7g=")</f>
        <v>#REF!</v>
      </c>
      <c r="GD48" t="e">
        <f>AND('BBP complete'!#REF!,"AAAAAHvnz7k=")</f>
        <v>#REF!</v>
      </c>
      <c r="GE48" t="e">
        <f>AND('BBP complete'!#REF!,"AAAAAHvnz7o=")</f>
        <v>#REF!</v>
      </c>
      <c r="GF48" t="e">
        <f>AND('BBP complete'!K273,"AAAAAHvnz7s=")</f>
        <v>#VALUE!</v>
      </c>
      <c r="GG48" t="e">
        <f>AND('BBP complete'!L273,"AAAAAHvnz7w=")</f>
        <v>#VALUE!</v>
      </c>
      <c r="GH48" t="e">
        <f>AND('BBP complete'!M619,"AAAAAHvnz70=")</f>
        <v>#VALUE!</v>
      </c>
      <c r="GI48" t="e">
        <f>AND('BBP complete'!N619,"AAAAAHvnz74=")</f>
        <v>#VALUE!</v>
      </c>
      <c r="GJ48" t="e">
        <f>AND('BBP complete'!P629,"AAAAAHvnz78=")</f>
        <v>#VALUE!</v>
      </c>
      <c r="GK48" t="e">
        <f>AND('BBP complete'!J274,"AAAAAHvnz8A=")</f>
        <v>#VALUE!</v>
      </c>
      <c r="GL48" t="e">
        <f>AND('BBP complete'!#REF!,"AAAAAHvnz8E=")</f>
        <v>#REF!</v>
      </c>
      <c r="GM48" t="e">
        <f>AND('BBP complete'!#REF!,"AAAAAHvnz8I=")</f>
        <v>#REF!</v>
      </c>
      <c r="GN48" t="e">
        <f>AND('BBP complete'!#REF!,"AAAAAHvnz8M=")</f>
        <v>#REF!</v>
      </c>
      <c r="GO48" t="e">
        <f>AND('BBP complete'!K274,"AAAAAHvnz8Q=")</f>
        <v>#VALUE!</v>
      </c>
      <c r="GP48" t="e">
        <f>AND('BBP complete'!L274,"AAAAAHvnz8U=")</f>
        <v>#VALUE!</v>
      </c>
      <c r="GQ48" t="e">
        <f>AND('BBP complete'!M620,"AAAAAHvnz8Y=")</f>
        <v>#VALUE!</v>
      </c>
      <c r="GR48" t="e">
        <f>AND('BBP complete'!N620,"AAAAAHvnz8c=")</f>
        <v>#VALUE!</v>
      </c>
      <c r="GS48" t="e">
        <f>AND('BBP complete'!P630,"AAAAAHvnz8g=")</f>
        <v>#VALUE!</v>
      </c>
      <c r="GT48" t="e">
        <f>AND('BBP complete'!J275,"AAAAAHvnz8k=")</f>
        <v>#VALUE!</v>
      </c>
      <c r="GU48" t="e">
        <f>AND('BBP complete'!#REF!,"AAAAAHvnz8o=")</f>
        <v>#REF!</v>
      </c>
      <c r="GV48" t="e">
        <f>AND('BBP complete'!#REF!,"AAAAAHvnz8s=")</f>
        <v>#REF!</v>
      </c>
      <c r="GW48" t="e">
        <f>AND('BBP complete'!#REF!,"AAAAAHvnz8w=")</f>
        <v>#REF!</v>
      </c>
      <c r="GX48" t="e">
        <f>AND('BBP complete'!K275,"AAAAAHvnz80=")</f>
        <v>#VALUE!</v>
      </c>
      <c r="GY48" t="e">
        <f>AND('BBP complete'!L275,"AAAAAHvnz84=")</f>
        <v>#VALUE!</v>
      </c>
      <c r="GZ48" t="e">
        <f>AND('BBP complete'!M621,"AAAAAHvnz88=")</f>
        <v>#VALUE!</v>
      </c>
      <c r="HA48" t="e">
        <f>AND('BBP complete'!N621,"AAAAAHvnz9A=")</f>
        <v>#VALUE!</v>
      </c>
      <c r="HB48" t="e">
        <f>AND('BBP complete'!P631,"AAAAAHvnz9E=")</f>
        <v>#VALUE!</v>
      </c>
      <c r="HC48" t="e">
        <f>AND('BBP complete'!J276,"AAAAAHvnz9I=")</f>
        <v>#VALUE!</v>
      </c>
      <c r="HD48" t="e">
        <f>AND('BBP complete'!#REF!,"AAAAAHvnz9M=")</f>
        <v>#REF!</v>
      </c>
      <c r="HE48" t="e">
        <f>AND('BBP complete'!#REF!,"AAAAAHvnz9Q=")</f>
        <v>#REF!</v>
      </c>
      <c r="HF48" t="e">
        <f>AND('BBP complete'!#REF!,"AAAAAHvnz9U=")</f>
        <v>#REF!</v>
      </c>
      <c r="HG48" t="e">
        <f>AND('BBP complete'!K276,"AAAAAHvnz9Y=")</f>
        <v>#VALUE!</v>
      </c>
      <c r="HH48" t="e">
        <f>AND('BBP complete'!L276,"AAAAAHvnz9c=")</f>
        <v>#VALUE!</v>
      </c>
      <c r="HI48" t="e">
        <f>AND('BBP complete'!M622,"AAAAAHvnz9g=")</f>
        <v>#VALUE!</v>
      </c>
      <c r="HJ48" t="e">
        <f>AND('BBP complete'!N622,"AAAAAHvnz9k=")</f>
        <v>#VALUE!</v>
      </c>
      <c r="HK48" t="e">
        <f>AND('BBP complete'!P632,"AAAAAHvnz9o=")</f>
        <v>#VALUE!</v>
      </c>
      <c r="HL48" t="e">
        <f>AND('BBP complete'!J277,"AAAAAHvnz9s=")</f>
        <v>#VALUE!</v>
      </c>
      <c r="HM48" t="e">
        <f>AND('BBP complete'!#REF!,"AAAAAHvnz9w=")</f>
        <v>#REF!</v>
      </c>
      <c r="HN48" t="e">
        <f>AND('BBP complete'!#REF!,"AAAAAHvnz90=")</f>
        <v>#REF!</v>
      </c>
      <c r="HO48" t="e">
        <f>AND('BBP complete'!#REF!,"AAAAAHvnz94=")</f>
        <v>#REF!</v>
      </c>
      <c r="HP48" t="e">
        <f>AND('BBP complete'!K277,"AAAAAHvnz98=")</f>
        <v>#VALUE!</v>
      </c>
      <c r="HQ48" t="e">
        <f>AND('BBP complete'!L277,"AAAAAHvnz+A=")</f>
        <v>#VALUE!</v>
      </c>
      <c r="HR48" t="e">
        <f>AND('BBP complete'!M623,"AAAAAHvnz+E=")</f>
        <v>#VALUE!</v>
      </c>
      <c r="HS48" t="e">
        <f>AND('BBP complete'!N623,"AAAAAHvnz+I=")</f>
        <v>#VALUE!</v>
      </c>
      <c r="HT48" t="e">
        <f>AND('BBP complete'!P633,"AAAAAHvnz+M=")</f>
        <v>#VALUE!</v>
      </c>
      <c r="HU48" t="e">
        <f>AND('BBP complete'!J278,"AAAAAHvnz+Q=")</f>
        <v>#VALUE!</v>
      </c>
      <c r="HV48" t="e">
        <f>AND('BBP complete'!#REF!,"AAAAAHvnz+U=")</f>
        <v>#REF!</v>
      </c>
      <c r="HW48" t="e">
        <f>AND('BBP complete'!#REF!,"AAAAAHvnz+Y=")</f>
        <v>#REF!</v>
      </c>
      <c r="HX48" t="e">
        <f>AND('BBP complete'!#REF!,"AAAAAHvnz+c=")</f>
        <v>#REF!</v>
      </c>
      <c r="HY48" t="e">
        <f>AND('BBP complete'!K278,"AAAAAHvnz+g=")</f>
        <v>#VALUE!</v>
      </c>
      <c r="HZ48" t="e">
        <f>AND('BBP complete'!L278,"AAAAAHvnz+k=")</f>
        <v>#VALUE!</v>
      </c>
      <c r="IA48" t="e">
        <f>AND('BBP complete'!M624,"AAAAAHvnz+o=")</f>
        <v>#VALUE!</v>
      </c>
      <c r="IB48" t="e">
        <f>AND('BBP complete'!N624,"AAAAAHvnz+s=")</f>
        <v>#VALUE!</v>
      </c>
      <c r="IC48" t="e">
        <f>AND('BBP complete'!P634,"AAAAAHvnz+w=")</f>
        <v>#VALUE!</v>
      </c>
      <c r="ID48" t="e">
        <f>AND('BBP complete'!J279,"AAAAAHvnz+0=")</f>
        <v>#VALUE!</v>
      </c>
      <c r="IE48" t="e">
        <f>AND('BBP complete'!#REF!,"AAAAAHvnz+4=")</f>
        <v>#REF!</v>
      </c>
      <c r="IF48" t="e">
        <f>AND('BBP complete'!#REF!,"AAAAAHvnz+8=")</f>
        <v>#REF!</v>
      </c>
      <c r="IG48" t="e">
        <f>AND('BBP complete'!#REF!,"AAAAAHvnz/A=")</f>
        <v>#REF!</v>
      </c>
      <c r="IH48" t="e">
        <f>AND('BBP complete'!K279,"AAAAAHvnz/E=")</f>
        <v>#VALUE!</v>
      </c>
      <c r="II48" t="e">
        <f>AND('BBP complete'!L279,"AAAAAHvnz/I=")</f>
        <v>#VALUE!</v>
      </c>
      <c r="IJ48" t="e">
        <f>AND('BBP complete'!M625,"AAAAAHvnz/M=")</f>
        <v>#VALUE!</v>
      </c>
      <c r="IK48" t="e">
        <f>AND('BBP complete'!N625,"AAAAAHvnz/Q=")</f>
        <v>#VALUE!</v>
      </c>
      <c r="IL48" t="e">
        <f>AND('BBP complete'!P635,"AAAAAHvnz/U=")</f>
        <v>#VALUE!</v>
      </c>
      <c r="IM48" t="e">
        <f>AND('BBP complete'!J280,"AAAAAHvnz/Y=")</f>
        <v>#VALUE!</v>
      </c>
      <c r="IN48" t="e">
        <f>AND('BBP complete'!#REF!,"AAAAAHvnz/c=")</f>
        <v>#REF!</v>
      </c>
      <c r="IO48" t="e">
        <f>AND('BBP complete'!#REF!,"AAAAAHvnz/g=")</f>
        <v>#REF!</v>
      </c>
      <c r="IP48" t="e">
        <f>AND('BBP complete'!#REF!,"AAAAAHvnz/k=")</f>
        <v>#REF!</v>
      </c>
      <c r="IQ48" t="e">
        <f>AND('BBP complete'!K280,"AAAAAHvnz/o=")</f>
        <v>#VALUE!</v>
      </c>
      <c r="IR48" t="e">
        <f>AND('BBP complete'!L280,"AAAAAHvnz/s=")</f>
        <v>#VALUE!</v>
      </c>
      <c r="IS48" t="e">
        <f>AND('BBP complete'!M626,"AAAAAHvnz/w=")</f>
        <v>#VALUE!</v>
      </c>
      <c r="IT48" t="e">
        <f>AND('BBP complete'!N626,"AAAAAHvnz/0=")</f>
        <v>#VALUE!</v>
      </c>
      <c r="IU48" t="e">
        <f>AND('BBP complete'!P636,"AAAAAHvnz/4=")</f>
        <v>#VALUE!</v>
      </c>
      <c r="IV48" t="e">
        <f>AND('BBP complete'!J281,"AAAAAHvnz/8=")</f>
        <v>#VALUE!</v>
      </c>
    </row>
    <row r="49" spans="1:256" ht="15" customHeight="1" x14ac:dyDescent="0.25">
      <c r="A49" t="e">
        <f>AND('BBP complete'!#REF!,"AAAAAHPu4QA=")</f>
        <v>#REF!</v>
      </c>
      <c r="B49" t="e">
        <f>AND('BBP complete'!#REF!,"AAAAAHPu4QE=")</f>
        <v>#REF!</v>
      </c>
      <c r="C49" t="e">
        <f>AND('BBP complete'!#REF!,"AAAAAHPu4QI=")</f>
        <v>#REF!</v>
      </c>
      <c r="D49" t="e">
        <f>AND('BBP complete'!K281,"AAAAAHPu4QM=")</f>
        <v>#VALUE!</v>
      </c>
      <c r="E49" t="e">
        <f>AND('BBP complete'!L281,"AAAAAHPu4QQ=")</f>
        <v>#VALUE!</v>
      </c>
      <c r="F49" t="e">
        <f>AND('BBP complete'!M627,"AAAAAHPu4QU=")</f>
        <v>#VALUE!</v>
      </c>
      <c r="G49" t="e">
        <f>AND('BBP complete'!N627,"AAAAAHPu4QY=")</f>
        <v>#VALUE!</v>
      </c>
      <c r="H49" t="e">
        <f>AND('BBP complete'!P637,"AAAAAHPu4Qc=")</f>
        <v>#VALUE!</v>
      </c>
      <c r="I49" t="e">
        <f>AND('BBP complete'!J282,"AAAAAHPu4Qg=")</f>
        <v>#VALUE!</v>
      </c>
      <c r="J49" t="e">
        <f>AND('BBP complete'!#REF!,"AAAAAHPu4Qk=")</f>
        <v>#REF!</v>
      </c>
      <c r="K49" t="e">
        <f>AND('BBP complete'!#REF!,"AAAAAHPu4Qo=")</f>
        <v>#REF!</v>
      </c>
      <c r="L49" t="e">
        <f>AND('BBP complete'!#REF!,"AAAAAHPu4Qs=")</f>
        <v>#REF!</v>
      </c>
      <c r="M49" t="e">
        <f>AND('BBP complete'!K282,"AAAAAHPu4Qw=")</f>
        <v>#VALUE!</v>
      </c>
      <c r="N49" t="e">
        <f>AND('BBP complete'!L282,"AAAAAHPu4Q0=")</f>
        <v>#VALUE!</v>
      </c>
      <c r="O49" t="e">
        <f>AND('BBP complete'!M628,"AAAAAHPu4Q4=")</f>
        <v>#VALUE!</v>
      </c>
      <c r="P49" t="e">
        <f>AND('BBP complete'!N628,"AAAAAHPu4Q8=")</f>
        <v>#VALUE!</v>
      </c>
      <c r="Q49" t="e">
        <f>AND('BBP complete'!P638,"AAAAAHPu4RA=")</f>
        <v>#VALUE!</v>
      </c>
      <c r="R49" t="e">
        <f>AND('BBP complete'!J283,"AAAAAHPu4RE=")</f>
        <v>#VALUE!</v>
      </c>
      <c r="S49" t="e">
        <f>AND('BBP complete'!#REF!,"AAAAAHPu4RI=")</f>
        <v>#REF!</v>
      </c>
      <c r="T49" t="e">
        <f>AND('BBP complete'!#REF!,"AAAAAHPu4RM=")</f>
        <v>#REF!</v>
      </c>
      <c r="U49" t="e">
        <f>AND('BBP complete'!#REF!,"AAAAAHPu4RQ=")</f>
        <v>#REF!</v>
      </c>
      <c r="V49" t="e">
        <f>AND('BBP complete'!K283,"AAAAAHPu4RU=")</f>
        <v>#VALUE!</v>
      </c>
      <c r="W49" t="e">
        <f>AND('BBP complete'!L283,"AAAAAHPu4RY=")</f>
        <v>#VALUE!</v>
      </c>
      <c r="X49" t="e">
        <f>AND('BBP complete'!M629,"AAAAAHPu4Rc=")</f>
        <v>#VALUE!</v>
      </c>
      <c r="Y49" t="e">
        <f>AND('BBP complete'!N629,"AAAAAHPu4Rg=")</f>
        <v>#VALUE!</v>
      </c>
      <c r="Z49" t="e">
        <f>AND('BBP complete'!P639,"AAAAAHPu4Rk=")</f>
        <v>#VALUE!</v>
      </c>
      <c r="AA49" t="e">
        <f>AND('BBP complete'!J284,"AAAAAHPu4Ro=")</f>
        <v>#VALUE!</v>
      </c>
      <c r="AB49" t="e">
        <f>AND('BBP complete'!#REF!,"AAAAAHPu4Rs=")</f>
        <v>#REF!</v>
      </c>
      <c r="AC49" t="e">
        <f>AND('BBP complete'!#REF!,"AAAAAHPu4Rw=")</f>
        <v>#REF!</v>
      </c>
      <c r="AD49" t="e">
        <f>AND('BBP complete'!#REF!,"AAAAAHPu4R0=")</f>
        <v>#REF!</v>
      </c>
      <c r="AE49" t="e">
        <f>AND('BBP complete'!K284,"AAAAAHPu4R4=")</f>
        <v>#VALUE!</v>
      </c>
      <c r="AF49" t="e">
        <f>AND('BBP complete'!L284,"AAAAAHPu4R8=")</f>
        <v>#VALUE!</v>
      </c>
      <c r="AG49" t="e">
        <f>AND('BBP complete'!M630,"AAAAAHPu4SA=")</f>
        <v>#VALUE!</v>
      </c>
      <c r="AH49" t="e">
        <f>AND('BBP complete'!N630,"AAAAAHPu4SE=")</f>
        <v>#VALUE!</v>
      </c>
      <c r="AI49" t="e">
        <f>AND('BBP complete'!P640,"AAAAAHPu4SI=")</f>
        <v>#VALUE!</v>
      </c>
      <c r="AJ49" t="e">
        <f>AND('BBP complete'!J285,"AAAAAHPu4SM=")</f>
        <v>#VALUE!</v>
      </c>
      <c r="AK49" t="e">
        <f>AND('BBP complete'!#REF!,"AAAAAHPu4SQ=")</f>
        <v>#REF!</v>
      </c>
      <c r="AL49" t="e">
        <f>AND('BBP complete'!#REF!,"AAAAAHPu4SU=")</f>
        <v>#REF!</v>
      </c>
      <c r="AM49" t="e">
        <f>AND('BBP complete'!#REF!,"AAAAAHPu4SY=")</f>
        <v>#REF!</v>
      </c>
      <c r="AN49" t="e">
        <f>AND('BBP complete'!K285,"AAAAAHPu4Sc=")</f>
        <v>#VALUE!</v>
      </c>
      <c r="AO49" t="e">
        <f>AND('BBP complete'!L285,"AAAAAHPu4Sg=")</f>
        <v>#VALUE!</v>
      </c>
      <c r="AP49" t="e">
        <f>AND('BBP complete'!M631,"AAAAAHPu4Sk=")</f>
        <v>#VALUE!</v>
      </c>
      <c r="AQ49" t="e">
        <f>AND('BBP complete'!N631,"AAAAAHPu4So=")</f>
        <v>#VALUE!</v>
      </c>
      <c r="AR49" t="e">
        <f>AND('BBP complete'!P641,"AAAAAHPu4Ss=")</f>
        <v>#VALUE!</v>
      </c>
      <c r="AS49" t="e">
        <f>AND('BBP complete'!J286,"AAAAAHPu4Sw=")</f>
        <v>#VALUE!</v>
      </c>
      <c r="AT49" t="e">
        <f>AND('BBP complete'!#REF!,"AAAAAHPu4S0=")</f>
        <v>#REF!</v>
      </c>
      <c r="AU49" t="e">
        <f>AND('BBP complete'!#REF!,"AAAAAHPu4S4=")</f>
        <v>#REF!</v>
      </c>
      <c r="AV49" t="e">
        <f>AND('BBP complete'!#REF!,"AAAAAHPu4S8=")</f>
        <v>#REF!</v>
      </c>
      <c r="AW49" t="e">
        <f>AND('BBP complete'!K286,"AAAAAHPu4TA=")</f>
        <v>#VALUE!</v>
      </c>
      <c r="AX49" t="e">
        <f>AND('BBP complete'!L286,"AAAAAHPu4TE=")</f>
        <v>#VALUE!</v>
      </c>
      <c r="AY49" t="e">
        <f>AND('BBP complete'!M632,"AAAAAHPu4TI=")</f>
        <v>#VALUE!</v>
      </c>
      <c r="AZ49" t="e">
        <f>AND('BBP complete'!N632,"AAAAAHPu4TM=")</f>
        <v>#VALUE!</v>
      </c>
      <c r="BA49" t="e">
        <f>AND('BBP complete'!P642,"AAAAAHPu4TQ=")</f>
        <v>#VALUE!</v>
      </c>
      <c r="BB49" t="e">
        <f>AND('BBP complete'!J287,"AAAAAHPu4TU=")</f>
        <v>#VALUE!</v>
      </c>
      <c r="BC49" t="e">
        <f>AND('BBP complete'!#REF!,"AAAAAHPu4TY=")</f>
        <v>#REF!</v>
      </c>
      <c r="BD49" t="e">
        <f>AND('BBP complete'!#REF!,"AAAAAHPu4Tc=")</f>
        <v>#REF!</v>
      </c>
      <c r="BE49" t="e">
        <f>AND('BBP complete'!#REF!,"AAAAAHPu4Tg=")</f>
        <v>#REF!</v>
      </c>
      <c r="BF49" t="e">
        <f>AND('BBP complete'!K287,"AAAAAHPu4Tk=")</f>
        <v>#VALUE!</v>
      </c>
      <c r="BG49" t="e">
        <f>AND('BBP complete'!L287,"AAAAAHPu4To=")</f>
        <v>#VALUE!</v>
      </c>
      <c r="BH49" t="e">
        <f>AND('BBP complete'!M633,"AAAAAHPu4Ts=")</f>
        <v>#VALUE!</v>
      </c>
      <c r="BI49" t="e">
        <f>AND('BBP complete'!N633,"AAAAAHPu4Tw=")</f>
        <v>#VALUE!</v>
      </c>
      <c r="BJ49" t="e">
        <f>AND('BBP complete'!P643,"AAAAAHPu4T0=")</f>
        <v>#VALUE!</v>
      </c>
      <c r="BK49" t="e">
        <f>AND('BBP complete'!J288,"AAAAAHPu4T4=")</f>
        <v>#VALUE!</v>
      </c>
      <c r="BL49" t="e">
        <f>AND('BBP complete'!#REF!,"AAAAAHPu4T8=")</f>
        <v>#REF!</v>
      </c>
      <c r="BM49" t="e">
        <f>AND('BBP complete'!#REF!,"AAAAAHPu4UA=")</f>
        <v>#REF!</v>
      </c>
      <c r="BN49" t="e">
        <f>AND('BBP complete'!#REF!,"AAAAAHPu4UE=")</f>
        <v>#REF!</v>
      </c>
      <c r="BO49" t="e">
        <f>AND('BBP complete'!K288,"AAAAAHPu4UI=")</f>
        <v>#VALUE!</v>
      </c>
      <c r="BP49" t="e">
        <f>AND('BBP complete'!L288,"AAAAAHPu4UM=")</f>
        <v>#VALUE!</v>
      </c>
      <c r="BQ49" t="e">
        <f>AND('BBP complete'!M634,"AAAAAHPu4UQ=")</f>
        <v>#VALUE!</v>
      </c>
      <c r="BR49" t="e">
        <f>AND('BBP complete'!N634,"AAAAAHPu4UU=")</f>
        <v>#VALUE!</v>
      </c>
      <c r="BS49" t="e">
        <f>AND('BBP complete'!P644,"AAAAAHPu4UY=")</f>
        <v>#VALUE!</v>
      </c>
      <c r="BT49" t="e">
        <f>AND('BBP complete'!J289,"AAAAAHPu4Uc=")</f>
        <v>#VALUE!</v>
      </c>
      <c r="BU49" t="e">
        <f>AND('BBP complete'!#REF!,"AAAAAHPu4Ug=")</f>
        <v>#REF!</v>
      </c>
      <c r="BV49" t="e">
        <f>AND('BBP complete'!#REF!,"AAAAAHPu4Uk=")</f>
        <v>#REF!</v>
      </c>
      <c r="BW49" t="e">
        <f>AND('BBP complete'!#REF!,"AAAAAHPu4Uo=")</f>
        <v>#REF!</v>
      </c>
      <c r="BX49" t="e">
        <f>AND('BBP complete'!K289,"AAAAAHPu4Us=")</f>
        <v>#VALUE!</v>
      </c>
      <c r="BY49" t="e">
        <f>AND('BBP complete'!L289,"AAAAAHPu4Uw=")</f>
        <v>#VALUE!</v>
      </c>
      <c r="BZ49" t="e">
        <f>AND('BBP complete'!M635,"AAAAAHPu4U0=")</f>
        <v>#VALUE!</v>
      </c>
      <c r="CA49" t="e">
        <f>AND('BBP complete'!N635,"AAAAAHPu4U4=")</f>
        <v>#VALUE!</v>
      </c>
      <c r="CB49" t="e">
        <f>AND('BBP complete'!P645,"AAAAAHPu4U8=")</f>
        <v>#VALUE!</v>
      </c>
      <c r="CC49" t="e">
        <f>AND('BBP complete'!J290,"AAAAAHPu4VA=")</f>
        <v>#VALUE!</v>
      </c>
      <c r="CD49" t="e">
        <f>AND('BBP complete'!#REF!,"AAAAAHPu4VE=")</f>
        <v>#REF!</v>
      </c>
      <c r="CE49" t="e">
        <f>AND('BBP complete'!#REF!,"AAAAAHPu4VI=")</f>
        <v>#REF!</v>
      </c>
      <c r="CF49" t="e">
        <f>AND('BBP complete'!#REF!,"AAAAAHPu4VM=")</f>
        <v>#REF!</v>
      </c>
      <c r="CG49" t="e">
        <f>AND('BBP complete'!K290,"AAAAAHPu4VQ=")</f>
        <v>#VALUE!</v>
      </c>
      <c r="CH49" t="e">
        <f>AND('BBP complete'!L290,"AAAAAHPu4VU=")</f>
        <v>#VALUE!</v>
      </c>
      <c r="CI49" t="e">
        <f>AND('BBP complete'!M636,"AAAAAHPu4VY=")</f>
        <v>#VALUE!</v>
      </c>
      <c r="CJ49" t="e">
        <f>AND('BBP complete'!N636,"AAAAAHPu4Vc=")</f>
        <v>#VALUE!</v>
      </c>
      <c r="CK49" t="e">
        <f>AND('BBP complete'!P646,"AAAAAHPu4Vg=")</f>
        <v>#VALUE!</v>
      </c>
      <c r="CL49" t="e">
        <f>AND('BBP complete'!J291,"AAAAAHPu4Vk=")</f>
        <v>#VALUE!</v>
      </c>
      <c r="CM49" t="e">
        <f>AND('BBP complete'!#REF!,"AAAAAHPu4Vo=")</f>
        <v>#REF!</v>
      </c>
      <c r="CN49" t="e">
        <f>AND('BBP complete'!#REF!,"AAAAAHPu4Vs=")</f>
        <v>#REF!</v>
      </c>
      <c r="CO49" t="e">
        <f>AND('BBP complete'!#REF!,"AAAAAHPu4Vw=")</f>
        <v>#REF!</v>
      </c>
      <c r="CP49" t="e">
        <f>AND('BBP complete'!K291,"AAAAAHPu4V0=")</f>
        <v>#VALUE!</v>
      </c>
      <c r="CQ49" t="e">
        <f>AND('BBP complete'!L291,"AAAAAHPu4V4=")</f>
        <v>#VALUE!</v>
      </c>
      <c r="CR49" t="e">
        <f>AND('BBP complete'!M637,"AAAAAHPu4V8=")</f>
        <v>#VALUE!</v>
      </c>
      <c r="CS49" t="e">
        <f>AND('BBP complete'!N637,"AAAAAHPu4WA=")</f>
        <v>#VALUE!</v>
      </c>
      <c r="CT49" t="e">
        <f>AND('BBP complete'!P647,"AAAAAHPu4WE=")</f>
        <v>#VALUE!</v>
      </c>
      <c r="CU49" t="e">
        <f>AND('BBP complete'!J292,"AAAAAHPu4WI=")</f>
        <v>#VALUE!</v>
      </c>
      <c r="CV49" t="e">
        <f>AND('BBP complete'!#REF!,"AAAAAHPu4WM=")</f>
        <v>#REF!</v>
      </c>
      <c r="CW49" t="e">
        <f>AND('BBP complete'!#REF!,"AAAAAHPu4WQ=")</f>
        <v>#REF!</v>
      </c>
      <c r="CX49" t="e">
        <f>AND('BBP complete'!#REF!,"AAAAAHPu4WU=")</f>
        <v>#REF!</v>
      </c>
      <c r="CY49" t="e">
        <f>AND('BBP complete'!K292,"AAAAAHPu4WY=")</f>
        <v>#VALUE!</v>
      </c>
      <c r="CZ49" t="e">
        <f>AND('BBP complete'!L292,"AAAAAHPu4Wc=")</f>
        <v>#VALUE!</v>
      </c>
      <c r="DA49" t="e">
        <f>AND('BBP complete'!M638,"AAAAAHPu4Wg=")</f>
        <v>#VALUE!</v>
      </c>
      <c r="DB49" t="e">
        <f>AND('BBP complete'!N638,"AAAAAHPu4Wk=")</f>
        <v>#VALUE!</v>
      </c>
      <c r="DC49" t="e">
        <f>AND('BBP complete'!P648,"AAAAAHPu4Wo=")</f>
        <v>#VALUE!</v>
      </c>
      <c r="DD49" t="e">
        <f>AND('BBP complete'!J293,"AAAAAHPu4Ws=")</f>
        <v>#VALUE!</v>
      </c>
      <c r="DE49" t="e">
        <f>AND('BBP complete'!#REF!,"AAAAAHPu4Ww=")</f>
        <v>#REF!</v>
      </c>
      <c r="DF49" t="e">
        <f>AND('BBP complete'!#REF!,"AAAAAHPu4W0=")</f>
        <v>#REF!</v>
      </c>
      <c r="DG49" t="e">
        <f>AND('BBP complete'!#REF!,"AAAAAHPu4W4=")</f>
        <v>#REF!</v>
      </c>
      <c r="DH49" t="e">
        <f>AND('BBP complete'!K293,"AAAAAHPu4W8=")</f>
        <v>#VALUE!</v>
      </c>
      <c r="DI49" t="e">
        <f>AND('BBP complete'!L293,"AAAAAHPu4XA=")</f>
        <v>#VALUE!</v>
      </c>
      <c r="DJ49" t="e">
        <f>AND('BBP complete'!M639,"AAAAAHPu4XE=")</f>
        <v>#VALUE!</v>
      </c>
      <c r="DK49" t="e">
        <f>AND('BBP complete'!N639,"AAAAAHPu4XI=")</f>
        <v>#VALUE!</v>
      </c>
      <c r="DL49" t="e">
        <f>AND('BBP complete'!P649,"AAAAAHPu4XM=")</f>
        <v>#VALUE!</v>
      </c>
      <c r="DM49" t="e">
        <f>AND('BBP complete'!J294,"AAAAAHPu4XQ=")</f>
        <v>#VALUE!</v>
      </c>
      <c r="DN49" t="e">
        <f>AND('BBP complete'!#REF!,"AAAAAHPu4XU=")</f>
        <v>#REF!</v>
      </c>
      <c r="DO49" t="e">
        <f>AND('BBP complete'!#REF!,"AAAAAHPu4XY=")</f>
        <v>#REF!</v>
      </c>
      <c r="DP49" t="e">
        <f>AND('BBP complete'!#REF!,"AAAAAHPu4Xc=")</f>
        <v>#REF!</v>
      </c>
      <c r="DQ49" t="e">
        <f>AND('BBP complete'!K294,"AAAAAHPu4Xg=")</f>
        <v>#VALUE!</v>
      </c>
      <c r="DR49" t="e">
        <f>AND('BBP complete'!L294,"AAAAAHPu4Xk=")</f>
        <v>#VALUE!</v>
      </c>
      <c r="DS49" t="e">
        <f>AND('BBP complete'!M640,"AAAAAHPu4Xo=")</f>
        <v>#VALUE!</v>
      </c>
      <c r="DT49" t="e">
        <f>AND('BBP complete'!N640,"AAAAAHPu4Xs=")</f>
        <v>#VALUE!</v>
      </c>
      <c r="DU49" t="e">
        <f>AND('BBP complete'!P650,"AAAAAHPu4Xw=")</f>
        <v>#VALUE!</v>
      </c>
      <c r="DV49" t="e">
        <f>AND('BBP complete'!J295,"AAAAAHPu4X0=")</f>
        <v>#VALUE!</v>
      </c>
      <c r="DW49" t="e">
        <f>AND('BBP complete'!#REF!,"AAAAAHPu4X4=")</f>
        <v>#REF!</v>
      </c>
      <c r="DX49" t="e">
        <f>AND('BBP complete'!#REF!,"AAAAAHPu4X8=")</f>
        <v>#REF!</v>
      </c>
      <c r="DY49" t="e">
        <f>AND('BBP complete'!#REF!,"AAAAAHPu4YA=")</f>
        <v>#REF!</v>
      </c>
      <c r="DZ49" t="e">
        <f>AND('BBP complete'!K295,"AAAAAHPu4YE=")</f>
        <v>#VALUE!</v>
      </c>
      <c r="EA49" t="e">
        <f>AND('BBP complete'!M641,"AAAAAHPu4YI=")</f>
        <v>#VALUE!</v>
      </c>
      <c r="EB49" t="e">
        <f>AND('BBP complete'!N641,"AAAAAHPu4YM=")</f>
        <v>#VALUE!</v>
      </c>
      <c r="EC49" t="e">
        <f>AND('BBP complete'!#REF!,"AAAAAHPu4YQ=")</f>
        <v>#REF!</v>
      </c>
      <c r="ED49" t="e">
        <f>AND('BBP complete'!P651,"AAAAAHPu4YU=")</f>
        <v>#VALUE!</v>
      </c>
      <c r="EE49" t="e">
        <f>AND('BBP complete'!J296,"AAAAAHPu4YY=")</f>
        <v>#VALUE!</v>
      </c>
      <c r="EF49" t="e">
        <f>AND('BBP complete'!#REF!,"AAAAAHPu4Yc=")</f>
        <v>#REF!</v>
      </c>
      <c r="EG49" t="e">
        <f>AND('BBP complete'!#REF!,"AAAAAHPu4Yg=")</f>
        <v>#REF!</v>
      </c>
      <c r="EH49" t="e">
        <f>AND('BBP complete'!#REF!,"AAAAAHPu4Yk=")</f>
        <v>#REF!</v>
      </c>
      <c r="EI49" t="e">
        <f>AND('BBP complete'!K296,"AAAAAHPu4Yo=")</f>
        <v>#VALUE!</v>
      </c>
      <c r="EJ49" t="e">
        <f>AND('BBP complete'!L296,"AAAAAHPu4Ys=")</f>
        <v>#VALUE!</v>
      </c>
      <c r="EK49" t="e">
        <f>AND('BBP complete'!M642,"AAAAAHPu4Yw=")</f>
        <v>#VALUE!</v>
      </c>
      <c r="EL49" t="e">
        <f>AND('BBP complete'!N642,"AAAAAHPu4Y0=")</f>
        <v>#VALUE!</v>
      </c>
      <c r="EM49" t="e">
        <f>AND('BBP complete'!P652,"AAAAAHPu4Y4=")</f>
        <v>#VALUE!</v>
      </c>
      <c r="EN49" t="e">
        <f>AND('BBP complete'!J297,"AAAAAHPu4Y8=")</f>
        <v>#VALUE!</v>
      </c>
      <c r="EO49" t="e">
        <f>AND('BBP complete'!#REF!,"AAAAAHPu4ZA=")</f>
        <v>#REF!</v>
      </c>
      <c r="EP49" t="e">
        <f>AND('BBP complete'!#REF!,"AAAAAHPu4ZE=")</f>
        <v>#REF!</v>
      </c>
      <c r="EQ49" t="e">
        <f>AND('BBP complete'!#REF!,"AAAAAHPu4ZI=")</f>
        <v>#REF!</v>
      </c>
      <c r="ER49" t="e">
        <f>AND('BBP complete'!K297,"AAAAAHPu4ZM=")</f>
        <v>#VALUE!</v>
      </c>
      <c r="ES49" t="e">
        <f>AND('BBP complete'!L297,"AAAAAHPu4ZQ=")</f>
        <v>#VALUE!</v>
      </c>
      <c r="ET49" t="e">
        <f>AND('BBP complete'!M643,"AAAAAHPu4ZU=")</f>
        <v>#VALUE!</v>
      </c>
      <c r="EU49" t="e">
        <f>AND('BBP complete'!N643,"AAAAAHPu4ZY=")</f>
        <v>#VALUE!</v>
      </c>
      <c r="EV49" t="e">
        <f>AND('BBP complete'!P653,"AAAAAHPu4Zc=")</f>
        <v>#VALUE!</v>
      </c>
      <c r="EW49" t="e">
        <f>AND('BBP complete'!J298,"AAAAAHPu4Zg=")</f>
        <v>#VALUE!</v>
      </c>
      <c r="EX49" t="e">
        <f>AND('BBP complete'!#REF!,"AAAAAHPu4Zk=")</f>
        <v>#REF!</v>
      </c>
      <c r="EY49" t="e">
        <f>AND('BBP complete'!#REF!,"AAAAAHPu4Zo=")</f>
        <v>#REF!</v>
      </c>
      <c r="EZ49" t="e">
        <f>AND('BBP complete'!#REF!,"AAAAAHPu4Zs=")</f>
        <v>#REF!</v>
      </c>
      <c r="FA49" t="e">
        <f>AND('BBP complete'!K298,"AAAAAHPu4Zw=")</f>
        <v>#VALUE!</v>
      </c>
      <c r="FB49" t="e">
        <f>AND('BBP complete'!L298,"AAAAAHPu4Z0=")</f>
        <v>#VALUE!</v>
      </c>
      <c r="FC49" t="e">
        <f>AND('BBP complete'!M644,"AAAAAHPu4Z4=")</f>
        <v>#VALUE!</v>
      </c>
      <c r="FD49" t="e">
        <f>AND('BBP complete'!N644,"AAAAAHPu4Z8=")</f>
        <v>#VALUE!</v>
      </c>
      <c r="FE49" t="e">
        <f>AND('BBP complete'!P654,"AAAAAHPu4aA=")</f>
        <v>#VALUE!</v>
      </c>
      <c r="FF49" t="e">
        <f>AND('BBP complete'!J299,"AAAAAHPu4aE=")</f>
        <v>#VALUE!</v>
      </c>
      <c r="FG49" t="e">
        <f>AND('BBP complete'!#REF!,"AAAAAHPu4aI=")</f>
        <v>#REF!</v>
      </c>
      <c r="FH49" t="e">
        <f>AND('BBP complete'!#REF!,"AAAAAHPu4aM=")</f>
        <v>#REF!</v>
      </c>
      <c r="FI49" t="e">
        <f>AND('BBP complete'!#REF!,"AAAAAHPu4aQ=")</f>
        <v>#REF!</v>
      </c>
      <c r="FJ49" t="e">
        <f>AND('BBP complete'!K299,"AAAAAHPu4aU=")</f>
        <v>#VALUE!</v>
      </c>
      <c r="FK49" t="e">
        <f>AND('BBP complete'!L299,"AAAAAHPu4aY=")</f>
        <v>#VALUE!</v>
      </c>
      <c r="FL49" t="e">
        <f>AND('BBP complete'!M645,"AAAAAHPu4ac=")</f>
        <v>#VALUE!</v>
      </c>
      <c r="FM49" t="e">
        <f>AND('BBP complete'!N645,"AAAAAHPu4ag=")</f>
        <v>#VALUE!</v>
      </c>
      <c r="FN49" t="e">
        <f>AND('BBP complete'!P655,"AAAAAHPu4ak=")</f>
        <v>#VALUE!</v>
      </c>
      <c r="FO49" t="e">
        <f>AND('BBP complete'!J300,"AAAAAHPu4ao=")</f>
        <v>#VALUE!</v>
      </c>
      <c r="FP49" t="e">
        <f>AND('BBP complete'!#REF!,"AAAAAHPu4as=")</f>
        <v>#REF!</v>
      </c>
      <c r="FQ49" t="e">
        <f>AND('BBP complete'!#REF!,"AAAAAHPu4aw=")</f>
        <v>#REF!</v>
      </c>
      <c r="FR49" t="e">
        <f>AND('BBP complete'!#REF!,"AAAAAHPu4a0=")</f>
        <v>#REF!</v>
      </c>
      <c r="FS49" t="e">
        <f>AND('BBP complete'!K300,"AAAAAHPu4a4=")</f>
        <v>#VALUE!</v>
      </c>
      <c r="FT49" t="e">
        <f>AND('BBP complete'!L300,"AAAAAHPu4a8=")</f>
        <v>#VALUE!</v>
      </c>
      <c r="FU49" t="e">
        <f>AND('BBP complete'!M646,"AAAAAHPu4bA=")</f>
        <v>#VALUE!</v>
      </c>
      <c r="FV49" t="e">
        <f>AND('BBP complete'!N646,"AAAAAHPu4bE=")</f>
        <v>#VALUE!</v>
      </c>
      <c r="FW49" t="e">
        <f>AND('BBP complete'!P656,"AAAAAHPu4bI=")</f>
        <v>#VALUE!</v>
      </c>
      <c r="FX49" t="e">
        <f>AND('BBP complete'!J301,"AAAAAHPu4bM=")</f>
        <v>#VALUE!</v>
      </c>
      <c r="FY49" t="e">
        <f>AND('BBP complete'!#REF!,"AAAAAHPu4bQ=")</f>
        <v>#REF!</v>
      </c>
      <c r="FZ49" t="e">
        <f>AND('BBP complete'!#REF!,"AAAAAHPu4bU=")</f>
        <v>#REF!</v>
      </c>
      <c r="GA49" t="e">
        <f>AND('BBP complete'!#REF!,"AAAAAHPu4bY=")</f>
        <v>#REF!</v>
      </c>
      <c r="GB49" t="e">
        <f>AND('BBP complete'!K301,"AAAAAHPu4bc=")</f>
        <v>#VALUE!</v>
      </c>
      <c r="GC49" t="e">
        <f>AND('BBP complete'!L301,"AAAAAHPu4bg=")</f>
        <v>#VALUE!</v>
      </c>
      <c r="GD49" t="e">
        <f>AND('BBP complete'!M647,"AAAAAHPu4bk=")</f>
        <v>#VALUE!</v>
      </c>
      <c r="GE49" t="e">
        <f>AND('BBP complete'!N647,"AAAAAHPu4bo=")</f>
        <v>#VALUE!</v>
      </c>
      <c r="GF49" t="e">
        <f>AND('BBP complete'!P657,"AAAAAHPu4bs=")</f>
        <v>#VALUE!</v>
      </c>
      <c r="GG49" t="e">
        <f>AND('BBP complete'!J302,"AAAAAHPu4bw=")</f>
        <v>#VALUE!</v>
      </c>
      <c r="GH49" t="e">
        <f>AND('BBP complete'!#REF!,"AAAAAHPu4b0=")</f>
        <v>#REF!</v>
      </c>
      <c r="GI49" t="e">
        <f>AND('BBP complete'!#REF!,"AAAAAHPu4b4=")</f>
        <v>#REF!</v>
      </c>
      <c r="GJ49" t="e">
        <f>AND('BBP complete'!#REF!,"AAAAAHPu4b8=")</f>
        <v>#REF!</v>
      </c>
      <c r="GK49" t="e">
        <f>AND('BBP complete'!K302,"AAAAAHPu4cA=")</f>
        <v>#VALUE!</v>
      </c>
      <c r="GL49" t="e">
        <f>AND('BBP complete'!L302,"AAAAAHPu4cE=")</f>
        <v>#VALUE!</v>
      </c>
      <c r="GM49" t="e">
        <f>AND('BBP complete'!M649,"AAAAAHPu4cI=")</f>
        <v>#VALUE!</v>
      </c>
      <c r="GN49" t="e">
        <f>AND('BBP complete'!N648,"AAAAAHPu4cM=")</f>
        <v>#VALUE!</v>
      </c>
      <c r="GO49" t="e">
        <f>AND('BBP complete'!P658,"AAAAAHPu4cQ=")</f>
        <v>#VALUE!</v>
      </c>
      <c r="GP49" t="e">
        <f>AND('BBP complete'!J303,"AAAAAHPu4cU=")</f>
        <v>#VALUE!</v>
      </c>
      <c r="GQ49" t="e">
        <f>AND('BBP complete'!#REF!,"AAAAAHPu4cY=")</f>
        <v>#REF!</v>
      </c>
      <c r="GR49" t="e">
        <f>AND('BBP complete'!#REF!,"AAAAAHPu4cc=")</f>
        <v>#REF!</v>
      </c>
      <c r="GS49" t="e">
        <f>AND('BBP complete'!#REF!,"AAAAAHPu4cg=")</f>
        <v>#REF!</v>
      </c>
      <c r="GT49" t="e">
        <f>AND('BBP complete'!K303,"AAAAAHPu4ck=")</f>
        <v>#VALUE!</v>
      </c>
      <c r="GU49" t="e">
        <f>AND('BBP complete'!L303,"AAAAAHPu4co=")</f>
        <v>#VALUE!</v>
      </c>
      <c r="GV49" t="e">
        <f>AND('BBP complete'!#REF!,"AAAAAHPu4cs=")</f>
        <v>#REF!</v>
      </c>
      <c r="GW49" t="e">
        <f>AND('BBP complete'!N649,"AAAAAHPu4cw=")</f>
        <v>#VALUE!</v>
      </c>
      <c r="GX49" t="e">
        <f>AND('BBP complete'!P659,"AAAAAHPu4c0=")</f>
        <v>#VALUE!</v>
      </c>
      <c r="GY49" t="e">
        <f>AND('BBP complete'!J304,"AAAAAHPu4c4=")</f>
        <v>#VALUE!</v>
      </c>
      <c r="GZ49" t="e">
        <f>AND('BBP complete'!#REF!,"AAAAAHPu4c8=")</f>
        <v>#REF!</v>
      </c>
      <c r="HA49" t="e">
        <f>AND('BBP complete'!#REF!,"AAAAAHPu4dA=")</f>
        <v>#REF!</v>
      </c>
      <c r="HB49" t="e">
        <f>AND('BBP complete'!#REF!,"AAAAAHPu4dE=")</f>
        <v>#REF!</v>
      </c>
      <c r="HC49" t="e">
        <f>AND('BBP complete'!K304,"AAAAAHPu4dI=")</f>
        <v>#VALUE!</v>
      </c>
      <c r="HD49" t="e">
        <f>AND('BBP complete'!L304,"AAAAAHPu4dM=")</f>
        <v>#VALUE!</v>
      </c>
      <c r="HE49" t="e">
        <f>AND('BBP complete'!M650,"AAAAAHPu4dQ=")</f>
        <v>#VALUE!</v>
      </c>
      <c r="HF49" t="e">
        <f>AND('BBP complete'!N650,"AAAAAHPu4dU=")</f>
        <v>#VALUE!</v>
      </c>
      <c r="HG49" t="e">
        <f>AND('BBP complete'!P660,"AAAAAHPu4dY=")</f>
        <v>#VALUE!</v>
      </c>
      <c r="HH49" t="e">
        <f>AND('BBP complete'!J305,"AAAAAHPu4dc=")</f>
        <v>#VALUE!</v>
      </c>
      <c r="HI49" t="e">
        <f>AND('BBP complete'!#REF!,"AAAAAHPu4dg=")</f>
        <v>#REF!</v>
      </c>
      <c r="HJ49" t="e">
        <f>AND('BBP complete'!#REF!,"AAAAAHPu4dk=")</f>
        <v>#REF!</v>
      </c>
      <c r="HK49" t="e">
        <f>AND('BBP complete'!#REF!,"AAAAAHPu4do=")</f>
        <v>#REF!</v>
      </c>
      <c r="HL49" t="e">
        <f>AND('BBP complete'!K305,"AAAAAHPu4ds=")</f>
        <v>#VALUE!</v>
      </c>
      <c r="HM49" t="e">
        <f>AND('BBP complete'!L305,"AAAAAHPu4dw=")</f>
        <v>#VALUE!</v>
      </c>
      <c r="HN49" t="e">
        <f>AND('BBP complete'!M651,"AAAAAHPu4d0=")</f>
        <v>#VALUE!</v>
      </c>
      <c r="HO49" t="e">
        <f>AND('BBP complete'!N651,"AAAAAHPu4d4=")</f>
        <v>#VALUE!</v>
      </c>
      <c r="HP49" t="e">
        <f>AND('BBP complete'!P661,"AAAAAHPu4d8=")</f>
        <v>#VALUE!</v>
      </c>
      <c r="HQ49" t="e">
        <f>AND('BBP complete'!J306,"AAAAAHPu4eA=")</f>
        <v>#VALUE!</v>
      </c>
      <c r="HR49" t="e">
        <f>AND('BBP complete'!#REF!,"AAAAAHPu4eE=")</f>
        <v>#REF!</v>
      </c>
      <c r="HS49" t="e">
        <f>AND('BBP complete'!#REF!,"AAAAAHPu4eI=")</f>
        <v>#REF!</v>
      </c>
      <c r="HT49" t="e">
        <f>AND('BBP complete'!#REF!,"AAAAAHPu4eM=")</f>
        <v>#REF!</v>
      </c>
      <c r="HU49" t="e">
        <f>AND('BBP complete'!K306,"AAAAAHPu4eQ=")</f>
        <v>#VALUE!</v>
      </c>
      <c r="HV49" t="e">
        <f>AND('BBP complete'!M652,"AAAAAHPu4eU=")</f>
        <v>#VALUE!</v>
      </c>
      <c r="HW49" t="e">
        <f>AND('BBP complete'!N652,"AAAAAHPu4eY=")</f>
        <v>#VALUE!</v>
      </c>
      <c r="HX49" t="e">
        <f>AND('BBP complete'!#REF!,"AAAAAHPu4ec=")</f>
        <v>#REF!</v>
      </c>
      <c r="HY49" t="e">
        <f>AND('BBP complete'!P662,"AAAAAHPu4eg=")</f>
        <v>#VALUE!</v>
      </c>
      <c r="HZ49" t="e">
        <f>AND('BBP complete'!J307,"AAAAAHPu4ek=")</f>
        <v>#VALUE!</v>
      </c>
      <c r="IA49" t="e">
        <f>AND('BBP complete'!#REF!,"AAAAAHPu4eo=")</f>
        <v>#REF!</v>
      </c>
      <c r="IB49" t="e">
        <f>AND('BBP complete'!#REF!,"AAAAAHPu4es=")</f>
        <v>#REF!</v>
      </c>
      <c r="IC49" t="e">
        <f>AND('BBP complete'!#REF!,"AAAAAHPu4ew=")</f>
        <v>#REF!</v>
      </c>
      <c r="ID49" t="e">
        <f>AND('BBP complete'!K307,"AAAAAHPu4e0=")</f>
        <v>#VALUE!</v>
      </c>
      <c r="IE49" t="e">
        <f>AND('BBP complete'!L307,"AAAAAHPu4e4=")</f>
        <v>#VALUE!</v>
      </c>
      <c r="IF49" t="e">
        <f>AND('BBP complete'!M653,"AAAAAHPu4e8=")</f>
        <v>#VALUE!</v>
      </c>
      <c r="IG49" t="e">
        <f>AND('BBP complete'!N653,"AAAAAHPu4fA=")</f>
        <v>#VALUE!</v>
      </c>
      <c r="IH49" t="e">
        <f>AND('BBP complete'!P665,"AAAAAHPu4fE=")</f>
        <v>#VALUE!</v>
      </c>
      <c r="II49" t="e">
        <f>AND('BBP complete'!J308,"AAAAAHPu4fI=")</f>
        <v>#VALUE!</v>
      </c>
      <c r="IJ49" t="e">
        <f>AND('BBP complete'!#REF!,"AAAAAHPu4fM=")</f>
        <v>#REF!</v>
      </c>
      <c r="IK49" t="e">
        <f>AND('BBP complete'!#REF!,"AAAAAHPu4fQ=")</f>
        <v>#REF!</v>
      </c>
      <c r="IL49" t="e">
        <f>AND('BBP complete'!#REF!,"AAAAAHPu4fU=")</f>
        <v>#REF!</v>
      </c>
      <c r="IM49" t="e">
        <f>AND('BBP complete'!K308,"AAAAAHPu4fY=")</f>
        <v>#VALUE!</v>
      </c>
      <c r="IN49" t="e">
        <f>AND('BBP complete'!L308,"AAAAAHPu4fc=")</f>
        <v>#VALUE!</v>
      </c>
      <c r="IO49" t="e">
        <f>AND('BBP complete'!M654,"AAAAAHPu4fg=")</f>
        <v>#VALUE!</v>
      </c>
      <c r="IP49" t="e">
        <f>AND('BBP complete'!N654,"AAAAAHPu4fk=")</f>
        <v>#VALUE!</v>
      </c>
      <c r="IQ49" t="e">
        <f>AND('BBP complete'!P666,"AAAAAHPu4fo=")</f>
        <v>#VALUE!</v>
      </c>
      <c r="IR49" t="e">
        <f>AND('BBP complete'!J309,"AAAAAHPu4fs=")</f>
        <v>#VALUE!</v>
      </c>
      <c r="IS49" t="e">
        <f>AND('BBP complete'!#REF!,"AAAAAHPu4fw=")</f>
        <v>#REF!</v>
      </c>
      <c r="IT49" t="e">
        <f>AND('BBP complete'!#REF!,"AAAAAHPu4f0=")</f>
        <v>#REF!</v>
      </c>
      <c r="IU49" t="e">
        <f>AND('BBP complete'!#REF!,"AAAAAHPu4f4=")</f>
        <v>#REF!</v>
      </c>
      <c r="IV49" t="e">
        <f>AND('BBP complete'!K309,"AAAAAHPu4f8=")</f>
        <v>#VALUE!</v>
      </c>
    </row>
    <row r="50" spans="1:256" ht="15" customHeight="1" x14ac:dyDescent="0.25">
      <c r="A50" t="e">
        <f>AND('BBP complete'!M659,"AAAAAF3f+wA=")</f>
        <v>#VALUE!</v>
      </c>
      <c r="B50" t="e">
        <f>AND('BBP complete'!N659,"AAAAAF3f+wE=")</f>
        <v>#VALUE!</v>
      </c>
      <c r="C50" t="e">
        <f>AND('BBP complete'!#REF!,"AAAAAF3f+wI=")</f>
        <v>#REF!</v>
      </c>
      <c r="D50" t="e">
        <f>AND('BBP complete'!P667,"AAAAAF3f+wM=")</f>
        <v>#VALUE!</v>
      </c>
      <c r="E50" t="e">
        <f>AND('BBP complete'!J310,"AAAAAF3f+wQ=")</f>
        <v>#VALUE!</v>
      </c>
      <c r="F50" t="e">
        <f>AND('BBP complete'!#REF!,"AAAAAF3f+wU=")</f>
        <v>#REF!</v>
      </c>
      <c r="G50" t="e">
        <f>AND('BBP complete'!#REF!,"AAAAAF3f+wY=")</f>
        <v>#REF!</v>
      </c>
      <c r="H50" t="e">
        <f>AND('BBP complete'!#REF!,"AAAAAF3f+wc=")</f>
        <v>#REF!</v>
      </c>
      <c r="I50" t="e">
        <f>AND('BBP complete'!K310,"AAAAAF3f+wg=")</f>
        <v>#VALUE!</v>
      </c>
      <c r="J50" t="e">
        <f>AND('BBP complete'!L310,"AAAAAF3f+wk=")</f>
        <v>#VALUE!</v>
      </c>
      <c r="K50" t="e">
        <f>AND('BBP complete'!#REF!,"AAAAAF3f+wo=")</f>
        <v>#REF!</v>
      </c>
      <c r="L50" t="e">
        <f>AND('BBP complete'!#REF!,"AAAAAF3f+ws=")</f>
        <v>#REF!</v>
      </c>
      <c r="M50" t="e">
        <f>AND('BBP complete'!M660,"AAAAAF3f+ww=")</f>
        <v>#VALUE!</v>
      </c>
      <c r="N50" t="e">
        <f>AND('BBP complete'!J311,"AAAAAF3f+w0=")</f>
        <v>#VALUE!</v>
      </c>
      <c r="O50" t="e">
        <f>AND('BBP complete'!#REF!,"AAAAAF3f+w4=")</f>
        <v>#REF!</v>
      </c>
      <c r="P50" t="e">
        <f>AND('BBP complete'!#REF!,"AAAAAF3f+w8=")</f>
        <v>#REF!</v>
      </c>
      <c r="Q50" t="e">
        <f>AND('BBP complete'!#REF!,"AAAAAF3f+xA=")</f>
        <v>#REF!</v>
      </c>
      <c r="R50" t="e">
        <f>AND('BBP complete'!K311,"AAAAAF3f+xE=")</f>
        <v>#VALUE!</v>
      </c>
      <c r="S50" t="e">
        <f>AND('BBP complete'!L311,"AAAAAF3f+xI=")</f>
        <v>#VALUE!</v>
      </c>
      <c r="T50" t="e">
        <f>AND('BBP complete'!M657,"AAAAAF3f+xM=")</f>
        <v>#VALUE!</v>
      </c>
      <c r="U50" t="e">
        <f>AND('BBP complete'!N657,"AAAAAF3f+xQ=")</f>
        <v>#VALUE!</v>
      </c>
      <c r="V50" t="e">
        <f>AND('BBP complete'!P669,"AAAAAF3f+xU=")</f>
        <v>#VALUE!</v>
      </c>
      <c r="W50" t="e">
        <f>AND('BBP complete'!J312,"AAAAAF3f+xY=")</f>
        <v>#VALUE!</v>
      </c>
      <c r="X50" t="e">
        <f>AND('BBP complete'!#REF!,"AAAAAF3f+xc=")</f>
        <v>#REF!</v>
      </c>
      <c r="Y50" t="e">
        <f>AND('BBP complete'!#REF!,"AAAAAF3f+xg=")</f>
        <v>#REF!</v>
      </c>
      <c r="Z50" t="e">
        <f>AND('BBP complete'!#REF!,"AAAAAF3f+xk=")</f>
        <v>#REF!</v>
      </c>
      <c r="AA50" t="e">
        <f>AND('BBP complete'!K312,"AAAAAF3f+xo=")</f>
        <v>#VALUE!</v>
      </c>
      <c r="AB50" t="e">
        <f>AND('BBP complete'!L312,"AAAAAF3f+xs=")</f>
        <v>#VALUE!</v>
      </c>
      <c r="AC50" t="e">
        <f>AND('BBP complete'!M658,"AAAAAF3f+xw=")</f>
        <v>#VALUE!</v>
      </c>
      <c r="AD50" t="e">
        <f>AND('BBP complete'!N658,"AAAAAF3f+x0=")</f>
        <v>#VALUE!</v>
      </c>
      <c r="AE50" t="e">
        <f>AND('BBP complete'!P670,"AAAAAF3f+x4=")</f>
        <v>#VALUE!</v>
      </c>
      <c r="AF50" t="e">
        <f>AND('BBP complete'!J313,"AAAAAF3f+x8=")</f>
        <v>#VALUE!</v>
      </c>
      <c r="AG50" t="e">
        <f>AND('BBP complete'!#REF!,"AAAAAF3f+yA=")</f>
        <v>#REF!</v>
      </c>
      <c r="AH50" t="e">
        <f>AND('BBP complete'!#REF!,"AAAAAF3f+yE=")</f>
        <v>#REF!</v>
      </c>
      <c r="AI50" t="e">
        <f>AND('BBP complete'!#REF!,"AAAAAF3f+yI=")</f>
        <v>#REF!</v>
      </c>
      <c r="AJ50" t="e">
        <f>AND('BBP complete'!K313,"AAAAAF3f+yM=")</f>
        <v>#VALUE!</v>
      </c>
      <c r="AK50" t="e">
        <f>AND('BBP complete'!L313,"AAAAAF3f+yQ=")</f>
        <v>#VALUE!</v>
      </c>
      <c r="AL50" t="e">
        <f>AND('BBP complete'!#REF!,"AAAAAF3f+yU=")</f>
        <v>#REF!</v>
      </c>
      <c r="AM50" t="e">
        <f>AND('BBP complete'!#REF!,"AAAAAF3f+yY=")</f>
        <v>#REF!</v>
      </c>
      <c r="AN50" t="e">
        <f>AND('BBP complete'!P671,"AAAAAF3f+yc=")</f>
        <v>#VALUE!</v>
      </c>
      <c r="AO50" t="e">
        <f>AND('BBP complete'!J314,"AAAAAF3f+yg=")</f>
        <v>#VALUE!</v>
      </c>
      <c r="AP50" t="e">
        <f>AND('BBP complete'!#REF!,"AAAAAF3f+yk=")</f>
        <v>#REF!</v>
      </c>
      <c r="AQ50" t="e">
        <f>AND('BBP complete'!#REF!,"AAAAAF3f+yo=")</f>
        <v>#REF!</v>
      </c>
      <c r="AR50" t="e">
        <f>AND('BBP complete'!#REF!,"AAAAAF3f+ys=")</f>
        <v>#REF!</v>
      </c>
      <c r="AS50" t="e">
        <f>AND('BBP complete'!K314,"AAAAAF3f+yw=")</f>
        <v>#VALUE!</v>
      </c>
      <c r="AT50" t="e">
        <f>AND('BBP complete'!L314,"AAAAAF3f+y0=")</f>
        <v>#VALUE!</v>
      </c>
      <c r="AU50" t="e">
        <f>AND('BBP complete'!#REF!,"AAAAAF3f+y4=")</f>
        <v>#REF!</v>
      </c>
      <c r="AV50" t="e">
        <f>AND('BBP complete'!#REF!,"AAAAAF3f+y8=")</f>
        <v>#REF!</v>
      </c>
      <c r="AW50" t="e">
        <f>AND('BBP complete'!P672,"AAAAAF3f+zA=")</f>
        <v>#VALUE!</v>
      </c>
      <c r="AX50" t="e">
        <f>AND('BBP complete'!J315,"AAAAAF3f+zE=")</f>
        <v>#VALUE!</v>
      </c>
      <c r="AY50" t="e">
        <f>AND('BBP complete'!#REF!,"AAAAAF3f+zI=")</f>
        <v>#REF!</v>
      </c>
      <c r="AZ50" t="e">
        <f>AND('BBP complete'!#REF!,"AAAAAF3f+zM=")</f>
        <v>#REF!</v>
      </c>
      <c r="BA50" t="e">
        <f>AND('BBP complete'!#REF!,"AAAAAF3f+zQ=")</f>
        <v>#REF!</v>
      </c>
      <c r="BB50" t="e">
        <f>AND('BBP complete'!K315,"AAAAAF3f+zU=")</f>
        <v>#VALUE!</v>
      </c>
      <c r="BC50" t="e">
        <f>AND('BBP complete'!L315,"AAAAAF3f+zY=")</f>
        <v>#VALUE!</v>
      </c>
      <c r="BD50" t="e">
        <f>AND('BBP complete'!M661,"AAAAAF3f+zc=")</f>
        <v>#VALUE!</v>
      </c>
      <c r="BE50" t="e">
        <f>AND('BBP complete'!N661,"AAAAAF3f+zg=")</f>
        <v>#VALUE!</v>
      </c>
      <c r="BF50" t="e">
        <f>AND('BBP complete'!P673,"AAAAAF3f+zk=")</f>
        <v>#VALUE!</v>
      </c>
      <c r="BG50" t="e">
        <f>AND('BBP complete'!J316,"AAAAAF3f+zo=")</f>
        <v>#VALUE!</v>
      </c>
      <c r="BH50" t="e">
        <f>AND('BBP complete'!#REF!,"AAAAAF3f+zs=")</f>
        <v>#REF!</v>
      </c>
      <c r="BI50" t="e">
        <f>AND('BBP complete'!#REF!,"AAAAAF3f+zw=")</f>
        <v>#REF!</v>
      </c>
      <c r="BJ50" t="e">
        <f>AND('BBP complete'!#REF!,"AAAAAF3f+z0=")</f>
        <v>#REF!</v>
      </c>
      <c r="BK50" t="e">
        <f>AND('BBP complete'!K316,"AAAAAF3f+z4=")</f>
        <v>#VALUE!</v>
      </c>
      <c r="BL50" t="e">
        <f>AND('BBP complete'!M665,"AAAAAF3f+z8=")</f>
        <v>#VALUE!</v>
      </c>
      <c r="BM50" t="e">
        <f>AND('BBP complete'!N665,"AAAAAF3f+0A=")</f>
        <v>#VALUE!</v>
      </c>
      <c r="BN50" t="e">
        <f>AND('BBP complete'!#REF!,"AAAAAF3f+0E=")</f>
        <v>#REF!</v>
      </c>
      <c r="BO50" t="e">
        <f>AND('BBP complete'!P674,"AAAAAF3f+0I=")</f>
        <v>#VALUE!</v>
      </c>
      <c r="BP50" t="e">
        <f>AND('BBP complete'!J317,"AAAAAF3f+0M=")</f>
        <v>#VALUE!</v>
      </c>
      <c r="BQ50" t="e">
        <f>AND('BBP complete'!#REF!,"AAAAAF3f+0Q=")</f>
        <v>#REF!</v>
      </c>
      <c r="BR50" t="e">
        <f>AND('BBP complete'!#REF!,"AAAAAF3f+0U=")</f>
        <v>#REF!</v>
      </c>
      <c r="BS50" t="e">
        <f>AND('BBP complete'!#REF!,"AAAAAF3f+0Y=")</f>
        <v>#REF!</v>
      </c>
      <c r="BT50" t="e">
        <f>AND('BBP complete'!K317,"AAAAAF3f+0c=")</f>
        <v>#VALUE!</v>
      </c>
      <c r="BU50" t="e">
        <f>AND('BBP complete'!L317,"AAAAAF3f+0g=")</f>
        <v>#VALUE!</v>
      </c>
      <c r="BV50" t="e">
        <f>AND('BBP complete'!M666,"AAAAAF3f+0k=")</f>
        <v>#VALUE!</v>
      </c>
      <c r="BW50" t="e">
        <f>AND('BBP complete'!N666,"AAAAAF3f+0o=")</f>
        <v>#VALUE!</v>
      </c>
      <c r="BX50" t="e">
        <f>AND('BBP complete'!#REF!,"AAAAAF3f+0s=")</f>
        <v>#REF!</v>
      </c>
      <c r="BY50" s="60" t="e">
        <v>#VALUE!</v>
      </c>
      <c r="BZ50" t="e">
        <f>AND('BBP complete'!A664,"AAAAAF3f+00=")</f>
        <v>#VALUE!</v>
      </c>
      <c r="CA50" t="e">
        <f>AND('BBP complete'!B664,"AAAAAF3f+04=")</f>
        <v>#VALUE!</v>
      </c>
      <c r="CB50" t="e">
        <f>AND('BBP complete'!C664,"AAAAAF3f+08=")</f>
        <v>#VALUE!</v>
      </c>
      <c r="CC50" t="e">
        <f>AND('BBP complete'!D664,"AAAAAF3f+1A=")</f>
        <v>#VALUE!</v>
      </c>
      <c r="CD50" t="e">
        <f>AND('BBP complete'!E664,"AAAAAF3f+1E=")</f>
        <v>#VALUE!</v>
      </c>
      <c r="CE50" t="e">
        <f>AND('BBP complete'!F664,"AAAAAF3f+1I=")</f>
        <v>#VALUE!</v>
      </c>
      <c r="CF50" t="e">
        <f>AND('BBP complete'!G664,"AAAAAF3f+1M=")</f>
        <v>#VALUE!</v>
      </c>
      <c r="CG50" t="e">
        <f>AND('BBP complete'!H664,"AAAAAF3f+1Q=")</f>
        <v>#VALUE!</v>
      </c>
      <c r="CH50" t="e">
        <f>AND('BBP complete'!I664,"AAAAAF3f+1U=")</f>
        <v>#VALUE!</v>
      </c>
      <c r="CI50" t="e">
        <f>AND('BBP complete'!J664,"AAAAAF3f+1Y=")</f>
        <v>#VALUE!</v>
      </c>
      <c r="CJ50" t="e">
        <f>AND('BBP complete'!#REF!,"AAAAAF3f+1c=")</f>
        <v>#REF!</v>
      </c>
      <c r="CK50" t="e">
        <f>AND('BBP complete'!#REF!,"AAAAAF3f+1g=")</f>
        <v>#REF!</v>
      </c>
      <c r="CL50" t="e">
        <f>AND('BBP complete'!#REF!,"AAAAAF3f+1k=")</f>
        <v>#REF!</v>
      </c>
      <c r="CM50" t="e">
        <f>AND('BBP complete'!K664,"AAAAAF3f+1o=")</f>
        <v>#VALUE!</v>
      </c>
      <c r="CN50" t="e">
        <f>AND('BBP complete'!L663,"AAAAAF3f+1s=")</f>
        <v>#VALUE!</v>
      </c>
      <c r="CO50" t="e">
        <f>AND('BBP complete'!M663,"AAAAAF3f+1w=")</f>
        <v>#VALUE!</v>
      </c>
      <c r="CP50" t="e">
        <f>AND('BBP complete'!N663,"AAAAAF3f+10=")</f>
        <v>#VALUE!</v>
      </c>
      <c r="CQ50" t="e">
        <f>AND('BBP complete'!P675,"AAAAAF3f+14=")</f>
        <v>#VALUE!</v>
      </c>
      <c r="CR50" s="60" t="e">
        <v>#VALUE!</v>
      </c>
      <c r="CS50" t="e">
        <f>AND('BBP complete'!A665,"AAAAAF3f+2A=")</f>
        <v>#VALUE!</v>
      </c>
      <c r="CT50" t="e">
        <f>AND('BBP complete'!B665,"AAAAAF3f+2E=")</f>
        <v>#VALUE!</v>
      </c>
      <c r="CU50" t="e">
        <f>AND('BBP complete'!C665,"AAAAAF3f+2I=")</f>
        <v>#VALUE!</v>
      </c>
      <c r="CV50" t="e">
        <f>AND('BBP complete'!#REF!,"AAAAAF3f+2M=")</f>
        <v>#REF!</v>
      </c>
      <c r="CW50" t="e">
        <f>AND('BBP complete'!#REF!,"AAAAAF3f+2Q=")</f>
        <v>#REF!</v>
      </c>
      <c r="CX50" t="e">
        <f>AND('BBP complete'!#REF!,"AAAAAF3f+2U=")</f>
        <v>#REF!</v>
      </c>
      <c r="CY50" t="e">
        <f>AND('BBP complete'!E665,"AAAAAF3f+2Y=")</f>
        <v>#VALUE!</v>
      </c>
      <c r="CZ50" t="e">
        <f>AND('BBP complete'!#REF!,"AAAAAF3f+2c=")</f>
        <v>#REF!</v>
      </c>
      <c r="DA50" t="e">
        <f>AND('BBP complete'!K665,"AAAAAF3f+2g=")</f>
        <v>#VALUE!</v>
      </c>
      <c r="DB50" t="e">
        <f>AND('BBP complete'!L664,"AAAAAF3f+2k=")</f>
        <v>#VALUE!</v>
      </c>
      <c r="DC50" t="e">
        <f>AND('BBP complete'!#REF!,"AAAAAF3f+2o=")</f>
        <v>#REF!</v>
      </c>
      <c r="DD50" t="e">
        <f>AND('BBP complete'!#REF!,"AAAAAF3f+2s=")</f>
        <v>#REF!</v>
      </c>
      <c r="DE50" t="e">
        <f>AND('BBP complete'!#REF!,"AAAAAF3f+2w=")</f>
        <v>#REF!</v>
      </c>
      <c r="DF50" t="e">
        <f>AND('BBP complete'!D665,"AAAAAF3f+20=")</f>
        <v>#VALUE!</v>
      </c>
      <c r="DG50" t="e">
        <f>AND('BBP complete'!F665,"AAAAAF3f+24=")</f>
        <v>#VALUE!</v>
      </c>
      <c r="DH50" t="e">
        <f>AND('BBP complete'!G665,"AAAAAF3f+28=")</f>
        <v>#VALUE!</v>
      </c>
      <c r="DI50" t="e">
        <f>AND('BBP complete'!H665,"AAAAAF3f+3A=")</f>
        <v>#VALUE!</v>
      </c>
      <c r="DJ50" t="e">
        <f>AND('BBP complete'!I665,"AAAAAF3f+3E=")</f>
        <v>#VALUE!</v>
      </c>
      <c r="DK50" s="60" t="e">
        <v>#VALUE!</v>
      </c>
      <c r="DL50" t="e">
        <f>AND('BBP complete'!A666,"AAAAAF3f+3M=")</f>
        <v>#VALUE!</v>
      </c>
      <c r="DM50" t="e">
        <f>AND('BBP complete'!B666,"AAAAAF3f+3Q=")</f>
        <v>#VALUE!</v>
      </c>
      <c r="DN50" t="e">
        <f>AND('BBP complete'!C666,"AAAAAF3f+3U=")</f>
        <v>#VALUE!</v>
      </c>
      <c r="DO50" t="e">
        <f>AND('BBP complete'!#REF!,"AAAAAF3f+3Y=")</f>
        <v>#REF!</v>
      </c>
      <c r="DP50" t="e">
        <f>AND('BBP complete'!#REF!,"AAAAAF3f+3c=")</f>
        <v>#REF!</v>
      </c>
      <c r="DQ50" t="e">
        <f>AND('BBP complete'!#REF!,"AAAAAF3f+3g=")</f>
        <v>#REF!</v>
      </c>
      <c r="DR50" t="e">
        <f>AND('BBP complete'!E666,"AAAAAF3f+3k=")</f>
        <v>#VALUE!</v>
      </c>
      <c r="DS50" t="e">
        <f>AND('BBP complete'!#REF!,"AAAAAF3f+3o=")</f>
        <v>#REF!</v>
      </c>
      <c r="DT50" t="e">
        <f>AND('BBP complete'!K666,"AAAAAF3f+3s=")</f>
        <v>#VALUE!</v>
      </c>
      <c r="DU50" t="e">
        <f>AND('BBP complete'!L665,"AAAAAF3f+3w=")</f>
        <v>#VALUE!</v>
      </c>
      <c r="DV50" t="e">
        <f>AND('BBP complete'!#REF!,"AAAAAF3f+30=")</f>
        <v>#REF!</v>
      </c>
      <c r="DW50" t="e">
        <f>AND('BBP complete'!#REF!,"AAAAAF3f+34=")</f>
        <v>#REF!</v>
      </c>
      <c r="DX50" t="e">
        <f>AND('BBP complete'!#REF!,"AAAAAF3f+38=")</f>
        <v>#REF!</v>
      </c>
      <c r="DY50" t="e">
        <f>AND('BBP complete'!D666,"AAAAAF3f+4A=")</f>
        <v>#VALUE!</v>
      </c>
      <c r="DZ50" t="e">
        <f>AND('BBP complete'!F666,"AAAAAF3f+4E=")</f>
        <v>#VALUE!</v>
      </c>
      <c r="EA50" t="e">
        <f>AND('BBP complete'!G666,"AAAAAF3f+4I=")</f>
        <v>#VALUE!</v>
      </c>
      <c r="EB50" t="e">
        <f>AND('BBP complete'!H666,"AAAAAF3f+4M=")</f>
        <v>#VALUE!</v>
      </c>
      <c r="EC50" t="e">
        <f>AND('BBP complete'!I666,"AAAAAF3f+4Q=")</f>
        <v>#VALUE!</v>
      </c>
      <c r="ED50" s="60" t="e">
        <v>#VALUE!</v>
      </c>
      <c r="EE50" t="e">
        <f>AND('BBP complete'!A667,"AAAAAF3f+4Y=")</f>
        <v>#VALUE!</v>
      </c>
      <c r="EF50" t="e">
        <f>AND('BBP complete'!B667,"AAAAAF3f+4c=")</f>
        <v>#VALUE!</v>
      </c>
      <c r="EG50" t="e">
        <f>AND('BBP complete'!C667,"AAAAAF3f+4g=")</f>
        <v>#VALUE!</v>
      </c>
      <c r="EH50" t="e">
        <f>AND('BBP complete'!#REF!,"AAAAAF3f+4k=")</f>
        <v>#REF!</v>
      </c>
      <c r="EI50" t="e">
        <f>AND('BBP complete'!#REF!,"AAAAAF3f+4o=")</f>
        <v>#REF!</v>
      </c>
      <c r="EJ50" t="e">
        <f>AND('BBP complete'!#REF!,"AAAAAF3f+4s=")</f>
        <v>#REF!</v>
      </c>
      <c r="EK50" t="e">
        <f>AND('BBP complete'!E667,"AAAAAF3f+4w=")</f>
        <v>#VALUE!</v>
      </c>
      <c r="EL50" t="e">
        <f>AND('BBP complete'!#REF!,"AAAAAF3f+40=")</f>
        <v>#REF!</v>
      </c>
      <c r="EM50" t="e">
        <f>AND('BBP complete'!K667,"AAAAAF3f+44=")</f>
        <v>#VALUE!</v>
      </c>
      <c r="EN50" t="e">
        <f>AND('BBP complete'!L666,"AAAAAF3f+48=")</f>
        <v>#VALUE!</v>
      </c>
      <c r="EO50" t="e">
        <f>AND('BBP complete'!#REF!,"AAAAAF3f+5A=")</f>
        <v>#REF!</v>
      </c>
      <c r="EP50" t="e">
        <f>AND('BBP complete'!#REF!,"AAAAAF3f+5E=")</f>
        <v>#REF!</v>
      </c>
      <c r="EQ50" t="e">
        <f>AND('BBP complete'!#REF!,"AAAAAF3f+5I=")</f>
        <v>#REF!</v>
      </c>
      <c r="ER50" t="e">
        <f>AND('BBP complete'!D667,"AAAAAF3f+5M=")</f>
        <v>#VALUE!</v>
      </c>
      <c r="ES50" t="e">
        <f>AND('BBP complete'!F667,"AAAAAF3f+5Q=")</f>
        <v>#VALUE!</v>
      </c>
      <c r="ET50" t="e">
        <f>AND('BBP complete'!G667,"AAAAAF3f+5U=")</f>
        <v>#VALUE!</v>
      </c>
      <c r="EU50" t="e">
        <f>AND('BBP complete'!H667,"AAAAAF3f+5Y=")</f>
        <v>#VALUE!</v>
      </c>
      <c r="EV50" t="e">
        <f>AND('BBP complete'!I667,"AAAAAF3f+5c=")</f>
        <v>#VALUE!</v>
      </c>
      <c r="EW50" s="60" t="e">
        <v>#VALUE!</v>
      </c>
      <c r="EX50" t="e">
        <f>AND('BBP complete'!A668,"AAAAAF3f+5k=")</f>
        <v>#VALUE!</v>
      </c>
      <c r="EY50" t="e">
        <f>AND('BBP complete'!B668,"AAAAAF3f+5o=")</f>
        <v>#VALUE!</v>
      </c>
      <c r="EZ50" t="e">
        <f>AND('BBP complete'!C668,"AAAAAF3f+5s=")</f>
        <v>#VALUE!</v>
      </c>
      <c r="FA50" t="e">
        <f>AND('BBP complete'!#REF!,"AAAAAF3f+5w=")</f>
        <v>#REF!</v>
      </c>
      <c r="FB50" t="e">
        <f>AND('BBP complete'!#REF!,"AAAAAF3f+50=")</f>
        <v>#REF!</v>
      </c>
      <c r="FC50" t="e">
        <f>AND('BBP complete'!#REF!,"AAAAAF3f+54=")</f>
        <v>#REF!</v>
      </c>
      <c r="FD50" t="e">
        <f>AND('BBP complete'!E668,"AAAAAF3f+58=")</f>
        <v>#VALUE!</v>
      </c>
      <c r="FE50" t="e">
        <f>AND('BBP complete'!#REF!,"AAAAAF3f+6A=")</f>
        <v>#REF!</v>
      </c>
      <c r="FF50" t="e">
        <f>AND('BBP complete'!K668,"AAAAAF3f+6E=")</f>
        <v>#VALUE!</v>
      </c>
      <c r="FG50" t="e">
        <f>AND('BBP complete'!L667,"AAAAAF3f+6I=")</f>
        <v>#VALUE!</v>
      </c>
      <c r="FH50" t="e">
        <f>AND('BBP complete'!#REF!,"AAAAAF3f+6M=")</f>
        <v>#REF!</v>
      </c>
      <c r="FI50" t="e">
        <f>AND('BBP complete'!#REF!,"AAAAAF3f+6Q=")</f>
        <v>#REF!</v>
      </c>
      <c r="FJ50" t="e">
        <f>AND('BBP complete'!#REF!,"AAAAAF3f+6U=")</f>
        <v>#REF!</v>
      </c>
      <c r="FK50" t="e">
        <f>AND('BBP complete'!D668,"AAAAAF3f+6Y=")</f>
        <v>#VALUE!</v>
      </c>
      <c r="FL50" t="e">
        <f>AND('BBP complete'!F668,"AAAAAF3f+6c=")</f>
        <v>#VALUE!</v>
      </c>
      <c r="FM50" t="e">
        <f>AND('BBP complete'!G668,"AAAAAF3f+6g=")</f>
        <v>#VALUE!</v>
      </c>
      <c r="FN50" t="e">
        <f>AND('BBP complete'!H668,"AAAAAF3f+6k=")</f>
        <v>#VALUE!</v>
      </c>
      <c r="FO50" t="e">
        <f>AND('BBP complete'!I668,"AAAAAF3f+6o=")</f>
        <v>#VALUE!</v>
      </c>
      <c r="FP50" s="60" t="e">
        <v>#VALUE!</v>
      </c>
      <c r="FQ50" t="e">
        <f>AND('BBP complete'!A669,"AAAAAF3f+6w=")</f>
        <v>#VALUE!</v>
      </c>
      <c r="FR50" t="e">
        <f>AND('BBP complete'!B669,"AAAAAF3f+60=")</f>
        <v>#VALUE!</v>
      </c>
      <c r="FS50" t="e">
        <f>AND('BBP complete'!C669,"AAAAAF3f+64=")</f>
        <v>#VALUE!</v>
      </c>
      <c r="FT50" t="e">
        <f>AND('BBP complete'!#REF!,"AAAAAF3f+68=")</f>
        <v>#REF!</v>
      </c>
      <c r="FU50" t="e">
        <f>AND('BBP complete'!#REF!,"AAAAAF3f+7A=")</f>
        <v>#REF!</v>
      </c>
      <c r="FV50" t="e">
        <f>AND('BBP complete'!#REF!,"AAAAAF3f+7E=")</f>
        <v>#REF!</v>
      </c>
      <c r="FW50" t="e">
        <f>AND('BBP complete'!E669,"AAAAAF3f+7I=")</f>
        <v>#VALUE!</v>
      </c>
      <c r="FX50" t="e">
        <f>AND('BBP complete'!#REF!,"AAAAAF3f+7M=")</f>
        <v>#REF!</v>
      </c>
      <c r="FY50" t="e">
        <f>AND('BBP complete'!K669,"AAAAAF3f+7Q=")</f>
        <v>#VALUE!</v>
      </c>
      <c r="FZ50" t="e">
        <f>AND('BBP complete'!M672,"AAAAAF3f+7U=")</f>
        <v>#VALUE!</v>
      </c>
      <c r="GA50" t="e">
        <f>AND('BBP complete'!#REF!,"AAAAAF3f+7Y=")</f>
        <v>#REF!</v>
      </c>
      <c r="GB50" t="e">
        <f>AND('BBP complete'!#REF!,"AAAAAF3f+7c=")</f>
        <v>#REF!</v>
      </c>
      <c r="GC50" t="e">
        <f>AND('BBP complete'!#REF!,"AAAAAF3f+7g=")</f>
        <v>#REF!</v>
      </c>
      <c r="GD50" t="e">
        <f>AND('BBP complete'!D669,"AAAAAF3f+7k=")</f>
        <v>#VALUE!</v>
      </c>
      <c r="GE50" t="e">
        <f>AND('BBP complete'!F669,"AAAAAF3f+7o=")</f>
        <v>#VALUE!</v>
      </c>
      <c r="GF50" t="e">
        <f>AND('BBP complete'!G669,"AAAAAF3f+7s=")</f>
        <v>#VALUE!</v>
      </c>
      <c r="GG50" t="e">
        <f>AND('BBP complete'!H669,"AAAAAF3f+7w=")</f>
        <v>#VALUE!</v>
      </c>
      <c r="GH50" t="e">
        <f>AND('BBP complete'!I669,"AAAAAF3f+70=")</f>
        <v>#VALUE!</v>
      </c>
      <c r="GI50" s="60" t="e">
        <v>#VALUE!</v>
      </c>
      <c r="GJ50" t="e">
        <f>AND('BBP complete'!A670,"AAAAAF3f+78=")</f>
        <v>#VALUE!</v>
      </c>
      <c r="GK50" t="e">
        <f>AND('BBP complete'!B670,"AAAAAF3f+8A=")</f>
        <v>#VALUE!</v>
      </c>
      <c r="GL50" t="e">
        <f>AND('BBP complete'!C670,"AAAAAF3f+8E=")</f>
        <v>#VALUE!</v>
      </c>
      <c r="GM50" t="e">
        <f>AND('BBP complete'!#REF!,"AAAAAF3f+8I=")</f>
        <v>#REF!</v>
      </c>
      <c r="GN50" t="e">
        <f>AND('BBP complete'!#REF!,"AAAAAF3f+8M=")</f>
        <v>#REF!</v>
      </c>
      <c r="GO50" t="e">
        <f>AND('BBP complete'!#REF!,"AAAAAF3f+8Q=")</f>
        <v>#REF!</v>
      </c>
      <c r="GP50" t="e">
        <f>AND('BBP complete'!E670,"AAAAAF3f+8U=")</f>
        <v>#VALUE!</v>
      </c>
      <c r="GQ50" t="e">
        <f>AND('BBP complete'!#REF!,"AAAAAF3f+8Y=")</f>
        <v>#REF!</v>
      </c>
      <c r="GR50" t="e">
        <f>AND('BBP complete'!K670,"AAAAAF3f+8c=")</f>
        <v>#VALUE!</v>
      </c>
      <c r="GS50" t="e">
        <f>AND('BBP complete'!L669,"AAAAAF3f+8g=")</f>
        <v>#VALUE!</v>
      </c>
      <c r="GT50" t="e">
        <f>AND('BBP complete'!#REF!,"AAAAAF3f+8k=")</f>
        <v>#REF!</v>
      </c>
      <c r="GU50" t="e">
        <f>AND('BBP complete'!#REF!,"AAAAAF3f+8o=")</f>
        <v>#REF!</v>
      </c>
      <c r="GV50" t="e">
        <f>AND('BBP complete'!#REF!,"AAAAAF3f+8s=")</f>
        <v>#REF!</v>
      </c>
      <c r="GW50" t="e">
        <f>AND('BBP complete'!D670,"AAAAAF3f+8w=")</f>
        <v>#VALUE!</v>
      </c>
      <c r="GX50" t="e">
        <f>AND('BBP complete'!F670,"AAAAAF3f+80=")</f>
        <v>#VALUE!</v>
      </c>
      <c r="GY50" t="e">
        <f>AND('BBP complete'!G670,"AAAAAF3f+84=")</f>
        <v>#VALUE!</v>
      </c>
      <c r="GZ50" t="e">
        <f>AND('BBP complete'!H670,"AAAAAF3f+88=")</f>
        <v>#VALUE!</v>
      </c>
      <c r="HA50" t="e">
        <f>AND('BBP complete'!I670,"AAAAAF3f+9A=")</f>
        <v>#VALUE!</v>
      </c>
      <c r="HB50" s="60" t="e">
        <v>#VALUE!</v>
      </c>
      <c r="HC50" t="e">
        <f>AND('BBP complete'!A671,"AAAAAF3f+9I=")</f>
        <v>#VALUE!</v>
      </c>
      <c r="HD50" t="e">
        <f>AND('BBP complete'!B671,"AAAAAF3f+9M=")</f>
        <v>#VALUE!</v>
      </c>
      <c r="HE50" t="e">
        <f>AND('BBP complete'!C671,"AAAAAF3f+9Q=")</f>
        <v>#VALUE!</v>
      </c>
      <c r="HF50" t="e">
        <f>AND('BBP complete'!#REF!,"AAAAAF3f+9U=")</f>
        <v>#REF!</v>
      </c>
      <c r="HG50" t="e">
        <f>AND('BBP complete'!#REF!,"AAAAAF3f+9Y=")</f>
        <v>#REF!</v>
      </c>
      <c r="HH50" t="e">
        <f>AND('BBP complete'!#REF!,"AAAAAF3f+9c=")</f>
        <v>#REF!</v>
      </c>
      <c r="HI50" t="e">
        <f>AND('BBP complete'!E671,"AAAAAF3f+9g=")</f>
        <v>#VALUE!</v>
      </c>
      <c r="HJ50" t="e">
        <f>AND('BBP complete'!#REF!,"AAAAAF3f+9k=")</f>
        <v>#REF!</v>
      </c>
      <c r="HK50" t="e">
        <f>AND('BBP complete'!K671,"AAAAAF3f+9o=")</f>
        <v>#VALUE!</v>
      </c>
      <c r="HL50" t="e">
        <f>AND('BBP complete'!L670,"AAAAAF3f+9s=")</f>
        <v>#VALUE!</v>
      </c>
      <c r="HM50" t="e">
        <f>AND('BBP complete'!#REF!,"AAAAAF3f+9w=")</f>
        <v>#REF!</v>
      </c>
      <c r="HN50" t="e">
        <f>AND('BBP complete'!#REF!,"AAAAAF3f+90=")</f>
        <v>#REF!</v>
      </c>
      <c r="HO50" t="e">
        <f>AND('BBP complete'!#REF!,"AAAAAF3f+94=")</f>
        <v>#REF!</v>
      </c>
      <c r="HP50" t="e">
        <f>AND('BBP complete'!D671,"AAAAAF3f+98=")</f>
        <v>#VALUE!</v>
      </c>
      <c r="HQ50" t="e">
        <f>AND('BBP complete'!F671,"AAAAAF3f++A=")</f>
        <v>#VALUE!</v>
      </c>
      <c r="HR50" t="e">
        <f>AND('BBP complete'!G671,"AAAAAF3f++E=")</f>
        <v>#VALUE!</v>
      </c>
      <c r="HS50" t="e">
        <f>AND('BBP complete'!H671,"AAAAAF3f++I=")</f>
        <v>#VALUE!</v>
      </c>
      <c r="HT50" t="e">
        <f>AND('BBP complete'!I671,"AAAAAF3f++M=")</f>
        <v>#VALUE!</v>
      </c>
      <c r="HU50" s="60" t="e">
        <v>#VALUE!</v>
      </c>
      <c r="HV50" t="e">
        <f>AND('BBP complete'!A672,"AAAAAF3f++U=")</f>
        <v>#VALUE!</v>
      </c>
      <c r="HW50" t="e">
        <f>AND('BBP complete'!B672,"AAAAAF3f++Y=")</f>
        <v>#VALUE!</v>
      </c>
      <c r="HX50" t="e">
        <f>AND('BBP complete'!C672,"AAAAAF3f++c=")</f>
        <v>#VALUE!</v>
      </c>
      <c r="HY50" t="e">
        <f>AND('BBP complete'!#REF!,"AAAAAF3f++g=")</f>
        <v>#REF!</v>
      </c>
      <c r="HZ50" t="e">
        <f>AND('BBP complete'!#REF!,"AAAAAF3f++k=")</f>
        <v>#REF!</v>
      </c>
      <c r="IA50" t="e">
        <f>AND('BBP complete'!#REF!,"AAAAAF3f++o=")</f>
        <v>#REF!</v>
      </c>
      <c r="IB50" t="e">
        <f>AND('BBP complete'!E672,"AAAAAF3f++s=")</f>
        <v>#VALUE!</v>
      </c>
      <c r="IC50" t="e">
        <f>AND('BBP complete'!#REF!,"AAAAAF3f++w=")</f>
        <v>#REF!</v>
      </c>
      <c r="ID50" t="e">
        <f>AND('BBP complete'!K672,"AAAAAF3f++0=")</f>
        <v>#VALUE!</v>
      </c>
      <c r="IE50" t="e">
        <f>AND('BBP complete'!L671,"AAAAAF3f++4=")</f>
        <v>#VALUE!</v>
      </c>
      <c r="IF50" t="e">
        <f>AND('BBP complete'!#REF!,"AAAAAF3f++8=")</f>
        <v>#REF!</v>
      </c>
      <c r="IG50" t="e">
        <f>AND('BBP complete'!#REF!,"AAAAAF3f+/A=")</f>
        <v>#REF!</v>
      </c>
      <c r="IH50" t="e">
        <f>AND('BBP complete'!#REF!,"AAAAAF3f+/E=")</f>
        <v>#REF!</v>
      </c>
      <c r="II50" t="e">
        <f>AND('BBP complete'!D672,"AAAAAF3f+/I=")</f>
        <v>#VALUE!</v>
      </c>
      <c r="IJ50" t="e">
        <f>AND('BBP complete'!F672,"AAAAAF3f+/M=")</f>
        <v>#VALUE!</v>
      </c>
      <c r="IK50" t="e">
        <f>AND('BBP complete'!G672,"AAAAAF3f+/Q=")</f>
        <v>#VALUE!</v>
      </c>
      <c r="IL50" t="e">
        <f>AND('BBP complete'!H672,"AAAAAF3f+/U=")</f>
        <v>#VALUE!</v>
      </c>
      <c r="IM50" t="e">
        <f>AND('BBP complete'!I672,"AAAAAF3f+/Y=")</f>
        <v>#VALUE!</v>
      </c>
      <c r="IN50" s="60" t="e">
        <v>#VALUE!</v>
      </c>
      <c r="IO50" t="e">
        <f>AND('BBP complete'!A673,"AAAAAF3f+/g=")</f>
        <v>#VALUE!</v>
      </c>
      <c r="IP50" t="e">
        <f>AND('BBP complete'!B673,"AAAAAF3f+/k=")</f>
        <v>#VALUE!</v>
      </c>
      <c r="IQ50" t="e">
        <f>AND('BBP complete'!C673,"AAAAAF3f+/o=")</f>
        <v>#VALUE!</v>
      </c>
      <c r="IR50" t="e">
        <f>AND('BBP complete'!#REF!,"AAAAAF3f+/s=")</f>
        <v>#REF!</v>
      </c>
      <c r="IS50" t="e">
        <f>AND('BBP complete'!#REF!,"AAAAAF3f+/w=")</f>
        <v>#REF!</v>
      </c>
      <c r="IT50" t="e">
        <f>AND('BBP complete'!#REF!,"AAAAAF3f+/0=")</f>
        <v>#REF!</v>
      </c>
      <c r="IU50" t="e">
        <f>AND('BBP complete'!E673,"AAAAAF3f+/4=")</f>
        <v>#VALUE!</v>
      </c>
      <c r="IV50" t="e">
        <f>AND('BBP complete'!#REF!,"AAAAAF3f+/8=")</f>
        <v>#REF!</v>
      </c>
    </row>
    <row r="51" spans="1:256" ht="15" customHeight="1" x14ac:dyDescent="0.25">
      <c r="A51" t="e">
        <f>AND('BBP complete'!K673,"AAAAAAs9bgA=")</f>
        <v>#VALUE!</v>
      </c>
      <c r="B51" t="e">
        <f>AND('BBP complete'!L672,"AAAAAAs9bgE=")</f>
        <v>#VALUE!</v>
      </c>
      <c r="C51" t="e">
        <f>AND('BBP complete'!#REF!,"AAAAAAs9bgI=")</f>
        <v>#REF!</v>
      </c>
      <c r="D51" t="e">
        <f>AND('BBP complete'!#REF!,"AAAAAAs9bgM=")</f>
        <v>#REF!</v>
      </c>
      <c r="E51" t="e">
        <f>AND('BBP complete'!#REF!,"AAAAAAs9bgQ=")</f>
        <v>#REF!</v>
      </c>
      <c r="F51" t="e">
        <f>AND('BBP complete'!D673,"AAAAAAs9bgU=")</f>
        <v>#VALUE!</v>
      </c>
      <c r="G51" t="e">
        <f>AND('BBP complete'!F673,"AAAAAAs9bgY=")</f>
        <v>#VALUE!</v>
      </c>
      <c r="H51" t="e">
        <f>AND('BBP complete'!G673,"AAAAAAs9bgc=")</f>
        <v>#VALUE!</v>
      </c>
      <c r="I51" t="e">
        <f>AND('BBP complete'!H673,"AAAAAAs9bgg=")</f>
        <v>#VALUE!</v>
      </c>
      <c r="J51" t="e">
        <f>AND('BBP complete'!I673,"AAAAAAs9bgk=")</f>
        <v>#VALUE!</v>
      </c>
      <c r="K51" s="60" t="e">
        <v>#VALUE!</v>
      </c>
      <c r="L51" t="e">
        <f>AND('BBP complete'!A674,"AAAAAAs9bgs=")</f>
        <v>#VALUE!</v>
      </c>
      <c r="M51" t="e">
        <f>AND('BBP complete'!B674,"AAAAAAs9bgw=")</f>
        <v>#VALUE!</v>
      </c>
      <c r="N51" t="e">
        <f>AND('BBP complete'!C674,"AAAAAAs9bg0=")</f>
        <v>#VALUE!</v>
      </c>
      <c r="O51" t="e">
        <f>AND('BBP complete'!#REF!,"AAAAAAs9bg4=")</f>
        <v>#REF!</v>
      </c>
      <c r="P51" t="e">
        <f>AND('BBP complete'!#REF!,"AAAAAAs9bg8=")</f>
        <v>#REF!</v>
      </c>
      <c r="Q51" t="e">
        <f>AND('BBP complete'!#REF!,"AAAAAAs9bhA=")</f>
        <v>#REF!</v>
      </c>
      <c r="R51" t="e">
        <f>AND('BBP complete'!E674,"AAAAAAs9bhE=")</f>
        <v>#VALUE!</v>
      </c>
      <c r="S51" t="e">
        <f>AND('BBP complete'!#REF!,"AAAAAAs9bhI=")</f>
        <v>#REF!</v>
      </c>
      <c r="T51" t="e">
        <f>AND('BBP complete'!K674,"AAAAAAs9bhM=")</f>
        <v>#VALUE!</v>
      </c>
      <c r="U51" t="e">
        <f>AND('BBP complete'!L673,"AAAAAAs9bhQ=")</f>
        <v>#VALUE!</v>
      </c>
      <c r="V51" t="e">
        <f>AND('BBP complete'!#REF!,"AAAAAAs9bhU=")</f>
        <v>#REF!</v>
      </c>
      <c r="W51" t="e">
        <f>AND('BBP complete'!#REF!,"AAAAAAs9bhY=")</f>
        <v>#REF!</v>
      </c>
      <c r="X51" t="e">
        <f>AND('BBP complete'!#REF!,"AAAAAAs9bhc=")</f>
        <v>#REF!</v>
      </c>
      <c r="Y51" t="e">
        <f>AND('BBP complete'!D674,"AAAAAAs9bhg=")</f>
        <v>#VALUE!</v>
      </c>
      <c r="Z51" t="e">
        <f>AND('BBP complete'!F674,"AAAAAAs9bhk=")</f>
        <v>#VALUE!</v>
      </c>
      <c r="AA51" t="e">
        <f>AND('BBP complete'!G674,"AAAAAAs9bho=")</f>
        <v>#VALUE!</v>
      </c>
      <c r="AB51" t="e">
        <f>AND('BBP complete'!H674,"AAAAAAs9bhs=")</f>
        <v>#VALUE!</v>
      </c>
      <c r="AC51" t="e">
        <f>AND('BBP complete'!I674,"AAAAAAs9bhw=")</f>
        <v>#VALUE!</v>
      </c>
      <c r="AD51" s="60" t="e">
        <v>#VALUE!</v>
      </c>
      <c r="AE51" t="e">
        <f>AND('BBP complete'!A675,"AAAAAAs9bh4=")</f>
        <v>#VALUE!</v>
      </c>
      <c r="AF51" t="e">
        <f>AND('BBP complete'!B675,"AAAAAAs9bh8=")</f>
        <v>#VALUE!</v>
      </c>
      <c r="AG51" t="e">
        <f>AND('BBP complete'!C675,"AAAAAAs9biA=")</f>
        <v>#VALUE!</v>
      </c>
      <c r="AH51" t="e">
        <f>AND('BBP complete'!#REF!,"AAAAAAs9biE=")</f>
        <v>#REF!</v>
      </c>
      <c r="AI51" t="e">
        <f>AND('BBP complete'!#REF!,"AAAAAAs9biI=")</f>
        <v>#REF!</v>
      </c>
      <c r="AJ51" t="e">
        <f>AND('BBP complete'!#REF!,"AAAAAAs9biM=")</f>
        <v>#REF!</v>
      </c>
      <c r="AK51" t="e">
        <f>AND('BBP complete'!E675,"AAAAAAs9biQ=")</f>
        <v>#VALUE!</v>
      </c>
      <c r="AL51" t="e">
        <f>AND('BBP complete'!#REF!,"AAAAAAs9biU=")</f>
        <v>#REF!</v>
      </c>
      <c r="AM51" t="e">
        <f>AND('BBP complete'!K675,"AAAAAAs9biY=")</f>
        <v>#VALUE!</v>
      </c>
      <c r="AN51" t="e">
        <f>AND('BBP complete'!L674,"AAAAAAs9bic=")</f>
        <v>#VALUE!</v>
      </c>
      <c r="AO51" t="e">
        <f>AND('BBP complete'!#REF!,"AAAAAAs9big=")</f>
        <v>#REF!</v>
      </c>
      <c r="AP51" t="e">
        <f>AND('BBP complete'!#REF!,"AAAAAAs9bik=")</f>
        <v>#REF!</v>
      </c>
      <c r="AQ51" t="e">
        <f>AND('BBP complete'!#REF!,"AAAAAAs9bio=")</f>
        <v>#REF!</v>
      </c>
      <c r="AR51" t="e">
        <f>AND('BBP complete'!D675,"AAAAAAs9bis=")</f>
        <v>#VALUE!</v>
      </c>
      <c r="AS51" t="e">
        <f>AND('BBP complete'!F675,"AAAAAAs9biw=")</f>
        <v>#VALUE!</v>
      </c>
      <c r="AT51" t="e">
        <f>AND('BBP complete'!G675,"AAAAAAs9bi0=")</f>
        <v>#VALUE!</v>
      </c>
      <c r="AU51" t="e">
        <f>AND('BBP complete'!H675,"AAAAAAs9bi4=")</f>
        <v>#VALUE!</v>
      </c>
      <c r="AV51" t="e">
        <f>AND('BBP complete'!I675,"AAAAAAs9bi8=")</f>
        <v>#VALUE!</v>
      </c>
      <c r="AW51" s="60" t="e">
        <v>#VALUE!</v>
      </c>
      <c r="AX51" t="e">
        <f>AND('BBP complete'!A676,"AAAAAAs9bjE=")</f>
        <v>#VALUE!</v>
      </c>
      <c r="AY51" t="e">
        <f>AND('BBP complete'!B676,"AAAAAAs9bjI=")</f>
        <v>#VALUE!</v>
      </c>
      <c r="AZ51" t="e">
        <f>AND('BBP complete'!C676,"AAAAAAs9bjM=")</f>
        <v>#VALUE!</v>
      </c>
      <c r="BA51" t="e">
        <f>AND('BBP complete'!#REF!,"AAAAAAs9bjQ=")</f>
        <v>#REF!</v>
      </c>
      <c r="BB51" t="e">
        <f>AND('BBP complete'!#REF!,"AAAAAAs9bjU=")</f>
        <v>#REF!</v>
      </c>
      <c r="BC51" t="e">
        <f>AND('BBP complete'!#REF!,"AAAAAAs9bjY=")</f>
        <v>#REF!</v>
      </c>
      <c r="BD51" t="e">
        <f>AND('BBP complete'!E676,"AAAAAAs9bjc=")</f>
        <v>#VALUE!</v>
      </c>
      <c r="BE51" t="e">
        <f>AND('BBP complete'!#REF!,"AAAAAAs9bjg=")</f>
        <v>#REF!</v>
      </c>
      <c r="BF51" t="e">
        <f>AND('BBP complete'!K676,"AAAAAAs9bjk=")</f>
        <v>#VALUE!</v>
      </c>
      <c r="BG51" t="e">
        <f>AND('BBP complete'!M679,"AAAAAAs9bjo=")</f>
        <v>#VALUE!</v>
      </c>
      <c r="BH51" t="e">
        <f>AND('BBP complete'!#REF!,"AAAAAAs9bjs=")</f>
        <v>#REF!</v>
      </c>
      <c r="BI51" t="e">
        <f>AND('BBP complete'!#REF!,"AAAAAAs9bjw=")</f>
        <v>#REF!</v>
      </c>
      <c r="BJ51" t="e">
        <f>AND('BBP complete'!#REF!,"AAAAAAs9bj0=")</f>
        <v>#REF!</v>
      </c>
      <c r="BK51" t="e">
        <f>AND('BBP complete'!D676,"AAAAAAs9bj4=")</f>
        <v>#VALUE!</v>
      </c>
      <c r="BL51" t="e">
        <f>AND('BBP complete'!F676,"AAAAAAs9bj8=")</f>
        <v>#VALUE!</v>
      </c>
      <c r="BM51" t="e">
        <f>AND('BBP complete'!G676,"AAAAAAs9bkA=")</f>
        <v>#VALUE!</v>
      </c>
      <c r="BN51" t="e">
        <f>AND('BBP complete'!H676,"AAAAAAs9bkE=")</f>
        <v>#VALUE!</v>
      </c>
      <c r="BO51" t="e">
        <f>AND('BBP complete'!I676,"AAAAAAs9bkI=")</f>
        <v>#VALUE!</v>
      </c>
      <c r="BP51" s="60" t="e">
        <v>#VALUE!</v>
      </c>
      <c r="BQ51" t="e">
        <f>AND('BBP complete'!A677,"AAAAAAs9bkQ=")</f>
        <v>#VALUE!</v>
      </c>
      <c r="BR51" t="e">
        <f>AND('BBP complete'!B677,"AAAAAAs9bkU=")</f>
        <v>#VALUE!</v>
      </c>
      <c r="BS51" t="e">
        <f>AND('BBP complete'!C677,"AAAAAAs9bkY=")</f>
        <v>#VALUE!</v>
      </c>
      <c r="BT51" t="e">
        <f>AND('BBP complete'!#REF!,"AAAAAAs9bkc=")</f>
        <v>#REF!</v>
      </c>
      <c r="BU51" t="e">
        <f>AND('BBP complete'!#REF!,"AAAAAAs9bkg=")</f>
        <v>#REF!</v>
      </c>
      <c r="BV51" t="e">
        <f>AND('BBP complete'!#REF!,"AAAAAAs9bkk=")</f>
        <v>#REF!</v>
      </c>
      <c r="BW51" t="e">
        <f>AND('BBP complete'!E677,"AAAAAAs9bko=")</f>
        <v>#VALUE!</v>
      </c>
      <c r="BX51" t="e">
        <f>AND('BBP complete'!#REF!,"AAAAAAs9bks=")</f>
        <v>#REF!</v>
      </c>
      <c r="BY51" t="e">
        <f>AND('BBP complete'!K677,"AAAAAAs9bkw=")</f>
        <v>#VALUE!</v>
      </c>
      <c r="BZ51" t="e">
        <f>AND('BBP complete'!L676,"AAAAAAs9bk0=")</f>
        <v>#VALUE!</v>
      </c>
      <c r="CA51" t="e">
        <f>AND('BBP complete'!#REF!,"AAAAAAs9bk4=")</f>
        <v>#REF!</v>
      </c>
      <c r="CB51" t="e">
        <f>AND('BBP complete'!#REF!,"AAAAAAs9bk8=")</f>
        <v>#REF!</v>
      </c>
      <c r="CC51" t="e">
        <f>AND('BBP complete'!#REF!,"AAAAAAs9blA=")</f>
        <v>#REF!</v>
      </c>
      <c r="CD51" t="e">
        <f>AND('BBP complete'!D677,"AAAAAAs9blE=")</f>
        <v>#VALUE!</v>
      </c>
      <c r="CE51" t="e">
        <f>AND('BBP complete'!F677,"AAAAAAs9blI=")</f>
        <v>#VALUE!</v>
      </c>
      <c r="CF51" t="e">
        <f>AND('BBP complete'!G677,"AAAAAAs9blM=")</f>
        <v>#VALUE!</v>
      </c>
      <c r="CG51" t="e">
        <f>AND('BBP complete'!H677,"AAAAAAs9blQ=")</f>
        <v>#VALUE!</v>
      </c>
      <c r="CH51" t="e">
        <f>AND('BBP complete'!I677,"AAAAAAs9blU=")</f>
        <v>#VALUE!</v>
      </c>
      <c r="CI51" s="60" t="e">
        <v>#VALUE!</v>
      </c>
      <c r="CJ51" t="e">
        <f>AND('BBP complete'!A678,"AAAAAAs9blc=")</f>
        <v>#VALUE!</v>
      </c>
      <c r="CK51" t="e">
        <f>AND('BBP complete'!B678,"AAAAAAs9blg=")</f>
        <v>#VALUE!</v>
      </c>
      <c r="CL51" t="e">
        <f>AND('BBP complete'!C678,"AAAAAAs9blk=")</f>
        <v>#VALUE!</v>
      </c>
      <c r="CM51" t="e">
        <f>AND('BBP complete'!#REF!,"AAAAAAs9blo=")</f>
        <v>#REF!</v>
      </c>
      <c r="CN51" t="e">
        <f>AND('BBP complete'!#REF!,"AAAAAAs9bls=")</f>
        <v>#REF!</v>
      </c>
      <c r="CO51" t="e">
        <f>AND('BBP complete'!#REF!,"AAAAAAs9blw=")</f>
        <v>#REF!</v>
      </c>
      <c r="CP51" t="e">
        <f>AND('BBP complete'!E678,"AAAAAAs9bl0=")</f>
        <v>#VALUE!</v>
      </c>
      <c r="CQ51" t="e">
        <f>AND('BBP complete'!#REF!,"AAAAAAs9bl4=")</f>
        <v>#REF!</v>
      </c>
      <c r="CR51" t="e">
        <f>AND('BBP complete'!K678,"AAAAAAs9bl8=")</f>
        <v>#VALUE!</v>
      </c>
      <c r="CS51" t="e">
        <f>AND('BBP complete'!L677,"AAAAAAs9bmA=")</f>
        <v>#VALUE!</v>
      </c>
      <c r="CT51" t="e">
        <f>AND('BBP complete'!#REF!,"AAAAAAs9bmE=")</f>
        <v>#REF!</v>
      </c>
      <c r="CU51" t="e">
        <f>AND('BBP complete'!#REF!,"AAAAAAs9bmI=")</f>
        <v>#REF!</v>
      </c>
      <c r="CV51" t="e">
        <f>AND('BBP complete'!#REF!,"AAAAAAs9bmM=")</f>
        <v>#REF!</v>
      </c>
      <c r="CW51" t="e">
        <f>AND('BBP complete'!D678,"AAAAAAs9bmQ=")</f>
        <v>#VALUE!</v>
      </c>
      <c r="CX51" t="e">
        <f>AND('BBP complete'!F678,"AAAAAAs9bmU=")</f>
        <v>#VALUE!</v>
      </c>
      <c r="CY51" t="e">
        <f>AND('BBP complete'!G678,"AAAAAAs9bmY=")</f>
        <v>#VALUE!</v>
      </c>
      <c r="CZ51" t="e">
        <f>AND('BBP complete'!H678,"AAAAAAs9bmc=")</f>
        <v>#VALUE!</v>
      </c>
      <c r="DA51" t="e">
        <f>AND('BBP complete'!I678,"AAAAAAs9bmg=")</f>
        <v>#VALUE!</v>
      </c>
      <c r="DB51" s="60" t="e">
        <v>#VALUE!</v>
      </c>
      <c r="DC51" t="e">
        <f>AND('BBP complete'!A679,"AAAAAAs9bmo=")</f>
        <v>#VALUE!</v>
      </c>
      <c r="DD51" t="e">
        <f>AND('BBP complete'!B679,"AAAAAAs9bms=")</f>
        <v>#VALUE!</v>
      </c>
      <c r="DE51" t="e">
        <f>AND('BBP complete'!C679,"AAAAAAs9bmw=")</f>
        <v>#VALUE!</v>
      </c>
      <c r="DF51" t="e">
        <f>AND('BBP complete'!#REF!,"AAAAAAs9bm0=")</f>
        <v>#REF!</v>
      </c>
      <c r="DG51" t="e">
        <f>AND('BBP complete'!#REF!,"AAAAAAs9bm4=")</f>
        <v>#REF!</v>
      </c>
      <c r="DH51" t="e">
        <f>AND('BBP complete'!#REF!,"AAAAAAs9bm8=")</f>
        <v>#REF!</v>
      </c>
      <c r="DI51" t="e">
        <f>AND('BBP complete'!E679,"AAAAAAs9bnA=")</f>
        <v>#VALUE!</v>
      </c>
      <c r="DJ51" t="e">
        <f>AND('BBP complete'!#REF!,"AAAAAAs9bnE=")</f>
        <v>#REF!</v>
      </c>
      <c r="DK51" t="e">
        <f>AND('BBP complete'!K679,"AAAAAAs9bnI=")</f>
        <v>#VALUE!</v>
      </c>
      <c r="DL51" t="e">
        <f>AND('BBP complete'!L678,"AAAAAAs9bnM=")</f>
        <v>#VALUE!</v>
      </c>
      <c r="DM51" t="e">
        <f>AND('BBP complete'!#REF!,"AAAAAAs9bnQ=")</f>
        <v>#REF!</v>
      </c>
      <c r="DN51" t="e">
        <f>AND('BBP complete'!#REF!,"AAAAAAs9bnU=")</f>
        <v>#REF!</v>
      </c>
      <c r="DO51" t="e">
        <f>AND('BBP complete'!#REF!,"AAAAAAs9bnY=")</f>
        <v>#REF!</v>
      </c>
      <c r="DP51" t="e">
        <f>AND('BBP complete'!D679,"AAAAAAs9bnc=")</f>
        <v>#VALUE!</v>
      </c>
      <c r="DQ51" t="e">
        <f>AND('BBP complete'!F679,"AAAAAAs9bng=")</f>
        <v>#VALUE!</v>
      </c>
      <c r="DR51" t="e">
        <f>AND('BBP complete'!G679,"AAAAAAs9bnk=")</f>
        <v>#VALUE!</v>
      </c>
      <c r="DS51" t="e">
        <f>AND('BBP complete'!H679,"AAAAAAs9bno=")</f>
        <v>#VALUE!</v>
      </c>
      <c r="DT51" t="e">
        <f>AND('BBP complete'!I679,"AAAAAAs9bns=")</f>
        <v>#VALUE!</v>
      </c>
      <c r="DU51" s="60" t="e">
        <v>#VALUE!</v>
      </c>
      <c r="DV51" t="e">
        <f>AND('BBP complete'!A680,"AAAAAAs9bn0=")</f>
        <v>#VALUE!</v>
      </c>
      <c r="DW51" t="e">
        <f>AND('BBP complete'!B680,"AAAAAAs9bn4=")</f>
        <v>#VALUE!</v>
      </c>
      <c r="DX51" t="e">
        <f>AND('BBP complete'!C680,"AAAAAAs9bn8=")</f>
        <v>#VALUE!</v>
      </c>
      <c r="DY51" t="e">
        <f>AND('BBP complete'!#REF!,"AAAAAAs9boA=")</f>
        <v>#REF!</v>
      </c>
      <c r="DZ51" t="e">
        <f>AND('BBP complete'!#REF!,"AAAAAAs9boE=")</f>
        <v>#REF!</v>
      </c>
      <c r="EA51" t="e">
        <f>AND('BBP complete'!#REF!,"AAAAAAs9boI=")</f>
        <v>#REF!</v>
      </c>
      <c r="EB51" t="e">
        <f>AND('BBP complete'!E680,"AAAAAAs9boM=")</f>
        <v>#VALUE!</v>
      </c>
      <c r="EC51" t="e">
        <f>AND('BBP complete'!#REF!,"AAAAAAs9boQ=")</f>
        <v>#REF!</v>
      </c>
      <c r="ED51" t="e">
        <f>AND('BBP complete'!K680,"AAAAAAs9boU=")</f>
        <v>#VALUE!</v>
      </c>
      <c r="EE51" t="e">
        <f>AND('BBP complete'!L679,"AAAAAAs9boY=")</f>
        <v>#VALUE!</v>
      </c>
      <c r="EF51" t="e">
        <f>AND('BBP complete'!#REF!,"AAAAAAs9boc=")</f>
        <v>#REF!</v>
      </c>
      <c r="EG51" t="e">
        <f>AND('BBP complete'!#REF!,"AAAAAAs9bog=")</f>
        <v>#REF!</v>
      </c>
      <c r="EH51" t="e">
        <f>AND('BBP complete'!#REF!,"AAAAAAs9bok=")</f>
        <v>#REF!</v>
      </c>
      <c r="EI51" t="e">
        <f>AND('BBP complete'!D680,"AAAAAAs9boo=")</f>
        <v>#VALUE!</v>
      </c>
      <c r="EJ51" t="e">
        <f>AND('BBP complete'!F680,"AAAAAAs9bos=")</f>
        <v>#VALUE!</v>
      </c>
      <c r="EK51" t="e">
        <f>AND('BBP complete'!G680,"AAAAAAs9bow=")</f>
        <v>#VALUE!</v>
      </c>
      <c r="EL51" t="e">
        <f>AND('BBP complete'!H680,"AAAAAAs9bo0=")</f>
        <v>#VALUE!</v>
      </c>
      <c r="EM51" t="e">
        <f>AND('BBP complete'!I680,"AAAAAAs9bo4=")</f>
        <v>#VALUE!</v>
      </c>
      <c r="EN51" s="60" t="e">
        <v>#VALUE!</v>
      </c>
      <c r="EO51" t="e">
        <f>AND('BBP complete'!A681,"AAAAAAs9bpA=")</f>
        <v>#VALUE!</v>
      </c>
      <c r="EP51" t="e">
        <f>AND('BBP complete'!B681,"AAAAAAs9bpE=")</f>
        <v>#VALUE!</v>
      </c>
      <c r="EQ51" t="e">
        <f>AND('BBP complete'!C681,"AAAAAAs9bpI=")</f>
        <v>#VALUE!</v>
      </c>
      <c r="ER51" t="e">
        <f>AND('BBP complete'!#REF!,"AAAAAAs9bpM=")</f>
        <v>#REF!</v>
      </c>
      <c r="ES51" t="e">
        <f>AND('BBP complete'!#REF!,"AAAAAAs9bpQ=")</f>
        <v>#REF!</v>
      </c>
      <c r="ET51" t="e">
        <f>AND('BBP complete'!#REF!,"AAAAAAs9bpU=")</f>
        <v>#REF!</v>
      </c>
      <c r="EU51" t="e">
        <f>AND('BBP complete'!E681,"AAAAAAs9bpY=")</f>
        <v>#VALUE!</v>
      </c>
      <c r="EV51" t="e">
        <f>AND('BBP complete'!#REF!,"AAAAAAs9bpc=")</f>
        <v>#REF!</v>
      </c>
      <c r="EW51" t="e">
        <f>AND('BBP complete'!K681,"AAAAAAs9bpg=")</f>
        <v>#VALUE!</v>
      </c>
      <c r="EX51" t="e">
        <f>AND('BBP complete'!L680,"AAAAAAs9bpk=")</f>
        <v>#VALUE!</v>
      </c>
      <c r="EY51" t="e">
        <f>AND('BBP complete'!#REF!,"AAAAAAs9bpo=")</f>
        <v>#REF!</v>
      </c>
      <c r="EZ51" t="e">
        <f>AND('BBP complete'!#REF!,"AAAAAAs9bps=")</f>
        <v>#REF!</v>
      </c>
      <c r="FA51" t="e">
        <f>AND('BBP complete'!#REF!,"AAAAAAs9bpw=")</f>
        <v>#REF!</v>
      </c>
      <c r="FB51" t="e">
        <f>AND('BBP complete'!D681,"AAAAAAs9bp0=")</f>
        <v>#VALUE!</v>
      </c>
      <c r="FC51" t="e">
        <f>AND('BBP complete'!F681,"AAAAAAs9bp4=")</f>
        <v>#VALUE!</v>
      </c>
      <c r="FD51" t="e">
        <f>AND('BBP complete'!G681,"AAAAAAs9bp8=")</f>
        <v>#VALUE!</v>
      </c>
      <c r="FE51" t="e">
        <f>AND('BBP complete'!H681,"AAAAAAs9bqA=")</f>
        <v>#VALUE!</v>
      </c>
      <c r="FF51" t="e">
        <f>AND('BBP complete'!I681,"AAAAAAs9bqE=")</f>
        <v>#VALUE!</v>
      </c>
      <c r="FG51" s="60" t="e">
        <v>#VALUE!</v>
      </c>
      <c r="FH51" t="e">
        <f>AND('BBP complete'!A682,"AAAAAAs9bqM=")</f>
        <v>#VALUE!</v>
      </c>
      <c r="FI51" t="e">
        <f>AND('BBP complete'!B682,"AAAAAAs9bqQ=")</f>
        <v>#VALUE!</v>
      </c>
      <c r="FJ51" t="e">
        <f>AND('BBP complete'!C682,"AAAAAAs9bqU=")</f>
        <v>#VALUE!</v>
      </c>
      <c r="FK51" t="e">
        <f>AND('BBP complete'!#REF!,"AAAAAAs9bqY=")</f>
        <v>#REF!</v>
      </c>
      <c r="FL51" t="e">
        <f>AND('BBP complete'!#REF!,"AAAAAAs9bqc=")</f>
        <v>#REF!</v>
      </c>
      <c r="FM51" t="e">
        <f>AND('BBP complete'!#REF!,"AAAAAAs9bqg=")</f>
        <v>#REF!</v>
      </c>
      <c r="FN51" t="e">
        <f>AND('BBP complete'!E682,"AAAAAAs9bqk=")</f>
        <v>#VALUE!</v>
      </c>
      <c r="FO51" t="e">
        <f>AND('BBP complete'!#REF!,"AAAAAAs9bqo=")</f>
        <v>#REF!</v>
      </c>
      <c r="FP51" t="e">
        <f>AND('BBP complete'!K682,"AAAAAAs9bqs=")</f>
        <v>#VALUE!</v>
      </c>
      <c r="FQ51" t="e">
        <f>AND('BBP complete'!L681,"AAAAAAs9bqw=")</f>
        <v>#VALUE!</v>
      </c>
      <c r="FR51" t="e">
        <f>AND('BBP complete'!#REF!,"AAAAAAs9bq0=")</f>
        <v>#REF!</v>
      </c>
      <c r="FS51" t="e">
        <f>AND('BBP complete'!#REF!,"AAAAAAs9bq4=")</f>
        <v>#REF!</v>
      </c>
      <c r="FT51" t="e">
        <f>AND('BBP complete'!#REF!,"AAAAAAs9bq8=")</f>
        <v>#REF!</v>
      </c>
      <c r="FU51" t="e">
        <f>AND('BBP complete'!D682,"AAAAAAs9brA=")</f>
        <v>#VALUE!</v>
      </c>
      <c r="FV51" t="e">
        <f>AND('BBP complete'!F682,"AAAAAAs9brE=")</f>
        <v>#VALUE!</v>
      </c>
      <c r="FW51" t="e">
        <f>AND('BBP complete'!G682,"AAAAAAs9brI=")</f>
        <v>#VALUE!</v>
      </c>
      <c r="FX51" t="e">
        <f>AND('BBP complete'!H682,"AAAAAAs9brM=")</f>
        <v>#VALUE!</v>
      </c>
      <c r="FY51" t="e">
        <f>AND('BBP complete'!I682,"AAAAAAs9brQ=")</f>
        <v>#VALUE!</v>
      </c>
      <c r="FZ51" s="60" t="e">
        <v>#VALUE!</v>
      </c>
      <c r="GA51" t="e">
        <f>AND('BBP complete'!A683,"AAAAAAs9brY=")</f>
        <v>#VALUE!</v>
      </c>
      <c r="GB51" t="e">
        <f>AND('BBP complete'!B683,"AAAAAAs9brc=")</f>
        <v>#VALUE!</v>
      </c>
      <c r="GC51" t="e">
        <f>AND('BBP complete'!C683,"AAAAAAs9brg=")</f>
        <v>#VALUE!</v>
      </c>
      <c r="GD51" t="e">
        <f>AND('BBP complete'!#REF!,"AAAAAAs9brk=")</f>
        <v>#REF!</v>
      </c>
      <c r="GE51" t="e">
        <f>AND('BBP complete'!#REF!,"AAAAAAs9bro=")</f>
        <v>#REF!</v>
      </c>
      <c r="GF51" t="e">
        <f>AND('BBP complete'!#REF!,"AAAAAAs9brs=")</f>
        <v>#REF!</v>
      </c>
      <c r="GG51" t="e">
        <f>AND('BBP complete'!E683,"AAAAAAs9brw=")</f>
        <v>#VALUE!</v>
      </c>
      <c r="GH51" t="e">
        <f>AND('BBP complete'!#REF!,"AAAAAAs9br0=")</f>
        <v>#REF!</v>
      </c>
      <c r="GI51" t="e">
        <f>AND('BBP complete'!K683,"AAAAAAs9br4=")</f>
        <v>#VALUE!</v>
      </c>
      <c r="GJ51" t="e">
        <f>AND('BBP complete'!L682,"AAAAAAs9br8=")</f>
        <v>#VALUE!</v>
      </c>
      <c r="GK51" t="e">
        <f>AND('BBP complete'!#REF!,"AAAAAAs9bsA=")</f>
        <v>#REF!</v>
      </c>
      <c r="GL51" t="e">
        <f>AND('BBP complete'!#REF!,"AAAAAAs9bsE=")</f>
        <v>#REF!</v>
      </c>
      <c r="GM51" t="e">
        <f>AND('BBP complete'!#REF!,"AAAAAAs9bsI=")</f>
        <v>#REF!</v>
      </c>
      <c r="GN51" t="e">
        <f>AND('BBP complete'!D683,"AAAAAAs9bsM=")</f>
        <v>#VALUE!</v>
      </c>
      <c r="GO51" t="e">
        <f>AND('BBP complete'!F683,"AAAAAAs9bsQ=")</f>
        <v>#VALUE!</v>
      </c>
      <c r="GP51" t="e">
        <f>AND('BBP complete'!G683,"AAAAAAs9bsU=")</f>
        <v>#VALUE!</v>
      </c>
      <c r="GQ51" t="e">
        <f>AND('BBP complete'!H683,"AAAAAAs9bsY=")</f>
        <v>#VALUE!</v>
      </c>
      <c r="GR51" t="e">
        <f>AND('BBP complete'!I683,"AAAAAAs9bsc=")</f>
        <v>#VALUE!</v>
      </c>
      <c r="GS51" s="60" t="e">
        <v>#VALUE!</v>
      </c>
      <c r="GT51" t="e">
        <f>AND('BBP complete'!A684,"AAAAAAs9bsk=")</f>
        <v>#VALUE!</v>
      </c>
      <c r="GU51" t="e">
        <f>AND('BBP complete'!B684,"AAAAAAs9bso=")</f>
        <v>#VALUE!</v>
      </c>
      <c r="GV51" t="e">
        <f>AND('BBP complete'!C684,"AAAAAAs9bss=")</f>
        <v>#VALUE!</v>
      </c>
      <c r="GW51" t="e">
        <f>AND('BBP complete'!#REF!,"AAAAAAs9bsw=")</f>
        <v>#REF!</v>
      </c>
      <c r="GX51" t="e">
        <f>AND('BBP complete'!#REF!,"AAAAAAs9bs0=")</f>
        <v>#REF!</v>
      </c>
      <c r="GY51" t="e">
        <f>AND('BBP complete'!#REF!,"AAAAAAs9bs4=")</f>
        <v>#REF!</v>
      </c>
      <c r="GZ51" t="e">
        <f>AND('BBP complete'!E684,"AAAAAAs9bs8=")</f>
        <v>#VALUE!</v>
      </c>
      <c r="HA51" t="e">
        <f>AND('BBP complete'!#REF!,"AAAAAAs9btA=")</f>
        <v>#REF!</v>
      </c>
      <c r="HB51" t="e">
        <f>AND('BBP complete'!K684,"AAAAAAs9btE=")</f>
        <v>#VALUE!</v>
      </c>
      <c r="HC51" t="e">
        <f>AND('BBP complete'!M687,"AAAAAAs9btI=")</f>
        <v>#VALUE!</v>
      </c>
      <c r="HD51" t="e">
        <f>AND('BBP complete'!#REF!,"AAAAAAs9btM=")</f>
        <v>#REF!</v>
      </c>
      <c r="HE51" t="e">
        <f>AND('BBP complete'!#REF!,"AAAAAAs9btQ=")</f>
        <v>#REF!</v>
      </c>
      <c r="HF51" t="e">
        <f>AND('BBP complete'!#REF!,"AAAAAAs9btU=")</f>
        <v>#REF!</v>
      </c>
      <c r="HG51" t="e">
        <f>AND('BBP complete'!D684,"AAAAAAs9btY=")</f>
        <v>#VALUE!</v>
      </c>
      <c r="HH51" t="e">
        <f>AND('BBP complete'!F684,"AAAAAAs9btc=")</f>
        <v>#VALUE!</v>
      </c>
      <c r="HI51" t="e">
        <f>AND('BBP complete'!G684,"AAAAAAs9btg=")</f>
        <v>#VALUE!</v>
      </c>
      <c r="HJ51" t="e">
        <f>AND('BBP complete'!H684,"AAAAAAs9btk=")</f>
        <v>#VALUE!</v>
      </c>
      <c r="HK51" t="e">
        <f>AND('BBP complete'!I684,"AAAAAAs9bto=")</f>
        <v>#VALUE!</v>
      </c>
      <c r="HL51" s="60" t="e">
        <v>#VALUE!</v>
      </c>
      <c r="HM51" t="e">
        <f>AND('BBP complete'!A685,"AAAAAAs9btw=")</f>
        <v>#VALUE!</v>
      </c>
      <c r="HN51" t="e">
        <f>AND('BBP complete'!B685,"AAAAAAs9bt0=")</f>
        <v>#VALUE!</v>
      </c>
      <c r="HO51" t="e">
        <f>AND('BBP complete'!C685,"AAAAAAs9bt4=")</f>
        <v>#VALUE!</v>
      </c>
      <c r="HP51" t="e">
        <f>AND('BBP complete'!#REF!,"AAAAAAs9bt8=")</f>
        <v>#REF!</v>
      </c>
      <c r="HQ51" t="e">
        <f>AND('BBP complete'!#REF!,"AAAAAAs9buA=")</f>
        <v>#REF!</v>
      </c>
      <c r="HR51" t="e">
        <f>AND('BBP complete'!#REF!,"AAAAAAs9buE=")</f>
        <v>#REF!</v>
      </c>
      <c r="HS51" t="e">
        <f>AND('BBP complete'!E685,"AAAAAAs9buI=")</f>
        <v>#VALUE!</v>
      </c>
      <c r="HT51" t="e">
        <f>AND('BBP complete'!#REF!,"AAAAAAs9buM=")</f>
        <v>#REF!</v>
      </c>
      <c r="HU51" t="e">
        <f>AND('BBP complete'!K685,"AAAAAAs9buQ=")</f>
        <v>#VALUE!</v>
      </c>
      <c r="HV51" t="e">
        <f>AND('BBP complete'!#REF!,"AAAAAAs9buU=")</f>
        <v>#REF!</v>
      </c>
      <c r="HW51" t="e">
        <f>AND('BBP complete'!#REF!,"AAAAAAs9buY=")</f>
        <v>#REF!</v>
      </c>
      <c r="HX51" t="e">
        <f>AND('BBP complete'!#REF!,"AAAAAAs9buc=")</f>
        <v>#REF!</v>
      </c>
      <c r="HY51" t="e">
        <f>AND('BBP complete'!#REF!,"AAAAAAs9bug=")</f>
        <v>#REF!</v>
      </c>
      <c r="HZ51" t="e">
        <f>AND('BBP complete'!D685,"AAAAAAs9buk=")</f>
        <v>#VALUE!</v>
      </c>
      <c r="IA51" t="e">
        <f>AND('BBP complete'!F685,"AAAAAAs9buo=")</f>
        <v>#VALUE!</v>
      </c>
      <c r="IB51" t="e">
        <f>AND('BBP complete'!G685,"AAAAAAs9bus=")</f>
        <v>#VALUE!</v>
      </c>
      <c r="IC51" t="e">
        <f>AND('BBP complete'!H685,"AAAAAAs9buw=")</f>
        <v>#VALUE!</v>
      </c>
      <c r="ID51" t="e">
        <f>AND('BBP complete'!I685,"AAAAAAs9bu0=")</f>
        <v>#VALUE!</v>
      </c>
      <c r="IE51" s="60" t="e">
        <v>#VALUE!</v>
      </c>
      <c r="IF51" t="e">
        <f>AND('BBP complete'!A686,"AAAAAAs9bu8=")</f>
        <v>#VALUE!</v>
      </c>
      <c r="IG51" t="e">
        <f>AND('BBP complete'!B686,"AAAAAAs9bvA=")</f>
        <v>#VALUE!</v>
      </c>
      <c r="IH51" t="e">
        <f>AND('BBP complete'!C686,"AAAAAAs9bvE=")</f>
        <v>#VALUE!</v>
      </c>
      <c r="II51" t="e">
        <f>AND('BBP complete'!#REF!,"AAAAAAs9bvI=")</f>
        <v>#REF!</v>
      </c>
      <c r="IJ51" t="e">
        <f>AND('BBP complete'!#REF!,"AAAAAAs9bvM=")</f>
        <v>#REF!</v>
      </c>
      <c r="IK51" t="e">
        <f>AND('BBP complete'!#REF!,"AAAAAAs9bvQ=")</f>
        <v>#REF!</v>
      </c>
      <c r="IL51" t="e">
        <f>AND('BBP complete'!E686,"AAAAAAs9bvU=")</f>
        <v>#VALUE!</v>
      </c>
      <c r="IM51" t="e">
        <f>AND('BBP complete'!#REF!,"AAAAAAs9bvY=")</f>
        <v>#REF!</v>
      </c>
      <c r="IN51" t="e">
        <f>AND('BBP complete'!K686,"AAAAAAs9bvc=")</f>
        <v>#VALUE!</v>
      </c>
      <c r="IO51" t="e">
        <f>AND('BBP complete'!L685,"AAAAAAs9bvg=")</f>
        <v>#VALUE!</v>
      </c>
      <c r="IP51" t="e">
        <f>AND('BBP complete'!#REF!,"AAAAAAs9bvk=")</f>
        <v>#REF!</v>
      </c>
      <c r="IQ51" t="e">
        <f>AND('BBP complete'!#REF!,"AAAAAAs9bvo=")</f>
        <v>#REF!</v>
      </c>
      <c r="IR51" t="e">
        <f>AND('BBP complete'!#REF!,"AAAAAAs9bvs=")</f>
        <v>#REF!</v>
      </c>
      <c r="IS51" t="e">
        <f>AND('BBP complete'!D686,"AAAAAAs9bvw=")</f>
        <v>#VALUE!</v>
      </c>
      <c r="IT51" t="e">
        <f>AND('BBP complete'!F686,"AAAAAAs9bv0=")</f>
        <v>#VALUE!</v>
      </c>
      <c r="IU51" t="e">
        <f>AND('BBP complete'!G686,"AAAAAAs9bv4=")</f>
        <v>#VALUE!</v>
      </c>
      <c r="IV51" t="e">
        <f>AND('BBP complete'!H686,"AAAAAAs9bv8=")</f>
        <v>#VALUE!</v>
      </c>
    </row>
    <row r="52" spans="1:256" ht="15" customHeight="1" x14ac:dyDescent="0.25">
      <c r="A52" t="e">
        <f>AND('BBP complete'!I686,"AAAAAHeLvQA=")</f>
        <v>#VALUE!</v>
      </c>
      <c r="B52" s="60" t="e">
        <v>#VALUE!</v>
      </c>
      <c r="C52" t="e">
        <f>AND('BBP complete'!A687,"AAAAAHeLvQI=")</f>
        <v>#VALUE!</v>
      </c>
      <c r="D52" t="e">
        <f>AND('BBP complete'!B687,"AAAAAHeLvQM=")</f>
        <v>#VALUE!</v>
      </c>
      <c r="E52" t="e">
        <f>AND('BBP complete'!C687,"AAAAAHeLvQQ=")</f>
        <v>#VALUE!</v>
      </c>
      <c r="F52" t="e">
        <f>AND('BBP complete'!#REF!,"AAAAAHeLvQU=")</f>
        <v>#REF!</v>
      </c>
      <c r="G52" t="e">
        <f>AND('BBP complete'!#REF!,"AAAAAHeLvQY=")</f>
        <v>#REF!</v>
      </c>
      <c r="H52" t="e">
        <f>AND('BBP complete'!#REF!,"AAAAAHeLvQc=")</f>
        <v>#REF!</v>
      </c>
      <c r="I52" t="e">
        <f>AND('BBP complete'!E687,"AAAAAHeLvQg=")</f>
        <v>#VALUE!</v>
      </c>
      <c r="J52" t="e">
        <f>AND('BBP complete'!#REF!,"AAAAAHeLvQk=")</f>
        <v>#REF!</v>
      </c>
      <c r="K52" t="e">
        <f>AND('BBP complete'!K687,"AAAAAHeLvQo=")</f>
        <v>#VALUE!</v>
      </c>
      <c r="L52" t="e">
        <f>AND('BBP complete'!L686,"AAAAAHeLvQs=")</f>
        <v>#VALUE!</v>
      </c>
      <c r="M52" t="e">
        <f>AND('BBP complete'!#REF!,"AAAAAHeLvQw=")</f>
        <v>#REF!</v>
      </c>
      <c r="N52" t="e">
        <f>AND('BBP complete'!#REF!,"AAAAAHeLvQ0=")</f>
        <v>#REF!</v>
      </c>
      <c r="O52" t="e">
        <f>AND('BBP complete'!#REF!,"AAAAAHeLvQ4=")</f>
        <v>#REF!</v>
      </c>
      <c r="P52" t="e">
        <f>AND('BBP complete'!D687,"AAAAAHeLvQ8=")</f>
        <v>#VALUE!</v>
      </c>
      <c r="Q52" t="e">
        <f>AND('BBP complete'!F687,"AAAAAHeLvRA=")</f>
        <v>#VALUE!</v>
      </c>
      <c r="R52" t="e">
        <f>AND('BBP complete'!G687,"AAAAAHeLvRE=")</f>
        <v>#VALUE!</v>
      </c>
      <c r="S52" t="e">
        <f>AND('BBP complete'!H687,"AAAAAHeLvRI=")</f>
        <v>#VALUE!</v>
      </c>
      <c r="T52" t="e">
        <f>AND('BBP complete'!I687,"AAAAAHeLvRM=")</f>
        <v>#VALUE!</v>
      </c>
      <c r="U52" s="60" t="e">
        <v>#VALUE!</v>
      </c>
      <c r="V52" t="e">
        <f>AND('BBP complete'!A688,"AAAAAHeLvRU=")</f>
        <v>#VALUE!</v>
      </c>
      <c r="W52" t="e">
        <f>AND('BBP complete'!B688,"AAAAAHeLvRY=")</f>
        <v>#VALUE!</v>
      </c>
      <c r="X52" t="e">
        <f>AND('BBP complete'!C688,"AAAAAHeLvRc=")</f>
        <v>#VALUE!</v>
      </c>
      <c r="Y52" t="e">
        <f>AND('BBP complete'!#REF!,"AAAAAHeLvRg=")</f>
        <v>#REF!</v>
      </c>
      <c r="Z52" t="e">
        <f>AND('BBP complete'!#REF!,"AAAAAHeLvRk=")</f>
        <v>#REF!</v>
      </c>
      <c r="AA52" t="e">
        <f>AND('BBP complete'!#REF!,"AAAAAHeLvRo=")</f>
        <v>#REF!</v>
      </c>
      <c r="AB52" t="e">
        <f>AND('BBP complete'!E688,"AAAAAHeLvRs=")</f>
        <v>#VALUE!</v>
      </c>
      <c r="AC52" t="e">
        <f>AND('BBP complete'!#REF!,"AAAAAHeLvRw=")</f>
        <v>#REF!</v>
      </c>
      <c r="AD52" t="e">
        <f>AND('BBP complete'!K688,"AAAAAHeLvR0=")</f>
        <v>#VALUE!</v>
      </c>
      <c r="AE52" t="e">
        <f>AND('BBP complete'!L687,"AAAAAHeLvR4=")</f>
        <v>#VALUE!</v>
      </c>
      <c r="AF52" t="e">
        <f>AND('BBP complete'!#REF!,"AAAAAHeLvR8=")</f>
        <v>#REF!</v>
      </c>
      <c r="AG52" t="e">
        <f>AND('BBP complete'!#REF!,"AAAAAHeLvSA=")</f>
        <v>#REF!</v>
      </c>
      <c r="AH52" t="e">
        <f>AND('BBP complete'!#REF!,"AAAAAHeLvSE=")</f>
        <v>#REF!</v>
      </c>
      <c r="AI52" t="e">
        <f>AND('BBP complete'!D688,"AAAAAHeLvSI=")</f>
        <v>#VALUE!</v>
      </c>
      <c r="AJ52" t="e">
        <f>AND('BBP complete'!F688,"AAAAAHeLvSM=")</f>
        <v>#VALUE!</v>
      </c>
      <c r="AK52" t="e">
        <f>AND('BBP complete'!G688,"AAAAAHeLvSQ=")</f>
        <v>#VALUE!</v>
      </c>
      <c r="AL52" t="e">
        <f>AND('BBP complete'!H688,"AAAAAHeLvSU=")</f>
        <v>#VALUE!</v>
      </c>
      <c r="AM52" t="e">
        <f>AND('BBP complete'!I688,"AAAAAHeLvSY=")</f>
        <v>#VALUE!</v>
      </c>
      <c r="AN52" s="60" t="e">
        <v>#VALUE!</v>
      </c>
      <c r="AO52" t="e">
        <f>AND('BBP complete'!A689,"AAAAAHeLvSg=")</f>
        <v>#VALUE!</v>
      </c>
      <c r="AP52" t="e">
        <f>AND('BBP complete'!B689,"AAAAAHeLvSk=")</f>
        <v>#VALUE!</v>
      </c>
      <c r="AQ52" t="e">
        <f>AND('BBP complete'!C689,"AAAAAHeLvSo=")</f>
        <v>#VALUE!</v>
      </c>
      <c r="AR52" t="e">
        <f>AND('BBP complete'!#REF!,"AAAAAHeLvSs=")</f>
        <v>#REF!</v>
      </c>
      <c r="AS52" t="e">
        <f>AND('BBP complete'!#REF!,"AAAAAHeLvSw=")</f>
        <v>#REF!</v>
      </c>
      <c r="AT52" t="e">
        <f>AND('BBP complete'!#REF!,"AAAAAHeLvS0=")</f>
        <v>#REF!</v>
      </c>
      <c r="AU52" t="e">
        <f>AND('BBP complete'!E689,"AAAAAHeLvS4=")</f>
        <v>#VALUE!</v>
      </c>
      <c r="AV52" t="e">
        <f>AND('BBP complete'!#REF!,"AAAAAHeLvS8=")</f>
        <v>#REF!</v>
      </c>
      <c r="AW52" t="e">
        <f>AND('BBP complete'!K689,"AAAAAHeLvTA=")</f>
        <v>#VALUE!</v>
      </c>
      <c r="AX52" t="e">
        <f>AND('BBP complete'!L688,"AAAAAHeLvTE=")</f>
        <v>#VALUE!</v>
      </c>
      <c r="AY52" t="e">
        <f>AND('BBP complete'!#REF!,"AAAAAHeLvTI=")</f>
        <v>#REF!</v>
      </c>
      <c r="AZ52" t="e">
        <f>AND('BBP complete'!#REF!,"AAAAAHeLvTM=")</f>
        <v>#REF!</v>
      </c>
      <c r="BA52" t="e">
        <f>AND('BBP complete'!#REF!,"AAAAAHeLvTQ=")</f>
        <v>#REF!</v>
      </c>
      <c r="BB52" t="e">
        <f>AND('BBP complete'!D689,"AAAAAHeLvTU=")</f>
        <v>#VALUE!</v>
      </c>
      <c r="BC52" t="e">
        <f>AND('BBP complete'!F689,"AAAAAHeLvTY=")</f>
        <v>#VALUE!</v>
      </c>
      <c r="BD52" t="e">
        <f>AND('BBP complete'!G689,"AAAAAHeLvTc=")</f>
        <v>#VALUE!</v>
      </c>
      <c r="BE52" t="e">
        <f>AND('BBP complete'!H689,"AAAAAHeLvTg=")</f>
        <v>#VALUE!</v>
      </c>
      <c r="BF52" t="e">
        <f>AND('BBP complete'!I689,"AAAAAHeLvTk=")</f>
        <v>#VALUE!</v>
      </c>
      <c r="BG52" s="60" t="e">
        <v>#VALUE!</v>
      </c>
      <c r="BH52" t="e">
        <f>AND('BBP complete'!A690,"AAAAAHeLvTs=")</f>
        <v>#VALUE!</v>
      </c>
      <c r="BI52" t="e">
        <f>AND('BBP complete'!B690,"AAAAAHeLvTw=")</f>
        <v>#VALUE!</v>
      </c>
      <c r="BJ52" t="e">
        <f>AND('BBP complete'!C690,"AAAAAHeLvT0=")</f>
        <v>#VALUE!</v>
      </c>
      <c r="BK52" t="e">
        <f>AND('BBP complete'!#REF!,"AAAAAHeLvT4=")</f>
        <v>#REF!</v>
      </c>
      <c r="BL52" t="e">
        <f>AND('BBP complete'!#REF!,"AAAAAHeLvT8=")</f>
        <v>#REF!</v>
      </c>
      <c r="BM52" t="e">
        <f>AND('BBP complete'!#REF!,"AAAAAHeLvUA=")</f>
        <v>#REF!</v>
      </c>
      <c r="BN52" t="e">
        <f>AND('BBP complete'!E690,"AAAAAHeLvUE=")</f>
        <v>#VALUE!</v>
      </c>
      <c r="BO52" t="e">
        <f>AND('BBP complete'!#REF!,"AAAAAHeLvUI=")</f>
        <v>#REF!</v>
      </c>
      <c r="BP52" t="e">
        <f>AND('BBP complete'!K690,"AAAAAHeLvUM=")</f>
        <v>#VALUE!</v>
      </c>
      <c r="BQ52" t="e">
        <f>AND('BBP complete'!L689,"AAAAAHeLvUQ=")</f>
        <v>#VALUE!</v>
      </c>
      <c r="BR52" t="e">
        <f>AND('BBP complete'!#REF!,"AAAAAHeLvUU=")</f>
        <v>#REF!</v>
      </c>
      <c r="BS52" t="e">
        <f>AND('BBP complete'!#REF!,"AAAAAHeLvUY=")</f>
        <v>#REF!</v>
      </c>
      <c r="BT52" t="e">
        <f>AND('BBP complete'!#REF!,"AAAAAHeLvUc=")</f>
        <v>#REF!</v>
      </c>
      <c r="BU52" t="e">
        <f>AND('BBP complete'!D690,"AAAAAHeLvUg=")</f>
        <v>#VALUE!</v>
      </c>
      <c r="BV52" t="e">
        <f>AND('BBP complete'!F690,"AAAAAHeLvUk=")</f>
        <v>#VALUE!</v>
      </c>
      <c r="BW52" t="e">
        <f>AND('BBP complete'!G690,"AAAAAHeLvUo=")</f>
        <v>#VALUE!</v>
      </c>
      <c r="BX52" t="e">
        <f>AND('BBP complete'!H690,"AAAAAHeLvUs=")</f>
        <v>#VALUE!</v>
      </c>
      <c r="BY52" t="e">
        <f>AND('BBP complete'!I690,"AAAAAHeLvUw=")</f>
        <v>#VALUE!</v>
      </c>
      <c r="BZ52" s="60" t="e">
        <v>#VALUE!</v>
      </c>
      <c r="CA52" t="e">
        <f>AND('BBP complete'!A691,"AAAAAHeLvU4=")</f>
        <v>#VALUE!</v>
      </c>
      <c r="CB52" t="e">
        <f>AND('BBP complete'!B691,"AAAAAHeLvU8=")</f>
        <v>#VALUE!</v>
      </c>
      <c r="CC52" t="e">
        <f>AND('BBP complete'!C691,"AAAAAHeLvVA=")</f>
        <v>#VALUE!</v>
      </c>
      <c r="CD52" t="e">
        <f>AND('BBP complete'!#REF!,"AAAAAHeLvVE=")</f>
        <v>#REF!</v>
      </c>
      <c r="CE52" t="e">
        <f>AND('BBP complete'!#REF!,"AAAAAHeLvVI=")</f>
        <v>#REF!</v>
      </c>
      <c r="CF52" t="e">
        <f>AND('BBP complete'!#REF!,"AAAAAHeLvVM=")</f>
        <v>#REF!</v>
      </c>
      <c r="CG52" t="e">
        <f>AND('BBP complete'!E691,"AAAAAHeLvVQ=")</f>
        <v>#VALUE!</v>
      </c>
      <c r="CH52" t="e">
        <f>AND('BBP complete'!#REF!,"AAAAAHeLvVU=")</f>
        <v>#REF!</v>
      </c>
      <c r="CI52" t="e">
        <f>AND('BBP complete'!K691,"AAAAAHeLvVY=")</f>
        <v>#VALUE!</v>
      </c>
      <c r="CJ52" t="e">
        <f>AND('BBP complete'!#REF!,"AAAAAHeLvVc=")</f>
        <v>#REF!</v>
      </c>
      <c r="CK52" t="e">
        <f>AND('BBP complete'!#REF!,"AAAAAHeLvVg=")</f>
        <v>#REF!</v>
      </c>
      <c r="CL52" t="e">
        <f>AND('BBP complete'!#REF!,"AAAAAHeLvVk=")</f>
        <v>#REF!</v>
      </c>
      <c r="CM52" t="e">
        <f>AND('BBP complete'!#REF!,"AAAAAHeLvVo=")</f>
        <v>#REF!</v>
      </c>
      <c r="CN52" t="e">
        <f>AND('BBP complete'!D691,"AAAAAHeLvVs=")</f>
        <v>#VALUE!</v>
      </c>
      <c r="CO52" t="e">
        <f>AND('BBP complete'!F691,"AAAAAHeLvVw=")</f>
        <v>#VALUE!</v>
      </c>
      <c r="CP52" t="e">
        <f>AND('BBP complete'!G691,"AAAAAHeLvV0=")</f>
        <v>#VALUE!</v>
      </c>
      <c r="CQ52" t="e">
        <f>AND('BBP complete'!H691,"AAAAAHeLvV4=")</f>
        <v>#VALUE!</v>
      </c>
      <c r="CR52" t="e">
        <f>AND('BBP complete'!I691,"AAAAAHeLvV8=")</f>
        <v>#VALUE!</v>
      </c>
      <c r="CS52" s="60" t="e">
        <v>#VALUE!</v>
      </c>
      <c r="CT52" t="e">
        <f>AND('BBP complete'!A692,"AAAAAHeLvWE=")</f>
        <v>#VALUE!</v>
      </c>
      <c r="CU52" t="e">
        <f>AND('BBP complete'!B692,"AAAAAHeLvWI=")</f>
        <v>#VALUE!</v>
      </c>
      <c r="CV52" t="e">
        <f>AND('BBP complete'!C692,"AAAAAHeLvWM=")</f>
        <v>#VALUE!</v>
      </c>
      <c r="CW52" t="e">
        <f>AND('BBP complete'!#REF!,"AAAAAHeLvWQ=")</f>
        <v>#REF!</v>
      </c>
      <c r="CX52" t="e">
        <f>AND('BBP complete'!#REF!,"AAAAAHeLvWU=")</f>
        <v>#REF!</v>
      </c>
      <c r="CY52" t="e">
        <f>AND('BBP complete'!#REF!,"AAAAAHeLvWY=")</f>
        <v>#REF!</v>
      </c>
      <c r="CZ52" t="e">
        <f>AND('BBP complete'!E692,"AAAAAHeLvWc=")</f>
        <v>#VALUE!</v>
      </c>
      <c r="DA52" t="e">
        <f>AND('BBP complete'!#REF!,"AAAAAHeLvWg=")</f>
        <v>#REF!</v>
      </c>
      <c r="DB52" t="e">
        <f>AND('BBP complete'!K692,"AAAAAHeLvWk=")</f>
        <v>#VALUE!</v>
      </c>
      <c r="DC52" t="e">
        <f>AND('BBP complete'!L691,"AAAAAHeLvWo=")</f>
        <v>#VALUE!</v>
      </c>
      <c r="DD52" t="e">
        <f>AND('BBP complete'!#REF!,"AAAAAHeLvWs=")</f>
        <v>#REF!</v>
      </c>
      <c r="DE52" t="e">
        <f>AND('BBP complete'!#REF!,"AAAAAHeLvWw=")</f>
        <v>#REF!</v>
      </c>
      <c r="DF52" t="e">
        <f>AND('BBP complete'!#REF!,"AAAAAHeLvW0=")</f>
        <v>#REF!</v>
      </c>
      <c r="DG52" t="e">
        <f>AND('BBP complete'!D692,"AAAAAHeLvW4=")</f>
        <v>#VALUE!</v>
      </c>
      <c r="DH52" t="e">
        <f>AND('BBP complete'!F692,"AAAAAHeLvW8=")</f>
        <v>#VALUE!</v>
      </c>
      <c r="DI52" t="e">
        <f>AND('BBP complete'!G692,"AAAAAHeLvXA=")</f>
        <v>#VALUE!</v>
      </c>
      <c r="DJ52" t="e">
        <f>AND('BBP complete'!H692,"AAAAAHeLvXE=")</f>
        <v>#VALUE!</v>
      </c>
      <c r="DK52" t="e">
        <f>AND('BBP complete'!I692,"AAAAAHeLvXI=")</f>
        <v>#VALUE!</v>
      </c>
      <c r="DL52" s="60" t="e">
        <v>#VALUE!</v>
      </c>
      <c r="DM52" t="e">
        <f>AND('BBP complete'!A693,"AAAAAHeLvXQ=")</f>
        <v>#VALUE!</v>
      </c>
      <c r="DN52" t="e">
        <f>AND('BBP complete'!B693,"AAAAAHeLvXU=")</f>
        <v>#VALUE!</v>
      </c>
      <c r="DO52" t="e">
        <f>AND('BBP complete'!C693,"AAAAAHeLvXY=")</f>
        <v>#VALUE!</v>
      </c>
      <c r="DP52" t="e">
        <f>AND('BBP complete'!#REF!,"AAAAAHeLvXc=")</f>
        <v>#REF!</v>
      </c>
      <c r="DQ52" t="e">
        <f>AND('BBP complete'!#REF!,"AAAAAHeLvXg=")</f>
        <v>#REF!</v>
      </c>
      <c r="DR52" t="e">
        <f>AND('BBP complete'!#REF!,"AAAAAHeLvXk=")</f>
        <v>#REF!</v>
      </c>
      <c r="DS52" t="e">
        <f>AND('BBP complete'!E693,"AAAAAHeLvXo=")</f>
        <v>#VALUE!</v>
      </c>
      <c r="DT52" t="e">
        <f>AND('BBP complete'!#REF!,"AAAAAHeLvXs=")</f>
        <v>#REF!</v>
      </c>
      <c r="DU52" t="e">
        <f>AND('BBP complete'!K693,"AAAAAHeLvXw=")</f>
        <v>#VALUE!</v>
      </c>
      <c r="DV52" t="e">
        <f>AND('BBP complete'!L692,"AAAAAHeLvX0=")</f>
        <v>#VALUE!</v>
      </c>
      <c r="DW52" t="e">
        <f>AND('BBP complete'!#REF!,"AAAAAHeLvX4=")</f>
        <v>#REF!</v>
      </c>
      <c r="DX52" t="e">
        <f>AND('BBP complete'!#REF!,"AAAAAHeLvX8=")</f>
        <v>#REF!</v>
      </c>
      <c r="DY52" t="e">
        <f>AND('BBP complete'!#REF!,"AAAAAHeLvYA=")</f>
        <v>#REF!</v>
      </c>
      <c r="DZ52" t="e">
        <f>AND('BBP complete'!D693,"AAAAAHeLvYE=")</f>
        <v>#VALUE!</v>
      </c>
      <c r="EA52" t="e">
        <f>AND('BBP complete'!F693,"AAAAAHeLvYI=")</f>
        <v>#VALUE!</v>
      </c>
      <c r="EB52" t="e">
        <f>AND('BBP complete'!G693,"AAAAAHeLvYM=")</f>
        <v>#VALUE!</v>
      </c>
      <c r="EC52" t="e">
        <f>AND('BBP complete'!H693,"AAAAAHeLvYQ=")</f>
        <v>#VALUE!</v>
      </c>
      <c r="ED52" t="e">
        <f>AND('BBP complete'!I693,"AAAAAHeLvYU=")</f>
        <v>#VALUE!</v>
      </c>
      <c r="EE52" s="60" t="e">
        <v>#VALUE!</v>
      </c>
      <c r="EF52" t="e">
        <f>AND('BBP complete'!A694,"AAAAAHeLvYc=")</f>
        <v>#VALUE!</v>
      </c>
      <c r="EG52" t="e">
        <f>AND('BBP complete'!B694,"AAAAAHeLvYg=")</f>
        <v>#VALUE!</v>
      </c>
      <c r="EH52" t="e">
        <f>AND('BBP complete'!C694,"AAAAAHeLvYk=")</f>
        <v>#VALUE!</v>
      </c>
      <c r="EI52" t="e">
        <f>AND('BBP complete'!#REF!,"AAAAAHeLvYo=")</f>
        <v>#REF!</v>
      </c>
      <c r="EJ52" t="e">
        <f>AND('BBP complete'!#REF!,"AAAAAHeLvYs=")</f>
        <v>#REF!</v>
      </c>
      <c r="EK52" t="e">
        <f>AND('BBP complete'!#REF!,"AAAAAHeLvYw=")</f>
        <v>#REF!</v>
      </c>
      <c r="EL52" t="e">
        <f>AND('BBP complete'!E694,"AAAAAHeLvY0=")</f>
        <v>#VALUE!</v>
      </c>
      <c r="EM52" t="e">
        <f>AND('BBP complete'!#REF!,"AAAAAHeLvY4=")</f>
        <v>#REF!</v>
      </c>
      <c r="EN52" t="e">
        <f>AND('BBP complete'!K694,"AAAAAHeLvY8=")</f>
        <v>#VALUE!</v>
      </c>
      <c r="EO52" t="e">
        <f>AND('BBP complete'!L690,"AAAAAHeLvZA=")</f>
        <v>#VALUE!</v>
      </c>
      <c r="EP52" t="e">
        <f>AND('BBP complete'!#REF!,"AAAAAHeLvZE=")</f>
        <v>#REF!</v>
      </c>
      <c r="EQ52" t="e">
        <f>AND('BBP complete'!#REF!,"AAAAAHeLvZI=")</f>
        <v>#REF!</v>
      </c>
      <c r="ER52" t="e">
        <f>AND('BBP complete'!#REF!,"AAAAAHeLvZM=")</f>
        <v>#REF!</v>
      </c>
      <c r="ES52" t="e">
        <f>AND('BBP complete'!D694,"AAAAAHeLvZQ=")</f>
        <v>#VALUE!</v>
      </c>
      <c r="ET52" t="e">
        <f>AND('BBP complete'!F694,"AAAAAHeLvZU=")</f>
        <v>#VALUE!</v>
      </c>
      <c r="EU52" t="e">
        <f>AND('BBP complete'!G694,"AAAAAHeLvZY=")</f>
        <v>#VALUE!</v>
      </c>
      <c r="EV52" t="e">
        <f>AND('BBP complete'!H694,"AAAAAHeLvZc=")</f>
        <v>#VALUE!</v>
      </c>
      <c r="EW52" t="e">
        <f>AND('BBP complete'!I694,"AAAAAHeLvZg=")</f>
        <v>#VALUE!</v>
      </c>
      <c r="EX52" s="60" t="e">
        <v>#VALUE!</v>
      </c>
      <c r="EY52" t="e">
        <f>AND('BBP complete'!A695,"AAAAAHeLvZo=")</f>
        <v>#VALUE!</v>
      </c>
      <c r="EZ52" t="e">
        <f>AND('BBP complete'!B695,"AAAAAHeLvZs=")</f>
        <v>#VALUE!</v>
      </c>
      <c r="FA52" t="e">
        <f>AND('BBP complete'!C695,"AAAAAHeLvZw=")</f>
        <v>#VALUE!</v>
      </c>
      <c r="FB52" t="e">
        <f>AND('BBP complete'!#REF!,"AAAAAHeLvZ0=")</f>
        <v>#REF!</v>
      </c>
      <c r="FC52" t="e">
        <f>AND('BBP complete'!#REF!,"AAAAAHeLvZ4=")</f>
        <v>#REF!</v>
      </c>
      <c r="FD52" t="e">
        <f>AND('BBP complete'!#REF!,"AAAAAHeLvZ8=")</f>
        <v>#REF!</v>
      </c>
      <c r="FE52" t="e">
        <f>AND('BBP complete'!E695,"AAAAAHeLvaA=")</f>
        <v>#VALUE!</v>
      </c>
      <c r="FF52" t="e">
        <f>AND('BBP complete'!#REF!,"AAAAAHeLvaE=")</f>
        <v>#REF!</v>
      </c>
      <c r="FG52" t="e">
        <f>AND('BBP complete'!K695,"AAAAAHeLvaI=")</f>
        <v>#VALUE!</v>
      </c>
      <c r="FH52" t="e">
        <f>AND('BBP complete'!L694,"AAAAAHeLvaM=")</f>
        <v>#VALUE!</v>
      </c>
      <c r="FI52" t="e">
        <f>AND('BBP complete'!#REF!,"AAAAAHeLvaQ=")</f>
        <v>#REF!</v>
      </c>
      <c r="FJ52" t="e">
        <f>AND('BBP complete'!#REF!,"AAAAAHeLvaU=")</f>
        <v>#REF!</v>
      </c>
      <c r="FK52" t="e">
        <f>AND('BBP complete'!#REF!,"AAAAAHeLvaY=")</f>
        <v>#REF!</v>
      </c>
      <c r="FL52" t="e">
        <f>AND('BBP complete'!D695,"AAAAAHeLvac=")</f>
        <v>#VALUE!</v>
      </c>
      <c r="FM52" t="e">
        <f>AND('BBP complete'!F695,"AAAAAHeLvag=")</f>
        <v>#VALUE!</v>
      </c>
      <c r="FN52" t="e">
        <f>AND('BBP complete'!G695,"AAAAAHeLvak=")</f>
        <v>#VALUE!</v>
      </c>
      <c r="FO52" t="e">
        <f>AND('BBP complete'!H695,"AAAAAHeLvao=")</f>
        <v>#VALUE!</v>
      </c>
      <c r="FP52" t="e">
        <f>AND('BBP complete'!I695,"AAAAAHeLvas=")</f>
        <v>#VALUE!</v>
      </c>
      <c r="FQ52" s="60" t="e">
        <v>#VALUE!</v>
      </c>
      <c r="FR52" t="e">
        <f>AND('BBP complete'!A696,"AAAAAHeLva0=")</f>
        <v>#VALUE!</v>
      </c>
      <c r="FS52" t="e">
        <f>AND('BBP complete'!B696,"AAAAAHeLva4=")</f>
        <v>#VALUE!</v>
      </c>
      <c r="FT52" t="e">
        <f>AND('BBP complete'!C696,"AAAAAHeLva8=")</f>
        <v>#VALUE!</v>
      </c>
      <c r="FU52" t="e">
        <f>AND('BBP complete'!#REF!,"AAAAAHeLvbA=")</f>
        <v>#REF!</v>
      </c>
      <c r="FV52" t="e">
        <f>AND('BBP complete'!#REF!,"AAAAAHeLvbE=")</f>
        <v>#REF!</v>
      </c>
      <c r="FW52" t="e">
        <f>AND('BBP complete'!#REF!,"AAAAAHeLvbI=")</f>
        <v>#REF!</v>
      </c>
      <c r="FX52" t="e">
        <f>AND('BBP complete'!E696,"AAAAAHeLvbM=")</f>
        <v>#VALUE!</v>
      </c>
      <c r="FY52" t="e">
        <f>AND('BBP complete'!#REF!,"AAAAAHeLvbQ=")</f>
        <v>#REF!</v>
      </c>
      <c r="FZ52" t="e">
        <f>AND('BBP complete'!K696,"AAAAAHeLvbU=")</f>
        <v>#VALUE!</v>
      </c>
      <c r="GA52" t="e">
        <f>AND('BBP complete'!L695,"AAAAAHeLvbY=")</f>
        <v>#VALUE!</v>
      </c>
      <c r="GB52" t="e">
        <f>AND('BBP complete'!#REF!,"AAAAAHeLvbc=")</f>
        <v>#REF!</v>
      </c>
      <c r="GC52" t="e">
        <f>AND('BBP complete'!#REF!,"AAAAAHeLvbg=")</f>
        <v>#REF!</v>
      </c>
      <c r="GD52" t="e">
        <f>AND('BBP complete'!#REF!,"AAAAAHeLvbk=")</f>
        <v>#REF!</v>
      </c>
      <c r="GE52" t="e">
        <f>AND('BBP complete'!D696,"AAAAAHeLvbo=")</f>
        <v>#VALUE!</v>
      </c>
      <c r="GF52" t="e">
        <f>AND('BBP complete'!F696,"AAAAAHeLvbs=")</f>
        <v>#VALUE!</v>
      </c>
      <c r="GG52" t="e">
        <f>AND('BBP complete'!G696,"AAAAAHeLvbw=")</f>
        <v>#VALUE!</v>
      </c>
      <c r="GH52" t="e">
        <f>AND('BBP complete'!H696,"AAAAAHeLvb0=")</f>
        <v>#VALUE!</v>
      </c>
      <c r="GI52" t="e">
        <f>AND('BBP complete'!I696,"AAAAAHeLvb4=")</f>
        <v>#VALUE!</v>
      </c>
      <c r="GJ52" s="60" t="e">
        <v>#VALUE!</v>
      </c>
      <c r="GK52" t="e">
        <f>AND('BBP complete'!A697,"AAAAAHeLvcA=")</f>
        <v>#VALUE!</v>
      </c>
      <c r="GL52" t="e">
        <f>AND('BBP complete'!B697,"AAAAAHeLvcE=")</f>
        <v>#VALUE!</v>
      </c>
      <c r="GM52" t="e">
        <f>AND('BBP complete'!C697,"AAAAAHeLvcI=")</f>
        <v>#VALUE!</v>
      </c>
      <c r="GN52" t="e">
        <f>AND('BBP complete'!#REF!,"AAAAAHeLvcM=")</f>
        <v>#REF!</v>
      </c>
      <c r="GO52" t="e">
        <f>AND('BBP complete'!#REF!,"AAAAAHeLvcQ=")</f>
        <v>#REF!</v>
      </c>
      <c r="GP52" t="e">
        <f>AND('BBP complete'!#REF!,"AAAAAHeLvcU=")</f>
        <v>#REF!</v>
      </c>
      <c r="GQ52" t="e">
        <f>AND('BBP complete'!E697,"AAAAAHeLvcY=")</f>
        <v>#VALUE!</v>
      </c>
      <c r="GR52" t="e">
        <f>AND('BBP complete'!#REF!,"AAAAAHeLvcc=")</f>
        <v>#REF!</v>
      </c>
      <c r="GS52" t="e">
        <f>AND('BBP complete'!K697,"AAAAAHeLvcg=")</f>
        <v>#VALUE!</v>
      </c>
      <c r="GT52" t="e">
        <f>AND('BBP complete'!L696,"AAAAAHeLvck=")</f>
        <v>#VALUE!</v>
      </c>
      <c r="GU52" t="e">
        <f>AND('BBP complete'!#REF!,"AAAAAHeLvco=")</f>
        <v>#REF!</v>
      </c>
      <c r="GV52" t="e">
        <f>AND('BBP complete'!#REF!,"AAAAAHeLvcs=")</f>
        <v>#REF!</v>
      </c>
      <c r="GW52" t="e">
        <f>AND('BBP complete'!#REF!,"AAAAAHeLvcw=")</f>
        <v>#REF!</v>
      </c>
      <c r="GX52" t="e">
        <f>AND('BBP complete'!D697,"AAAAAHeLvc0=")</f>
        <v>#VALUE!</v>
      </c>
      <c r="GY52" t="e">
        <f>AND('BBP complete'!F697,"AAAAAHeLvc4=")</f>
        <v>#VALUE!</v>
      </c>
      <c r="GZ52" t="e">
        <f>AND('BBP complete'!G697,"AAAAAHeLvc8=")</f>
        <v>#VALUE!</v>
      </c>
      <c r="HA52" t="e">
        <f>AND('BBP complete'!H697,"AAAAAHeLvdA=")</f>
        <v>#VALUE!</v>
      </c>
      <c r="HB52" t="e">
        <f>AND('BBP complete'!I697,"AAAAAHeLvdE=")</f>
        <v>#VALUE!</v>
      </c>
      <c r="HC52" s="60" t="e">
        <v>#VALUE!</v>
      </c>
      <c r="HD52" t="e">
        <f>AND('BBP complete'!A698,"AAAAAHeLvdM=")</f>
        <v>#VALUE!</v>
      </c>
      <c r="HE52" t="e">
        <f>AND('BBP complete'!B698,"AAAAAHeLvdQ=")</f>
        <v>#VALUE!</v>
      </c>
      <c r="HF52" t="e">
        <f>AND('BBP complete'!C698,"AAAAAHeLvdU=")</f>
        <v>#VALUE!</v>
      </c>
      <c r="HG52" t="e">
        <f>AND('BBP complete'!#REF!,"AAAAAHeLvdY=")</f>
        <v>#REF!</v>
      </c>
      <c r="HH52" t="e">
        <f>AND('BBP complete'!#REF!,"AAAAAHeLvdc=")</f>
        <v>#REF!</v>
      </c>
      <c r="HI52" t="e">
        <f>AND('BBP complete'!#REF!,"AAAAAHeLvdg=")</f>
        <v>#REF!</v>
      </c>
      <c r="HJ52" t="e">
        <f>AND('BBP complete'!E698,"AAAAAHeLvdk=")</f>
        <v>#VALUE!</v>
      </c>
      <c r="HK52" t="e">
        <f>AND('BBP complete'!#REF!,"AAAAAHeLvdo=")</f>
        <v>#REF!</v>
      </c>
      <c r="HL52" t="e">
        <f>AND('BBP complete'!K698,"AAAAAHeLvds=")</f>
        <v>#VALUE!</v>
      </c>
      <c r="HM52" t="e">
        <f>AND('BBP complete'!M698,"AAAAAHeLvdw=")</f>
        <v>#VALUE!</v>
      </c>
      <c r="HN52" t="e">
        <f>AND('BBP complete'!#REF!,"AAAAAHeLvd0=")</f>
        <v>#REF!</v>
      </c>
      <c r="HO52" t="e">
        <f>AND('BBP complete'!#REF!,"AAAAAHeLvd4=")</f>
        <v>#REF!</v>
      </c>
      <c r="HP52" t="e">
        <f>AND('BBP complete'!#REF!,"AAAAAHeLvd8=")</f>
        <v>#REF!</v>
      </c>
      <c r="HQ52" t="e">
        <f>AND('BBP complete'!D698,"AAAAAHeLveA=")</f>
        <v>#VALUE!</v>
      </c>
      <c r="HR52" t="e">
        <f>AND('BBP complete'!F698,"AAAAAHeLveE=")</f>
        <v>#VALUE!</v>
      </c>
      <c r="HS52" t="e">
        <f>AND('BBP complete'!G698,"AAAAAHeLveI=")</f>
        <v>#VALUE!</v>
      </c>
      <c r="HT52" t="e">
        <f>AND('BBP complete'!H698,"AAAAAHeLveM=")</f>
        <v>#VALUE!</v>
      </c>
      <c r="HU52" t="e">
        <f>AND('BBP complete'!I698,"AAAAAHeLveQ=")</f>
        <v>#VALUE!</v>
      </c>
      <c r="HV52" s="60" t="e">
        <v>#VALUE!</v>
      </c>
      <c r="HW52" t="e">
        <f>AND('BBP complete'!A699,"AAAAAHeLveY=")</f>
        <v>#VALUE!</v>
      </c>
      <c r="HX52" t="e">
        <f>AND('BBP complete'!B699,"AAAAAHeLvec=")</f>
        <v>#VALUE!</v>
      </c>
      <c r="HY52" t="e">
        <f>AND('BBP complete'!C699,"AAAAAHeLveg=")</f>
        <v>#VALUE!</v>
      </c>
      <c r="HZ52" t="e">
        <f>AND('BBP complete'!#REF!,"AAAAAHeLvek=")</f>
        <v>#REF!</v>
      </c>
      <c r="IA52" t="e">
        <f>AND('BBP complete'!#REF!,"AAAAAHeLveo=")</f>
        <v>#REF!</v>
      </c>
      <c r="IB52" t="e">
        <f>AND('BBP complete'!#REF!,"AAAAAHeLves=")</f>
        <v>#REF!</v>
      </c>
      <c r="IC52" t="e">
        <f>AND('BBP complete'!E699,"AAAAAHeLvew=")</f>
        <v>#VALUE!</v>
      </c>
      <c r="ID52" t="e">
        <f>AND('BBP complete'!#REF!,"AAAAAHeLve0=")</f>
        <v>#REF!</v>
      </c>
      <c r="IE52" t="e">
        <f>AND('BBP complete'!K699,"AAAAAHeLve4=")</f>
        <v>#VALUE!</v>
      </c>
      <c r="IF52" t="e">
        <f>AND('BBP complete'!L698,"AAAAAHeLve8=")</f>
        <v>#VALUE!</v>
      </c>
      <c r="IG52" t="e">
        <f>AND('BBP complete'!#REF!,"AAAAAHeLvfA=")</f>
        <v>#REF!</v>
      </c>
      <c r="IH52" t="e">
        <f>AND('BBP complete'!#REF!,"AAAAAHeLvfE=")</f>
        <v>#REF!</v>
      </c>
      <c r="II52" t="e">
        <f>AND('BBP complete'!#REF!,"AAAAAHeLvfI=")</f>
        <v>#REF!</v>
      </c>
      <c r="IJ52" t="e">
        <f>AND('BBP complete'!D699,"AAAAAHeLvfM=")</f>
        <v>#VALUE!</v>
      </c>
      <c r="IK52" t="e">
        <f>AND('BBP complete'!F699,"AAAAAHeLvfQ=")</f>
        <v>#VALUE!</v>
      </c>
      <c r="IL52" t="e">
        <f>AND('BBP complete'!G699,"AAAAAHeLvfU=")</f>
        <v>#VALUE!</v>
      </c>
      <c r="IM52" t="e">
        <f>AND('BBP complete'!H699,"AAAAAHeLvfY=")</f>
        <v>#VALUE!</v>
      </c>
      <c r="IN52" t="e">
        <f>AND('BBP complete'!I699,"AAAAAHeLvfc=")</f>
        <v>#VALUE!</v>
      </c>
      <c r="IO52" s="60" t="e">
        <v>#VALUE!</v>
      </c>
      <c r="IP52" t="e">
        <f>AND('BBP complete'!A700,"AAAAAHeLvfk=")</f>
        <v>#VALUE!</v>
      </c>
      <c r="IQ52" t="e">
        <f>AND('BBP complete'!B700,"AAAAAHeLvfo=")</f>
        <v>#VALUE!</v>
      </c>
      <c r="IR52" t="e">
        <f>AND('BBP complete'!C700,"AAAAAHeLvfs=")</f>
        <v>#VALUE!</v>
      </c>
      <c r="IS52" t="e">
        <f>AND('BBP complete'!#REF!,"AAAAAHeLvfw=")</f>
        <v>#REF!</v>
      </c>
      <c r="IT52" t="e">
        <f>AND('BBP complete'!#REF!,"AAAAAHeLvf0=")</f>
        <v>#REF!</v>
      </c>
      <c r="IU52" t="e">
        <f>AND('BBP complete'!#REF!,"AAAAAHeLvf4=")</f>
        <v>#REF!</v>
      </c>
      <c r="IV52" t="e">
        <f>AND('BBP complete'!E700,"AAAAAHeLvf8=")</f>
        <v>#VALUE!</v>
      </c>
    </row>
    <row r="53" spans="1:256" ht="15" customHeight="1" x14ac:dyDescent="0.25">
      <c r="A53" t="e">
        <f>AND('BBP complete'!#REF!,"AAAAAHt+dwA=")</f>
        <v>#REF!</v>
      </c>
      <c r="B53" t="e">
        <f>AND('BBP complete'!K700,"AAAAAHt+dwE=")</f>
        <v>#VALUE!</v>
      </c>
      <c r="C53" t="e">
        <f>AND('BBP complete'!#REF!,"AAAAAHt+dwI=")</f>
        <v>#REF!</v>
      </c>
      <c r="D53" t="e">
        <f>AND('BBP complete'!#REF!,"AAAAAHt+dwM=")</f>
        <v>#REF!</v>
      </c>
      <c r="E53" t="e">
        <f>AND('BBP complete'!#REF!,"AAAAAHt+dwQ=")</f>
        <v>#REF!</v>
      </c>
      <c r="F53" t="e">
        <f>AND('BBP complete'!#REF!,"AAAAAHt+dwU=")</f>
        <v>#REF!</v>
      </c>
      <c r="G53" t="e">
        <f>AND('BBP complete'!D700,"AAAAAHt+dwY=")</f>
        <v>#VALUE!</v>
      </c>
      <c r="H53" t="e">
        <f>AND('BBP complete'!F700,"AAAAAHt+dwc=")</f>
        <v>#VALUE!</v>
      </c>
      <c r="I53" t="e">
        <f>AND('BBP complete'!G700,"AAAAAHt+dwg=")</f>
        <v>#VALUE!</v>
      </c>
      <c r="J53" t="e">
        <f>AND('BBP complete'!H700,"AAAAAHt+dwk=")</f>
        <v>#VALUE!</v>
      </c>
      <c r="K53" t="e">
        <f>AND('BBP complete'!I700,"AAAAAHt+dwo=")</f>
        <v>#VALUE!</v>
      </c>
      <c r="L53" s="60" t="e">
        <v>#VALUE!</v>
      </c>
      <c r="M53" t="e">
        <f>AND('BBP complete'!A701,"AAAAAHt+dww=")</f>
        <v>#VALUE!</v>
      </c>
      <c r="N53" t="e">
        <f>AND('BBP complete'!B701,"AAAAAHt+dw0=")</f>
        <v>#VALUE!</v>
      </c>
      <c r="O53" t="e">
        <f>AND('BBP complete'!C701,"AAAAAHt+dw4=")</f>
        <v>#VALUE!</v>
      </c>
      <c r="P53" t="e">
        <f>AND('BBP complete'!#REF!,"AAAAAHt+dw8=")</f>
        <v>#REF!</v>
      </c>
      <c r="Q53" t="e">
        <f>AND('BBP complete'!#REF!,"AAAAAHt+dxA=")</f>
        <v>#REF!</v>
      </c>
      <c r="R53" t="e">
        <f>AND('BBP complete'!#REF!,"AAAAAHt+dxE=")</f>
        <v>#REF!</v>
      </c>
      <c r="S53" t="e">
        <f>AND('BBP complete'!E701,"AAAAAHt+dxI=")</f>
        <v>#VALUE!</v>
      </c>
      <c r="T53" t="e">
        <f>AND('BBP complete'!#REF!,"AAAAAHt+dxM=")</f>
        <v>#REF!</v>
      </c>
      <c r="U53" t="e">
        <f>AND('BBP complete'!K701,"AAAAAHt+dxQ=")</f>
        <v>#VALUE!</v>
      </c>
      <c r="V53" t="e">
        <f>AND('BBP complete'!L702,"AAAAAHt+dxU=")</f>
        <v>#VALUE!</v>
      </c>
      <c r="W53" t="e">
        <f>AND('BBP complete'!#REF!,"AAAAAHt+dxY=")</f>
        <v>#REF!</v>
      </c>
      <c r="X53" t="e">
        <f>AND('BBP complete'!#REF!,"AAAAAHt+dxc=")</f>
        <v>#REF!</v>
      </c>
      <c r="Y53" t="e">
        <f>AND('BBP complete'!#REF!,"AAAAAHt+dxg=")</f>
        <v>#REF!</v>
      </c>
      <c r="Z53" t="e">
        <f>AND('BBP complete'!D701,"AAAAAHt+dxk=")</f>
        <v>#VALUE!</v>
      </c>
      <c r="AA53" t="e">
        <f>AND('BBP complete'!F701,"AAAAAHt+dxo=")</f>
        <v>#VALUE!</v>
      </c>
      <c r="AB53" t="e">
        <f>AND('BBP complete'!G701,"AAAAAHt+dxs=")</f>
        <v>#VALUE!</v>
      </c>
      <c r="AC53" t="e">
        <f>AND('BBP complete'!H701,"AAAAAHt+dxw=")</f>
        <v>#VALUE!</v>
      </c>
      <c r="AD53" t="e">
        <f>AND('BBP complete'!I701,"AAAAAHt+dx0=")</f>
        <v>#VALUE!</v>
      </c>
      <c r="AE53" s="60" t="e">
        <v>#VALUE!</v>
      </c>
      <c r="AF53" t="e">
        <f>AND('BBP complete'!A702,"AAAAAHt+dx8=")</f>
        <v>#VALUE!</v>
      </c>
      <c r="AG53" t="e">
        <f>AND('BBP complete'!B702,"AAAAAHt+dyA=")</f>
        <v>#VALUE!</v>
      </c>
      <c r="AH53" t="e">
        <f>AND('BBP complete'!C702,"AAAAAHt+dyE=")</f>
        <v>#VALUE!</v>
      </c>
      <c r="AI53" t="e">
        <f>AND('BBP complete'!#REF!,"AAAAAHt+dyI=")</f>
        <v>#REF!</v>
      </c>
      <c r="AJ53" t="e">
        <f>AND('BBP complete'!#REF!,"AAAAAHt+dyM=")</f>
        <v>#REF!</v>
      </c>
      <c r="AK53" t="e">
        <f>AND('BBP complete'!#REF!,"AAAAAHt+dyQ=")</f>
        <v>#REF!</v>
      </c>
      <c r="AL53" t="e">
        <f>AND('BBP complete'!E702,"AAAAAHt+dyU=")</f>
        <v>#VALUE!</v>
      </c>
      <c r="AM53" t="e">
        <f>AND('BBP complete'!#REF!,"AAAAAHt+dyY=")</f>
        <v>#REF!</v>
      </c>
      <c r="AN53" t="e">
        <f>AND('BBP complete'!K702,"AAAAAHt+dyc=")</f>
        <v>#VALUE!</v>
      </c>
      <c r="AO53" t="e">
        <f>AND('BBP complete'!L703,"AAAAAHt+dyg=")</f>
        <v>#VALUE!</v>
      </c>
      <c r="AP53" t="e">
        <f>AND('BBP complete'!#REF!,"AAAAAHt+dyk=")</f>
        <v>#REF!</v>
      </c>
      <c r="AQ53" t="e">
        <f>AND('BBP complete'!#REF!,"AAAAAHt+dyo=")</f>
        <v>#REF!</v>
      </c>
      <c r="AR53" t="e">
        <f>AND('BBP complete'!#REF!,"AAAAAHt+dys=")</f>
        <v>#REF!</v>
      </c>
      <c r="AS53" t="e">
        <f>AND('BBP complete'!D702,"AAAAAHt+dyw=")</f>
        <v>#VALUE!</v>
      </c>
      <c r="AT53" t="e">
        <f>AND('BBP complete'!F702,"AAAAAHt+dy0=")</f>
        <v>#VALUE!</v>
      </c>
      <c r="AU53" t="e">
        <f>AND('BBP complete'!G702,"AAAAAHt+dy4=")</f>
        <v>#VALUE!</v>
      </c>
      <c r="AV53" t="e">
        <f>AND('BBP complete'!H702,"AAAAAHt+dy8=")</f>
        <v>#VALUE!</v>
      </c>
      <c r="AW53" t="e">
        <f>AND('BBP complete'!I702,"AAAAAHt+dzA=")</f>
        <v>#VALUE!</v>
      </c>
      <c r="AX53" s="60" t="e">
        <v>#VALUE!</v>
      </c>
      <c r="AY53" t="e">
        <f>AND('BBP complete'!A703,"AAAAAHt+dzI=")</f>
        <v>#VALUE!</v>
      </c>
      <c r="AZ53" t="e">
        <f>AND('BBP complete'!B703,"AAAAAHt+dzM=")</f>
        <v>#VALUE!</v>
      </c>
      <c r="BA53" t="e">
        <f>AND('BBP complete'!C703,"AAAAAHt+dzQ=")</f>
        <v>#VALUE!</v>
      </c>
      <c r="BB53" t="e">
        <f>AND('BBP complete'!#REF!,"AAAAAHt+dzU=")</f>
        <v>#REF!</v>
      </c>
      <c r="BC53" t="e">
        <f>AND('BBP complete'!#REF!,"AAAAAHt+dzY=")</f>
        <v>#REF!</v>
      </c>
      <c r="BD53" t="e">
        <f>AND('BBP complete'!#REF!,"AAAAAHt+dzc=")</f>
        <v>#REF!</v>
      </c>
      <c r="BE53" t="e">
        <f>AND('BBP complete'!E703,"AAAAAHt+dzg=")</f>
        <v>#VALUE!</v>
      </c>
      <c r="BF53" t="e">
        <f>AND('BBP complete'!#REF!,"AAAAAHt+dzk=")</f>
        <v>#REF!</v>
      </c>
      <c r="BG53" t="e">
        <f>AND('BBP complete'!K703,"AAAAAHt+dzo=")</f>
        <v>#VALUE!</v>
      </c>
      <c r="BH53" t="e">
        <f>AND('BBP complete'!#REF!,"AAAAAHt+dzs=")</f>
        <v>#REF!</v>
      </c>
      <c r="BI53" t="e">
        <f>AND('BBP complete'!#REF!,"AAAAAHt+dzw=")</f>
        <v>#REF!</v>
      </c>
      <c r="BJ53" t="e">
        <f>AND('BBP complete'!#REF!,"AAAAAHt+dz0=")</f>
        <v>#REF!</v>
      </c>
      <c r="BK53" t="e">
        <f>AND('BBP complete'!#REF!,"AAAAAHt+dz4=")</f>
        <v>#REF!</v>
      </c>
      <c r="BL53" t="e">
        <f>AND('BBP complete'!D703,"AAAAAHt+dz8=")</f>
        <v>#VALUE!</v>
      </c>
      <c r="BM53" t="e">
        <f>AND('BBP complete'!F703,"AAAAAHt+d0A=")</f>
        <v>#VALUE!</v>
      </c>
      <c r="BN53" t="e">
        <f>AND('BBP complete'!G703,"AAAAAHt+d0E=")</f>
        <v>#VALUE!</v>
      </c>
      <c r="BO53" t="e">
        <f>AND('BBP complete'!H703,"AAAAAHt+d0I=")</f>
        <v>#VALUE!</v>
      </c>
      <c r="BP53" t="e">
        <f>AND('BBP complete'!I703,"AAAAAHt+d0M=")</f>
        <v>#VALUE!</v>
      </c>
      <c r="BQ53" s="60" t="e">
        <v>#VALUE!</v>
      </c>
      <c r="BR53" t="e">
        <f>AND('BBP complete'!A704,"AAAAAHt+d0U=")</f>
        <v>#VALUE!</v>
      </c>
      <c r="BS53" t="e">
        <f>AND('BBP complete'!B704,"AAAAAHt+d0Y=")</f>
        <v>#VALUE!</v>
      </c>
      <c r="BT53" t="e">
        <f>AND('BBP complete'!C704,"AAAAAHt+d0c=")</f>
        <v>#VALUE!</v>
      </c>
      <c r="BU53" t="e">
        <f>AND('BBP complete'!#REF!,"AAAAAHt+d0g=")</f>
        <v>#REF!</v>
      </c>
      <c r="BV53" t="e">
        <f>AND('BBP complete'!#REF!,"AAAAAHt+d0k=")</f>
        <v>#REF!</v>
      </c>
      <c r="BW53" t="e">
        <f>AND('BBP complete'!#REF!,"AAAAAHt+d0o=")</f>
        <v>#REF!</v>
      </c>
      <c r="BX53" t="e">
        <f>AND('BBP complete'!E704,"AAAAAHt+d0s=")</f>
        <v>#VALUE!</v>
      </c>
      <c r="BY53" t="e">
        <f>AND('BBP complete'!#REF!,"AAAAAHt+d0w=")</f>
        <v>#REF!</v>
      </c>
      <c r="BZ53" t="e">
        <f>AND('BBP complete'!K704,"AAAAAHt+d00=")</f>
        <v>#VALUE!</v>
      </c>
      <c r="CA53" t="e">
        <f>AND('BBP complete'!#REF!,"AAAAAHt+d04=")</f>
        <v>#REF!</v>
      </c>
      <c r="CB53" t="e">
        <f>AND('BBP complete'!#REF!,"AAAAAHt+d08=")</f>
        <v>#REF!</v>
      </c>
      <c r="CC53" t="e">
        <f>AND('BBP complete'!#REF!,"AAAAAHt+d1A=")</f>
        <v>#REF!</v>
      </c>
      <c r="CD53" t="e">
        <f>AND('BBP complete'!#REF!,"AAAAAHt+d1E=")</f>
        <v>#REF!</v>
      </c>
      <c r="CE53" t="e">
        <f>AND('BBP complete'!D704,"AAAAAHt+d1I=")</f>
        <v>#VALUE!</v>
      </c>
      <c r="CF53" t="e">
        <f>AND('BBP complete'!F704,"AAAAAHt+d1M=")</f>
        <v>#VALUE!</v>
      </c>
      <c r="CG53" t="e">
        <f>AND('BBP complete'!G704,"AAAAAHt+d1Q=")</f>
        <v>#VALUE!</v>
      </c>
      <c r="CH53" t="e">
        <f>AND('BBP complete'!H704,"AAAAAHt+d1U=")</f>
        <v>#VALUE!</v>
      </c>
      <c r="CI53" t="e">
        <f>AND('BBP complete'!I704,"AAAAAHt+d1Y=")</f>
        <v>#VALUE!</v>
      </c>
      <c r="CJ53" s="60" t="e">
        <v>#VALUE!</v>
      </c>
      <c r="CK53" t="e">
        <f>AND('BBP complete'!A705,"AAAAAHt+d1g=")</f>
        <v>#VALUE!</v>
      </c>
      <c r="CL53" t="e">
        <f>AND('BBP complete'!B705,"AAAAAHt+d1k=")</f>
        <v>#VALUE!</v>
      </c>
      <c r="CM53" t="e">
        <f>AND('BBP complete'!C705,"AAAAAHt+d1o=")</f>
        <v>#VALUE!</v>
      </c>
      <c r="CN53" t="e">
        <f>AND('BBP complete'!#REF!,"AAAAAHt+d1s=")</f>
        <v>#REF!</v>
      </c>
      <c r="CO53" t="e">
        <f>AND('BBP complete'!#REF!,"AAAAAHt+d1w=")</f>
        <v>#REF!</v>
      </c>
      <c r="CP53" t="e">
        <f>AND('BBP complete'!#REF!,"AAAAAHt+d10=")</f>
        <v>#REF!</v>
      </c>
      <c r="CQ53" t="e">
        <f>AND('BBP complete'!E705,"AAAAAHt+d14=")</f>
        <v>#VALUE!</v>
      </c>
      <c r="CR53" t="e">
        <f>AND('BBP complete'!#REF!,"AAAAAHt+d18=")</f>
        <v>#REF!</v>
      </c>
      <c r="CS53" t="e">
        <f>AND('BBP complete'!K705,"AAAAAHt+d2A=")</f>
        <v>#VALUE!</v>
      </c>
      <c r="CT53" t="e">
        <f>AND('BBP complete'!M706,"AAAAAHt+d2E=")</f>
        <v>#VALUE!</v>
      </c>
      <c r="CU53" t="e">
        <f>AND('BBP complete'!#REF!,"AAAAAHt+d2I=")</f>
        <v>#REF!</v>
      </c>
      <c r="CV53" t="e">
        <f>AND('BBP complete'!#REF!,"AAAAAHt+d2M=")</f>
        <v>#REF!</v>
      </c>
      <c r="CW53" t="e">
        <f>AND('BBP complete'!#REF!,"AAAAAHt+d2Q=")</f>
        <v>#REF!</v>
      </c>
      <c r="CX53" t="e">
        <f>AND('BBP complete'!D705,"AAAAAHt+d2U=")</f>
        <v>#VALUE!</v>
      </c>
      <c r="CY53" t="e">
        <f>AND('BBP complete'!F705,"AAAAAHt+d2Y=")</f>
        <v>#VALUE!</v>
      </c>
      <c r="CZ53" t="e">
        <f>AND('BBP complete'!G705,"AAAAAHt+d2c=")</f>
        <v>#VALUE!</v>
      </c>
      <c r="DA53" t="e">
        <f>AND('BBP complete'!H705,"AAAAAHt+d2g=")</f>
        <v>#VALUE!</v>
      </c>
      <c r="DB53" t="e">
        <f>AND('BBP complete'!I705,"AAAAAHt+d2k=")</f>
        <v>#VALUE!</v>
      </c>
      <c r="DC53" s="60" t="e">
        <v>#VALUE!</v>
      </c>
      <c r="DD53" t="e">
        <f>AND('BBP complete'!A706,"AAAAAHt+d2s=")</f>
        <v>#VALUE!</v>
      </c>
      <c r="DE53" t="e">
        <f>AND('BBP complete'!B706,"AAAAAHt+d2w=")</f>
        <v>#VALUE!</v>
      </c>
      <c r="DF53" t="e">
        <f>AND('BBP complete'!C706,"AAAAAHt+d20=")</f>
        <v>#VALUE!</v>
      </c>
      <c r="DG53" t="e">
        <f>AND('BBP complete'!#REF!,"AAAAAHt+d24=")</f>
        <v>#REF!</v>
      </c>
      <c r="DH53" t="e">
        <f>AND('BBP complete'!#REF!,"AAAAAHt+d28=")</f>
        <v>#REF!</v>
      </c>
      <c r="DI53" t="e">
        <f>AND('BBP complete'!#REF!,"AAAAAHt+d3A=")</f>
        <v>#REF!</v>
      </c>
      <c r="DJ53" t="e">
        <f>AND('BBP complete'!E706,"AAAAAHt+d3E=")</f>
        <v>#VALUE!</v>
      </c>
      <c r="DK53" t="e">
        <f>AND('BBP complete'!#REF!,"AAAAAHt+d3I=")</f>
        <v>#REF!</v>
      </c>
      <c r="DL53" t="e">
        <f>AND('BBP complete'!K706,"AAAAAHt+d3M=")</f>
        <v>#VALUE!</v>
      </c>
      <c r="DM53" t="e">
        <f>AND('BBP complete'!L706,"AAAAAHt+d3Q=")</f>
        <v>#VALUE!</v>
      </c>
      <c r="DN53" t="e">
        <f>AND('BBP complete'!#REF!,"AAAAAHt+d3U=")</f>
        <v>#REF!</v>
      </c>
      <c r="DO53" t="e">
        <f>AND('BBP complete'!#REF!,"AAAAAHt+d3Y=")</f>
        <v>#REF!</v>
      </c>
      <c r="DP53" t="e">
        <f>AND('BBP complete'!#REF!,"AAAAAHt+d3c=")</f>
        <v>#REF!</v>
      </c>
      <c r="DQ53" t="e">
        <f>AND('BBP complete'!D706,"AAAAAHt+d3g=")</f>
        <v>#VALUE!</v>
      </c>
      <c r="DR53" t="e">
        <f>AND('BBP complete'!F706,"AAAAAHt+d3k=")</f>
        <v>#VALUE!</v>
      </c>
      <c r="DS53" t="e">
        <f>AND('BBP complete'!G706,"AAAAAHt+d3o=")</f>
        <v>#VALUE!</v>
      </c>
      <c r="DT53" t="e">
        <f>AND('BBP complete'!H706,"AAAAAHt+d3s=")</f>
        <v>#VALUE!</v>
      </c>
      <c r="DU53" t="e">
        <f>AND('BBP complete'!I706,"AAAAAHt+d3w=")</f>
        <v>#VALUE!</v>
      </c>
      <c r="DV53" s="60" t="e">
        <v>#VALUE!</v>
      </c>
      <c r="DW53" t="e">
        <f>AND('BBP complete'!A707,"AAAAAHt+d34=")</f>
        <v>#VALUE!</v>
      </c>
      <c r="DX53" t="e">
        <f>AND('BBP complete'!B707,"AAAAAHt+d38=")</f>
        <v>#VALUE!</v>
      </c>
      <c r="DY53" t="e">
        <f>AND('BBP complete'!C707,"AAAAAHt+d4A=")</f>
        <v>#VALUE!</v>
      </c>
      <c r="DZ53" t="e">
        <f>AND('BBP complete'!#REF!,"AAAAAHt+d4E=")</f>
        <v>#REF!</v>
      </c>
      <c r="EA53" t="e">
        <f>AND('BBP complete'!#REF!,"AAAAAHt+d4I=")</f>
        <v>#REF!</v>
      </c>
      <c r="EB53" t="e">
        <f>AND('BBP complete'!#REF!,"AAAAAHt+d4M=")</f>
        <v>#REF!</v>
      </c>
      <c r="EC53" t="e">
        <f>AND('BBP complete'!E707,"AAAAAHt+d4Q=")</f>
        <v>#VALUE!</v>
      </c>
      <c r="ED53" t="e">
        <f>AND('BBP complete'!#REF!,"AAAAAHt+d4U=")</f>
        <v>#REF!</v>
      </c>
      <c r="EE53" t="e">
        <f>AND('BBP complete'!K707,"AAAAAHt+d4Y=")</f>
        <v>#VALUE!</v>
      </c>
      <c r="EF53" t="e">
        <f>AND('BBP complete'!M710,"AAAAAHt+d4c=")</f>
        <v>#VALUE!</v>
      </c>
      <c r="EG53" t="e">
        <f>AND('BBP complete'!#REF!,"AAAAAHt+d4g=")</f>
        <v>#REF!</v>
      </c>
      <c r="EH53" t="e">
        <f>AND('BBP complete'!#REF!,"AAAAAHt+d4k=")</f>
        <v>#REF!</v>
      </c>
      <c r="EI53" t="e">
        <f>AND('BBP complete'!#REF!,"AAAAAHt+d4o=")</f>
        <v>#REF!</v>
      </c>
      <c r="EJ53" t="e">
        <f>AND('BBP complete'!D707,"AAAAAHt+d4s=")</f>
        <v>#VALUE!</v>
      </c>
      <c r="EK53" t="e">
        <f>AND('BBP complete'!F707,"AAAAAHt+d4w=")</f>
        <v>#VALUE!</v>
      </c>
      <c r="EL53" t="e">
        <f>AND('BBP complete'!G707,"AAAAAHt+d40=")</f>
        <v>#VALUE!</v>
      </c>
      <c r="EM53" t="e">
        <f>AND('BBP complete'!H707,"AAAAAHt+d44=")</f>
        <v>#VALUE!</v>
      </c>
      <c r="EN53" t="e">
        <f>AND('BBP complete'!I707,"AAAAAHt+d48=")</f>
        <v>#VALUE!</v>
      </c>
      <c r="EO53" s="60" t="e">
        <v>#VALUE!</v>
      </c>
      <c r="EP53" t="e">
        <f>AND('BBP complete'!A708,"AAAAAHt+d5E=")</f>
        <v>#VALUE!</v>
      </c>
      <c r="EQ53" t="e">
        <f>AND('BBP complete'!B708,"AAAAAHt+d5I=")</f>
        <v>#VALUE!</v>
      </c>
      <c r="ER53" t="e">
        <f>AND('BBP complete'!C708,"AAAAAHt+d5M=")</f>
        <v>#VALUE!</v>
      </c>
      <c r="ES53" t="e">
        <f>AND('BBP complete'!#REF!,"AAAAAHt+d5Q=")</f>
        <v>#REF!</v>
      </c>
      <c r="ET53" t="e">
        <f>AND('BBP complete'!#REF!,"AAAAAHt+d5U=")</f>
        <v>#REF!</v>
      </c>
      <c r="EU53" t="e">
        <f>AND('BBP complete'!#REF!,"AAAAAHt+d5Y=")</f>
        <v>#REF!</v>
      </c>
      <c r="EV53" t="e">
        <f>AND('BBP complete'!E708,"AAAAAHt+d5c=")</f>
        <v>#VALUE!</v>
      </c>
      <c r="EW53" t="e">
        <f>AND('BBP complete'!#REF!,"AAAAAHt+d5g=")</f>
        <v>#REF!</v>
      </c>
      <c r="EX53" t="e">
        <f>AND('BBP complete'!K708,"AAAAAHt+d5k=")</f>
        <v>#VALUE!</v>
      </c>
      <c r="EY53" t="e">
        <f>AND('BBP complete'!L710,"AAAAAHt+d5o=")</f>
        <v>#VALUE!</v>
      </c>
      <c r="EZ53" t="e">
        <f>AND('BBP complete'!#REF!,"AAAAAHt+d5s=")</f>
        <v>#REF!</v>
      </c>
      <c r="FA53" t="e">
        <f>AND('BBP complete'!#REF!,"AAAAAHt+d5w=")</f>
        <v>#REF!</v>
      </c>
      <c r="FB53" t="e">
        <f>AND('BBP complete'!#REF!,"AAAAAHt+d50=")</f>
        <v>#REF!</v>
      </c>
      <c r="FC53" t="e">
        <f>AND('BBP complete'!D708,"AAAAAHt+d54=")</f>
        <v>#VALUE!</v>
      </c>
      <c r="FD53" t="e">
        <f>AND('BBP complete'!F708,"AAAAAHt+d58=")</f>
        <v>#VALUE!</v>
      </c>
      <c r="FE53" t="e">
        <f>AND('BBP complete'!G708,"AAAAAHt+d6A=")</f>
        <v>#VALUE!</v>
      </c>
      <c r="FF53" t="e">
        <f>AND('BBP complete'!H708,"AAAAAHt+d6E=")</f>
        <v>#VALUE!</v>
      </c>
      <c r="FG53" t="e">
        <f>AND('BBP complete'!I708,"AAAAAHt+d6I=")</f>
        <v>#VALUE!</v>
      </c>
      <c r="FH53" s="60" t="e">
        <v>#VALUE!</v>
      </c>
      <c r="FI53" t="e">
        <f>AND('BBP complete'!A709,"AAAAAHt+d6Q=")</f>
        <v>#VALUE!</v>
      </c>
      <c r="FJ53" t="e">
        <f>AND('BBP complete'!B709,"AAAAAHt+d6U=")</f>
        <v>#VALUE!</v>
      </c>
      <c r="FK53" t="e">
        <f>AND('BBP complete'!C709,"AAAAAHt+d6Y=")</f>
        <v>#VALUE!</v>
      </c>
      <c r="FL53" t="e">
        <f>AND('BBP complete'!#REF!,"AAAAAHt+d6c=")</f>
        <v>#REF!</v>
      </c>
      <c r="FM53" t="e">
        <f>AND('BBP complete'!#REF!,"AAAAAHt+d6g=")</f>
        <v>#REF!</v>
      </c>
      <c r="FN53" t="e">
        <f>AND('BBP complete'!#REF!,"AAAAAHt+d6k=")</f>
        <v>#REF!</v>
      </c>
      <c r="FO53" t="e">
        <f>AND('BBP complete'!E709,"AAAAAHt+d6o=")</f>
        <v>#VALUE!</v>
      </c>
      <c r="FP53" t="e">
        <f>AND('BBP complete'!#REF!,"AAAAAHt+d6s=")</f>
        <v>#REF!</v>
      </c>
      <c r="FQ53" t="e">
        <f>AND('BBP complete'!K709,"AAAAAHt+d6w=")</f>
        <v>#VALUE!</v>
      </c>
      <c r="FR53" t="e">
        <f>AND('BBP complete'!L711,"AAAAAHt+d60=")</f>
        <v>#VALUE!</v>
      </c>
      <c r="FS53" t="e">
        <f>AND('BBP complete'!#REF!,"AAAAAHt+d64=")</f>
        <v>#REF!</v>
      </c>
      <c r="FT53" t="e">
        <f>AND('BBP complete'!#REF!,"AAAAAHt+d68=")</f>
        <v>#REF!</v>
      </c>
      <c r="FU53" t="e">
        <f>AND('BBP complete'!#REF!,"AAAAAHt+d7A=")</f>
        <v>#REF!</v>
      </c>
      <c r="FV53" t="e">
        <f>AND('BBP complete'!D709,"AAAAAHt+d7E=")</f>
        <v>#VALUE!</v>
      </c>
      <c r="FW53" t="e">
        <f>AND('BBP complete'!F709,"AAAAAHt+d7I=")</f>
        <v>#VALUE!</v>
      </c>
      <c r="FX53" t="e">
        <f>AND('BBP complete'!G709,"AAAAAHt+d7M=")</f>
        <v>#VALUE!</v>
      </c>
      <c r="FY53" t="e">
        <f>AND('BBP complete'!H709,"AAAAAHt+d7Q=")</f>
        <v>#VALUE!</v>
      </c>
      <c r="FZ53" t="e">
        <f>AND('BBP complete'!I709,"AAAAAHt+d7U=")</f>
        <v>#VALUE!</v>
      </c>
      <c r="GA53" s="60" t="e">
        <v>#VALUE!</v>
      </c>
      <c r="GB53" t="e">
        <f>AND('BBP complete'!A710,"AAAAAHt+d7c=")</f>
        <v>#VALUE!</v>
      </c>
      <c r="GC53" t="e">
        <f>AND('BBP complete'!B710,"AAAAAHt+d7g=")</f>
        <v>#VALUE!</v>
      </c>
      <c r="GD53" t="e">
        <f>AND('BBP complete'!C710,"AAAAAHt+d7k=")</f>
        <v>#VALUE!</v>
      </c>
      <c r="GE53" t="e">
        <f>AND('BBP complete'!#REF!,"AAAAAHt+d7o=")</f>
        <v>#REF!</v>
      </c>
      <c r="GF53" t="e">
        <f>AND('BBP complete'!#REF!,"AAAAAHt+d7s=")</f>
        <v>#REF!</v>
      </c>
      <c r="GG53" t="e">
        <f>AND('BBP complete'!#REF!,"AAAAAHt+d7w=")</f>
        <v>#REF!</v>
      </c>
      <c r="GH53" t="e">
        <f>AND('BBP complete'!E710,"AAAAAHt+d70=")</f>
        <v>#VALUE!</v>
      </c>
      <c r="GI53" t="e">
        <f>AND('BBP complete'!#REF!,"AAAAAHt+d74=")</f>
        <v>#REF!</v>
      </c>
      <c r="GJ53" t="e">
        <f>AND('BBP complete'!K710,"AAAAAHt+d78=")</f>
        <v>#VALUE!</v>
      </c>
      <c r="GK53" t="e">
        <f>AND('BBP complete'!#REF!,"AAAAAHt+d8A=")</f>
        <v>#REF!</v>
      </c>
      <c r="GL53" t="e">
        <f>AND('BBP complete'!#REF!,"AAAAAHt+d8E=")</f>
        <v>#REF!</v>
      </c>
      <c r="GM53" t="e">
        <f>AND('BBP complete'!#REF!,"AAAAAHt+d8I=")</f>
        <v>#REF!</v>
      </c>
      <c r="GN53" t="e">
        <f>AND('BBP complete'!#REF!,"AAAAAHt+d8M=")</f>
        <v>#REF!</v>
      </c>
      <c r="GO53" t="e">
        <f>AND('BBP complete'!D710,"AAAAAHt+d8Q=")</f>
        <v>#VALUE!</v>
      </c>
      <c r="GP53" t="e">
        <f>AND('BBP complete'!F710,"AAAAAHt+d8U=")</f>
        <v>#VALUE!</v>
      </c>
      <c r="GQ53" t="e">
        <f>AND('BBP complete'!G710,"AAAAAHt+d8Y=")</f>
        <v>#VALUE!</v>
      </c>
      <c r="GR53" t="e">
        <f>AND('BBP complete'!H710,"AAAAAHt+d8c=")</f>
        <v>#VALUE!</v>
      </c>
      <c r="GS53" t="e">
        <f>AND('BBP complete'!I710,"AAAAAHt+d8g=")</f>
        <v>#VALUE!</v>
      </c>
      <c r="GT53" s="60" t="e">
        <v>#VALUE!</v>
      </c>
      <c r="GU53" t="e">
        <f>AND('BBP complete'!A711,"AAAAAHt+d8o=")</f>
        <v>#VALUE!</v>
      </c>
      <c r="GV53" t="e">
        <f>AND('BBP complete'!B711,"AAAAAHt+d8s=")</f>
        <v>#VALUE!</v>
      </c>
      <c r="GW53" t="e">
        <f>AND('BBP complete'!C711,"AAAAAHt+d8w=")</f>
        <v>#VALUE!</v>
      </c>
      <c r="GX53" t="e">
        <f>AND('BBP complete'!#REF!,"AAAAAHt+d80=")</f>
        <v>#REF!</v>
      </c>
      <c r="GY53" t="e">
        <f>AND('BBP complete'!#REF!,"AAAAAHt+d84=")</f>
        <v>#REF!</v>
      </c>
      <c r="GZ53" t="e">
        <f>AND('BBP complete'!#REF!,"AAAAAHt+d88=")</f>
        <v>#REF!</v>
      </c>
      <c r="HA53" t="e">
        <f>AND('BBP complete'!E711,"AAAAAHt+d9A=")</f>
        <v>#VALUE!</v>
      </c>
      <c r="HB53" t="e">
        <f>AND('BBP complete'!#REF!,"AAAAAHt+d9E=")</f>
        <v>#REF!</v>
      </c>
      <c r="HC53" t="e">
        <f>AND('BBP complete'!K711,"AAAAAHt+d9I=")</f>
        <v>#VALUE!</v>
      </c>
      <c r="HD53" t="e">
        <f>AND('BBP complete'!#REF!,"AAAAAHt+d9M=")</f>
        <v>#REF!</v>
      </c>
      <c r="HE53" t="e">
        <f>AND('BBP complete'!#REF!,"AAAAAHt+d9Q=")</f>
        <v>#REF!</v>
      </c>
      <c r="HF53" t="e">
        <f>AND('BBP complete'!#REF!,"AAAAAHt+d9U=")</f>
        <v>#REF!</v>
      </c>
      <c r="HG53" t="e">
        <f>AND('BBP complete'!#REF!,"AAAAAHt+d9Y=")</f>
        <v>#REF!</v>
      </c>
      <c r="HH53" t="e">
        <f>AND('BBP complete'!D711,"AAAAAHt+d9c=")</f>
        <v>#VALUE!</v>
      </c>
      <c r="HI53" t="e">
        <f>AND('BBP complete'!F711,"AAAAAHt+d9g=")</f>
        <v>#VALUE!</v>
      </c>
      <c r="HJ53" t="e">
        <f>AND('BBP complete'!G711,"AAAAAHt+d9k=")</f>
        <v>#VALUE!</v>
      </c>
      <c r="HK53" t="e">
        <f>AND('BBP complete'!H711,"AAAAAHt+d9o=")</f>
        <v>#VALUE!</v>
      </c>
      <c r="HL53" t="e">
        <f>AND('BBP complete'!I711,"AAAAAHt+d9s=")</f>
        <v>#VALUE!</v>
      </c>
      <c r="HM53" s="60" t="e">
        <v>#VALUE!</v>
      </c>
      <c r="HN53" t="e">
        <f>AND('BBP complete'!A712,"AAAAAHt+d90=")</f>
        <v>#VALUE!</v>
      </c>
      <c r="HO53" t="e">
        <f>AND('BBP complete'!B712,"AAAAAHt+d94=")</f>
        <v>#VALUE!</v>
      </c>
      <c r="HP53" t="e">
        <f>AND('BBP complete'!C712,"AAAAAHt+d98=")</f>
        <v>#VALUE!</v>
      </c>
      <c r="HQ53" t="e">
        <f>AND('BBP complete'!#REF!,"AAAAAHt+d+A=")</f>
        <v>#REF!</v>
      </c>
      <c r="HR53" t="e">
        <f>AND('BBP complete'!#REF!,"AAAAAHt+d+E=")</f>
        <v>#REF!</v>
      </c>
      <c r="HS53" t="e">
        <f>AND('BBP complete'!#REF!,"AAAAAHt+d+I=")</f>
        <v>#REF!</v>
      </c>
      <c r="HT53" t="e">
        <f>AND('BBP complete'!E712,"AAAAAHt+d+M=")</f>
        <v>#VALUE!</v>
      </c>
      <c r="HU53" t="e">
        <f>AND('BBP complete'!#REF!,"AAAAAHt+d+Q=")</f>
        <v>#REF!</v>
      </c>
      <c r="HV53" t="e">
        <f>AND('BBP complete'!K712,"AAAAAHt+d+U=")</f>
        <v>#VALUE!</v>
      </c>
      <c r="HW53" t="e">
        <f>AND('BBP complete'!#REF!,"AAAAAHt+d+Y=")</f>
        <v>#REF!</v>
      </c>
      <c r="HX53" t="e">
        <f>AND('BBP complete'!#REF!,"AAAAAHt+d+c=")</f>
        <v>#REF!</v>
      </c>
      <c r="HY53" t="e">
        <f>AND('BBP complete'!#REF!,"AAAAAHt+d+g=")</f>
        <v>#REF!</v>
      </c>
      <c r="HZ53" t="e">
        <f>AND('BBP complete'!#REF!,"AAAAAHt+d+k=")</f>
        <v>#REF!</v>
      </c>
      <c r="IA53" t="e">
        <f>AND('BBP complete'!D712,"AAAAAHt+d+o=")</f>
        <v>#VALUE!</v>
      </c>
      <c r="IB53" t="e">
        <f>AND('BBP complete'!F712,"AAAAAHt+d+s=")</f>
        <v>#VALUE!</v>
      </c>
      <c r="IC53" t="e">
        <f>AND('BBP complete'!G712,"AAAAAHt+d+w=")</f>
        <v>#VALUE!</v>
      </c>
      <c r="ID53" t="e">
        <f>AND('BBP complete'!H712,"AAAAAHt+d+0=")</f>
        <v>#VALUE!</v>
      </c>
      <c r="IE53" t="e">
        <f>AND('BBP complete'!I712,"AAAAAHt+d+4=")</f>
        <v>#VALUE!</v>
      </c>
      <c r="IF53" s="60" t="e">
        <v>#VALUE!</v>
      </c>
      <c r="IG53" t="e">
        <f>AND('BBP complete'!A713,"AAAAAHt+d/A=")</f>
        <v>#VALUE!</v>
      </c>
      <c r="IH53" t="e">
        <f>AND('BBP complete'!B713,"AAAAAHt+d/E=")</f>
        <v>#VALUE!</v>
      </c>
      <c r="II53" t="e">
        <f>AND('BBP complete'!C713,"AAAAAHt+d/I=")</f>
        <v>#VALUE!</v>
      </c>
      <c r="IJ53" t="e">
        <f>AND('BBP complete'!#REF!,"AAAAAHt+d/M=")</f>
        <v>#REF!</v>
      </c>
      <c r="IK53" t="e">
        <f>AND('BBP complete'!#REF!,"AAAAAHt+d/Q=")</f>
        <v>#REF!</v>
      </c>
      <c r="IL53" t="e">
        <f>AND('BBP complete'!#REF!,"AAAAAHt+d/U=")</f>
        <v>#REF!</v>
      </c>
      <c r="IM53" t="e">
        <f>AND('BBP complete'!E713,"AAAAAHt+d/Y=")</f>
        <v>#VALUE!</v>
      </c>
      <c r="IN53" t="e">
        <f>AND('BBP complete'!#REF!,"AAAAAHt+d/c=")</f>
        <v>#REF!</v>
      </c>
      <c r="IO53" t="e">
        <f>AND('BBP complete'!K713,"AAAAAHt+d/g=")</f>
        <v>#VALUE!</v>
      </c>
      <c r="IP53" t="e">
        <f>AND('BBP complete'!L712,"AAAAAHt+d/k=")</f>
        <v>#VALUE!</v>
      </c>
      <c r="IQ53" t="e">
        <f>AND('BBP complete'!#REF!,"AAAAAHt+d/o=")</f>
        <v>#REF!</v>
      </c>
      <c r="IR53" t="e">
        <f>AND('BBP complete'!#REF!,"AAAAAHt+d/s=")</f>
        <v>#REF!</v>
      </c>
      <c r="IS53" t="e">
        <f>AND('BBP complete'!#REF!,"AAAAAHt+d/w=")</f>
        <v>#REF!</v>
      </c>
      <c r="IT53" t="e">
        <f>AND('BBP complete'!D713,"AAAAAHt+d/0=")</f>
        <v>#VALUE!</v>
      </c>
      <c r="IU53" t="e">
        <f>AND('BBP complete'!F713,"AAAAAHt+d/4=")</f>
        <v>#VALUE!</v>
      </c>
      <c r="IV53" t="e">
        <f>AND('BBP complete'!G713,"AAAAAHt+d/8=")</f>
        <v>#VALUE!</v>
      </c>
    </row>
    <row r="54" spans="1:256" ht="15" customHeight="1" x14ac:dyDescent="0.25">
      <c r="A54" t="e">
        <f>AND('BBP complete'!H713,"AAAAADn/rwA=")</f>
        <v>#VALUE!</v>
      </c>
      <c r="B54" t="e">
        <f>AND('BBP complete'!I713,"AAAAADn/rwE=")</f>
        <v>#VALUE!</v>
      </c>
      <c r="C54" s="60" t="e">
        <v>#VALUE!</v>
      </c>
      <c r="D54" t="e">
        <f>AND('BBP complete'!A714,"AAAAADn/rwM=")</f>
        <v>#VALUE!</v>
      </c>
      <c r="E54" t="e">
        <f>AND('BBP complete'!B714,"AAAAADn/rwQ=")</f>
        <v>#VALUE!</v>
      </c>
      <c r="F54" t="e">
        <f>AND('BBP complete'!C714,"AAAAADn/rwU=")</f>
        <v>#VALUE!</v>
      </c>
      <c r="G54" t="e">
        <f>AND('BBP complete'!#REF!,"AAAAADn/rwY=")</f>
        <v>#REF!</v>
      </c>
      <c r="H54" t="e">
        <f>AND('BBP complete'!#REF!,"AAAAADn/rwc=")</f>
        <v>#REF!</v>
      </c>
      <c r="I54" t="e">
        <f>AND('BBP complete'!#REF!,"AAAAADn/rwg=")</f>
        <v>#REF!</v>
      </c>
      <c r="J54" t="e">
        <f>AND('BBP complete'!E714,"AAAAADn/rwk=")</f>
        <v>#VALUE!</v>
      </c>
      <c r="K54" t="e">
        <f>AND('BBP complete'!#REF!,"AAAAADn/rwo=")</f>
        <v>#REF!</v>
      </c>
      <c r="L54" t="e">
        <f>AND('BBP complete'!K714,"AAAAADn/rws=")</f>
        <v>#VALUE!</v>
      </c>
      <c r="M54" t="e">
        <f>AND('BBP complete'!L713,"AAAAADn/rww=")</f>
        <v>#VALUE!</v>
      </c>
      <c r="N54" t="e">
        <f>AND('BBP complete'!#REF!,"AAAAADn/rw0=")</f>
        <v>#REF!</v>
      </c>
      <c r="O54" t="e">
        <f>AND('BBP complete'!#REF!,"AAAAADn/rw4=")</f>
        <v>#REF!</v>
      </c>
      <c r="P54" t="e">
        <f>AND('BBP complete'!#REF!,"AAAAADn/rw8=")</f>
        <v>#REF!</v>
      </c>
      <c r="Q54" t="e">
        <f>AND('BBP complete'!D714,"AAAAADn/rxA=")</f>
        <v>#VALUE!</v>
      </c>
      <c r="R54" t="e">
        <f>AND('BBP complete'!F714,"AAAAADn/rxE=")</f>
        <v>#VALUE!</v>
      </c>
      <c r="S54" t="e">
        <f>AND('BBP complete'!G714,"AAAAADn/rxI=")</f>
        <v>#VALUE!</v>
      </c>
      <c r="T54" t="e">
        <f>AND('BBP complete'!H714,"AAAAADn/rxM=")</f>
        <v>#VALUE!</v>
      </c>
      <c r="U54" t="e">
        <f>AND('BBP complete'!I714,"AAAAADn/rxQ=")</f>
        <v>#VALUE!</v>
      </c>
      <c r="V54" s="60" t="e">
        <v>#VALUE!</v>
      </c>
      <c r="W54" t="e">
        <f>AND('BBP complete'!A715,"AAAAADn/rxY=")</f>
        <v>#VALUE!</v>
      </c>
      <c r="X54" t="e">
        <f>AND('BBP complete'!B715,"AAAAADn/rxc=")</f>
        <v>#VALUE!</v>
      </c>
      <c r="Y54" t="e">
        <f>AND('BBP complete'!C715,"AAAAADn/rxg=")</f>
        <v>#VALUE!</v>
      </c>
      <c r="Z54" t="e">
        <f>AND('BBP complete'!#REF!,"AAAAADn/rxk=")</f>
        <v>#REF!</v>
      </c>
      <c r="AA54" t="e">
        <f>AND('BBP complete'!#REF!,"AAAAADn/rxo=")</f>
        <v>#REF!</v>
      </c>
      <c r="AB54" t="e">
        <f>AND('BBP complete'!#REF!,"AAAAADn/rxs=")</f>
        <v>#REF!</v>
      </c>
      <c r="AC54" t="e">
        <f>AND('BBP complete'!E715,"AAAAADn/rxw=")</f>
        <v>#VALUE!</v>
      </c>
      <c r="AD54" t="e">
        <f>AND('BBP complete'!#REF!,"AAAAADn/rx0=")</f>
        <v>#REF!</v>
      </c>
      <c r="AE54" t="e">
        <f>AND('BBP complete'!K715,"AAAAADn/rx4=")</f>
        <v>#VALUE!</v>
      </c>
      <c r="AF54" t="e">
        <f>AND('BBP complete'!L714,"AAAAADn/rx8=")</f>
        <v>#VALUE!</v>
      </c>
      <c r="AG54" t="e">
        <f>AND('BBP complete'!#REF!,"AAAAADn/ryA=")</f>
        <v>#REF!</v>
      </c>
      <c r="AH54" t="e">
        <f>AND('BBP complete'!#REF!,"AAAAADn/ryE=")</f>
        <v>#REF!</v>
      </c>
      <c r="AI54" t="e">
        <f>AND('BBP complete'!#REF!,"AAAAADn/ryI=")</f>
        <v>#REF!</v>
      </c>
      <c r="AJ54" t="e">
        <f>AND('BBP complete'!D715,"AAAAADn/ryM=")</f>
        <v>#VALUE!</v>
      </c>
      <c r="AK54" t="e">
        <f>AND('BBP complete'!F715,"AAAAADn/ryQ=")</f>
        <v>#VALUE!</v>
      </c>
      <c r="AL54" t="e">
        <f>AND('BBP complete'!G715,"AAAAADn/ryU=")</f>
        <v>#VALUE!</v>
      </c>
      <c r="AM54" t="e">
        <f>AND('BBP complete'!H715,"AAAAADn/ryY=")</f>
        <v>#VALUE!</v>
      </c>
      <c r="AN54" t="e">
        <f>AND('BBP complete'!I715,"AAAAADn/ryc=")</f>
        <v>#VALUE!</v>
      </c>
      <c r="AO54" s="60" t="e">
        <v>#VALUE!</v>
      </c>
      <c r="AP54" t="e">
        <f>AND('BBP complete'!A716,"AAAAADn/ryk=")</f>
        <v>#VALUE!</v>
      </c>
      <c r="AQ54" t="e">
        <f>AND('BBP complete'!B716,"AAAAADn/ryo=")</f>
        <v>#VALUE!</v>
      </c>
      <c r="AR54" t="e">
        <f>AND('BBP complete'!C716,"AAAAADn/rys=")</f>
        <v>#VALUE!</v>
      </c>
      <c r="AS54" t="e">
        <f>AND('BBP complete'!#REF!,"AAAAADn/ryw=")</f>
        <v>#REF!</v>
      </c>
      <c r="AT54" t="e">
        <f>AND('BBP complete'!#REF!,"AAAAADn/ry0=")</f>
        <v>#REF!</v>
      </c>
      <c r="AU54" t="e">
        <f>AND('BBP complete'!#REF!,"AAAAADn/ry4=")</f>
        <v>#REF!</v>
      </c>
      <c r="AV54" t="e">
        <f>AND('BBP complete'!E716,"AAAAADn/ry8=")</f>
        <v>#VALUE!</v>
      </c>
      <c r="AW54" t="e">
        <f>AND('BBP complete'!#REF!,"AAAAADn/rzA=")</f>
        <v>#REF!</v>
      </c>
      <c r="AX54" t="e">
        <f>AND('BBP complete'!K716,"AAAAADn/rzE=")</f>
        <v>#VALUE!</v>
      </c>
      <c r="AY54" t="e">
        <f>AND('BBP complete'!L715,"AAAAADn/rzI=")</f>
        <v>#VALUE!</v>
      </c>
      <c r="AZ54" t="e">
        <f>AND('BBP complete'!#REF!,"AAAAADn/rzM=")</f>
        <v>#REF!</v>
      </c>
      <c r="BA54" t="e">
        <f>AND('BBP complete'!#REF!,"AAAAADn/rzQ=")</f>
        <v>#REF!</v>
      </c>
      <c r="BB54" t="e">
        <f>AND('BBP complete'!#REF!,"AAAAADn/rzU=")</f>
        <v>#REF!</v>
      </c>
      <c r="BC54" t="e">
        <f>AND('BBP complete'!D716,"AAAAADn/rzY=")</f>
        <v>#VALUE!</v>
      </c>
      <c r="BD54" t="e">
        <f>AND('BBP complete'!F716,"AAAAADn/rzc=")</f>
        <v>#VALUE!</v>
      </c>
      <c r="BE54" t="e">
        <f>AND('BBP complete'!G716,"AAAAADn/rzg=")</f>
        <v>#VALUE!</v>
      </c>
      <c r="BF54" t="e">
        <f>AND('BBP complete'!H716,"AAAAADn/rzk=")</f>
        <v>#VALUE!</v>
      </c>
      <c r="BG54" t="e">
        <f>AND('BBP complete'!I716,"AAAAADn/rzo=")</f>
        <v>#VALUE!</v>
      </c>
      <c r="BH54" s="60" t="e">
        <v>#VALUE!</v>
      </c>
      <c r="BI54" t="e">
        <f>AND('BBP complete'!A717,"AAAAADn/rzw=")</f>
        <v>#VALUE!</v>
      </c>
      <c r="BJ54" t="e">
        <f>AND('BBP complete'!B717,"AAAAADn/rz0=")</f>
        <v>#VALUE!</v>
      </c>
      <c r="BK54" t="e">
        <f>AND('BBP complete'!C717,"AAAAADn/rz4=")</f>
        <v>#VALUE!</v>
      </c>
      <c r="BL54" t="e">
        <f>AND('BBP complete'!#REF!,"AAAAADn/rz8=")</f>
        <v>#REF!</v>
      </c>
      <c r="BM54" t="e">
        <f>AND('BBP complete'!#REF!,"AAAAADn/r0A=")</f>
        <v>#REF!</v>
      </c>
      <c r="BN54" t="e">
        <f>AND('BBP complete'!#REF!,"AAAAADn/r0E=")</f>
        <v>#REF!</v>
      </c>
      <c r="BO54" t="e">
        <f>AND('BBP complete'!E717,"AAAAADn/r0I=")</f>
        <v>#VALUE!</v>
      </c>
      <c r="BP54" t="e">
        <f>AND('BBP complete'!#REF!,"AAAAADn/r0M=")</f>
        <v>#REF!</v>
      </c>
      <c r="BQ54" t="e">
        <f>AND('BBP complete'!K717,"AAAAADn/r0Q=")</f>
        <v>#VALUE!</v>
      </c>
      <c r="BR54" t="e">
        <f>AND('BBP complete'!L716,"AAAAADn/r0U=")</f>
        <v>#VALUE!</v>
      </c>
      <c r="BS54" t="e">
        <f>AND('BBP complete'!#REF!,"AAAAADn/r0Y=")</f>
        <v>#REF!</v>
      </c>
      <c r="BT54" t="e">
        <f>AND('BBP complete'!#REF!,"AAAAADn/r0c=")</f>
        <v>#REF!</v>
      </c>
      <c r="BU54" t="e">
        <f>AND('BBP complete'!#REF!,"AAAAADn/r0g=")</f>
        <v>#REF!</v>
      </c>
      <c r="BV54" t="e">
        <f>AND('BBP complete'!D717,"AAAAADn/r0k=")</f>
        <v>#VALUE!</v>
      </c>
      <c r="BW54" t="e">
        <f>AND('BBP complete'!F717,"AAAAADn/r0o=")</f>
        <v>#VALUE!</v>
      </c>
      <c r="BX54" t="e">
        <f>AND('BBP complete'!G717,"AAAAADn/r0s=")</f>
        <v>#VALUE!</v>
      </c>
      <c r="BY54" t="e">
        <f>AND('BBP complete'!H717,"AAAAADn/r0w=")</f>
        <v>#VALUE!</v>
      </c>
      <c r="BZ54" t="e">
        <f>AND('BBP complete'!I717,"AAAAADn/r00=")</f>
        <v>#VALUE!</v>
      </c>
      <c r="CA54" s="60" t="e">
        <v>#VALUE!</v>
      </c>
      <c r="CB54" t="e">
        <f>AND('BBP complete'!A718,"AAAAADn/r08=")</f>
        <v>#VALUE!</v>
      </c>
      <c r="CC54" t="e">
        <f>AND('BBP complete'!B718,"AAAAADn/r1A=")</f>
        <v>#VALUE!</v>
      </c>
      <c r="CD54" t="e">
        <f>AND('BBP complete'!C718,"AAAAADn/r1E=")</f>
        <v>#VALUE!</v>
      </c>
      <c r="CE54" t="e">
        <f>AND('BBP complete'!#REF!,"AAAAADn/r1I=")</f>
        <v>#REF!</v>
      </c>
      <c r="CF54" t="e">
        <f>AND('BBP complete'!#REF!,"AAAAADn/r1M=")</f>
        <v>#REF!</v>
      </c>
      <c r="CG54" t="e">
        <f>AND('BBP complete'!#REF!,"AAAAADn/r1Q=")</f>
        <v>#REF!</v>
      </c>
      <c r="CH54" t="e">
        <f>AND('BBP complete'!E718,"AAAAADn/r1U=")</f>
        <v>#VALUE!</v>
      </c>
      <c r="CI54" t="e">
        <f>AND('BBP complete'!#REF!,"AAAAADn/r1Y=")</f>
        <v>#REF!</v>
      </c>
      <c r="CJ54" t="e">
        <f>AND('BBP complete'!K718,"AAAAADn/r1c=")</f>
        <v>#VALUE!</v>
      </c>
      <c r="CK54" t="e">
        <f>AND('BBP complete'!L717,"AAAAADn/r1g=")</f>
        <v>#VALUE!</v>
      </c>
      <c r="CL54" t="e">
        <f>AND('BBP complete'!#REF!,"AAAAADn/r1k=")</f>
        <v>#REF!</v>
      </c>
      <c r="CM54" t="e">
        <f>AND('BBP complete'!#REF!,"AAAAADn/r1o=")</f>
        <v>#REF!</v>
      </c>
      <c r="CN54" t="e">
        <f>AND('BBP complete'!#REF!,"AAAAADn/r1s=")</f>
        <v>#REF!</v>
      </c>
      <c r="CO54" t="e">
        <f>AND('BBP complete'!D718,"AAAAADn/r1w=")</f>
        <v>#VALUE!</v>
      </c>
      <c r="CP54" t="e">
        <f>AND('BBP complete'!F718,"AAAAADn/r10=")</f>
        <v>#VALUE!</v>
      </c>
      <c r="CQ54" t="e">
        <f>AND('BBP complete'!G718,"AAAAADn/r14=")</f>
        <v>#VALUE!</v>
      </c>
      <c r="CR54" t="e">
        <f>AND('BBP complete'!H718,"AAAAADn/r18=")</f>
        <v>#VALUE!</v>
      </c>
      <c r="CS54" t="e">
        <f>AND('BBP complete'!I718,"AAAAADn/r2A=")</f>
        <v>#VALUE!</v>
      </c>
      <c r="CT54" s="60" t="e">
        <v>#VALUE!</v>
      </c>
      <c r="CU54" t="e">
        <f>AND('BBP complete'!A719,"AAAAADn/r2I=")</f>
        <v>#VALUE!</v>
      </c>
      <c r="CV54" t="e">
        <f>AND('BBP complete'!B719,"AAAAADn/r2M=")</f>
        <v>#VALUE!</v>
      </c>
      <c r="CW54" t="e">
        <f>AND('BBP complete'!C719,"AAAAADn/r2Q=")</f>
        <v>#VALUE!</v>
      </c>
      <c r="CX54" t="e">
        <f>AND('BBP complete'!#REF!,"AAAAADn/r2U=")</f>
        <v>#REF!</v>
      </c>
      <c r="CY54" t="e">
        <f>AND('BBP complete'!#REF!,"AAAAADn/r2Y=")</f>
        <v>#REF!</v>
      </c>
      <c r="CZ54" t="e">
        <f>AND('BBP complete'!#REF!,"AAAAADn/r2c=")</f>
        <v>#REF!</v>
      </c>
      <c r="DA54" t="e">
        <f>AND('BBP complete'!E719,"AAAAADn/r2g=")</f>
        <v>#VALUE!</v>
      </c>
      <c r="DB54" t="e">
        <f>AND('BBP complete'!#REF!,"AAAAADn/r2k=")</f>
        <v>#REF!</v>
      </c>
      <c r="DC54" t="e">
        <f>AND('BBP complete'!K719,"AAAAADn/r2o=")</f>
        <v>#VALUE!</v>
      </c>
      <c r="DD54" t="e">
        <f>AND('BBP complete'!L718,"AAAAADn/r2s=")</f>
        <v>#VALUE!</v>
      </c>
      <c r="DE54" t="e">
        <f>AND('BBP complete'!#REF!,"AAAAADn/r2w=")</f>
        <v>#REF!</v>
      </c>
      <c r="DF54" t="e">
        <f>AND('BBP complete'!#REF!,"AAAAADn/r20=")</f>
        <v>#REF!</v>
      </c>
      <c r="DG54" t="e">
        <f>AND('BBP complete'!#REF!,"AAAAADn/r24=")</f>
        <v>#REF!</v>
      </c>
      <c r="DH54" t="e">
        <f>AND('BBP complete'!D719,"AAAAADn/r28=")</f>
        <v>#VALUE!</v>
      </c>
      <c r="DI54" t="e">
        <f>AND('BBP complete'!F719,"AAAAADn/r3A=")</f>
        <v>#VALUE!</v>
      </c>
      <c r="DJ54" t="e">
        <f>AND('BBP complete'!G719,"AAAAADn/r3E=")</f>
        <v>#VALUE!</v>
      </c>
      <c r="DK54" t="e">
        <f>AND('BBP complete'!H719,"AAAAADn/r3I=")</f>
        <v>#VALUE!</v>
      </c>
      <c r="DL54" t="e">
        <f>AND('BBP complete'!I719,"AAAAADn/r3M=")</f>
        <v>#VALUE!</v>
      </c>
      <c r="DM54" s="60" t="e">
        <v>#VALUE!</v>
      </c>
      <c r="DN54" t="e">
        <f>AND('BBP complete'!A720,"AAAAADn/r3U=")</f>
        <v>#VALUE!</v>
      </c>
      <c r="DO54" t="e">
        <f>AND('BBP complete'!B720,"AAAAADn/r3Y=")</f>
        <v>#VALUE!</v>
      </c>
      <c r="DP54" t="e">
        <f>AND('BBP complete'!C720,"AAAAADn/r3c=")</f>
        <v>#VALUE!</v>
      </c>
      <c r="DQ54" t="e">
        <f>AND('BBP complete'!#REF!,"AAAAADn/r3g=")</f>
        <v>#REF!</v>
      </c>
      <c r="DR54" t="e">
        <f>AND('BBP complete'!#REF!,"AAAAADn/r3k=")</f>
        <v>#REF!</v>
      </c>
      <c r="DS54" t="e">
        <f>AND('BBP complete'!#REF!,"AAAAADn/r3o=")</f>
        <v>#REF!</v>
      </c>
      <c r="DT54" t="e">
        <f>AND('BBP complete'!E720,"AAAAADn/r3s=")</f>
        <v>#VALUE!</v>
      </c>
      <c r="DU54" t="e">
        <f>AND('BBP complete'!#REF!,"AAAAADn/r3w=")</f>
        <v>#REF!</v>
      </c>
      <c r="DV54" t="e">
        <f>AND('BBP complete'!K720,"AAAAADn/r30=")</f>
        <v>#VALUE!</v>
      </c>
      <c r="DW54" t="e">
        <f>AND('BBP complete'!L719,"AAAAADn/r34=")</f>
        <v>#VALUE!</v>
      </c>
      <c r="DX54" t="e">
        <f>AND('BBP complete'!#REF!,"AAAAADn/r38=")</f>
        <v>#REF!</v>
      </c>
      <c r="DY54" t="e">
        <f>AND('BBP complete'!#REF!,"AAAAADn/r4A=")</f>
        <v>#REF!</v>
      </c>
      <c r="DZ54" t="e">
        <f>AND('BBP complete'!#REF!,"AAAAADn/r4E=")</f>
        <v>#REF!</v>
      </c>
      <c r="EA54" t="e">
        <f>AND('BBP complete'!D720,"AAAAADn/r4I=")</f>
        <v>#VALUE!</v>
      </c>
      <c r="EB54" t="e">
        <f>AND('BBP complete'!F720,"AAAAADn/r4M=")</f>
        <v>#VALUE!</v>
      </c>
      <c r="EC54" t="e">
        <f>AND('BBP complete'!G720,"AAAAADn/r4Q=")</f>
        <v>#VALUE!</v>
      </c>
      <c r="ED54" t="e">
        <f>AND('BBP complete'!H720,"AAAAADn/r4U=")</f>
        <v>#VALUE!</v>
      </c>
      <c r="EE54" t="e">
        <f>AND('BBP complete'!I720,"AAAAADn/r4Y=")</f>
        <v>#VALUE!</v>
      </c>
      <c r="EF54" s="60" t="e">
        <v>#VALUE!</v>
      </c>
      <c r="EG54" t="e">
        <f>AND('BBP complete'!A721,"AAAAADn/r4g=")</f>
        <v>#VALUE!</v>
      </c>
      <c r="EH54" t="e">
        <f>AND('BBP complete'!B721,"AAAAADn/r4k=")</f>
        <v>#VALUE!</v>
      </c>
      <c r="EI54" t="e">
        <f>AND('BBP complete'!C721,"AAAAADn/r4o=")</f>
        <v>#VALUE!</v>
      </c>
      <c r="EJ54" t="e">
        <f>AND('BBP complete'!#REF!,"AAAAADn/r4s=")</f>
        <v>#REF!</v>
      </c>
      <c r="EK54" t="e">
        <f>AND('BBP complete'!#REF!,"AAAAADn/r4w=")</f>
        <v>#REF!</v>
      </c>
      <c r="EL54" t="e">
        <f>AND('BBP complete'!#REF!,"AAAAADn/r40=")</f>
        <v>#REF!</v>
      </c>
      <c r="EM54" t="e">
        <f>AND('BBP complete'!E721,"AAAAADn/r44=")</f>
        <v>#VALUE!</v>
      </c>
      <c r="EN54" t="e">
        <f>AND('BBP complete'!#REF!,"AAAAADn/r48=")</f>
        <v>#REF!</v>
      </c>
      <c r="EO54" t="e">
        <f>AND('BBP complete'!K721,"AAAAADn/r5A=")</f>
        <v>#VALUE!</v>
      </c>
      <c r="EP54" t="e">
        <f>AND('BBP complete'!L720,"AAAAADn/r5E=")</f>
        <v>#VALUE!</v>
      </c>
      <c r="EQ54" t="e">
        <f>AND('BBP complete'!#REF!,"AAAAADn/r5I=")</f>
        <v>#REF!</v>
      </c>
      <c r="ER54" t="e">
        <f>AND('BBP complete'!#REF!,"AAAAADn/r5M=")</f>
        <v>#REF!</v>
      </c>
      <c r="ES54" t="e">
        <f>AND('BBP complete'!#REF!,"AAAAADn/r5Q=")</f>
        <v>#REF!</v>
      </c>
      <c r="ET54" t="e">
        <f>AND('BBP complete'!D721,"AAAAADn/r5U=")</f>
        <v>#VALUE!</v>
      </c>
      <c r="EU54" t="e">
        <f>AND('BBP complete'!F721,"AAAAADn/r5Y=")</f>
        <v>#VALUE!</v>
      </c>
      <c r="EV54" t="e">
        <f>AND('BBP complete'!G721,"AAAAADn/r5c=")</f>
        <v>#VALUE!</v>
      </c>
      <c r="EW54" t="e">
        <f>AND('BBP complete'!H721,"AAAAADn/r5g=")</f>
        <v>#VALUE!</v>
      </c>
      <c r="EX54" t="e">
        <f>AND('BBP complete'!I721,"AAAAADn/r5k=")</f>
        <v>#VALUE!</v>
      </c>
      <c r="EY54" s="60" t="e">
        <v>#VALUE!</v>
      </c>
      <c r="EZ54" t="e">
        <f>AND('BBP complete'!A722,"AAAAADn/r5s=")</f>
        <v>#VALUE!</v>
      </c>
      <c r="FA54" t="e">
        <f>AND('BBP complete'!B722,"AAAAADn/r5w=")</f>
        <v>#VALUE!</v>
      </c>
      <c r="FB54" t="e">
        <f>AND('BBP complete'!C722,"AAAAADn/r50=")</f>
        <v>#VALUE!</v>
      </c>
      <c r="FC54" t="e">
        <f>AND('BBP complete'!#REF!,"AAAAADn/r54=")</f>
        <v>#REF!</v>
      </c>
      <c r="FD54" t="e">
        <f>AND('BBP complete'!#REF!,"AAAAADn/r58=")</f>
        <v>#REF!</v>
      </c>
      <c r="FE54" t="e">
        <f>AND('BBP complete'!#REF!,"AAAAADn/r6A=")</f>
        <v>#REF!</v>
      </c>
      <c r="FF54" t="e">
        <f>AND('BBP complete'!E722,"AAAAADn/r6E=")</f>
        <v>#VALUE!</v>
      </c>
      <c r="FG54" t="e">
        <f>AND('BBP complete'!#REF!,"AAAAADn/r6I=")</f>
        <v>#REF!</v>
      </c>
      <c r="FH54" t="e">
        <f>AND('BBP complete'!K722,"AAAAADn/r6M=")</f>
        <v>#VALUE!</v>
      </c>
      <c r="FI54" t="e">
        <f>AND('BBP complete'!L721,"AAAAADn/r6Q=")</f>
        <v>#VALUE!</v>
      </c>
      <c r="FJ54" t="e">
        <f>AND('BBP complete'!#REF!,"AAAAADn/r6U=")</f>
        <v>#REF!</v>
      </c>
      <c r="FK54" t="e">
        <f>AND('BBP complete'!#REF!,"AAAAADn/r6Y=")</f>
        <v>#REF!</v>
      </c>
      <c r="FL54" t="e">
        <f>AND('BBP complete'!#REF!,"AAAAADn/r6c=")</f>
        <v>#REF!</v>
      </c>
      <c r="FM54" t="e">
        <f>AND('BBP complete'!D722,"AAAAADn/r6g=")</f>
        <v>#VALUE!</v>
      </c>
      <c r="FN54" t="e">
        <f>AND('BBP complete'!F722,"AAAAADn/r6k=")</f>
        <v>#VALUE!</v>
      </c>
      <c r="FO54" t="e">
        <f>AND('BBP complete'!G722,"AAAAADn/r6o=")</f>
        <v>#VALUE!</v>
      </c>
      <c r="FP54" t="e">
        <f>AND('BBP complete'!H722,"AAAAADn/r6s=")</f>
        <v>#VALUE!</v>
      </c>
      <c r="FQ54" t="e">
        <f>AND('BBP complete'!I722,"AAAAADn/r6w=")</f>
        <v>#VALUE!</v>
      </c>
      <c r="FR54" s="60" t="e">
        <v>#VALUE!</v>
      </c>
      <c r="FS54" t="e">
        <f>AND('BBP complete'!A723,"AAAAADn/r64=")</f>
        <v>#VALUE!</v>
      </c>
      <c r="FT54" t="e">
        <f>AND('BBP complete'!B723,"AAAAADn/r68=")</f>
        <v>#VALUE!</v>
      </c>
      <c r="FU54" t="e">
        <f>AND('BBP complete'!C723,"AAAAADn/r7A=")</f>
        <v>#VALUE!</v>
      </c>
      <c r="FV54" t="e">
        <f>AND('BBP complete'!#REF!,"AAAAADn/r7E=")</f>
        <v>#REF!</v>
      </c>
      <c r="FW54" t="e">
        <f>AND('BBP complete'!#REF!,"AAAAADn/r7I=")</f>
        <v>#REF!</v>
      </c>
      <c r="FX54" t="e">
        <f>AND('BBP complete'!#REF!,"AAAAADn/r7M=")</f>
        <v>#REF!</v>
      </c>
      <c r="FY54" t="e">
        <f>AND('BBP complete'!E723,"AAAAADn/r7Q=")</f>
        <v>#VALUE!</v>
      </c>
      <c r="FZ54" t="e">
        <f>AND('BBP complete'!#REF!,"AAAAADn/r7U=")</f>
        <v>#REF!</v>
      </c>
      <c r="GA54" t="e">
        <f>AND('BBP complete'!K723,"AAAAADn/r7Y=")</f>
        <v>#VALUE!</v>
      </c>
      <c r="GB54" t="e">
        <f>AND('BBP complete'!L722,"AAAAADn/r7c=")</f>
        <v>#VALUE!</v>
      </c>
      <c r="GC54" t="e">
        <f>AND('BBP complete'!#REF!,"AAAAADn/r7g=")</f>
        <v>#REF!</v>
      </c>
      <c r="GD54" t="e">
        <f>AND('BBP complete'!#REF!,"AAAAADn/r7k=")</f>
        <v>#REF!</v>
      </c>
      <c r="GE54" t="e">
        <f>AND('BBP complete'!#REF!,"AAAAADn/r7o=")</f>
        <v>#REF!</v>
      </c>
      <c r="GF54" t="e">
        <f>AND('BBP complete'!D723,"AAAAADn/r7s=")</f>
        <v>#VALUE!</v>
      </c>
      <c r="GG54" t="e">
        <f>AND('BBP complete'!F723,"AAAAADn/r7w=")</f>
        <v>#VALUE!</v>
      </c>
      <c r="GH54" t="e">
        <f>AND('BBP complete'!G723,"AAAAADn/r70=")</f>
        <v>#VALUE!</v>
      </c>
      <c r="GI54" t="e">
        <f>AND('BBP complete'!H723,"AAAAADn/r74=")</f>
        <v>#VALUE!</v>
      </c>
      <c r="GJ54" t="e">
        <f>AND('BBP complete'!I723,"AAAAADn/r78=")</f>
        <v>#VALUE!</v>
      </c>
      <c r="GK54" s="60" t="e">
        <v>#VALUE!</v>
      </c>
      <c r="GL54" t="e">
        <f>AND('BBP complete'!A724,"AAAAADn/r8E=")</f>
        <v>#VALUE!</v>
      </c>
      <c r="GM54" t="e">
        <f>AND('BBP complete'!B724,"AAAAADn/r8I=")</f>
        <v>#VALUE!</v>
      </c>
      <c r="GN54" t="e">
        <f>AND('BBP complete'!C724,"AAAAADn/r8M=")</f>
        <v>#VALUE!</v>
      </c>
      <c r="GO54" t="e">
        <f>AND('BBP complete'!#REF!,"AAAAADn/r8Q=")</f>
        <v>#REF!</v>
      </c>
      <c r="GP54" t="e">
        <f>AND('BBP complete'!#REF!,"AAAAADn/r8U=")</f>
        <v>#REF!</v>
      </c>
      <c r="GQ54" t="e">
        <f>AND('BBP complete'!#REF!,"AAAAADn/r8Y=")</f>
        <v>#REF!</v>
      </c>
      <c r="GR54" t="e">
        <f>AND('BBP complete'!E724,"AAAAADn/r8c=")</f>
        <v>#VALUE!</v>
      </c>
      <c r="GS54" t="e">
        <f>AND('BBP complete'!#REF!,"AAAAADn/r8g=")</f>
        <v>#REF!</v>
      </c>
      <c r="GT54" t="e">
        <f>AND('BBP complete'!K724,"AAAAADn/r8k=")</f>
        <v>#VALUE!</v>
      </c>
      <c r="GU54" t="e">
        <f>AND('BBP complete'!L723,"AAAAADn/r8o=")</f>
        <v>#VALUE!</v>
      </c>
      <c r="GV54" t="e">
        <f>AND('BBP complete'!#REF!,"AAAAADn/r8s=")</f>
        <v>#REF!</v>
      </c>
      <c r="GW54" t="e">
        <f>AND('BBP complete'!#REF!,"AAAAADn/r8w=")</f>
        <v>#REF!</v>
      </c>
      <c r="GX54" t="e">
        <f>AND('BBP complete'!#REF!,"AAAAADn/r80=")</f>
        <v>#REF!</v>
      </c>
      <c r="GY54" t="e">
        <f>AND('BBP complete'!D724,"AAAAADn/r84=")</f>
        <v>#VALUE!</v>
      </c>
      <c r="GZ54" t="e">
        <f>AND('BBP complete'!F724,"AAAAADn/r88=")</f>
        <v>#VALUE!</v>
      </c>
      <c r="HA54" t="e">
        <f>AND('BBP complete'!G724,"AAAAADn/r9A=")</f>
        <v>#VALUE!</v>
      </c>
      <c r="HB54" t="e">
        <f>AND('BBP complete'!H724,"AAAAADn/r9E=")</f>
        <v>#VALUE!</v>
      </c>
      <c r="HC54" t="e">
        <f>AND('BBP complete'!I724,"AAAAADn/r9I=")</f>
        <v>#VALUE!</v>
      </c>
      <c r="HD54" s="60" t="e">
        <v>#VALUE!</v>
      </c>
      <c r="HE54" t="e">
        <f>AND('BBP complete'!A725,"AAAAADn/r9Q=")</f>
        <v>#VALUE!</v>
      </c>
      <c r="HF54" t="e">
        <f>AND('BBP complete'!B725,"AAAAADn/r9U=")</f>
        <v>#VALUE!</v>
      </c>
      <c r="HG54" t="e">
        <f>AND('BBP complete'!C725,"AAAAADn/r9Y=")</f>
        <v>#VALUE!</v>
      </c>
      <c r="HH54" t="e">
        <f>AND('BBP complete'!#REF!,"AAAAADn/r9c=")</f>
        <v>#REF!</v>
      </c>
      <c r="HI54" t="e">
        <f>AND('BBP complete'!#REF!,"AAAAADn/r9g=")</f>
        <v>#REF!</v>
      </c>
      <c r="HJ54" t="e">
        <f>AND('BBP complete'!#REF!,"AAAAADn/r9k=")</f>
        <v>#REF!</v>
      </c>
      <c r="HK54" t="e">
        <f>AND('BBP complete'!E725,"AAAAADn/r9o=")</f>
        <v>#VALUE!</v>
      </c>
      <c r="HL54" t="e">
        <f>AND('BBP complete'!#REF!,"AAAAADn/r9s=")</f>
        <v>#REF!</v>
      </c>
      <c r="HM54" t="e">
        <f>AND('BBP complete'!K725,"AAAAADn/r9w=")</f>
        <v>#VALUE!</v>
      </c>
      <c r="HN54" t="e">
        <f>AND('BBP complete'!L724,"AAAAADn/r90=")</f>
        <v>#VALUE!</v>
      </c>
      <c r="HO54" t="e">
        <f>AND('BBP complete'!#REF!,"AAAAADn/r94=")</f>
        <v>#REF!</v>
      </c>
      <c r="HP54" t="e">
        <f>AND('BBP complete'!#REF!,"AAAAADn/r98=")</f>
        <v>#REF!</v>
      </c>
      <c r="HQ54" t="e">
        <f>AND('BBP complete'!#REF!,"AAAAADn/r+A=")</f>
        <v>#REF!</v>
      </c>
      <c r="HR54" t="e">
        <f>AND('BBP complete'!D725,"AAAAADn/r+E=")</f>
        <v>#VALUE!</v>
      </c>
      <c r="HS54" t="e">
        <f>AND('BBP complete'!F725,"AAAAADn/r+I=")</f>
        <v>#VALUE!</v>
      </c>
      <c r="HT54" t="e">
        <f>AND('BBP complete'!G725,"AAAAADn/r+M=")</f>
        <v>#VALUE!</v>
      </c>
      <c r="HU54" t="e">
        <f>AND('BBP complete'!H725,"AAAAADn/r+Q=")</f>
        <v>#VALUE!</v>
      </c>
      <c r="HV54" t="e">
        <f>AND('BBP complete'!I725,"AAAAADn/r+U=")</f>
        <v>#VALUE!</v>
      </c>
      <c r="HW54" s="60" t="e">
        <v>#VALUE!</v>
      </c>
      <c r="HX54" t="e">
        <f>AND('BBP complete'!A726,"AAAAADn/r+c=")</f>
        <v>#VALUE!</v>
      </c>
      <c r="HY54" t="e">
        <f>AND('BBP complete'!B726,"AAAAADn/r+g=")</f>
        <v>#VALUE!</v>
      </c>
      <c r="HZ54" t="e">
        <f>AND('BBP complete'!C726,"AAAAADn/r+k=")</f>
        <v>#VALUE!</v>
      </c>
      <c r="IA54" t="e">
        <f>AND('BBP complete'!#REF!,"AAAAADn/r+o=")</f>
        <v>#REF!</v>
      </c>
      <c r="IB54" t="e">
        <f>AND('BBP complete'!#REF!,"AAAAADn/r+s=")</f>
        <v>#REF!</v>
      </c>
      <c r="IC54" t="e">
        <f>AND('BBP complete'!#REF!,"AAAAADn/r+w=")</f>
        <v>#REF!</v>
      </c>
      <c r="ID54" t="e">
        <f>AND('BBP complete'!E726,"AAAAADn/r+0=")</f>
        <v>#VALUE!</v>
      </c>
      <c r="IE54" t="e">
        <f>AND('BBP complete'!#REF!,"AAAAADn/r+4=")</f>
        <v>#REF!</v>
      </c>
      <c r="IF54" t="e">
        <f>AND('BBP complete'!K726,"AAAAADn/r+8=")</f>
        <v>#VALUE!</v>
      </c>
      <c r="IG54" t="e">
        <f>AND('BBP complete'!L725,"AAAAADn/r/A=")</f>
        <v>#VALUE!</v>
      </c>
      <c r="IH54" t="e">
        <f>AND('BBP complete'!#REF!,"AAAAADn/r/E=")</f>
        <v>#REF!</v>
      </c>
      <c r="II54" t="e">
        <f>AND('BBP complete'!#REF!,"AAAAADn/r/I=")</f>
        <v>#REF!</v>
      </c>
      <c r="IJ54" t="e">
        <f>AND('BBP complete'!#REF!,"AAAAADn/r/M=")</f>
        <v>#REF!</v>
      </c>
      <c r="IK54" t="e">
        <f>AND('BBP complete'!D726,"AAAAADn/r/Q=")</f>
        <v>#VALUE!</v>
      </c>
      <c r="IL54" t="e">
        <f>AND('BBP complete'!F726,"AAAAADn/r/U=")</f>
        <v>#VALUE!</v>
      </c>
      <c r="IM54" t="e">
        <f>AND('BBP complete'!G726,"AAAAADn/r/Y=")</f>
        <v>#VALUE!</v>
      </c>
      <c r="IN54" t="e">
        <f>AND('BBP complete'!H726,"AAAAADn/r/c=")</f>
        <v>#VALUE!</v>
      </c>
      <c r="IO54" t="e">
        <f>AND('BBP complete'!I726,"AAAAADn/r/g=")</f>
        <v>#VALUE!</v>
      </c>
      <c r="IP54" s="60" t="e">
        <v>#VALUE!</v>
      </c>
      <c r="IQ54" t="e">
        <f>AND('BBP complete'!A727,"AAAAADn/r/o=")</f>
        <v>#VALUE!</v>
      </c>
      <c r="IR54" t="e">
        <f>AND('BBP complete'!B727,"AAAAADn/r/s=")</f>
        <v>#VALUE!</v>
      </c>
      <c r="IS54" t="e">
        <f>AND('BBP complete'!C727,"AAAAADn/r/w=")</f>
        <v>#VALUE!</v>
      </c>
      <c r="IT54" t="e">
        <f>AND('BBP complete'!#REF!,"AAAAADn/r/0=")</f>
        <v>#REF!</v>
      </c>
      <c r="IU54" t="e">
        <f>AND('BBP complete'!#REF!,"AAAAADn/r/4=")</f>
        <v>#REF!</v>
      </c>
      <c r="IV54" t="e">
        <f>AND('BBP complete'!#REF!,"AAAAADn/r/8=")</f>
        <v>#REF!</v>
      </c>
    </row>
    <row r="55" spans="1:256" ht="15" customHeight="1" x14ac:dyDescent="0.25">
      <c r="A55" t="e">
        <f>AND('BBP complete'!E727,"AAAAAFf9+wA=")</f>
        <v>#VALUE!</v>
      </c>
      <c r="B55" t="e">
        <f>AND('BBP complete'!#REF!,"AAAAAFf9+wE=")</f>
        <v>#REF!</v>
      </c>
      <c r="C55" t="e">
        <f>AND('BBP complete'!K727,"AAAAAFf9+wI=")</f>
        <v>#VALUE!</v>
      </c>
      <c r="D55" t="e">
        <f>AND('BBP complete'!L726,"AAAAAFf9+wM=")</f>
        <v>#VALUE!</v>
      </c>
      <c r="E55" t="e">
        <f>AND('BBP complete'!#REF!,"AAAAAFf9+wQ=")</f>
        <v>#REF!</v>
      </c>
      <c r="F55" t="e">
        <f>AND('BBP complete'!#REF!,"AAAAAFf9+wU=")</f>
        <v>#REF!</v>
      </c>
      <c r="G55" t="e">
        <f>AND('BBP complete'!#REF!,"AAAAAFf9+wY=")</f>
        <v>#REF!</v>
      </c>
      <c r="H55" t="e">
        <f>AND('BBP complete'!D727,"AAAAAFf9+wc=")</f>
        <v>#VALUE!</v>
      </c>
      <c r="I55" t="e">
        <f>AND('BBP complete'!F727,"AAAAAFf9+wg=")</f>
        <v>#VALUE!</v>
      </c>
      <c r="J55" t="e">
        <f>AND('BBP complete'!G727,"AAAAAFf9+wk=")</f>
        <v>#VALUE!</v>
      </c>
      <c r="K55" t="e">
        <f>AND('BBP complete'!H727,"AAAAAFf9+wo=")</f>
        <v>#VALUE!</v>
      </c>
      <c r="L55" t="e">
        <f>AND('BBP complete'!I727,"AAAAAFf9+ws=")</f>
        <v>#VALUE!</v>
      </c>
      <c r="M55" s="60" t="e">
        <v>#VALUE!</v>
      </c>
      <c r="N55" t="e">
        <f>AND('BBP complete'!A728,"AAAAAFf9+w0=")</f>
        <v>#VALUE!</v>
      </c>
      <c r="O55" t="e">
        <f>AND('BBP complete'!B728,"AAAAAFf9+w4=")</f>
        <v>#VALUE!</v>
      </c>
      <c r="P55" t="e">
        <f>AND('BBP complete'!C728,"AAAAAFf9+w8=")</f>
        <v>#VALUE!</v>
      </c>
      <c r="Q55" t="e">
        <f>AND('BBP complete'!#REF!,"AAAAAFf9+xA=")</f>
        <v>#REF!</v>
      </c>
      <c r="R55" t="e">
        <f>AND('BBP complete'!#REF!,"AAAAAFf9+xE=")</f>
        <v>#REF!</v>
      </c>
      <c r="S55" t="e">
        <f>AND('BBP complete'!#REF!,"AAAAAFf9+xI=")</f>
        <v>#REF!</v>
      </c>
      <c r="T55" t="e">
        <f>AND('BBP complete'!E728,"AAAAAFf9+xM=")</f>
        <v>#VALUE!</v>
      </c>
      <c r="U55" t="e">
        <f>AND('BBP complete'!#REF!,"AAAAAFf9+xQ=")</f>
        <v>#REF!</v>
      </c>
      <c r="V55" t="e">
        <f>AND('BBP complete'!K728,"AAAAAFf9+xU=")</f>
        <v>#VALUE!</v>
      </c>
      <c r="W55" t="e">
        <f>AND('BBP complete'!L727,"AAAAAFf9+xY=")</f>
        <v>#VALUE!</v>
      </c>
      <c r="X55" t="e">
        <f>AND('BBP complete'!#REF!,"AAAAAFf9+xc=")</f>
        <v>#REF!</v>
      </c>
      <c r="Y55" t="e">
        <f>AND('BBP complete'!#REF!,"AAAAAFf9+xg=")</f>
        <v>#REF!</v>
      </c>
      <c r="Z55" t="e">
        <f>AND('BBP complete'!#REF!,"AAAAAFf9+xk=")</f>
        <v>#REF!</v>
      </c>
      <c r="AA55" t="e">
        <f>AND('BBP complete'!D728,"AAAAAFf9+xo=")</f>
        <v>#VALUE!</v>
      </c>
      <c r="AB55" t="e">
        <f>AND('BBP complete'!F728,"AAAAAFf9+xs=")</f>
        <v>#VALUE!</v>
      </c>
      <c r="AC55" t="e">
        <f>AND('BBP complete'!G728,"AAAAAFf9+xw=")</f>
        <v>#VALUE!</v>
      </c>
      <c r="AD55" t="e">
        <f>AND('BBP complete'!H728,"AAAAAFf9+x0=")</f>
        <v>#VALUE!</v>
      </c>
      <c r="AE55" t="e">
        <f>AND('BBP complete'!I728,"AAAAAFf9+x4=")</f>
        <v>#VALUE!</v>
      </c>
      <c r="AF55" s="60" t="e">
        <v>#VALUE!</v>
      </c>
      <c r="AG55" t="e">
        <f>AND('BBP complete'!A729,"AAAAAFf9+yA=")</f>
        <v>#VALUE!</v>
      </c>
      <c r="AH55" t="e">
        <f>AND('BBP complete'!B729,"AAAAAFf9+yE=")</f>
        <v>#VALUE!</v>
      </c>
      <c r="AI55" t="e">
        <f>AND('BBP complete'!C729,"AAAAAFf9+yI=")</f>
        <v>#VALUE!</v>
      </c>
      <c r="AJ55" t="e">
        <f>AND('BBP complete'!#REF!,"AAAAAFf9+yM=")</f>
        <v>#REF!</v>
      </c>
      <c r="AK55" t="e">
        <f>AND('BBP complete'!#REF!,"AAAAAFf9+yQ=")</f>
        <v>#REF!</v>
      </c>
      <c r="AL55" t="e">
        <f>AND('BBP complete'!#REF!,"AAAAAFf9+yU=")</f>
        <v>#REF!</v>
      </c>
      <c r="AM55" t="e">
        <f>AND('BBP complete'!E729,"AAAAAFf9+yY=")</f>
        <v>#VALUE!</v>
      </c>
      <c r="AN55" t="e">
        <f>AND('BBP complete'!#REF!,"AAAAAFf9+yc=")</f>
        <v>#REF!</v>
      </c>
      <c r="AO55" t="e">
        <f>AND('BBP complete'!K729,"AAAAAFf9+yg=")</f>
        <v>#VALUE!</v>
      </c>
      <c r="AP55" t="e">
        <f>AND('BBP complete'!L728,"AAAAAFf9+yk=")</f>
        <v>#VALUE!</v>
      </c>
      <c r="AQ55" t="e">
        <f>AND('BBP complete'!#REF!,"AAAAAFf9+yo=")</f>
        <v>#REF!</v>
      </c>
      <c r="AR55" t="e">
        <f>AND('BBP complete'!#REF!,"AAAAAFf9+ys=")</f>
        <v>#REF!</v>
      </c>
      <c r="AS55" t="e">
        <f>AND('BBP complete'!#REF!,"AAAAAFf9+yw=")</f>
        <v>#REF!</v>
      </c>
      <c r="AT55" t="e">
        <f>AND('BBP complete'!D729,"AAAAAFf9+y0=")</f>
        <v>#VALUE!</v>
      </c>
      <c r="AU55" t="e">
        <f>AND('BBP complete'!F729,"AAAAAFf9+y4=")</f>
        <v>#VALUE!</v>
      </c>
      <c r="AV55" t="e">
        <f>AND('BBP complete'!G729,"AAAAAFf9+y8=")</f>
        <v>#VALUE!</v>
      </c>
      <c r="AW55" t="e">
        <f>AND('BBP complete'!H729,"AAAAAFf9+zA=")</f>
        <v>#VALUE!</v>
      </c>
      <c r="AX55" t="e">
        <f>AND('BBP complete'!I729,"AAAAAFf9+zE=")</f>
        <v>#VALUE!</v>
      </c>
      <c r="AY55" s="60" t="e">
        <v>#VALUE!</v>
      </c>
      <c r="AZ55" t="e">
        <f>AND('BBP complete'!A730,"AAAAAFf9+zM=")</f>
        <v>#VALUE!</v>
      </c>
      <c r="BA55" t="e">
        <f>AND('BBP complete'!B730,"AAAAAFf9+zQ=")</f>
        <v>#VALUE!</v>
      </c>
      <c r="BB55" t="e">
        <f>AND('BBP complete'!C730,"AAAAAFf9+zU=")</f>
        <v>#VALUE!</v>
      </c>
      <c r="BC55" t="e">
        <f>AND('BBP complete'!#REF!,"AAAAAFf9+zY=")</f>
        <v>#REF!</v>
      </c>
      <c r="BD55" t="e">
        <f>AND('BBP complete'!#REF!,"AAAAAFf9+zc=")</f>
        <v>#REF!</v>
      </c>
      <c r="BE55" t="e">
        <f>AND('BBP complete'!#REF!,"AAAAAFf9+zg=")</f>
        <v>#REF!</v>
      </c>
      <c r="BF55" t="e">
        <f>AND('BBP complete'!E730,"AAAAAFf9+zk=")</f>
        <v>#VALUE!</v>
      </c>
      <c r="BG55" t="e">
        <f>AND('BBP complete'!#REF!,"AAAAAFf9+zo=")</f>
        <v>#REF!</v>
      </c>
      <c r="BH55" t="e">
        <f>AND('BBP complete'!K730,"AAAAAFf9+zs=")</f>
        <v>#VALUE!</v>
      </c>
      <c r="BI55" t="e">
        <f>AND('BBP complete'!L729,"AAAAAFf9+zw=")</f>
        <v>#VALUE!</v>
      </c>
      <c r="BJ55" t="e">
        <f>AND('BBP complete'!#REF!,"AAAAAFf9+z0=")</f>
        <v>#REF!</v>
      </c>
      <c r="BK55" t="e">
        <f>AND('BBP complete'!#REF!,"AAAAAFf9+z4=")</f>
        <v>#REF!</v>
      </c>
      <c r="BL55" t="e">
        <f>AND('BBP complete'!#REF!,"AAAAAFf9+z8=")</f>
        <v>#REF!</v>
      </c>
      <c r="BM55" t="e">
        <f>AND('BBP complete'!D730,"AAAAAFf9+0A=")</f>
        <v>#VALUE!</v>
      </c>
      <c r="BN55" t="e">
        <f>AND('BBP complete'!F730,"AAAAAFf9+0E=")</f>
        <v>#VALUE!</v>
      </c>
      <c r="BO55" t="e">
        <f>AND('BBP complete'!G730,"AAAAAFf9+0I=")</f>
        <v>#VALUE!</v>
      </c>
      <c r="BP55" t="e">
        <f>AND('BBP complete'!H730,"AAAAAFf9+0M=")</f>
        <v>#VALUE!</v>
      </c>
      <c r="BQ55" t="e">
        <f>AND('BBP complete'!I730,"AAAAAFf9+0Q=")</f>
        <v>#VALUE!</v>
      </c>
      <c r="BR55" s="60" t="e">
        <v>#VALUE!</v>
      </c>
      <c r="BS55" t="e">
        <f>AND('BBP complete'!A731,"AAAAAFf9+0Y=")</f>
        <v>#VALUE!</v>
      </c>
      <c r="BT55" t="e">
        <f>AND('BBP complete'!B731,"AAAAAFf9+0c=")</f>
        <v>#VALUE!</v>
      </c>
      <c r="BU55" t="e">
        <f>AND('BBP complete'!C731,"AAAAAFf9+0g=")</f>
        <v>#VALUE!</v>
      </c>
      <c r="BV55" t="e">
        <f>AND('BBP complete'!#REF!,"AAAAAFf9+0k=")</f>
        <v>#REF!</v>
      </c>
      <c r="BW55" t="e">
        <f>AND('BBP complete'!#REF!,"AAAAAFf9+0o=")</f>
        <v>#REF!</v>
      </c>
      <c r="BX55" t="e">
        <f>AND('BBP complete'!#REF!,"AAAAAFf9+0s=")</f>
        <v>#REF!</v>
      </c>
      <c r="BY55" t="e">
        <f>AND('BBP complete'!E731,"AAAAAFf9+0w=")</f>
        <v>#VALUE!</v>
      </c>
      <c r="BZ55" t="e">
        <f>AND('BBP complete'!#REF!,"AAAAAFf9+00=")</f>
        <v>#REF!</v>
      </c>
      <c r="CA55" t="e">
        <f>AND('BBP complete'!K731,"AAAAAFf9+04=")</f>
        <v>#VALUE!</v>
      </c>
      <c r="CB55" t="e">
        <f>AND('BBP complete'!L730,"AAAAAFf9+08=")</f>
        <v>#VALUE!</v>
      </c>
      <c r="CC55" t="e">
        <f>AND('BBP complete'!#REF!,"AAAAAFf9+1A=")</f>
        <v>#REF!</v>
      </c>
      <c r="CD55" t="e">
        <f>AND('BBP complete'!#REF!,"AAAAAFf9+1E=")</f>
        <v>#REF!</v>
      </c>
      <c r="CE55" t="e">
        <f>AND('BBP complete'!#REF!,"AAAAAFf9+1I=")</f>
        <v>#REF!</v>
      </c>
      <c r="CF55" t="e">
        <f>AND('BBP complete'!D731,"AAAAAFf9+1M=")</f>
        <v>#VALUE!</v>
      </c>
      <c r="CG55" t="e">
        <f>AND('BBP complete'!F731,"AAAAAFf9+1Q=")</f>
        <v>#VALUE!</v>
      </c>
      <c r="CH55" t="e">
        <f>AND('BBP complete'!G731,"AAAAAFf9+1U=")</f>
        <v>#VALUE!</v>
      </c>
      <c r="CI55" t="e">
        <f>AND('BBP complete'!H731,"AAAAAFf9+1Y=")</f>
        <v>#VALUE!</v>
      </c>
      <c r="CJ55" t="e">
        <f>AND('BBP complete'!I731,"AAAAAFf9+1c=")</f>
        <v>#VALUE!</v>
      </c>
      <c r="CK55" s="60" t="e">
        <v>#VALUE!</v>
      </c>
      <c r="CL55" t="e">
        <f>AND('BBP complete'!A732,"AAAAAFf9+1k=")</f>
        <v>#VALUE!</v>
      </c>
      <c r="CM55" t="e">
        <f>AND('BBP complete'!B732,"AAAAAFf9+1o=")</f>
        <v>#VALUE!</v>
      </c>
      <c r="CN55" t="e">
        <f>AND('BBP complete'!C732,"AAAAAFf9+1s=")</f>
        <v>#VALUE!</v>
      </c>
      <c r="CO55" t="e">
        <f>AND('BBP complete'!#REF!,"AAAAAFf9+1w=")</f>
        <v>#REF!</v>
      </c>
      <c r="CP55" t="e">
        <f>AND('BBP complete'!#REF!,"AAAAAFf9+10=")</f>
        <v>#REF!</v>
      </c>
      <c r="CQ55" t="e">
        <f>AND('BBP complete'!#REF!,"AAAAAFf9+14=")</f>
        <v>#REF!</v>
      </c>
      <c r="CR55" t="e">
        <f>AND('BBP complete'!E732,"AAAAAFf9+18=")</f>
        <v>#VALUE!</v>
      </c>
      <c r="CS55" t="e">
        <f>AND('BBP complete'!#REF!,"AAAAAFf9+2A=")</f>
        <v>#REF!</v>
      </c>
      <c r="CT55" t="e">
        <f>AND('BBP complete'!K732,"AAAAAFf9+2E=")</f>
        <v>#VALUE!</v>
      </c>
      <c r="CU55" t="e">
        <f>AND('BBP complete'!L731,"AAAAAFf9+2I=")</f>
        <v>#VALUE!</v>
      </c>
      <c r="CV55" t="e">
        <f>AND('BBP complete'!#REF!,"AAAAAFf9+2M=")</f>
        <v>#REF!</v>
      </c>
      <c r="CW55" t="e">
        <f>AND('BBP complete'!#REF!,"AAAAAFf9+2Q=")</f>
        <v>#REF!</v>
      </c>
      <c r="CX55" t="e">
        <f>AND('BBP complete'!#REF!,"AAAAAFf9+2U=")</f>
        <v>#REF!</v>
      </c>
      <c r="CY55" t="e">
        <f>AND('BBP complete'!D732,"AAAAAFf9+2Y=")</f>
        <v>#VALUE!</v>
      </c>
      <c r="CZ55" t="e">
        <f>AND('BBP complete'!F732,"AAAAAFf9+2c=")</f>
        <v>#VALUE!</v>
      </c>
      <c r="DA55" t="e">
        <f>AND('BBP complete'!G732,"AAAAAFf9+2g=")</f>
        <v>#VALUE!</v>
      </c>
      <c r="DB55" t="e">
        <f>AND('BBP complete'!H732,"AAAAAFf9+2k=")</f>
        <v>#VALUE!</v>
      </c>
      <c r="DC55" t="e">
        <f>AND('BBP complete'!I732,"AAAAAFf9+2o=")</f>
        <v>#VALUE!</v>
      </c>
      <c r="DD55" s="60" t="e">
        <v>#VALUE!</v>
      </c>
      <c r="DE55" t="e">
        <f>AND('BBP complete'!A733,"AAAAAFf9+2w=")</f>
        <v>#VALUE!</v>
      </c>
      <c r="DF55" t="e">
        <f>AND('BBP complete'!B733,"AAAAAFf9+20=")</f>
        <v>#VALUE!</v>
      </c>
      <c r="DG55" t="e">
        <f>AND('BBP complete'!C733,"AAAAAFf9+24=")</f>
        <v>#VALUE!</v>
      </c>
      <c r="DH55" t="e">
        <f>AND('BBP complete'!#REF!,"AAAAAFf9+28=")</f>
        <v>#REF!</v>
      </c>
      <c r="DI55" t="e">
        <f>AND('BBP complete'!#REF!,"AAAAAFf9+3A=")</f>
        <v>#REF!</v>
      </c>
      <c r="DJ55" t="e">
        <f>AND('BBP complete'!#REF!,"AAAAAFf9+3E=")</f>
        <v>#REF!</v>
      </c>
      <c r="DK55" t="e">
        <f>AND('BBP complete'!E733,"AAAAAFf9+3I=")</f>
        <v>#VALUE!</v>
      </c>
      <c r="DL55" t="e">
        <f>AND('BBP complete'!#REF!,"AAAAAFf9+3M=")</f>
        <v>#REF!</v>
      </c>
      <c r="DM55" t="e">
        <f>AND('BBP complete'!K733,"AAAAAFf9+3Q=")</f>
        <v>#VALUE!</v>
      </c>
      <c r="DN55" t="e">
        <f>AND('BBP complete'!L732,"AAAAAFf9+3U=")</f>
        <v>#VALUE!</v>
      </c>
      <c r="DO55" t="e">
        <f>AND('BBP complete'!#REF!,"AAAAAFf9+3Y=")</f>
        <v>#REF!</v>
      </c>
      <c r="DP55" t="e">
        <f>AND('BBP complete'!#REF!,"AAAAAFf9+3c=")</f>
        <v>#REF!</v>
      </c>
      <c r="DQ55" t="e">
        <f>AND('BBP complete'!#REF!,"AAAAAFf9+3g=")</f>
        <v>#REF!</v>
      </c>
      <c r="DR55" t="e">
        <f>AND('BBP complete'!D733,"AAAAAFf9+3k=")</f>
        <v>#VALUE!</v>
      </c>
      <c r="DS55" t="e">
        <f>AND('BBP complete'!F733,"AAAAAFf9+3o=")</f>
        <v>#VALUE!</v>
      </c>
      <c r="DT55" t="e">
        <f>AND('BBP complete'!G733,"AAAAAFf9+3s=")</f>
        <v>#VALUE!</v>
      </c>
      <c r="DU55" t="e">
        <f>AND('BBP complete'!H733,"AAAAAFf9+3w=")</f>
        <v>#VALUE!</v>
      </c>
      <c r="DV55" t="e">
        <f>AND('BBP complete'!I733,"AAAAAFf9+30=")</f>
        <v>#VALUE!</v>
      </c>
      <c r="DW55" s="60" t="e">
        <v>#VALUE!</v>
      </c>
      <c r="DX55" t="e">
        <f>AND('BBP complete'!A734,"AAAAAFf9+38=")</f>
        <v>#VALUE!</v>
      </c>
      <c r="DY55" t="e">
        <f>AND('BBP complete'!B734,"AAAAAFf9+4A=")</f>
        <v>#VALUE!</v>
      </c>
      <c r="DZ55" t="e">
        <f>AND('BBP complete'!C734,"AAAAAFf9+4E=")</f>
        <v>#VALUE!</v>
      </c>
      <c r="EA55" t="e">
        <f>AND('BBP complete'!#REF!,"AAAAAFf9+4I=")</f>
        <v>#REF!</v>
      </c>
      <c r="EB55" t="e">
        <f>AND('BBP complete'!#REF!,"AAAAAFf9+4M=")</f>
        <v>#REF!</v>
      </c>
      <c r="EC55" t="e">
        <f>AND('BBP complete'!#REF!,"AAAAAFf9+4Q=")</f>
        <v>#REF!</v>
      </c>
      <c r="ED55" t="e">
        <f>AND('BBP complete'!E734,"AAAAAFf9+4U=")</f>
        <v>#VALUE!</v>
      </c>
      <c r="EE55" t="e">
        <f>AND('BBP complete'!#REF!,"AAAAAFf9+4Y=")</f>
        <v>#REF!</v>
      </c>
      <c r="EF55" t="e">
        <f>AND('BBP complete'!K734,"AAAAAFf9+4c=")</f>
        <v>#VALUE!</v>
      </c>
      <c r="EG55" t="e">
        <f>AND('BBP complete'!L733,"AAAAAFf9+4g=")</f>
        <v>#VALUE!</v>
      </c>
      <c r="EH55" t="e">
        <f>AND('BBP complete'!#REF!,"AAAAAFf9+4k=")</f>
        <v>#REF!</v>
      </c>
      <c r="EI55" t="e">
        <f>AND('BBP complete'!#REF!,"AAAAAFf9+4o=")</f>
        <v>#REF!</v>
      </c>
      <c r="EJ55" t="e">
        <f>AND('BBP complete'!#REF!,"AAAAAFf9+4s=")</f>
        <v>#REF!</v>
      </c>
      <c r="EK55" t="e">
        <f>AND('BBP complete'!D734,"AAAAAFf9+4w=")</f>
        <v>#VALUE!</v>
      </c>
      <c r="EL55" t="e">
        <f>AND('BBP complete'!F734,"AAAAAFf9+40=")</f>
        <v>#VALUE!</v>
      </c>
      <c r="EM55" t="e">
        <f>AND('BBP complete'!G734,"AAAAAFf9+44=")</f>
        <v>#VALUE!</v>
      </c>
      <c r="EN55" t="e">
        <f>AND('BBP complete'!H734,"AAAAAFf9+48=")</f>
        <v>#VALUE!</v>
      </c>
      <c r="EO55" t="e">
        <f>AND('BBP complete'!I734,"AAAAAFf9+5A=")</f>
        <v>#VALUE!</v>
      </c>
      <c r="EP55" s="60" t="e">
        <v>#VALUE!</v>
      </c>
      <c r="EQ55" t="e">
        <f>AND('BBP complete'!A735,"AAAAAFf9+5I=")</f>
        <v>#VALUE!</v>
      </c>
      <c r="ER55" t="e">
        <f>AND('BBP complete'!B735,"AAAAAFf9+5M=")</f>
        <v>#VALUE!</v>
      </c>
      <c r="ES55" t="e">
        <f>AND('BBP complete'!C735,"AAAAAFf9+5Q=")</f>
        <v>#VALUE!</v>
      </c>
      <c r="ET55" t="e">
        <f>AND('BBP complete'!#REF!,"AAAAAFf9+5U=")</f>
        <v>#REF!</v>
      </c>
      <c r="EU55" t="e">
        <f>AND('BBP complete'!#REF!,"AAAAAFf9+5Y=")</f>
        <v>#REF!</v>
      </c>
      <c r="EV55" t="e">
        <f>AND('BBP complete'!#REF!,"AAAAAFf9+5c=")</f>
        <v>#REF!</v>
      </c>
      <c r="EW55" t="e">
        <f>AND('BBP complete'!E735,"AAAAAFf9+5g=")</f>
        <v>#VALUE!</v>
      </c>
      <c r="EX55" t="e">
        <f>AND('BBP complete'!#REF!,"AAAAAFf9+5k=")</f>
        <v>#REF!</v>
      </c>
      <c r="EY55" t="e">
        <f>AND('BBP complete'!K735,"AAAAAFf9+5o=")</f>
        <v>#VALUE!</v>
      </c>
      <c r="EZ55" t="e">
        <f>AND('BBP complete'!L734,"AAAAAFf9+5s=")</f>
        <v>#VALUE!</v>
      </c>
      <c r="FA55" t="e">
        <f>AND('BBP complete'!#REF!,"AAAAAFf9+5w=")</f>
        <v>#REF!</v>
      </c>
      <c r="FB55" t="e">
        <f>AND('BBP complete'!#REF!,"AAAAAFf9+50=")</f>
        <v>#REF!</v>
      </c>
      <c r="FC55" t="e">
        <f>AND('BBP complete'!#REF!,"AAAAAFf9+54=")</f>
        <v>#REF!</v>
      </c>
      <c r="FD55" t="e">
        <f>AND('BBP complete'!D735,"AAAAAFf9+58=")</f>
        <v>#VALUE!</v>
      </c>
      <c r="FE55" t="e">
        <f>AND('BBP complete'!F735,"AAAAAFf9+6A=")</f>
        <v>#VALUE!</v>
      </c>
      <c r="FF55" t="e">
        <f>AND('BBP complete'!G735,"AAAAAFf9+6E=")</f>
        <v>#VALUE!</v>
      </c>
      <c r="FG55" t="e">
        <f>AND('BBP complete'!H735,"AAAAAFf9+6I=")</f>
        <v>#VALUE!</v>
      </c>
      <c r="FH55" t="e">
        <f>AND('BBP complete'!I735,"AAAAAFf9+6M=")</f>
        <v>#VALUE!</v>
      </c>
      <c r="FI55" s="60" t="e">
        <v>#VALUE!</v>
      </c>
      <c r="FJ55" t="e">
        <f>AND('BBP complete'!A736,"AAAAAFf9+6U=")</f>
        <v>#VALUE!</v>
      </c>
      <c r="FK55" t="e">
        <f>AND('BBP complete'!B736,"AAAAAFf9+6Y=")</f>
        <v>#VALUE!</v>
      </c>
      <c r="FL55" t="e">
        <f>AND('BBP complete'!C736,"AAAAAFf9+6c=")</f>
        <v>#VALUE!</v>
      </c>
      <c r="FM55" t="e">
        <f>AND('BBP complete'!#REF!,"AAAAAFf9+6g=")</f>
        <v>#REF!</v>
      </c>
      <c r="FN55" t="e">
        <f>AND('BBP complete'!#REF!,"AAAAAFf9+6k=")</f>
        <v>#REF!</v>
      </c>
      <c r="FO55" t="e">
        <f>AND('BBP complete'!#REF!,"AAAAAFf9+6o=")</f>
        <v>#REF!</v>
      </c>
      <c r="FP55" t="e">
        <f>AND('BBP complete'!E736,"AAAAAFf9+6s=")</f>
        <v>#VALUE!</v>
      </c>
      <c r="FQ55" t="e">
        <f>AND('BBP complete'!#REF!,"AAAAAFf9+6w=")</f>
        <v>#REF!</v>
      </c>
      <c r="FR55" t="e">
        <f>AND('BBP complete'!K736,"AAAAAFf9+60=")</f>
        <v>#VALUE!</v>
      </c>
      <c r="FS55" t="e">
        <f>AND('BBP complete'!L735,"AAAAAFf9+64=")</f>
        <v>#VALUE!</v>
      </c>
      <c r="FT55" t="e">
        <f>AND('BBP complete'!#REF!,"AAAAAFf9+68=")</f>
        <v>#REF!</v>
      </c>
      <c r="FU55" t="e">
        <f>AND('BBP complete'!#REF!,"AAAAAFf9+7A=")</f>
        <v>#REF!</v>
      </c>
      <c r="FV55" t="e">
        <f>AND('BBP complete'!#REF!,"AAAAAFf9+7E=")</f>
        <v>#REF!</v>
      </c>
      <c r="FW55" t="e">
        <f>AND('BBP complete'!D736,"AAAAAFf9+7I=")</f>
        <v>#VALUE!</v>
      </c>
      <c r="FX55" t="e">
        <f>AND('BBP complete'!F736,"AAAAAFf9+7M=")</f>
        <v>#VALUE!</v>
      </c>
      <c r="FY55" t="e">
        <f>AND('BBP complete'!G736,"AAAAAFf9+7Q=")</f>
        <v>#VALUE!</v>
      </c>
      <c r="FZ55" t="e">
        <f>AND('BBP complete'!H736,"AAAAAFf9+7U=")</f>
        <v>#VALUE!</v>
      </c>
      <c r="GA55" t="e">
        <f>AND('BBP complete'!I736,"AAAAAFf9+7Y=")</f>
        <v>#VALUE!</v>
      </c>
      <c r="GB55" s="60" t="e">
        <v>#VALUE!</v>
      </c>
      <c r="GC55" t="e">
        <f>AND('BBP complete'!A737,"AAAAAFf9+7g=")</f>
        <v>#VALUE!</v>
      </c>
      <c r="GD55" t="e">
        <f>AND('BBP complete'!B737,"AAAAAFf9+7k=")</f>
        <v>#VALUE!</v>
      </c>
      <c r="GE55" t="e">
        <f>AND('BBP complete'!C737,"AAAAAFf9+7o=")</f>
        <v>#VALUE!</v>
      </c>
      <c r="GF55" t="e">
        <f>AND('BBP complete'!#REF!,"AAAAAFf9+7s=")</f>
        <v>#REF!</v>
      </c>
      <c r="GG55" t="e">
        <f>AND('BBP complete'!#REF!,"AAAAAFf9+7w=")</f>
        <v>#REF!</v>
      </c>
      <c r="GH55" t="e">
        <f>AND('BBP complete'!#REF!,"AAAAAFf9+70=")</f>
        <v>#REF!</v>
      </c>
      <c r="GI55" t="e">
        <f>AND('BBP complete'!E737,"AAAAAFf9+74=")</f>
        <v>#VALUE!</v>
      </c>
      <c r="GJ55" t="e">
        <f>AND('BBP complete'!#REF!,"AAAAAFf9+78=")</f>
        <v>#REF!</v>
      </c>
      <c r="GK55" t="e">
        <f>AND('BBP complete'!K737,"AAAAAFf9+8A=")</f>
        <v>#VALUE!</v>
      </c>
      <c r="GL55" t="e">
        <f>AND('BBP complete'!L736,"AAAAAFf9+8E=")</f>
        <v>#VALUE!</v>
      </c>
      <c r="GM55" t="e">
        <f>AND('BBP complete'!#REF!,"AAAAAFf9+8I=")</f>
        <v>#REF!</v>
      </c>
      <c r="GN55" t="e">
        <f>AND('BBP complete'!#REF!,"AAAAAFf9+8M=")</f>
        <v>#REF!</v>
      </c>
      <c r="GO55" t="e">
        <f>AND('BBP complete'!#REF!,"AAAAAFf9+8Q=")</f>
        <v>#REF!</v>
      </c>
      <c r="GP55" t="e">
        <f>AND('BBP complete'!D737,"AAAAAFf9+8U=")</f>
        <v>#VALUE!</v>
      </c>
      <c r="GQ55" t="e">
        <f>AND('BBP complete'!F737,"AAAAAFf9+8Y=")</f>
        <v>#VALUE!</v>
      </c>
      <c r="GR55" t="e">
        <f>AND('BBP complete'!G737,"AAAAAFf9+8c=")</f>
        <v>#VALUE!</v>
      </c>
      <c r="GS55" t="e">
        <f>AND('BBP complete'!H737,"AAAAAFf9+8g=")</f>
        <v>#VALUE!</v>
      </c>
      <c r="GT55" t="e">
        <f>AND('BBP complete'!I737,"AAAAAFf9+8k=")</f>
        <v>#VALUE!</v>
      </c>
      <c r="GU55" s="60" t="e">
        <v>#VALUE!</v>
      </c>
      <c r="GV55" t="e">
        <f>AND('BBP complete'!A738,"AAAAAFf9+8s=")</f>
        <v>#VALUE!</v>
      </c>
      <c r="GW55" t="e">
        <f>AND('BBP complete'!B738,"AAAAAFf9+8w=")</f>
        <v>#VALUE!</v>
      </c>
      <c r="GX55" t="e">
        <f>AND('BBP complete'!C738,"AAAAAFf9+80=")</f>
        <v>#VALUE!</v>
      </c>
      <c r="GY55" t="e">
        <f>AND('BBP complete'!#REF!,"AAAAAFf9+84=")</f>
        <v>#REF!</v>
      </c>
      <c r="GZ55" t="e">
        <f>AND('BBP complete'!#REF!,"AAAAAFf9+88=")</f>
        <v>#REF!</v>
      </c>
      <c r="HA55" t="e">
        <f>AND('BBP complete'!#REF!,"AAAAAFf9+9A=")</f>
        <v>#REF!</v>
      </c>
      <c r="HB55" t="e">
        <f>AND('BBP complete'!E738,"AAAAAFf9+9E=")</f>
        <v>#VALUE!</v>
      </c>
      <c r="HC55" t="e">
        <f>AND('BBP complete'!#REF!,"AAAAAFf9+9I=")</f>
        <v>#REF!</v>
      </c>
      <c r="HD55" t="e">
        <f>AND('BBP complete'!K738,"AAAAAFf9+9M=")</f>
        <v>#VALUE!</v>
      </c>
      <c r="HE55" t="e">
        <f>AND('BBP complete'!L737,"AAAAAFf9+9Q=")</f>
        <v>#VALUE!</v>
      </c>
      <c r="HF55" t="e">
        <f>AND('BBP complete'!#REF!,"AAAAAFf9+9U=")</f>
        <v>#REF!</v>
      </c>
      <c r="HG55" t="e">
        <f>AND('BBP complete'!#REF!,"AAAAAFf9+9Y=")</f>
        <v>#REF!</v>
      </c>
      <c r="HH55" t="e">
        <f>AND('BBP complete'!#REF!,"AAAAAFf9+9c=")</f>
        <v>#REF!</v>
      </c>
      <c r="HI55" t="e">
        <f>AND('BBP complete'!D738,"AAAAAFf9+9g=")</f>
        <v>#VALUE!</v>
      </c>
      <c r="HJ55" t="e">
        <f>AND('BBP complete'!F738,"AAAAAFf9+9k=")</f>
        <v>#VALUE!</v>
      </c>
      <c r="HK55" t="e">
        <f>AND('BBP complete'!G738,"AAAAAFf9+9o=")</f>
        <v>#VALUE!</v>
      </c>
      <c r="HL55" t="e">
        <f>AND('BBP complete'!H738,"AAAAAFf9+9s=")</f>
        <v>#VALUE!</v>
      </c>
      <c r="HM55" t="e">
        <f>AND('BBP complete'!I738,"AAAAAFf9+9w=")</f>
        <v>#VALUE!</v>
      </c>
      <c r="HN55" s="60" t="e">
        <v>#VALUE!</v>
      </c>
      <c r="HO55" t="e">
        <f>AND('BBP complete'!A739,"AAAAAFf9+94=")</f>
        <v>#VALUE!</v>
      </c>
      <c r="HP55" t="e">
        <f>AND('BBP complete'!B739,"AAAAAFf9+98=")</f>
        <v>#VALUE!</v>
      </c>
      <c r="HQ55" t="e">
        <f>AND('BBP complete'!C739,"AAAAAFf9++A=")</f>
        <v>#VALUE!</v>
      </c>
      <c r="HR55" t="e">
        <f>AND('BBP complete'!#REF!,"AAAAAFf9++E=")</f>
        <v>#REF!</v>
      </c>
      <c r="HS55" t="e">
        <f>AND('BBP complete'!#REF!,"AAAAAFf9++I=")</f>
        <v>#REF!</v>
      </c>
      <c r="HT55" t="e">
        <f>AND('BBP complete'!#REF!,"AAAAAFf9++M=")</f>
        <v>#REF!</v>
      </c>
      <c r="HU55" t="e">
        <f>AND('BBP complete'!E739,"AAAAAFf9++Q=")</f>
        <v>#VALUE!</v>
      </c>
      <c r="HV55" t="e">
        <f>AND('BBP complete'!#REF!,"AAAAAFf9++U=")</f>
        <v>#REF!</v>
      </c>
      <c r="HW55" t="e">
        <f>AND('BBP complete'!K739,"AAAAAFf9++Y=")</f>
        <v>#VALUE!</v>
      </c>
      <c r="HX55" t="e">
        <f>AND('BBP complete'!L738,"AAAAAFf9++c=")</f>
        <v>#VALUE!</v>
      </c>
      <c r="HY55" t="e">
        <f>AND('BBP complete'!#REF!,"AAAAAFf9++g=")</f>
        <v>#REF!</v>
      </c>
      <c r="HZ55" t="e">
        <f>AND('BBP complete'!#REF!,"AAAAAFf9++k=")</f>
        <v>#REF!</v>
      </c>
      <c r="IA55" t="e">
        <f>AND('BBP complete'!#REF!,"AAAAAFf9++o=")</f>
        <v>#REF!</v>
      </c>
      <c r="IB55" t="e">
        <f>AND('BBP complete'!D739,"AAAAAFf9++s=")</f>
        <v>#VALUE!</v>
      </c>
      <c r="IC55" t="e">
        <f>AND('BBP complete'!F739,"AAAAAFf9++w=")</f>
        <v>#VALUE!</v>
      </c>
      <c r="ID55" t="e">
        <f>AND('BBP complete'!G739,"AAAAAFf9++0=")</f>
        <v>#VALUE!</v>
      </c>
      <c r="IE55" t="e">
        <f>AND('BBP complete'!H739,"AAAAAFf9++4=")</f>
        <v>#VALUE!</v>
      </c>
      <c r="IF55" t="e">
        <f>AND('BBP complete'!I739,"AAAAAFf9++8=")</f>
        <v>#VALUE!</v>
      </c>
      <c r="IG55" s="60" t="e">
        <v>#VALUE!</v>
      </c>
      <c r="IH55" t="e">
        <f>AND('BBP complete'!A740,"AAAAAFf9+/E=")</f>
        <v>#VALUE!</v>
      </c>
      <c r="II55" t="e">
        <f>AND('BBP complete'!B740,"AAAAAFf9+/I=")</f>
        <v>#VALUE!</v>
      </c>
      <c r="IJ55" t="e">
        <f>AND('BBP complete'!C740,"AAAAAFf9+/M=")</f>
        <v>#VALUE!</v>
      </c>
      <c r="IK55" t="e">
        <f>AND('BBP complete'!#REF!,"AAAAAFf9+/Q=")</f>
        <v>#REF!</v>
      </c>
      <c r="IL55" t="e">
        <f>AND('BBP complete'!#REF!,"AAAAAFf9+/U=")</f>
        <v>#REF!</v>
      </c>
      <c r="IM55" t="e">
        <f>AND('BBP complete'!#REF!,"AAAAAFf9+/Y=")</f>
        <v>#REF!</v>
      </c>
      <c r="IN55" t="e">
        <f>AND('BBP complete'!E740,"AAAAAFf9+/c=")</f>
        <v>#VALUE!</v>
      </c>
      <c r="IO55" t="e">
        <f>AND('BBP complete'!#REF!,"AAAAAFf9+/g=")</f>
        <v>#REF!</v>
      </c>
      <c r="IP55" t="e">
        <f>AND('BBP complete'!K740,"AAAAAFf9+/k=")</f>
        <v>#VALUE!</v>
      </c>
      <c r="IQ55" t="e">
        <f>AND('BBP complete'!L739,"AAAAAFf9+/o=")</f>
        <v>#VALUE!</v>
      </c>
      <c r="IR55" t="e">
        <f>AND('BBP complete'!#REF!,"AAAAAFf9+/s=")</f>
        <v>#REF!</v>
      </c>
      <c r="IS55" t="e">
        <f>AND('BBP complete'!#REF!,"AAAAAFf9+/w=")</f>
        <v>#REF!</v>
      </c>
      <c r="IT55" t="e">
        <f>AND('BBP complete'!#REF!,"AAAAAFf9+/0=")</f>
        <v>#REF!</v>
      </c>
      <c r="IU55" t="e">
        <f>AND('BBP complete'!D740,"AAAAAFf9+/4=")</f>
        <v>#VALUE!</v>
      </c>
      <c r="IV55" t="e">
        <f>AND('BBP complete'!F740,"AAAAAFf9+/8=")</f>
        <v>#VALUE!</v>
      </c>
    </row>
    <row r="56" spans="1:256" ht="15" customHeight="1" x14ac:dyDescent="0.25">
      <c r="A56" t="e">
        <f>AND('BBP complete'!G740,"AAAAAH9j4gA=")</f>
        <v>#VALUE!</v>
      </c>
      <c r="B56" t="e">
        <f>AND('BBP complete'!H740,"AAAAAH9j4gE=")</f>
        <v>#VALUE!</v>
      </c>
      <c r="C56" t="e">
        <f>AND('BBP complete'!I740,"AAAAAH9j4gI=")</f>
        <v>#VALUE!</v>
      </c>
      <c r="D56" s="60" t="e">
        <v>#VALUE!</v>
      </c>
      <c r="E56" t="e">
        <f>AND('BBP complete'!A741,"AAAAAH9j4gQ=")</f>
        <v>#VALUE!</v>
      </c>
      <c r="F56" t="e">
        <f>AND('BBP complete'!B741,"AAAAAH9j4gU=")</f>
        <v>#VALUE!</v>
      </c>
      <c r="G56" t="e">
        <f>AND('BBP complete'!C741,"AAAAAH9j4gY=")</f>
        <v>#VALUE!</v>
      </c>
      <c r="H56" t="e">
        <f>AND('BBP complete'!#REF!,"AAAAAH9j4gc=")</f>
        <v>#REF!</v>
      </c>
      <c r="I56" t="e">
        <f>AND('BBP complete'!#REF!,"AAAAAH9j4gg=")</f>
        <v>#REF!</v>
      </c>
      <c r="J56" t="e">
        <f>AND('BBP complete'!#REF!,"AAAAAH9j4gk=")</f>
        <v>#REF!</v>
      </c>
      <c r="K56" t="e">
        <f>AND('BBP complete'!E741,"AAAAAH9j4go=")</f>
        <v>#VALUE!</v>
      </c>
      <c r="L56" t="e">
        <f>AND('BBP complete'!#REF!,"AAAAAH9j4gs=")</f>
        <v>#REF!</v>
      </c>
      <c r="M56" t="e">
        <f>AND('BBP complete'!K741,"AAAAAH9j4gw=")</f>
        <v>#VALUE!</v>
      </c>
      <c r="N56" t="e">
        <f>AND('BBP complete'!L740,"AAAAAH9j4g0=")</f>
        <v>#VALUE!</v>
      </c>
      <c r="O56" t="e">
        <f>AND('BBP complete'!#REF!,"AAAAAH9j4g4=")</f>
        <v>#REF!</v>
      </c>
      <c r="P56" t="e">
        <f>AND('BBP complete'!#REF!,"AAAAAH9j4g8=")</f>
        <v>#REF!</v>
      </c>
      <c r="Q56" t="e">
        <f>AND('BBP complete'!#REF!,"AAAAAH9j4hA=")</f>
        <v>#REF!</v>
      </c>
      <c r="R56" t="e">
        <f>AND('BBP complete'!D741,"AAAAAH9j4hE=")</f>
        <v>#VALUE!</v>
      </c>
      <c r="S56" t="e">
        <f>AND('BBP complete'!F741,"AAAAAH9j4hI=")</f>
        <v>#VALUE!</v>
      </c>
      <c r="T56" t="e">
        <f>AND('BBP complete'!G741,"AAAAAH9j4hM=")</f>
        <v>#VALUE!</v>
      </c>
      <c r="U56" t="e">
        <f>AND('BBP complete'!H741,"AAAAAH9j4hQ=")</f>
        <v>#VALUE!</v>
      </c>
      <c r="V56" t="e">
        <f>AND('BBP complete'!I741,"AAAAAH9j4hU=")</f>
        <v>#VALUE!</v>
      </c>
      <c r="W56" s="60" t="e">
        <v>#VALUE!</v>
      </c>
      <c r="X56" t="e">
        <f>AND('BBP complete'!A742,"AAAAAH9j4hc=")</f>
        <v>#VALUE!</v>
      </c>
      <c r="Y56" t="e">
        <f>AND('BBP complete'!B742,"AAAAAH9j4hg=")</f>
        <v>#VALUE!</v>
      </c>
      <c r="Z56" t="e">
        <f>AND('BBP complete'!C742,"AAAAAH9j4hk=")</f>
        <v>#VALUE!</v>
      </c>
      <c r="AA56" t="e">
        <f>AND('BBP complete'!#REF!,"AAAAAH9j4ho=")</f>
        <v>#REF!</v>
      </c>
      <c r="AB56" t="e">
        <f>AND('BBP complete'!#REF!,"AAAAAH9j4hs=")</f>
        <v>#REF!</v>
      </c>
      <c r="AC56" t="e">
        <f>AND('BBP complete'!#REF!,"AAAAAH9j4hw=")</f>
        <v>#REF!</v>
      </c>
      <c r="AD56" t="e">
        <f>AND('BBP complete'!E742,"AAAAAH9j4h0=")</f>
        <v>#VALUE!</v>
      </c>
      <c r="AE56" t="e">
        <f>AND('BBP complete'!#REF!,"AAAAAH9j4h4=")</f>
        <v>#REF!</v>
      </c>
      <c r="AF56" t="e">
        <f>AND('BBP complete'!K742,"AAAAAH9j4h8=")</f>
        <v>#VALUE!</v>
      </c>
      <c r="AG56" t="e">
        <f>AND('BBP complete'!L741,"AAAAAH9j4iA=")</f>
        <v>#VALUE!</v>
      </c>
      <c r="AH56" t="e">
        <f>AND('BBP complete'!#REF!,"AAAAAH9j4iE=")</f>
        <v>#REF!</v>
      </c>
      <c r="AI56" t="e">
        <f>AND('BBP complete'!#REF!,"AAAAAH9j4iI=")</f>
        <v>#REF!</v>
      </c>
      <c r="AJ56" t="e">
        <f>AND('BBP complete'!#REF!,"AAAAAH9j4iM=")</f>
        <v>#REF!</v>
      </c>
      <c r="AK56" t="e">
        <f>AND('BBP complete'!D742,"AAAAAH9j4iQ=")</f>
        <v>#VALUE!</v>
      </c>
      <c r="AL56" t="e">
        <f>AND('BBP complete'!F742,"AAAAAH9j4iU=")</f>
        <v>#VALUE!</v>
      </c>
      <c r="AM56" t="e">
        <f>AND('BBP complete'!G742,"AAAAAH9j4iY=")</f>
        <v>#VALUE!</v>
      </c>
      <c r="AN56" t="e">
        <f>AND('BBP complete'!H742,"AAAAAH9j4ic=")</f>
        <v>#VALUE!</v>
      </c>
      <c r="AO56" t="e">
        <f>AND('BBP complete'!I742,"AAAAAH9j4ig=")</f>
        <v>#VALUE!</v>
      </c>
      <c r="AP56" s="60" t="e">
        <v>#VALUE!</v>
      </c>
      <c r="AQ56" t="e">
        <f>AND('BBP complete'!A743,"AAAAAH9j4io=")</f>
        <v>#VALUE!</v>
      </c>
      <c r="AR56" t="e">
        <f>AND('BBP complete'!B743,"AAAAAH9j4is=")</f>
        <v>#VALUE!</v>
      </c>
      <c r="AS56" t="e">
        <f>AND('BBP complete'!C743,"AAAAAH9j4iw=")</f>
        <v>#VALUE!</v>
      </c>
      <c r="AT56" t="e">
        <f>AND('BBP complete'!#REF!,"AAAAAH9j4i0=")</f>
        <v>#REF!</v>
      </c>
      <c r="AU56" t="e">
        <f>AND('BBP complete'!#REF!,"AAAAAH9j4i4=")</f>
        <v>#REF!</v>
      </c>
      <c r="AV56" t="e">
        <f>AND('BBP complete'!#REF!,"AAAAAH9j4i8=")</f>
        <v>#REF!</v>
      </c>
      <c r="AW56" t="e">
        <f>AND('BBP complete'!E743,"AAAAAH9j4jA=")</f>
        <v>#VALUE!</v>
      </c>
      <c r="AX56" t="e">
        <f>AND('BBP complete'!#REF!,"AAAAAH9j4jE=")</f>
        <v>#REF!</v>
      </c>
      <c r="AY56" t="e">
        <f>AND('BBP complete'!K743,"AAAAAH9j4jI=")</f>
        <v>#VALUE!</v>
      </c>
      <c r="AZ56" t="e">
        <f>AND('BBP complete'!L742,"AAAAAH9j4jM=")</f>
        <v>#VALUE!</v>
      </c>
      <c r="BA56" t="e">
        <f>AND('BBP complete'!#REF!,"AAAAAH9j4jQ=")</f>
        <v>#REF!</v>
      </c>
      <c r="BB56" t="e">
        <f>AND('BBP complete'!#REF!,"AAAAAH9j4jU=")</f>
        <v>#REF!</v>
      </c>
      <c r="BC56" t="e">
        <f>AND('BBP complete'!#REF!,"AAAAAH9j4jY=")</f>
        <v>#REF!</v>
      </c>
      <c r="BD56" t="e">
        <f>AND('BBP complete'!D743,"AAAAAH9j4jc=")</f>
        <v>#VALUE!</v>
      </c>
      <c r="BE56" t="e">
        <f>AND('BBP complete'!F743,"AAAAAH9j4jg=")</f>
        <v>#VALUE!</v>
      </c>
      <c r="BF56" t="e">
        <f>AND('BBP complete'!G743,"AAAAAH9j4jk=")</f>
        <v>#VALUE!</v>
      </c>
      <c r="BG56" t="e">
        <f>AND('BBP complete'!H743,"AAAAAH9j4jo=")</f>
        <v>#VALUE!</v>
      </c>
      <c r="BH56" t="e">
        <f>AND('BBP complete'!I743,"AAAAAH9j4js=")</f>
        <v>#VALUE!</v>
      </c>
      <c r="BI56" s="60" t="e">
        <v>#VALUE!</v>
      </c>
      <c r="BJ56" t="e">
        <f>AND('BBP complete'!A744,"AAAAAH9j4j0=")</f>
        <v>#VALUE!</v>
      </c>
      <c r="BK56" t="e">
        <f>AND('BBP complete'!B744,"AAAAAH9j4j4=")</f>
        <v>#VALUE!</v>
      </c>
      <c r="BL56" t="e">
        <f>AND('BBP complete'!C744,"AAAAAH9j4j8=")</f>
        <v>#VALUE!</v>
      </c>
      <c r="BM56" t="e">
        <f>AND('BBP complete'!#REF!,"AAAAAH9j4kA=")</f>
        <v>#REF!</v>
      </c>
      <c r="BN56" t="e">
        <f>AND('BBP complete'!#REF!,"AAAAAH9j4kE=")</f>
        <v>#REF!</v>
      </c>
      <c r="BO56" t="e">
        <f>AND('BBP complete'!#REF!,"AAAAAH9j4kI=")</f>
        <v>#REF!</v>
      </c>
      <c r="BP56" t="e">
        <f>AND('BBP complete'!E744,"AAAAAH9j4kM=")</f>
        <v>#VALUE!</v>
      </c>
      <c r="BQ56" t="e">
        <f>AND('BBP complete'!#REF!,"AAAAAH9j4kQ=")</f>
        <v>#REF!</v>
      </c>
      <c r="BR56" t="e">
        <f>AND('BBP complete'!K744,"AAAAAH9j4kU=")</f>
        <v>#VALUE!</v>
      </c>
      <c r="BS56" t="e">
        <f>AND('BBP complete'!L743,"AAAAAH9j4kY=")</f>
        <v>#VALUE!</v>
      </c>
      <c r="BT56" t="e">
        <f>AND('BBP complete'!#REF!,"AAAAAH9j4kc=")</f>
        <v>#REF!</v>
      </c>
      <c r="BU56" t="e">
        <f>AND('BBP complete'!#REF!,"AAAAAH9j4kg=")</f>
        <v>#REF!</v>
      </c>
      <c r="BV56" t="e">
        <f>AND('BBP complete'!#REF!,"AAAAAH9j4kk=")</f>
        <v>#REF!</v>
      </c>
      <c r="BW56" t="e">
        <f>AND('BBP complete'!D744,"AAAAAH9j4ko=")</f>
        <v>#VALUE!</v>
      </c>
      <c r="BX56" t="e">
        <f>AND('BBP complete'!F744,"AAAAAH9j4ks=")</f>
        <v>#VALUE!</v>
      </c>
      <c r="BY56" t="e">
        <f>AND('BBP complete'!G744,"AAAAAH9j4kw=")</f>
        <v>#VALUE!</v>
      </c>
      <c r="BZ56" t="e">
        <f>AND('BBP complete'!H744,"AAAAAH9j4k0=")</f>
        <v>#VALUE!</v>
      </c>
      <c r="CA56" t="e">
        <f>AND('BBP complete'!I744,"AAAAAH9j4k4=")</f>
        <v>#VALUE!</v>
      </c>
      <c r="CB56" s="60" t="e">
        <v>#VALUE!</v>
      </c>
      <c r="CC56" t="e">
        <f>AND('BBP complete'!A745,"AAAAAH9j4lA=")</f>
        <v>#VALUE!</v>
      </c>
      <c r="CD56" t="e">
        <f>AND('BBP complete'!B745,"AAAAAH9j4lE=")</f>
        <v>#VALUE!</v>
      </c>
      <c r="CE56" t="e">
        <f>AND('BBP complete'!C745,"AAAAAH9j4lI=")</f>
        <v>#VALUE!</v>
      </c>
      <c r="CF56" t="e">
        <f>AND('BBP complete'!#REF!,"AAAAAH9j4lM=")</f>
        <v>#REF!</v>
      </c>
      <c r="CG56" t="e">
        <f>AND('BBP complete'!#REF!,"AAAAAH9j4lQ=")</f>
        <v>#REF!</v>
      </c>
      <c r="CH56" t="e">
        <f>AND('BBP complete'!#REF!,"AAAAAH9j4lU=")</f>
        <v>#REF!</v>
      </c>
      <c r="CI56" t="e">
        <f>AND('BBP complete'!E745,"AAAAAH9j4lY=")</f>
        <v>#VALUE!</v>
      </c>
      <c r="CJ56" t="e">
        <f>AND('BBP complete'!#REF!,"AAAAAH9j4lc=")</f>
        <v>#REF!</v>
      </c>
      <c r="CK56" t="e">
        <f>AND('BBP complete'!K745,"AAAAAH9j4lg=")</f>
        <v>#VALUE!</v>
      </c>
      <c r="CL56" t="e">
        <f>AND('BBP complete'!L744,"AAAAAH9j4lk=")</f>
        <v>#VALUE!</v>
      </c>
      <c r="CM56" t="e">
        <f>AND('BBP complete'!#REF!,"AAAAAH9j4lo=")</f>
        <v>#REF!</v>
      </c>
      <c r="CN56" t="e">
        <f>AND('BBP complete'!#REF!,"AAAAAH9j4ls=")</f>
        <v>#REF!</v>
      </c>
      <c r="CO56" t="e">
        <f>AND('BBP complete'!#REF!,"AAAAAH9j4lw=")</f>
        <v>#REF!</v>
      </c>
      <c r="CP56" t="e">
        <f>AND('BBP complete'!D745,"AAAAAH9j4l0=")</f>
        <v>#VALUE!</v>
      </c>
      <c r="CQ56" t="e">
        <f>AND('BBP complete'!F745,"AAAAAH9j4l4=")</f>
        <v>#VALUE!</v>
      </c>
      <c r="CR56" t="e">
        <f>AND('BBP complete'!G745,"AAAAAH9j4l8=")</f>
        <v>#VALUE!</v>
      </c>
      <c r="CS56" t="e">
        <f>AND('BBP complete'!H745,"AAAAAH9j4mA=")</f>
        <v>#VALUE!</v>
      </c>
      <c r="CT56" t="e">
        <f>AND('BBP complete'!I745,"AAAAAH9j4mE=")</f>
        <v>#VALUE!</v>
      </c>
      <c r="CU56" s="60" t="e">
        <v>#VALUE!</v>
      </c>
      <c r="CV56" t="e">
        <f>AND('BBP complete'!A746,"AAAAAH9j4mM=")</f>
        <v>#VALUE!</v>
      </c>
      <c r="CW56" t="e">
        <f>AND('BBP complete'!B746,"AAAAAH9j4mQ=")</f>
        <v>#VALUE!</v>
      </c>
      <c r="CX56" t="e">
        <f>AND('BBP complete'!C746,"AAAAAH9j4mU=")</f>
        <v>#VALUE!</v>
      </c>
      <c r="CY56" t="e">
        <f>AND('BBP complete'!#REF!,"AAAAAH9j4mY=")</f>
        <v>#REF!</v>
      </c>
      <c r="CZ56" t="e">
        <f>AND('BBP complete'!#REF!,"AAAAAH9j4mc=")</f>
        <v>#REF!</v>
      </c>
      <c r="DA56" t="e">
        <f>AND('BBP complete'!#REF!,"AAAAAH9j4mg=")</f>
        <v>#REF!</v>
      </c>
      <c r="DB56" t="e">
        <f>AND('BBP complete'!E746,"AAAAAH9j4mk=")</f>
        <v>#VALUE!</v>
      </c>
      <c r="DC56" t="e">
        <f>AND('BBP complete'!#REF!,"AAAAAH9j4mo=")</f>
        <v>#REF!</v>
      </c>
      <c r="DD56" t="e">
        <f>AND('BBP complete'!K746,"AAAAAH9j4ms=")</f>
        <v>#VALUE!</v>
      </c>
      <c r="DE56" t="e">
        <f>AND('BBP complete'!L745,"AAAAAH9j4mw=")</f>
        <v>#VALUE!</v>
      </c>
      <c r="DF56" t="e">
        <f>AND('BBP complete'!#REF!,"AAAAAH9j4m0=")</f>
        <v>#REF!</v>
      </c>
      <c r="DG56" t="e">
        <f>AND('BBP complete'!#REF!,"AAAAAH9j4m4=")</f>
        <v>#REF!</v>
      </c>
      <c r="DH56" t="e">
        <f>AND('BBP complete'!#REF!,"AAAAAH9j4m8=")</f>
        <v>#REF!</v>
      </c>
      <c r="DI56" t="e">
        <f>AND('BBP complete'!D746,"AAAAAH9j4nA=")</f>
        <v>#VALUE!</v>
      </c>
      <c r="DJ56" t="e">
        <f>AND('BBP complete'!F746,"AAAAAH9j4nE=")</f>
        <v>#VALUE!</v>
      </c>
      <c r="DK56" t="e">
        <f>AND('BBP complete'!G746,"AAAAAH9j4nI=")</f>
        <v>#VALUE!</v>
      </c>
      <c r="DL56" t="e">
        <f>AND('BBP complete'!H746,"AAAAAH9j4nM=")</f>
        <v>#VALUE!</v>
      </c>
      <c r="DM56" t="e">
        <f>AND('BBP complete'!I746,"AAAAAH9j4nQ=")</f>
        <v>#VALUE!</v>
      </c>
      <c r="DN56" s="60" t="e">
        <v>#VALUE!</v>
      </c>
      <c r="DO56" t="e">
        <f>AND('BBP complete'!A747,"AAAAAH9j4nY=")</f>
        <v>#VALUE!</v>
      </c>
      <c r="DP56" t="e">
        <f>AND('BBP complete'!B747,"AAAAAH9j4nc=")</f>
        <v>#VALUE!</v>
      </c>
      <c r="DQ56" t="e">
        <f>AND('BBP complete'!C747,"AAAAAH9j4ng=")</f>
        <v>#VALUE!</v>
      </c>
      <c r="DR56" t="e">
        <f>AND('BBP complete'!#REF!,"AAAAAH9j4nk=")</f>
        <v>#REF!</v>
      </c>
      <c r="DS56" t="e">
        <f>AND('BBP complete'!#REF!,"AAAAAH9j4no=")</f>
        <v>#REF!</v>
      </c>
      <c r="DT56" t="e">
        <f>AND('BBP complete'!#REF!,"AAAAAH9j4ns=")</f>
        <v>#REF!</v>
      </c>
      <c r="DU56" t="e">
        <f>AND('BBP complete'!E747,"AAAAAH9j4nw=")</f>
        <v>#VALUE!</v>
      </c>
      <c r="DV56" t="e">
        <f>AND('BBP complete'!#REF!,"AAAAAH9j4n0=")</f>
        <v>#REF!</v>
      </c>
      <c r="DW56" t="e">
        <f>AND('BBP complete'!K747,"AAAAAH9j4n4=")</f>
        <v>#VALUE!</v>
      </c>
      <c r="DX56" t="e">
        <f>AND('BBP complete'!L746,"AAAAAH9j4n8=")</f>
        <v>#VALUE!</v>
      </c>
      <c r="DY56" t="e">
        <f>AND('BBP complete'!#REF!,"AAAAAH9j4oA=")</f>
        <v>#REF!</v>
      </c>
      <c r="DZ56" t="e">
        <f>AND('BBP complete'!#REF!,"AAAAAH9j4oE=")</f>
        <v>#REF!</v>
      </c>
      <c r="EA56" t="e">
        <f>AND('BBP complete'!#REF!,"AAAAAH9j4oI=")</f>
        <v>#REF!</v>
      </c>
      <c r="EB56" t="e">
        <f>AND('BBP complete'!D747,"AAAAAH9j4oM=")</f>
        <v>#VALUE!</v>
      </c>
      <c r="EC56" t="e">
        <f>AND('BBP complete'!F747,"AAAAAH9j4oQ=")</f>
        <v>#VALUE!</v>
      </c>
      <c r="ED56" t="e">
        <f>AND('BBP complete'!G747,"AAAAAH9j4oU=")</f>
        <v>#VALUE!</v>
      </c>
      <c r="EE56" t="e">
        <f>AND('BBP complete'!H747,"AAAAAH9j4oY=")</f>
        <v>#VALUE!</v>
      </c>
      <c r="EF56" t="e">
        <f>AND('BBP complete'!I747,"AAAAAH9j4oc=")</f>
        <v>#VALUE!</v>
      </c>
      <c r="EG56" s="60" t="e">
        <v>#VALUE!</v>
      </c>
      <c r="EH56" t="e">
        <f>AND('BBP complete'!A748,"AAAAAH9j4ok=")</f>
        <v>#VALUE!</v>
      </c>
      <c r="EI56" t="e">
        <f>AND('BBP complete'!B748,"AAAAAH9j4oo=")</f>
        <v>#VALUE!</v>
      </c>
      <c r="EJ56" t="e">
        <f>AND('BBP complete'!C748,"AAAAAH9j4os=")</f>
        <v>#VALUE!</v>
      </c>
      <c r="EK56" t="e">
        <f>AND('BBP complete'!#REF!,"AAAAAH9j4ow=")</f>
        <v>#REF!</v>
      </c>
      <c r="EL56" t="e">
        <f>AND('BBP complete'!#REF!,"AAAAAH9j4o0=")</f>
        <v>#REF!</v>
      </c>
      <c r="EM56" t="e">
        <f>AND('BBP complete'!#REF!,"AAAAAH9j4o4=")</f>
        <v>#REF!</v>
      </c>
      <c r="EN56" t="e">
        <f>AND('BBP complete'!E748,"AAAAAH9j4o8=")</f>
        <v>#VALUE!</v>
      </c>
      <c r="EO56" t="e">
        <f>AND('BBP complete'!#REF!,"AAAAAH9j4pA=")</f>
        <v>#REF!</v>
      </c>
      <c r="EP56" t="e">
        <f>AND('BBP complete'!K748,"AAAAAH9j4pE=")</f>
        <v>#VALUE!</v>
      </c>
      <c r="EQ56" t="e">
        <f>AND('BBP complete'!L747,"AAAAAH9j4pI=")</f>
        <v>#VALUE!</v>
      </c>
      <c r="ER56" t="e">
        <f>AND('BBP complete'!#REF!,"AAAAAH9j4pM=")</f>
        <v>#REF!</v>
      </c>
      <c r="ES56" t="e">
        <f>AND('BBP complete'!#REF!,"AAAAAH9j4pQ=")</f>
        <v>#REF!</v>
      </c>
      <c r="ET56" t="e">
        <f>AND('BBP complete'!#REF!,"AAAAAH9j4pU=")</f>
        <v>#REF!</v>
      </c>
      <c r="EU56" t="e">
        <f>AND('BBP complete'!D748,"AAAAAH9j4pY=")</f>
        <v>#VALUE!</v>
      </c>
      <c r="EV56" t="e">
        <f>AND('BBP complete'!F748,"AAAAAH9j4pc=")</f>
        <v>#VALUE!</v>
      </c>
      <c r="EW56" t="e">
        <f>AND('BBP complete'!G748,"AAAAAH9j4pg=")</f>
        <v>#VALUE!</v>
      </c>
      <c r="EX56" t="e">
        <f>AND('BBP complete'!H748,"AAAAAH9j4pk=")</f>
        <v>#VALUE!</v>
      </c>
      <c r="EY56" t="e">
        <f>AND('BBP complete'!I748,"AAAAAH9j4po=")</f>
        <v>#VALUE!</v>
      </c>
      <c r="EZ56" s="60" t="e">
        <v>#VALUE!</v>
      </c>
      <c r="FA56" t="e">
        <f>AND('BBP complete'!A749,"AAAAAH9j4pw=")</f>
        <v>#VALUE!</v>
      </c>
      <c r="FB56" t="e">
        <f>AND('BBP complete'!B749,"AAAAAH9j4p0=")</f>
        <v>#VALUE!</v>
      </c>
      <c r="FC56" t="e">
        <f>AND('BBP complete'!C749,"AAAAAH9j4p4=")</f>
        <v>#VALUE!</v>
      </c>
      <c r="FD56" t="e">
        <f>AND('BBP complete'!#REF!,"AAAAAH9j4p8=")</f>
        <v>#REF!</v>
      </c>
      <c r="FE56" t="e">
        <f>AND('BBP complete'!#REF!,"AAAAAH9j4qA=")</f>
        <v>#REF!</v>
      </c>
      <c r="FF56" t="e">
        <f>AND('BBP complete'!#REF!,"AAAAAH9j4qE=")</f>
        <v>#REF!</v>
      </c>
      <c r="FG56" t="e">
        <f>AND('BBP complete'!E749,"AAAAAH9j4qI=")</f>
        <v>#VALUE!</v>
      </c>
      <c r="FH56" t="e">
        <f>AND('BBP complete'!#REF!,"AAAAAH9j4qM=")</f>
        <v>#REF!</v>
      </c>
      <c r="FI56" t="e">
        <f>AND('BBP complete'!K749,"AAAAAH9j4qQ=")</f>
        <v>#VALUE!</v>
      </c>
      <c r="FJ56" t="e">
        <f>AND('BBP complete'!L748,"AAAAAH9j4qU=")</f>
        <v>#VALUE!</v>
      </c>
      <c r="FK56" t="e">
        <f>AND('BBP complete'!#REF!,"AAAAAH9j4qY=")</f>
        <v>#REF!</v>
      </c>
      <c r="FL56" t="e">
        <f>AND('BBP complete'!#REF!,"AAAAAH9j4qc=")</f>
        <v>#REF!</v>
      </c>
      <c r="FM56" t="e">
        <f>AND('BBP complete'!#REF!,"AAAAAH9j4qg=")</f>
        <v>#REF!</v>
      </c>
      <c r="FN56" t="e">
        <f>AND('BBP complete'!D749,"AAAAAH9j4qk=")</f>
        <v>#VALUE!</v>
      </c>
      <c r="FO56" t="e">
        <f>AND('BBP complete'!F749,"AAAAAH9j4qo=")</f>
        <v>#VALUE!</v>
      </c>
      <c r="FP56" t="e">
        <f>AND('BBP complete'!G749,"AAAAAH9j4qs=")</f>
        <v>#VALUE!</v>
      </c>
      <c r="FQ56" t="e">
        <f>AND('BBP complete'!H749,"AAAAAH9j4qw=")</f>
        <v>#VALUE!</v>
      </c>
      <c r="FR56" t="e">
        <f>AND('BBP complete'!I749,"AAAAAH9j4q0=")</f>
        <v>#VALUE!</v>
      </c>
      <c r="FS56" s="60" t="e">
        <v>#VALUE!</v>
      </c>
      <c r="FT56" t="e">
        <f>AND('BBP complete'!A750,"AAAAAH9j4q8=")</f>
        <v>#VALUE!</v>
      </c>
      <c r="FU56" t="e">
        <f>AND('BBP complete'!B750,"AAAAAH9j4rA=")</f>
        <v>#VALUE!</v>
      </c>
      <c r="FV56" t="e">
        <f>AND('BBP complete'!C750,"AAAAAH9j4rE=")</f>
        <v>#VALUE!</v>
      </c>
      <c r="FW56" t="e">
        <f>AND('BBP complete'!#REF!,"AAAAAH9j4rI=")</f>
        <v>#REF!</v>
      </c>
      <c r="FX56" t="e">
        <f>AND('BBP complete'!#REF!,"AAAAAH9j4rM=")</f>
        <v>#REF!</v>
      </c>
      <c r="FY56" t="e">
        <f>AND('BBP complete'!#REF!,"AAAAAH9j4rQ=")</f>
        <v>#REF!</v>
      </c>
      <c r="FZ56" t="e">
        <f>AND('BBP complete'!E750,"AAAAAH9j4rU=")</f>
        <v>#VALUE!</v>
      </c>
      <c r="GA56" t="e">
        <f>AND('BBP complete'!#REF!,"AAAAAH9j4rY=")</f>
        <v>#REF!</v>
      </c>
      <c r="GB56" t="e">
        <f>AND('BBP complete'!K750,"AAAAAH9j4rc=")</f>
        <v>#VALUE!</v>
      </c>
      <c r="GC56" t="e">
        <f>AND('BBP complete'!L749,"AAAAAH9j4rg=")</f>
        <v>#VALUE!</v>
      </c>
      <c r="GD56" t="e">
        <f>AND('BBP complete'!#REF!,"AAAAAH9j4rk=")</f>
        <v>#REF!</v>
      </c>
      <c r="GE56" t="e">
        <f>AND('BBP complete'!#REF!,"AAAAAH9j4ro=")</f>
        <v>#REF!</v>
      </c>
      <c r="GF56" t="e">
        <f>AND('BBP complete'!#REF!,"AAAAAH9j4rs=")</f>
        <v>#REF!</v>
      </c>
      <c r="GG56" t="e">
        <f>AND('BBP complete'!D750,"AAAAAH9j4rw=")</f>
        <v>#VALUE!</v>
      </c>
      <c r="GH56" t="e">
        <f>AND('BBP complete'!F750,"AAAAAH9j4r0=")</f>
        <v>#VALUE!</v>
      </c>
      <c r="GI56" t="e">
        <f>AND('BBP complete'!G750,"AAAAAH9j4r4=")</f>
        <v>#VALUE!</v>
      </c>
      <c r="GJ56" t="e">
        <f>AND('BBP complete'!H750,"AAAAAH9j4r8=")</f>
        <v>#VALUE!</v>
      </c>
      <c r="GK56" t="e">
        <f>AND('BBP complete'!I750,"AAAAAH9j4sA=")</f>
        <v>#VALUE!</v>
      </c>
      <c r="GL56" s="60" t="e">
        <v>#VALUE!</v>
      </c>
      <c r="GM56" t="e">
        <f>AND('BBP complete'!A751,"AAAAAH9j4sI=")</f>
        <v>#VALUE!</v>
      </c>
      <c r="GN56" t="e">
        <f>AND('BBP complete'!B751,"AAAAAH9j4sM=")</f>
        <v>#VALUE!</v>
      </c>
      <c r="GO56" t="e">
        <f>AND('BBP complete'!C751,"AAAAAH9j4sQ=")</f>
        <v>#VALUE!</v>
      </c>
      <c r="GP56" t="e">
        <f>AND('BBP complete'!#REF!,"AAAAAH9j4sU=")</f>
        <v>#REF!</v>
      </c>
      <c r="GQ56" t="e">
        <f>AND('BBP complete'!#REF!,"AAAAAH9j4sY=")</f>
        <v>#REF!</v>
      </c>
      <c r="GR56" t="e">
        <f>AND('BBP complete'!#REF!,"AAAAAH9j4sc=")</f>
        <v>#REF!</v>
      </c>
      <c r="GS56" t="e">
        <f>AND('BBP complete'!E751,"AAAAAH9j4sg=")</f>
        <v>#VALUE!</v>
      </c>
      <c r="GT56" t="e">
        <f>AND('BBP complete'!#REF!,"AAAAAH9j4sk=")</f>
        <v>#REF!</v>
      </c>
      <c r="GU56" t="e">
        <f>AND('BBP complete'!K751,"AAAAAH9j4so=")</f>
        <v>#VALUE!</v>
      </c>
      <c r="GV56" t="e">
        <f>AND('BBP complete'!L750,"AAAAAH9j4ss=")</f>
        <v>#VALUE!</v>
      </c>
      <c r="GW56" t="e">
        <f>AND('BBP complete'!#REF!,"AAAAAH9j4sw=")</f>
        <v>#REF!</v>
      </c>
      <c r="GX56" t="e">
        <f>AND('BBP complete'!#REF!,"AAAAAH9j4s0=")</f>
        <v>#REF!</v>
      </c>
      <c r="GY56" t="e">
        <f>AND('BBP complete'!#REF!,"AAAAAH9j4s4=")</f>
        <v>#REF!</v>
      </c>
      <c r="GZ56" t="e">
        <f>AND('BBP complete'!D751,"AAAAAH9j4s8=")</f>
        <v>#VALUE!</v>
      </c>
      <c r="HA56" t="e">
        <f>AND('BBP complete'!F751,"AAAAAH9j4tA=")</f>
        <v>#VALUE!</v>
      </c>
      <c r="HB56" t="e">
        <f>AND('BBP complete'!G751,"AAAAAH9j4tE=")</f>
        <v>#VALUE!</v>
      </c>
      <c r="HC56" t="e">
        <f>AND('BBP complete'!H751,"AAAAAH9j4tI=")</f>
        <v>#VALUE!</v>
      </c>
      <c r="HD56" t="e">
        <f>AND('BBP complete'!I751,"AAAAAH9j4tM=")</f>
        <v>#VALUE!</v>
      </c>
      <c r="HE56" s="60" t="e">
        <v>#VALUE!</v>
      </c>
      <c r="HF56" t="e">
        <f>AND('BBP complete'!A752,"AAAAAH9j4tU=")</f>
        <v>#VALUE!</v>
      </c>
      <c r="HG56" t="e">
        <f>AND('BBP complete'!B752,"AAAAAH9j4tY=")</f>
        <v>#VALUE!</v>
      </c>
      <c r="HH56" t="e">
        <f>AND('BBP complete'!C752,"AAAAAH9j4tc=")</f>
        <v>#VALUE!</v>
      </c>
      <c r="HI56" t="e">
        <f>AND('BBP complete'!#REF!,"AAAAAH9j4tg=")</f>
        <v>#REF!</v>
      </c>
      <c r="HJ56" t="e">
        <f>AND('BBP complete'!#REF!,"AAAAAH9j4tk=")</f>
        <v>#REF!</v>
      </c>
      <c r="HK56" t="e">
        <f>AND('BBP complete'!#REF!,"AAAAAH9j4to=")</f>
        <v>#REF!</v>
      </c>
      <c r="HL56" t="e">
        <f>AND('BBP complete'!E752,"AAAAAH9j4ts=")</f>
        <v>#VALUE!</v>
      </c>
      <c r="HM56" t="e">
        <f>AND('BBP complete'!#REF!,"AAAAAH9j4tw=")</f>
        <v>#REF!</v>
      </c>
      <c r="HN56" t="e">
        <f>AND('BBP complete'!K752,"AAAAAH9j4t0=")</f>
        <v>#VALUE!</v>
      </c>
      <c r="HO56" t="e">
        <f>AND('BBP complete'!L751,"AAAAAH9j4t4=")</f>
        <v>#VALUE!</v>
      </c>
      <c r="HP56" t="e">
        <f>AND('BBP complete'!#REF!,"AAAAAH9j4t8=")</f>
        <v>#REF!</v>
      </c>
      <c r="HQ56" t="e">
        <f>AND('BBP complete'!#REF!,"AAAAAH9j4uA=")</f>
        <v>#REF!</v>
      </c>
      <c r="HR56" t="e">
        <f>AND('BBP complete'!#REF!,"AAAAAH9j4uE=")</f>
        <v>#REF!</v>
      </c>
      <c r="HS56" t="e">
        <f>AND('BBP complete'!D752,"AAAAAH9j4uI=")</f>
        <v>#VALUE!</v>
      </c>
      <c r="HT56" t="e">
        <f>AND('BBP complete'!F752,"AAAAAH9j4uM=")</f>
        <v>#VALUE!</v>
      </c>
      <c r="HU56" t="e">
        <f>AND('BBP complete'!G752,"AAAAAH9j4uQ=")</f>
        <v>#VALUE!</v>
      </c>
      <c r="HV56" t="e">
        <f>AND('BBP complete'!H752,"AAAAAH9j4uU=")</f>
        <v>#VALUE!</v>
      </c>
      <c r="HW56" t="e">
        <f>AND('BBP complete'!I752,"AAAAAH9j4uY=")</f>
        <v>#VALUE!</v>
      </c>
      <c r="HX56" s="60" t="e">
        <v>#VALUE!</v>
      </c>
      <c r="HY56" t="e">
        <f>AND('BBP complete'!A753,"AAAAAH9j4ug=")</f>
        <v>#VALUE!</v>
      </c>
      <c r="HZ56" t="e">
        <f>AND('BBP complete'!B753,"AAAAAH9j4uk=")</f>
        <v>#VALUE!</v>
      </c>
      <c r="IA56" t="e">
        <f>AND('BBP complete'!C753,"AAAAAH9j4uo=")</f>
        <v>#VALUE!</v>
      </c>
      <c r="IB56" t="e">
        <f>AND('BBP complete'!#REF!,"AAAAAH9j4us=")</f>
        <v>#REF!</v>
      </c>
      <c r="IC56" t="e">
        <f>AND('BBP complete'!#REF!,"AAAAAH9j4uw=")</f>
        <v>#REF!</v>
      </c>
      <c r="ID56" t="e">
        <f>AND('BBP complete'!#REF!,"AAAAAH9j4u0=")</f>
        <v>#REF!</v>
      </c>
      <c r="IE56" t="e">
        <f>AND('BBP complete'!E753,"AAAAAH9j4u4=")</f>
        <v>#VALUE!</v>
      </c>
      <c r="IF56" t="e">
        <f>AND('BBP complete'!#REF!,"AAAAAH9j4u8=")</f>
        <v>#REF!</v>
      </c>
      <c r="IG56" t="e">
        <f>AND('BBP complete'!K753,"AAAAAH9j4vA=")</f>
        <v>#VALUE!</v>
      </c>
      <c r="IH56" t="e">
        <f>AND('BBP complete'!L752,"AAAAAH9j4vE=")</f>
        <v>#VALUE!</v>
      </c>
      <c r="II56" t="e">
        <f>AND('BBP complete'!#REF!,"AAAAAH9j4vI=")</f>
        <v>#REF!</v>
      </c>
      <c r="IJ56" t="e">
        <f>AND('BBP complete'!#REF!,"AAAAAH9j4vM=")</f>
        <v>#REF!</v>
      </c>
      <c r="IK56" t="e">
        <f>AND('BBP complete'!#REF!,"AAAAAH9j4vQ=")</f>
        <v>#REF!</v>
      </c>
      <c r="IL56" t="e">
        <f>AND('BBP complete'!D753,"AAAAAH9j4vU=")</f>
        <v>#VALUE!</v>
      </c>
      <c r="IM56" t="e">
        <f>AND('BBP complete'!F753,"AAAAAH9j4vY=")</f>
        <v>#VALUE!</v>
      </c>
      <c r="IN56" t="e">
        <f>AND('BBP complete'!G753,"AAAAAH9j4vc=")</f>
        <v>#VALUE!</v>
      </c>
      <c r="IO56" t="e">
        <f>AND('BBP complete'!H753,"AAAAAH9j4vg=")</f>
        <v>#VALUE!</v>
      </c>
      <c r="IP56" t="e">
        <f>AND('BBP complete'!I753,"AAAAAH9j4vk=")</f>
        <v>#VALUE!</v>
      </c>
      <c r="IQ56" s="60" t="e">
        <v>#VALUE!</v>
      </c>
      <c r="IR56" t="e">
        <f>AND('BBP complete'!A754,"AAAAAH9j4vs=")</f>
        <v>#VALUE!</v>
      </c>
      <c r="IS56" t="e">
        <f>AND('BBP complete'!B754,"AAAAAH9j4vw=")</f>
        <v>#VALUE!</v>
      </c>
      <c r="IT56" t="e">
        <f>AND('BBP complete'!C754,"AAAAAH9j4v0=")</f>
        <v>#VALUE!</v>
      </c>
      <c r="IU56" t="e">
        <f>AND('BBP complete'!#REF!,"AAAAAH9j4v4=")</f>
        <v>#REF!</v>
      </c>
      <c r="IV56" t="e">
        <f>AND('BBP complete'!#REF!,"AAAAAH9j4v8=")</f>
        <v>#REF!</v>
      </c>
    </row>
    <row r="57" spans="1:256" ht="15" customHeight="1" x14ac:dyDescent="0.25">
      <c r="A57" t="e">
        <f>AND('BBP complete'!#REF!,"AAAAAG7u5wA=")</f>
        <v>#REF!</v>
      </c>
      <c r="B57" t="e">
        <f>AND('BBP complete'!E754,"AAAAAG7u5wE=")</f>
        <v>#VALUE!</v>
      </c>
      <c r="C57" t="e">
        <f>AND('BBP complete'!#REF!,"AAAAAG7u5wI=")</f>
        <v>#REF!</v>
      </c>
      <c r="D57" t="e">
        <f>AND('BBP complete'!K754,"AAAAAG7u5wM=")</f>
        <v>#VALUE!</v>
      </c>
      <c r="E57" t="e">
        <f>AND('BBP complete'!L753,"AAAAAG7u5wQ=")</f>
        <v>#VALUE!</v>
      </c>
      <c r="F57" t="e">
        <f>AND('BBP complete'!#REF!,"AAAAAG7u5wU=")</f>
        <v>#REF!</v>
      </c>
      <c r="G57" t="e">
        <f>AND('BBP complete'!#REF!,"AAAAAG7u5wY=")</f>
        <v>#REF!</v>
      </c>
      <c r="H57" t="e">
        <f>AND('BBP complete'!#REF!,"AAAAAG7u5wc=")</f>
        <v>#REF!</v>
      </c>
      <c r="I57" t="e">
        <f>AND('BBP complete'!D754,"AAAAAG7u5wg=")</f>
        <v>#VALUE!</v>
      </c>
      <c r="J57" t="e">
        <f>AND('BBP complete'!F754,"AAAAAG7u5wk=")</f>
        <v>#VALUE!</v>
      </c>
      <c r="K57" t="e">
        <f>AND('BBP complete'!G754,"AAAAAG7u5wo=")</f>
        <v>#VALUE!</v>
      </c>
      <c r="L57" t="e">
        <f>AND('BBP complete'!H754,"AAAAAG7u5ws=")</f>
        <v>#VALUE!</v>
      </c>
      <c r="M57" t="e">
        <f>AND('BBP complete'!I754,"AAAAAG7u5ww=")</f>
        <v>#VALUE!</v>
      </c>
      <c r="N57" s="60" t="e">
        <v>#VALUE!</v>
      </c>
      <c r="O57" t="e">
        <f>AND('BBP complete'!A755,"AAAAAG7u5w4=")</f>
        <v>#VALUE!</v>
      </c>
      <c r="P57" t="e">
        <f>AND('BBP complete'!B755,"AAAAAG7u5w8=")</f>
        <v>#VALUE!</v>
      </c>
      <c r="Q57" t="e">
        <f>AND('BBP complete'!C755,"AAAAAG7u5xA=")</f>
        <v>#VALUE!</v>
      </c>
      <c r="R57" t="e">
        <f>AND('BBP complete'!#REF!,"AAAAAG7u5xE=")</f>
        <v>#REF!</v>
      </c>
      <c r="S57" t="e">
        <f>AND('BBP complete'!#REF!,"AAAAAG7u5xI=")</f>
        <v>#REF!</v>
      </c>
      <c r="T57" t="e">
        <f>AND('BBP complete'!#REF!,"AAAAAG7u5xM=")</f>
        <v>#REF!</v>
      </c>
      <c r="U57" t="e">
        <f>AND('BBP complete'!E755,"AAAAAG7u5xQ=")</f>
        <v>#VALUE!</v>
      </c>
      <c r="V57" t="e">
        <f>AND('BBP complete'!#REF!,"AAAAAG7u5xU=")</f>
        <v>#REF!</v>
      </c>
      <c r="W57" t="e">
        <f>AND('BBP complete'!K755,"AAAAAG7u5xY=")</f>
        <v>#VALUE!</v>
      </c>
      <c r="X57" t="e">
        <f>AND('BBP complete'!L754,"AAAAAG7u5xc=")</f>
        <v>#VALUE!</v>
      </c>
      <c r="Y57" t="e">
        <f>AND('BBP complete'!#REF!,"AAAAAG7u5xg=")</f>
        <v>#REF!</v>
      </c>
      <c r="Z57" t="e">
        <f>AND('BBP complete'!#REF!,"AAAAAG7u5xk=")</f>
        <v>#REF!</v>
      </c>
      <c r="AA57" t="e">
        <f>AND('BBP complete'!#REF!,"AAAAAG7u5xo=")</f>
        <v>#REF!</v>
      </c>
      <c r="AB57" t="e">
        <f>AND('BBP complete'!D755,"AAAAAG7u5xs=")</f>
        <v>#VALUE!</v>
      </c>
      <c r="AC57" t="e">
        <f>AND('BBP complete'!F755,"AAAAAG7u5xw=")</f>
        <v>#VALUE!</v>
      </c>
      <c r="AD57" t="e">
        <f>AND('BBP complete'!G755,"AAAAAG7u5x0=")</f>
        <v>#VALUE!</v>
      </c>
      <c r="AE57" t="e">
        <f>AND('BBP complete'!H755,"AAAAAG7u5x4=")</f>
        <v>#VALUE!</v>
      </c>
      <c r="AF57" t="e">
        <f>AND('BBP complete'!I755,"AAAAAG7u5x8=")</f>
        <v>#VALUE!</v>
      </c>
      <c r="AG57" s="60" t="e">
        <v>#VALUE!</v>
      </c>
      <c r="AH57" t="e">
        <f>AND('BBP complete'!A756,"AAAAAG7u5yE=")</f>
        <v>#VALUE!</v>
      </c>
      <c r="AI57" t="e">
        <f>AND('BBP complete'!B756,"AAAAAG7u5yI=")</f>
        <v>#VALUE!</v>
      </c>
      <c r="AJ57" t="e">
        <f>AND('BBP complete'!C756,"AAAAAG7u5yM=")</f>
        <v>#VALUE!</v>
      </c>
      <c r="AK57" t="e">
        <f>AND('BBP complete'!#REF!,"AAAAAG7u5yQ=")</f>
        <v>#REF!</v>
      </c>
      <c r="AL57" t="e">
        <f>AND('BBP complete'!#REF!,"AAAAAG7u5yU=")</f>
        <v>#REF!</v>
      </c>
      <c r="AM57" t="e">
        <f>AND('BBP complete'!#REF!,"AAAAAG7u5yY=")</f>
        <v>#REF!</v>
      </c>
      <c r="AN57" t="e">
        <f>AND('BBP complete'!E756,"AAAAAG7u5yc=")</f>
        <v>#VALUE!</v>
      </c>
      <c r="AO57" t="e">
        <f>AND('BBP complete'!#REF!,"AAAAAG7u5yg=")</f>
        <v>#REF!</v>
      </c>
      <c r="AP57" t="e">
        <f>AND('BBP complete'!K756,"AAAAAG7u5yk=")</f>
        <v>#VALUE!</v>
      </c>
      <c r="AQ57" t="e">
        <f>AND('BBP complete'!L755,"AAAAAG7u5yo=")</f>
        <v>#VALUE!</v>
      </c>
      <c r="AR57" t="e">
        <f>AND('BBP complete'!#REF!,"AAAAAG7u5ys=")</f>
        <v>#REF!</v>
      </c>
      <c r="AS57" t="e">
        <f>AND('BBP complete'!#REF!,"AAAAAG7u5yw=")</f>
        <v>#REF!</v>
      </c>
      <c r="AT57" t="e">
        <f>AND('BBP complete'!#REF!,"AAAAAG7u5y0=")</f>
        <v>#REF!</v>
      </c>
      <c r="AU57" t="e">
        <f>AND('BBP complete'!D756,"AAAAAG7u5y4=")</f>
        <v>#VALUE!</v>
      </c>
      <c r="AV57" t="e">
        <f>AND('BBP complete'!F756,"AAAAAG7u5y8=")</f>
        <v>#VALUE!</v>
      </c>
      <c r="AW57" t="e">
        <f>AND('BBP complete'!G756,"AAAAAG7u5zA=")</f>
        <v>#VALUE!</v>
      </c>
      <c r="AX57" t="e">
        <f>AND('BBP complete'!H756,"AAAAAG7u5zE=")</f>
        <v>#VALUE!</v>
      </c>
      <c r="AY57" t="e">
        <f>AND('BBP complete'!I756,"AAAAAG7u5zI=")</f>
        <v>#VALUE!</v>
      </c>
      <c r="AZ57" s="60" t="e">
        <v>#VALUE!</v>
      </c>
      <c r="BA57" t="e">
        <f>AND('BBP complete'!A757,"AAAAAG7u5zQ=")</f>
        <v>#VALUE!</v>
      </c>
      <c r="BB57" t="e">
        <f>AND('BBP complete'!B757,"AAAAAG7u5zU=")</f>
        <v>#VALUE!</v>
      </c>
      <c r="BC57" t="e">
        <f>AND('BBP complete'!C757,"AAAAAG7u5zY=")</f>
        <v>#VALUE!</v>
      </c>
      <c r="BD57" t="e">
        <f>AND('BBP complete'!#REF!,"AAAAAG7u5zc=")</f>
        <v>#REF!</v>
      </c>
      <c r="BE57" t="e">
        <f>AND('BBP complete'!#REF!,"AAAAAG7u5zg=")</f>
        <v>#REF!</v>
      </c>
      <c r="BF57" t="e">
        <f>AND('BBP complete'!#REF!,"AAAAAG7u5zk=")</f>
        <v>#REF!</v>
      </c>
      <c r="BG57" t="e">
        <f>AND('BBP complete'!E757,"AAAAAG7u5zo=")</f>
        <v>#VALUE!</v>
      </c>
      <c r="BH57" t="e">
        <f>AND('BBP complete'!#REF!,"AAAAAG7u5zs=")</f>
        <v>#REF!</v>
      </c>
      <c r="BI57" t="e">
        <f>AND('BBP complete'!K757,"AAAAAG7u5zw=")</f>
        <v>#VALUE!</v>
      </c>
      <c r="BJ57" t="e">
        <f>AND('BBP complete'!L756,"AAAAAG7u5z0=")</f>
        <v>#VALUE!</v>
      </c>
      <c r="BK57" t="e">
        <f>AND('BBP complete'!#REF!,"AAAAAG7u5z4=")</f>
        <v>#REF!</v>
      </c>
      <c r="BL57" t="e">
        <f>AND('BBP complete'!#REF!,"AAAAAG7u5z8=")</f>
        <v>#REF!</v>
      </c>
      <c r="BM57" t="e">
        <f>AND('BBP complete'!#REF!,"AAAAAG7u50A=")</f>
        <v>#REF!</v>
      </c>
      <c r="BN57" t="e">
        <f>AND('BBP complete'!D757,"AAAAAG7u50E=")</f>
        <v>#VALUE!</v>
      </c>
      <c r="BO57" t="e">
        <f>AND('BBP complete'!F757,"AAAAAG7u50I=")</f>
        <v>#VALUE!</v>
      </c>
      <c r="BP57" t="e">
        <f>AND('BBP complete'!G757,"AAAAAG7u50M=")</f>
        <v>#VALUE!</v>
      </c>
      <c r="BQ57" t="e">
        <f>AND('BBP complete'!H757,"AAAAAG7u50Q=")</f>
        <v>#VALUE!</v>
      </c>
      <c r="BR57" t="e">
        <f>AND('BBP complete'!I757,"AAAAAG7u50U=")</f>
        <v>#VALUE!</v>
      </c>
      <c r="BS57" s="60" t="e">
        <v>#VALUE!</v>
      </c>
      <c r="BT57" t="e">
        <f>AND('BBP complete'!A758,"AAAAAG7u50c=")</f>
        <v>#VALUE!</v>
      </c>
      <c r="BU57" t="e">
        <f>AND('BBP complete'!B758,"AAAAAG7u50g=")</f>
        <v>#VALUE!</v>
      </c>
      <c r="BV57" t="e">
        <f>AND('BBP complete'!C758,"AAAAAG7u50k=")</f>
        <v>#VALUE!</v>
      </c>
      <c r="BW57" t="e">
        <f>AND('BBP complete'!#REF!,"AAAAAG7u50o=")</f>
        <v>#REF!</v>
      </c>
      <c r="BX57" t="e">
        <f>AND('BBP complete'!#REF!,"AAAAAG7u50s=")</f>
        <v>#REF!</v>
      </c>
      <c r="BY57" t="e">
        <f>AND('BBP complete'!#REF!,"AAAAAG7u50w=")</f>
        <v>#REF!</v>
      </c>
      <c r="BZ57" t="e">
        <f>AND('BBP complete'!E758,"AAAAAG7u500=")</f>
        <v>#VALUE!</v>
      </c>
      <c r="CA57" t="e">
        <f>AND('BBP complete'!#REF!,"AAAAAG7u504=")</f>
        <v>#REF!</v>
      </c>
      <c r="CB57" t="e">
        <f>AND('BBP complete'!K758,"AAAAAG7u508=")</f>
        <v>#VALUE!</v>
      </c>
      <c r="CC57" t="e">
        <f>AND('BBP complete'!L757,"AAAAAG7u51A=")</f>
        <v>#VALUE!</v>
      </c>
      <c r="CD57" t="e">
        <f>AND('BBP complete'!#REF!,"AAAAAG7u51E=")</f>
        <v>#REF!</v>
      </c>
      <c r="CE57" t="e">
        <f>AND('BBP complete'!#REF!,"AAAAAG7u51I=")</f>
        <v>#REF!</v>
      </c>
      <c r="CF57" t="e">
        <f>AND('BBP complete'!#REF!,"AAAAAG7u51M=")</f>
        <v>#REF!</v>
      </c>
      <c r="CG57" t="e">
        <f>AND('BBP complete'!D758,"AAAAAG7u51Q=")</f>
        <v>#VALUE!</v>
      </c>
      <c r="CH57" t="e">
        <f>AND('BBP complete'!F758,"AAAAAG7u51U=")</f>
        <v>#VALUE!</v>
      </c>
      <c r="CI57" t="e">
        <f>AND('BBP complete'!G758,"AAAAAG7u51Y=")</f>
        <v>#VALUE!</v>
      </c>
      <c r="CJ57" t="e">
        <f>AND('BBP complete'!H758,"AAAAAG7u51c=")</f>
        <v>#VALUE!</v>
      </c>
      <c r="CK57" t="e">
        <f>AND('BBP complete'!I758,"AAAAAG7u51g=")</f>
        <v>#VALUE!</v>
      </c>
      <c r="CL57" s="60" t="e">
        <v>#VALUE!</v>
      </c>
      <c r="CM57" t="e">
        <f>AND('BBP complete'!A759,"AAAAAG7u51o=")</f>
        <v>#VALUE!</v>
      </c>
      <c r="CN57" t="e">
        <f>AND('BBP complete'!B759,"AAAAAG7u51s=")</f>
        <v>#VALUE!</v>
      </c>
      <c r="CO57" t="e">
        <f>AND('BBP complete'!C759,"AAAAAG7u51w=")</f>
        <v>#VALUE!</v>
      </c>
      <c r="CP57" t="e">
        <f>AND('BBP complete'!#REF!,"AAAAAG7u510=")</f>
        <v>#REF!</v>
      </c>
      <c r="CQ57" t="e">
        <f>AND('BBP complete'!#REF!,"AAAAAG7u514=")</f>
        <v>#REF!</v>
      </c>
      <c r="CR57" t="e">
        <f>AND('BBP complete'!#REF!,"AAAAAG7u518=")</f>
        <v>#REF!</v>
      </c>
      <c r="CS57" t="e">
        <f>AND('BBP complete'!E759,"AAAAAG7u52A=")</f>
        <v>#VALUE!</v>
      </c>
      <c r="CT57" t="e">
        <f>AND('BBP complete'!#REF!,"AAAAAG7u52E=")</f>
        <v>#REF!</v>
      </c>
      <c r="CU57" t="e">
        <f>AND('BBP complete'!K759,"AAAAAG7u52I=")</f>
        <v>#VALUE!</v>
      </c>
      <c r="CV57" t="e">
        <f>AND('BBP complete'!L758,"AAAAAG7u52M=")</f>
        <v>#VALUE!</v>
      </c>
      <c r="CW57" t="e">
        <f>AND('BBP complete'!#REF!,"AAAAAG7u52Q=")</f>
        <v>#REF!</v>
      </c>
      <c r="CX57" t="e">
        <f>AND('BBP complete'!#REF!,"AAAAAG7u52U=")</f>
        <v>#REF!</v>
      </c>
      <c r="CY57" t="e">
        <f>AND('BBP complete'!#REF!,"AAAAAG7u52Y=")</f>
        <v>#REF!</v>
      </c>
      <c r="CZ57" t="e">
        <f>AND('BBP complete'!D759,"AAAAAG7u52c=")</f>
        <v>#VALUE!</v>
      </c>
      <c r="DA57" t="e">
        <f>AND('BBP complete'!F759,"AAAAAG7u52g=")</f>
        <v>#VALUE!</v>
      </c>
      <c r="DB57" t="e">
        <f>AND('BBP complete'!G759,"AAAAAG7u52k=")</f>
        <v>#VALUE!</v>
      </c>
      <c r="DC57" t="e">
        <f>AND('BBP complete'!H759,"AAAAAG7u52o=")</f>
        <v>#VALUE!</v>
      </c>
      <c r="DD57" t="e">
        <f>AND('BBP complete'!I759,"AAAAAG7u52s=")</f>
        <v>#VALUE!</v>
      </c>
      <c r="DE57" s="60" t="e">
        <v>#VALUE!</v>
      </c>
      <c r="DF57" t="e">
        <f>AND('BBP complete'!A760,"AAAAAG7u520=")</f>
        <v>#VALUE!</v>
      </c>
      <c r="DG57" t="e">
        <f>AND('BBP complete'!B760,"AAAAAG7u524=")</f>
        <v>#VALUE!</v>
      </c>
      <c r="DH57" t="e">
        <f>AND('BBP complete'!C760,"AAAAAG7u528=")</f>
        <v>#VALUE!</v>
      </c>
      <c r="DI57" t="e">
        <f>AND('BBP complete'!#REF!,"AAAAAG7u53A=")</f>
        <v>#REF!</v>
      </c>
      <c r="DJ57" t="e">
        <f>AND('BBP complete'!#REF!,"AAAAAG7u53E=")</f>
        <v>#REF!</v>
      </c>
      <c r="DK57" t="e">
        <f>AND('BBP complete'!#REF!,"AAAAAG7u53I=")</f>
        <v>#REF!</v>
      </c>
      <c r="DL57" t="e">
        <f>AND('BBP complete'!E760,"AAAAAG7u53M=")</f>
        <v>#VALUE!</v>
      </c>
      <c r="DM57" t="e">
        <f>AND('BBP complete'!#REF!,"AAAAAG7u53Q=")</f>
        <v>#REF!</v>
      </c>
      <c r="DN57" t="e">
        <f>AND('BBP complete'!K760,"AAAAAG7u53U=")</f>
        <v>#VALUE!</v>
      </c>
      <c r="DO57" t="e">
        <f>AND('BBP complete'!L759,"AAAAAG7u53Y=")</f>
        <v>#VALUE!</v>
      </c>
      <c r="DP57" t="e">
        <f>AND('BBP complete'!#REF!,"AAAAAG7u53c=")</f>
        <v>#REF!</v>
      </c>
      <c r="DQ57" t="e">
        <f>AND('BBP complete'!#REF!,"AAAAAG7u53g=")</f>
        <v>#REF!</v>
      </c>
      <c r="DR57" t="e">
        <f>AND('BBP complete'!#REF!,"AAAAAG7u53k=")</f>
        <v>#REF!</v>
      </c>
      <c r="DS57" t="e">
        <f>AND('BBP complete'!D760,"AAAAAG7u53o=")</f>
        <v>#VALUE!</v>
      </c>
      <c r="DT57" t="e">
        <f>AND('BBP complete'!F760,"AAAAAG7u53s=")</f>
        <v>#VALUE!</v>
      </c>
      <c r="DU57" t="e">
        <f>AND('BBP complete'!G760,"AAAAAG7u53w=")</f>
        <v>#VALUE!</v>
      </c>
      <c r="DV57" t="e">
        <f>AND('BBP complete'!H760,"AAAAAG7u530=")</f>
        <v>#VALUE!</v>
      </c>
      <c r="DW57" t="e">
        <f>AND('BBP complete'!I760,"AAAAAG7u534=")</f>
        <v>#VALUE!</v>
      </c>
      <c r="DX57" s="60" t="e">
        <v>#VALUE!</v>
      </c>
      <c r="DY57" t="e">
        <f>AND('BBP complete'!A761,"AAAAAG7u54A=")</f>
        <v>#VALUE!</v>
      </c>
      <c r="DZ57" t="e">
        <f>AND('BBP complete'!B761,"AAAAAG7u54E=")</f>
        <v>#VALUE!</v>
      </c>
      <c r="EA57" t="e">
        <f>AND('BBP complete'!C761,"AAAAAG7u54I=")</f>
        <v>#VALUE!</v>
      </c>
      <c r="EB57" t="e">
        <f>AND('BBP complete'!#REF!,"AAAAAG7u54M=")</f>
        <v>#REF!</v>
      </c>
      <c r="EC57" t="e">
        <f>AND('BBP complete'!#REF!,"AAAAAG7u54Q=")</f>
        <v>#REF!</v>
      </c>
      <c r="ED57" t="e">
        <f>AND('BBP complete'!#REF!,"AAAAAG7u54U=")</f>
        <v>#REF!</v>
      </c>
      <c r="EE57" t="e">
        <f>AND('BBP complete'!E761,"AAAAAG7u54Y=")</f>
        <v>#VALUE!</v>
      </c>
      <c r="EF57" t="e">
        <f>AND('BBP complete'!#REF!,"AAAAAG7u54c=")</f>
        <v>#REF!</v>
      </c>
      <c r="EG57" t="e">
        <f>AND('BBP complete'!K761,"AAAAAG7u54g=")</f>
        <v>#VALUE!</v>
      </c>
      <c r="EH57" t="e">
        <f>AND('BBP complete'!L760,"AAAAAG7u54k=")</f>
        <v>#VALUE!</v>
      </c>
      <c r="EI57" t="e">
        <f>AND('BBP complete'!#REF!,"AAAAAG7u54o=")</f>
        <v>#REF!</v>
      </c>
      <c r="EJ57" t="e">
        <f>AND('BBP complete'!#REF!,"AAAAAG7u54s=")</f>
        <v>#REF!</v>
      </c>
      <c r="EK57" t="e">
        <f>AND('BBP complete'!#REF!,"AAAAAG7u54w=")</f>
        <v>#REF!</v>
      </c>
      <c r="EL57" t="e">
        <f>AND('BBP complete'!D761,"AAAAAG7u540=")</f>
        <v>#VALUE!</v>
      </c>
      <c r="EM57" t="e">
        <f>AND('BBP complete'!F761,"AAAAAG7u544=")</f>
        <v>#VALUE!</v>
      </c>
      <c r="EN57" t="e">
        <f>AND('BBP complete'!G761,"AAAAAG7u548=")</f>
        <v>#VALUE!</v>
      </c>
      <c r="EO57" t="e">
        <f>AND('BBP complete'!H761,"AAAAAG7u55A=")</f>
        <v>#VALUE!</v>
      </c>
      <c r="EP57" t="e">
        <f>AND('BBP complete'!I761,"AAAAAG7u55E=")</f>
        <v>#VALUE!</v>
      </c>
      <c r="EQ57" s="60" t="e">
        <v>#VALUE!</v>
      </c>
      <c r="ER57" t="e">
        <f>AND('BBP complete'!A762,"AAAAAG7u55M=")</f>
        <v>#VALUE!</v>
      </c>
      <c r="ES57" t="e">
        <f>AND('BBP complete'!B762,"AAAAAG7u55Q=")</f>
        <v>#VALUE!</v>
      </c>
      <c r="ET57" t="e">
        <f>AND('BBP complete'!C762,"AAAAAG7u55U=")</f>
        <v>#VALUE!</v>
      </c>
      <c r="EU57" t="e">
        <f>AND('BBP complete'!#REF!,"AAAAAG7u55Y=")</f>
        <v>#REF!</v>
      </c>
      <c r="EV57" t="e">
        <f>AND('BBP complete'!#REF!,"AAAAAG7u55c=")</f>
        <v>#REF!</v>
      </c>
      <c r="EW57" t="e">
        <f>AND('BBP complete'!#REF!,"AAAAAG7u55g=")</f>
        <v>#REF!</v>
      </c>
      <c r="EX57" t="e">
        <f>AND('BBP complete'!E762,"AAAAAG7u55k=")</f>
        <v>#VALUE!</v>
      </c>
      <c r="EY57" t="e">
        <f>AND('BBP complete'!#REF!,"AAAAAG7u55o=")</f>
        <v>#REF!</v>
      </c>
      <c r="EZ57" t="e">
        <f>AND('BBP complete'!K762,"AAAAAG7u55s=")</f>
        <v>#VALUE!</v>
      </c>
      <c r="FA57" t="e">
        <f>AND('BBP complete'!L761,"AAAAAG7u55w=")</f>
        <v>#VALUE!</v>
      </c>
      <c r="FB57" t="e">
        <f>AND('BBP complete'!#REF!,"AAAAAG7u550=")</f>
        <v>#REF!</v>
      </c>
      <c r="FC57" t="e">
        <f>AND('BBP complete'!#REF!,"AAAAAG7u554=")</f>
        <v>#REF!</v>
      </c>
      <c r="FD57" t="e">
        <f>AND('BBP complete'!#REF!,"AAAAAG7u558=")</f>
        <v>#REF!</v>
      </c>
      <c r="FE57" t="e">
        <f>AND('BBP complete'!D762,"AAAAAG7u56A=")</f>
        <v>#VALUE!</v>
      </c>
      <c r="FF57" t="e">
        <f>AND('BBP complete'!F762,"AAAAAG7u56E=")</f>
        <v>#VALUE!</v>
      </c>
      <c r="FG57" t="e">
        <f>AND('BBP complete'!G762,"AAAAAG7u56I=")</f>
        <v>#VALUE!</v>
      </c>
      <c r="FH57" t="e">
        <f>AND('BBP complete'!H762,"AAAAAG7u56M=")</f>
        <v>#VALUE!</v>
      </c>
      <c r="FI57" t="e">
        <f>AND('BBP complete'!I762,"AAAAAG7u56Q=")</f>
        <v>#VALUE!</v>
      </c>
      <c r="FJ57" s="60" t="e">
        <v>#VALUE!</v>
      </c>
      <c r="FK57" t="e">
        <f>AND('BBP complete'!A763,"AAAAAG7u56Y=")</f>
        <v>#VALUE!</v>
      </c>
      <c r="FL57" t="e">
        <f>AND('BBP complete'!B763,"AAAAAG7u56c=")</f>
        <v>#VALUE!</v>
      </c>
      <c r="FM57" t="e">
        <f>AND('BBP complete'!C763,"AAAAAG7u56g=")</f>
        <v>#VALUE!</v>
      </c>
      <c r="FN57" t="e">
        <f>AND('BBP complete'!#REF!,"AAAAAG7u56k=")</f>
        <v>#REF!</v>
      </c>
      <c r="FO57" t="e">
        <f>AND('BBP complete'!#REF!,"AAAAAG7u56o=")</f>
        <v>#REF!</v>
      </c>
      <c r="FP57" t="e">
        <f>AND('BBP complete'!#REF!,"AAAAAG7u56s=")</f>
        <v>#REF!</v>
      </c>
      <c r="FQ57" t="e">
        <f>AND('BBP complete'!E763,"AAAAAG7u56w=")</f>
        <v>#VALUE!</v>
      </c>
      <c r="FR57" t="e">
        <f>AND('BBP complete'!#REF!,"AAAAAG7u560=")</f>
        <v>#REF!</v>
      </c>
      <c r="FS57" t="e">
        <f>AND('BBP complete'!K763,"AAAAAG7u564=")</f>
        <v>#VALUE!</v>
      </c>
      <c r="FT57" t="e">
        <f>AND('BBP complete'!L762,"AAAAAG7u568=")</f>
        <v>#VALUE!</v>
      </c>
      <c r="FU57" t="e">
        <f>AND('BBP complete'!#REF!,"AAAAAG7u57A=")</f>
        <v>#REF!</v>
      </c>
      <c r="FV57" t="e">
        <f>AND('BBP complete'!#REF!,"AAAAAG7u57E=")</f>
        <v>#REF!</v>
      </c>
      <c r="FW57" t="e">
        <f>AND('BBP complete'!#REF!,"AAAAAG7u57I=")</f>
        <v>#REF!</v>
      </c>
      <c r="FX57" t="e">
        <f>AND('BBP complete'!D763,"AAAAAG7u57M=")</f>
        <v>#VALUE!</v>
      </c>
      <c r="FY57" t="e">
        <f>AND('BBP complete'!F763,"AAAAAG7u57Q=")</f>
        <v>#VALUE!</v>
      </c>
      <c r="FZ57" t="e">
        <f>AND('BBP complete'!G763,"AAAAAG7u57U=")</f>
        <v>#VALUE!</v>
      </c>
      <c r="GA57" t="e">
        <f>AND('BBP complete'!H763,"AAAAAG7u57Y=")</f>
        <v>#VALUE!</v>
      </c>
      <c r="GB57" t="e">
        <f>AND('BBP complete'!I763,"AAAAAG7u57c=")</f>
        <v>#VALUE!</v>
      </c>
      <c r="GC57" s="60" t="e">
        <v>#VALUE!</v>
      </c>
      <c r="GD57" t="e">
        <f>AND('BBP complete'!A764,"AAAAAG7u57k=")</f>
        <v>#VALUE!</v>
      </c>
      <c r="GE57" t="e">
        <f>AND('BBP complete'!B764,"AAAAAG7u57o=")</f>
        <v>#VALUE!</v>
      </c>
      <c r="GF57" t="e">
        <f>AND('BBP complete'!C764,"AAAAAG7u57s=")</f>
        <v>#VALUE!</v>
      </c>
      <c r="GG57" t="e">
        <f>AND('BBP complete'!#REF!,"AAAAAG7u57w=")</f>
        <v>#REF!</v>
      </c>
      <c r="GH57" t="e">
        <f>AND('BBP complete'!#REF!,"AAAAAG7u570=")</f>
        <v>#REF!</v>
      </c>
      <c r="GI57" t="e">
        <f>AND('BBP complete'!#REF!,"AAAAAG7u574=")</f>
        <v>#REF!</v>
      </c>
      <c r="GJ57" t="e">
        <f>AND('BBP complete'!E764,"AAAAAG7u578=")</f>
        <v>#VALUE!</v>
      </c>
      <c r="GK57" t="e">
        <f>AND('BBP complete'!#REF!,"AAAAAG7u58A=")</f>
        <v>#REF!</v>
      </c>
      <c r="GL57" t="e">
        <f>AND('BBP complete'!K764,"AAAAAG7u58E=")</f>
        <v>#VALUE!</v>
      </c>
      <c r="GM57" t="e">
        <f>AND('BBP complete'!L763,"AAAAAG7u58I=")</f>
        <v>#VALUE!</v>
      </c>
      <c r="GN57" t="e">
        <f>AND('BBP complete'!#REF!,"AAAAAG7u58M=")</f>
        <v>#REF!</v>
      </c>
      <c r="GO57" t="e">
        <f>AND('BBP complete'!#REF!,"AAAAAG7u58Q=")</f>
        <v>#REF!</v>
      </c>
      <c r="GP57" t="e">
        <f>AND('BBP complete'!#REF!,"AAAAAG7u58U=")</f>
        <v>#REF!</v>
      </c>
      <c r="GQ57" t="e">
        <f>AND('BBP complete'!D764,"AAAAAG7u58Y=")</f>
        <v>#VALUE!</v>
      </c>
      <c r="GR57" t="e">
        <f>AND('BBP complete'!F764,"AAAAAG7u58c=")</f>
        <v>#VALUE!</v>
      </c>
      <c r="GS57" t="e">
        <f>AND('BBP complete'!G764,"AAAAAG7u58g=")</f>
        <v>#VALUE!</v>
      </c>
      <c r="GT57" t="e">
        <f>AND('BBP complete'!H764,"AAAAAG7u58k=")</f>
        <v>#VALUE!</v>
      </c>
      <c r="GU57" t="e">
        <f>AND('BBP complete'!I764,"AAAAAG7u58o=")</f>
        <v>#VALUE!</v>
      </c>
      <c r="GV57" s="60" t="e">
        <v>#VALUE!</v>
      </c>
      <c r="GW57" t="e">
        <f>AND('BBP complete'!A765,"AAAAAG7u58w=")</f>
        <v>#VALUE!</v>
      </c>
      <c r="GX57" t="e">
        <f>AND('BBP complete'!B765,"AAAAAG7u580=")</f>
        <v>#VALUE!</v>
      </c>
      <c r="GY57" t="e">
        <f>AND('BBP complete'!C765,"AAAAAG7u584=")</f>
        <v>#VALUE!</v>
      </c>
      <c r="GZ57" t="e">
        <f>AND('BBP complete'!#REF!,"AAAAAG7u588=")</f>
        <v>#REF!</v>
      </c>
      <c r="HA57" t="e">
        <f>AND('BBP complete'!#REF!,"AAAAAG7u59A=")</f>
        <v>#REF!</v>
      </c>
      <c r="HB57" t="e">
        <f>AND('BBP complete'!#REF!,"AAAAAG7u59E=")</f>
        <v>#REF!</v>
      </c>
      <c r="HC57" t="e">
        <f>AND('BBP complete'!E765,"AAAAAG7u59I=")</f>
        <v>#VALUE!</v>
      </c>
      <c r="HD57" t="e">
        <f>AND('BBP complete'!#REF!,"AAAAAG7u59M=")</f>
        <v>#REF!</v>
      </c>
      <c r="HE57" t="e">
        <f>AND('BBP complete'!K765,"AAAAAG7u59Q=")</f>
        <v>#VALUE!</v>
      </c>
      <c r="HF57" t="e">
        <f>AND('BBP complete'!L764,"AAAAAG7u59U=")</f>
        <v>#VALUE!</v>
      </c>
      <c r="HG57" t="e">
        <f>AND('BBP complete'!#REF!,"AAAAAG7u59Y=")</f>
        <v>#REF!</v>
      </c>
      <c r="HH57" t="e">
        <f>AND('BBP complete'!#REF!,"AAAAAG7u59c=")</f>
        <v>#REF!</v>
      </c>
      <c r="HI57" t="e">
        <f>AND('BBP complete'!#REF!,"AAAAAG7u59g=")</f>
        <v>#REF!</v>
      </c>
      <c r="HJ57" t="e">
        <f>AND('BBP complete'!D765,"AAAAAG7u59k=")</f>
        <v>#VALUE!</v>
      </c>
      <c r="HK57" t="e">
        <f>AND('BBP complete'!F765,"AAAAAG7u59o=")</f>
        <v>#VALUE!</v>
      </c>
      <c r="HL57" t="e">
        <f>AND('BBP complete'!G765,"AAAAAG7u59s=")</f>
        <v>#VALUE!</v>
      </c>
      <c r="HM57" t="e">
        <f>AND('BBP complete'!H765,"AAAAAG7u59w=")</f>
        <v>#VALUE!</v>
      </c>
      <c r="HN57" t="e">
        <f>AND('BBP complete'!I765,"AAAAAG7u590=")</f>
        <v>#VALUE!</v>
      </c>
      <c r="HO57" s="60" t="e">
        <v>#VALUE!</v>
      </c>
      <c r="HP57" t="e">
        <f>AND('BBP complete'!A766,"AAAAAG7u598=")</f>
        <v>#VALUE!</v>
      </c>
      <c r="HQ57" t="e">
        <f>AND('BBP complete'!B766,"AAAAAG7u5+A=")</f>
        <v>#VALUE!</v>
      </c>
      <c r="HR57" t="e">
        <f>AND('BBP complete'!C766,"AAAAAG7u5+E=")</f>
        <v>#VALUE!</v>
      </c>
      <c r="HS57" t="e">
        <f>AND('BBP complete'!#REF!,"AAAAAG7u5+I=")</f>
        <v>#REF!</v>
      </c>
      <c r="HT57" t="e">
        <f>AND('BBP complete'!#REF!,"AAAAAG7u5+M=")</f>
        <v>#REF!</v>
      </c>
      <c r="HU57" t="e">
        <f>AND('BBP complete'!#REF!,"AAAAAG7u5+Q=")</f>
        <v>#REF!</v>
      </c>
      <c r="HV57" t="e">
        <f>AND('BBP complete'!E766,"AAAAAG7u5+U=")</f>
        <v>#VALUE!</v>
      </c>
      <c r="HW57" t="e">
        <f>AND('BBP complete'!#REF!,"AAAAAG7u5+Y=")</f>
        <v>#REF!</v>
      </c>
      <c r="HX57" t="e">
        <f>AND('BBP complete'!K766,"AAAAAG7u5+c=")</f>
        <v>#VALUE!</v>
      </c>
      <c r="HY57" t="e">
        <f>AND('BBP complete'!L765,"AAAAAG7u5+g=")</f>
        <v>#VALUE!</v>
      </c>
      <c r="HZ57" t="e">
        <f>AND('BBP complete'!#REF!,"AAAAAG7u5+k=")</f>
        <v>#REF!</v>
      </c>
      <c r="IA57" t="e">
        <f>AND('BBP complete'!#REF!,"AAAAAG7u5+o=")</f>
        <v>#REF!</v>
      </c>
      <c r="IB57" t="e">
        <f>AND('BBP complete'!#REF!,"AAAAAG7u5+s=")</f>
        <v>#REF!</v>
      </c>
      <c r="IC57" t="e">
        <f>AND('BBP complete'!D766,"AAAAAG7u5+w=")</f>
        <v>#VALUE!</v>
      </c>
      <c r="ID57" t="e">
        <f>AND('BBP complete'!F766,"AAAAAG7u5+0=")</f>
        <v>#VALUE!</v>
      </c>
      <c r="IE57" t="e">
        <f>AND('BBP complete'!G766,"AAAAAG7u5+4=")</f>
        <v>#VALUE!</v>
      </c>
      <c r="IF57" t="e">
        <f>AND('BBP complete'!H766,"AAAAAG7u5+8=")</f>
        <v>#VALUE!</v>
      </c>
      <c r="IG57" t="e">
        <f>AND('BBP complete'!I766,"AAAAAG7u5/A=")</f>
        <v>#VALUE!</v>
      </c>
      <c r="IH57" s="60" t="e">
        <v>#VALUE!</v>
      </c>
      <c r="II57" t="e">
        <f>AND('BBP complete'!A767,"AAAAAG7u5/I=")</f>
        <v>#VALUE!</v>
      </c>
      <c r="IJ57" t="e">
        <f>AND('BBP complete'!B767,"AAAAAG7u5/M=")</f>
        <v>#VALUE!</v>
      </c>
      <c r="IK57" t="e">
        <f>AND('BBP complete'!C767,"AAAAAG7u5/Q=")</f>
        <v>#VALUE!</v>
      </c>
      <c r="IL57" t="e">
        <f>AND('BBP complete'!#REF!,"AAAAAG7u5/U=")</f>
        <v>#REF!</v>
      </c>
      <c r="IM57" t="e">
        <f>AND('BBP complete'!#REF!,"AAAAAG7u5/Y=")</f>
        <v>#REF!</v>
      </c>
      <c r="IN57" t="e">
        <f>AND('BBP complete'!#REF!,"AAAAAG7u5/c=")</f>
        <v>#REF!</v>
      </c>
      <c r="IO57" t="e">
        <f>AND('BBP complete'!E767,"AAAAAG7u5/g=")</f>
        <v>#VALUE!</v>
      </c>
      <c r="IP57" t="e">
        <f>AND('BBP complete'!#REF!,"AAAAAG7u5/k=")</f>
        <v>#REF!</v>
      </c>
      <c r="IQ57" t="e">
        <f>AND('BBP complete'!K767,"AAAAAG7u5/o=")</f>
        <v>#VALUE!</v>
      </c>
      <c r="IR57" t="e">
        <f>AND('BBP complete'!L766,"AAAAAG7u5/s=")</f>
        <v>#VALUE!</v>
      </c>
      <c r="IS57" t="e">
        <f>AND('BBP complete'!#REF!,"AAAAAG7u5/w=")</f>
        <v>#REF!</v>
      </c>
      <c r="IT57" t="e">
        <f>AND('BBP complete'!#REF!,"AAAAAG7u5/0=")</f>
        <v>#REF!</v>
      </c>
      <c r="IU57" t="e">
        <f>AND('BBP complete'!#REF!,"AAAAAG7u5/4=")</f>
        <v>#REF!</v>
      </c>
      <c r="IV57" t="e">
        <f>AND('BBP complete'!D767,"AAAAAG7u5/8=")</f>
        <v>#VALUE!</v>
      </c>
    </row>
    <row r="58" spans="1:256" ht="15" customHeight="1" x14ac:dyDescent="0.25">
      <c r="A58" t="e">
        <f>AND('BBP complete'!F767,"AAAAAHm4fwA=")</f>
        <v>#VALUE!</v>
      </c>
      <c r="B58" t="e">
        <f>AND('BBP complete'!G767,"AAAAAHm4fwE=")</f>
        <v>#VALUE!</v>
      </c>
      <c r="C58" t="e">
        <f>AND('BBP complete'!H767,"AAAAAHm4fwI=")</f>
        <v>#VALUE!</v>
      </c>
      <c r="D58" t="e">
        <f>AND('BBP complete'!I767,"AAAAAHm4fwM=")</f>
        <v>#VALUE!</v>
      </c>
      <c r="E58" s="60" t="e">
        <v>#VALUE!</v>
      </c>
      <c r="F58" t="e">
        <f>AND('BBP complete'!A768,"AAAAAHm4fwU=")</f>
        <v>#VALUE!</v>
      </c>
      <c r="G58" t="e">
        <f>AND('BBP complete'!B768,"AAAAAHm4fwY=")</f>
        <v>#VALUE!</v>
      </c>
      <c r="H58" t="e">
        <f>AND('BBP complete'!C768,"AAAAAHm4fwc=")</f>
        <v>#VALUE!</v>
      </c>
      <c r="I58" t="e">
        <f>AND('BBP complete'!#REF!,"AAAAAHm4fwg=")</f>
        <v>#REF!</v>
      </c>
      <c r="J58" t="e">
        <f>AND('BBP complete'!#REF!,"AAAAAHm4fwk=")</f>
        <v>#REF!</v>
      </c>
      <c r="K58" t="e">
        <f>AND('BBP complete'!#REF!,"AAAAAHm4fwo=")</f>
        <v>#REF!</v>
      </c>
      <c r="L58" t="e">
        <f>AND('BBP complete'!E768,"AAAAAHm4fws=")</f>
        <v>#VALUE!</v>
      </c>
      <c r="M58" t="e">
        <f>AND('BBP complete'!#REF!,"AAAAAHm4fww=")</f>
        <v>#REF!</v>
      </c>
      <c r="N58" t="e">
        <f>AND('BBP complete'!K768,"AAAAAHm4fw0=")</f>
        <v>#VALUE!</v>
      </c>
      <c r="O58" t="e">
        <f>AND('BBP complete'!L767,"AAAAAHm4fw4=")</f>
        <v>#VALUE!</v>
      </c>
      <c r="P58" t="e">
        <f>AND('BBP complete'!#REF!,"AAAAAHm4fw8=")</f>
        <v>#REF!</v>
      </c>
      <c r="Q58" t="e">
        <f>AND('BBP complete'!#REF!,"AAAAAHm4fxA=")</f>
        <v>#REF!</v>
      </c>
      <c r="R58" t="e">
        <f>AND('BBP complete'!#REF!,"AAAAAHm4fxE=")</f>
        <v>#REF!</v>
      </c>
      <c r="S58" t="e">
        <f>AND('BBP complete'!D768,"AAAAAHm4fxI=")</f>
        <v>#VALUE!</v>
      </c>
      <c r="T58" t="e">
        <f>AND('BBP complete'!F768,"AAAAAHm4fxM=")</f>
        <v>#VALUE!</v>
      </c>
      <c r="U58" t="e">
        <f>AND('BBP complete'!G768,"AAAAAHm4fxQ=")</f>
        <v>#VALUE!</v>
      </c>
      <c r="V58" t="e">
        <f>AND('BBP complete'!H768,"AAAAAHm4fxU=")</f>
        <v>#VALUE!</v>
      </c>
      <c r="W58" t="e">
        <f>AND('BBP complete'!I768,"AAAAAHm4fxY=")</f>
        <v>#VALUE!</v>
      </c>
      <c r="X58" s="60" t="e">
        <v>#VALUE!</v>
      </c>
      <c r="Y58" t="e">
        <f>AND('BBP complete'!A769,"AAAAAHm4fxg=")</f>
        <v>#VALUE!</v>
      </c>
      <c r="Z58" t="e">
        <f>AND('BBP complete'!B769,"AAAAAHm4fxk=")</f>
        <v>#VALUE!</v>
      </c>
      <c r="AA58" t="e">
        <f>AND('BBP complete'!C769,"AAAAAHm4fxo=")</f>
        <v>#VALUE!</v>
      </c>
      <c r="AB58" t="e">
        <f>AND('BBP complete'!#REF!,"AAAAAHm4fxs=")</f>
        <v>#REF!</v>
      </c>
      <c r="AC58" t="e">
        <f>AND('BBP complete'!#REF!,"AAAAAHm4fxw=")</f>
        <v>#REF!</v>
      </c>
      <c r="AD58" t="e">
        <f>AND('BBP complete'!#REF!,"AAAAAHm4fx0=")</f>
        <v>#REF!</v>
      </c>
      <c r="AE58" t="e">
        <f>AND('BBP complete'!E769,"AAAAAHm4fx4=")</f>
        <v>#VALUE!</v>
      </c>
      <c r="AF58" t="e">
        <f>AND('BBP complete'!#REF!,"AAAAAHm4fx8=")</f>
        <v>#REF!</v>
      </c>
      <c r="AG58" t="e">
        <f>AND('BBP complete'!K769,"AAAAAHm4fyA=")</f>
        <v>#VALUE!</v>
      </c>
      <c r="AH58" t="e">
        <f>AND('BBP complete'!L768,"AAAAAHm4fyE=")</f>
        <v>#VALUE!</v>
      </c>
      <c r="AI58" t="e">
        <f>AND('BBP complete'!#REF!,"AAAAAHm4fyI=")</f>
        <v>#REF!</v>
      </c>
      <c r="AJ58" t="e">
        <f>AND('BBP complete'!#REF!,"AAAAAHm4fyM=")</f>
        <v>#REF!</v>
      </c>
      <c r="AK58" t="e">
        <f>AND('BBP complete'!#REF!,"AAAAAHm4fyQ=")</f>
        <v>#REF!</v>
      </c>
      <c r="AL58" t="e">
        <f>AND('BBP complete'!D769,"AAAAAHm4fyU=")</f>
        <v>#VALUE!</v>
      </c>
      <c r="AM58" t="e">
        <f>AND('BBP complete'!F769,"AAAAAHm4fyY=")</f>
        <v>#VALUE!</v>
      </c>
      <c r="AN58" t="e">
        <f>AND('BBP complete'!G769,"AAAAAHm4fyc=")</f>
        <v>#VALUE!</v>
      </c>
      <c r="AO58" t="e">
        <f>AND('BBP complete'!H769,"AAAAAHm4fyg=")</f>
        <v>#VALUE!</v>
      </c>
      <c r="AP58" t="e">
        <f>AND('BBP complete'!I769,"AAAAAHm4fyk=")</f>
        <v>#VALUE!</v>
      </c>
      <c r="AQ58" s="60" t="e">
        <v>#VALUE!</v>
      </c>
      <c r="AR58" t="e">
        <f>AND('BBP complete'!A770,"AAAAAHm4fys=")</f>
        <v>#VALUE!</v>
      </c>
      <c r="AS58" t="e">
        <f>AND('BBP complete'!B770,"AAAAAHm4fyw=")</f>
        <v>#VALUE!</v>
      </c>
      <c r="AT58" t="e">
        <f>AND('BBP complete'!C770,"AAAAAHm4fy0=")</f>
        <v>#VALUE!</v>
      </c>
      <c r="AU58" t="e">
        <f>AND('BBP complete'!#REF!,"AAAAAHm4fy4=")</f>
        <v>#REF!</v>
      </c>
      <c r="AV58" t="e">
        <f>AND('BBP complete'!#REF!,"AAAAAHm4fy8=")</f>
        <v>#REF!</v>
      </c>
      <c r="AW58" t="e">
        <f>AND('BBP complete'!#REF!,"AAAAAHm4fzA=")</f>
        <v>#REF!</v>
      </c>
      <c r="AX58" t="e">
        <f>AND('BBP complete'!E770,"AAAAAHm4fzE=")</f>
        <v>#VALUE!</v>
      </c>
      <c r="AY58" t="e">
        <f>AND('BBP complete'!#REF!,"AAAAAHm4fzI=")</f>
        <v>#REF!</v>
      </c>
      <c r="AZ58" t="e">
        <f>AND('BBP complete'!K770,"AAAAAHm4fzM=")</f>
        <v>#VALUE!</v>
      </c>
      <c r="BA58" t="e">
        <f>AND('BBP complete'!L769,"AAAAAHm4fzQ=")</f>
        <v>#VALUE!</v>
      </c>
      <c r="BB58" t="e">
        <f>AND('BBP complete'!#REF!,"AAAAAHm4fzU=")</f>
        <v>#REF!</v>
      </c>
      <c r="BC58" t="e">
        <f>AND('BBP complete'!#REF!,"AAAAAHm4fzY=")</f>
        <v>#REF!</v>
      </c>
      <c r="BD58" t="e">
        <f>AND('BBP complete'!#REF!,"AAAAAHm4fzc=")</f>
        <v>#REF!</v>
      </c>
      <c r="BE58" t="e">
        <f>AND('BBP complete'!D770,"AAAAAHm4fzg=")</f>
        <v>#VALUE!</v>
      </c>
      <c r="BF58" t="e">
        <f>AND('BBP complete'!F770,"AAAAAHm4fzk=")</f>
        <v>#VALUE!</v>
      </c>
      <c r="BG58" t="e">
        <f>AND('BBP complete'!G770,"AAAAAHm4fzo=")</f>
        <v>#VALUE!</v>
      </c>
      <c r="BH58" t="e">
        <f>AND('BBP complete'!H770,"AAAAAHm4fzs=")</f>
        <v>#VALUE!</v>
      </c>
      <c r="BI58" t="e">
        <f>AND('BBP complete'!I770,"AAAAAHm4fzw=")</f>
        <v>#VALUE!</v>
      </c>
      <c r="BJ58" s="60" t="e">
        <v>#VALUE!</v>
      </c>
      <c r="BK58" t="e">
        <f>AND('BBP complete'!A771,"AAAAAHm4fz4=")</f>
        <v>#VALUE!</v>
      </c>
      <c r="BL58" t="e">
        <f>AND('BBP complete'!B771,"AAAAAHm4fz8=")</f>
        <v>#VALUE!</v>
      </c>
      <c r="BM58" t="e">
        <f>AND('BBP complete'!C771,"AAAAAHm4f0A=")</f>
        <v>#VALUE!</v>
      </c>
      <c r="BN58" t="e">
        <f>AND('BBP complete'!#REF!,"AAAAAHm4f0E=")</f>
        <v>#REF!</v>
      </c>
      <c r="BO58" t="e">
        <f>AND('BBP complete'!#REF!,"AAAAAHm4f0I=")</f>
        <v>#REF!</v>
      </c>
      <c r="BP58" t="e">
        <f>AND('BBP complete'!#REF!,"AAAAAHm4f0M=")</f>
        <v>#REF!</v>
      </c>
      <c r="BQ58" t="e">
        <f>AND('BBP complete'!E771,"AAAAAHm4f0Q=")</f>
        <v>#VALUE!</v>
      </c>
      <c r="BR58" t="e">
        <f>AND('BBP complete'!#REF!,"AAAAAHm4f0U=")</f>
        <v>#REF!</v>
      </c>
      <c r="BS58" t="e">
        <f>AND('BBP complete'!K771,"AAAAAHm4f0Y=")</f>
        <v>#VALUE!</v>
      </c>
      <c r="BT58" t="e">
        <f>AND('BBP complete'!L770,"AAAAAHm4f0c=")</f>
        <v>#VALUE!</v>
      </c>
      <c r="BU58" t="e">
        <f>AND('BBP complete'!#REF!,"AAAAAHm4f0g=")</f>
        <v>#REF!</v>
      </c>
      <c r="BV58" t="e">
        <f>AND('BBP complete'!#REF!,"AAAAAHm4f0k=")</f>
        <v>#REF!</v>
      </c>
      <c r="BW58" t="e">
        <f>AND('BBP complete'!#REF!,"AAAAAHm4f0o=")</f>
        <v>#REF!</v>
      </c>
      <c r="BX58" t="e">
        <f>AND('BBP complete'!D771,"AAAAAHm4f0s=")</f>
        <v>#VALUE!</v>
      </c>
      <c r="BY58" t="e">
        <f>AND('BBP complete'!F771,"AAAAAHm4f0w=")</f>
        <v>#VALUE!</v>
      </c>
      <c r="BZ58" t="e">
        <f>AND('BBP complete'!G771,"AAAAAHm4f00=")</f>
        <v>#VALUE!</v>
      </c>
      <c r="CA58" t="e">
        <f>AND('BBP complete'!H771,"AAAAAHm4f04=")</f>
        <v>#VALUE!</v>
      </c>
      <c r="CB58" t="e">
        <f>AND('BBP complete'!I771,"AAAAAHm4f08=")</f>
        <v>#VALUE!</v>
      </c>
      <c r="CC58" s="60" t="e">
        <v>#VALUE!</v>
      </c>
      <c r="CD58" t="e">
        <f>AND('BBP complete'!A772,"AAAAAHm4f1E=")</f>
        <v>#VALUE!</v>
      </c>
      <c r="CE58" t="e">
        <f>AND('BBP complete'!B772,"AAAAAHm4f1I=")</f>
        <v>#VALUE!</v>
      </c>
      <c r="CF58" t="e">
        <f>AND('BBP complete'!C772,"AAAAAHm4f1M=")</f>
        <v>#VALUE!</v>
      </c>
      <c r="CG58" t="e">
        <f>AND('BBP complete'!#REF!,"AAAAAHm4f1Q=")</f>
        <v>#REF!</v>
      </c>
      <c r="CH58" t="e">
        <f>AND('BBP complete'!#REF!,"AAAAAHm4f1U=")</f>
        <v>#REF!</v>
      </c>
      <c r="CI58" t="e">
        <f>AND('BBP complete'!#REF!,"AAAAAHm4f1Y=")</f>
        <v>#REF!</v>
      </c>
      <c r="CJ58" t="e">
        <f>AND('BBP complete'!E772,"AAAAAHm4f1c=")</f>
        <v>#VALUE!</v>
      </c>
      <c r="CK58" t="e">
        <f>AND('BBP complete'!#REF!,"AAAAAHm4f1g=")</f>
        <v>#REF!</v>
      </c>
      <c r="CL58" t="e">
        <f>AND('BBP complete'!K772,"AAAAAHm4f1k=")</f>
        <v>#VALUE!</v>
      </c>
      <c r="CM58" t="e">
        <f>AND('BBP complete'!L771,"AAAAAHm4f1o=")</f>
        <v>#VALUE!</v>
      </c>
      <c r="CN58" t="e">
        <f>AND('BBP complete'!#REF!,"AAAAAHm4f1s=")</f>
        <v>#REF!</v>
      </c>
      <c r="CO58" t="e">
        <f>AND('BBP complete'!#REF!,"AAAAAHm4f1w=")</f>
        <v>#REF!</v>
      </c>
      <c r="CP58" t="e">
        <f>AND('BBP complete'!#REF!,"AAAAAHm4f10=")</f>
        <v>#REF!</v>
      </c>
      <c r="CQ58" t="e">
        <f>AND('BBP complete'!D772,"AAAAAHm4f14=")</f>
        <v>#VALUE!</v>
      </c>
      <c r="CR58" t="e">
        <f>AND('BBP complete'!F772,"AAAAAHm4f18=")</f>
        <v>#VALUE!</v>
      </c>
      <c r="CS58" t="e">
        <f>AND('BBP complete'!G772,"AAAAAHm4f2A=")</f>
        <v>#VALUE!</v>
      </c>
      <c r="CT58" t="e">
        <f>AND('BBP complete'!H772,"AAAAAHm4f2E=")</f>
        <v>#VALUE!</v>
      </c>
      <c r="CU58" t="e">
        <f>AND('BBP complete'!I772,"AAAAAHm4f2I=")</f>
        <v>#VALUE!</v>
      </c>
      <c r="CV58" s="60" t="e">
        <v>#VALUE!</v>
      </c>
      <c r="CW58" t="e">
        <f>AND('BBP complete'!A773,"AAAAAHm4f2Q=")</f>
        <v>#VALUE!</v>
      </c>
      <c r="CX58" t="e">
        <f>AND('BBP complete'!B773,"AAAAAHm4f2U=")</f>
        <v>#VALUE!</v>
      </c>
      <c r="CY58" t="e">
        <f>AND('BBP complete'!C773,"AAAAAHm4f2Y=")</f>
        <v>#VALUE!</v>
      </c>
      <c r="CZ58" t="e">
        <f>AND('BBP complete'!#REF!,"AAAAAHm4f2c=")</f>
        <v>#REF!</v>
      </c>
      <c r="DA58" t="e">
        <f>AND('BBP complete'!#REF!,"AAAAAHm4f2g=")</f>
        <v>#REF!</v>
      </c>
      <c r="DB58" t="e">
        <f>AND('BBP complete'!#REF!,"AAAAAHm4f2k=")</f>
        <v>#REF!</v>
      </c>
      <c r="DC58" t="e">
        <f>AND('BBP complete'!E773,"AAAAAHm4f2o=")</f>
        <v>#VALUE!</v>
      </c>
      <c r="DD58" t="e">
        <f>AND('BBP complete'!#REF!,"AAAAAHm4f2s=")</f>
        <v>#REF!</v>
      </c>
      <c r="DE58" t="e">
        <f>AND('BBP complete'!K773,"AAAAAHm4f2w=")</f>
        <v>#VALUE!</v>
      </c>
      <c r="DF58" t="e">
        <f>AND('BBP complete'!L772,"AAAAAHm4f20=")</f>
        <v>#VALUE!</v>
      </c>
      <c r="DG58" t="e">
        <f>AND('BBP complete'!#REF!,"AAAAAHm4f24=")</f>
        <v>#REF!</v>
      </c>
      <c r="DH58" t="e">
        <f>AND('BBP complete'!#REF!,"AAAAAHm4f28=")</f>
        <v>#REF!</v>
      </c>
      <c r="DI58" t="e">
        <f>AND('BBP complete'!#REF!,"AAAAAHm4f3A=")</f>
        <v>#REF!</v>
      </c>
      <c r="DJ58" t="e">
        <f>AND('BBP complete'!D773,"AAAAAHm4f3E=")</f>
        <v>#VALUE!</v>
      </c>
      <c r="DK58" t="e">
        <f>AND('BBP complete'!F773,"AAAAAHm4f3I=")</f>
        <v>#VALUE!</v>
      </c>
      <c r="DL58" t="e">
        <f>AND('BBP complete'!G773,"AAAAAHm4f3M=")</f>
        <v>#VALUE!</v>
      </c>
      <c r="DM58" t="e">
        <f>AND('BBP complete'!H773,"AAAAAHm4f3Q=")</f>
        <v>#VALUE!</v>
      </c>
      <c r="DN58" t="e">
        <f>AND('BBP complete'!I773,"AAAAAHm4f3U=")</f>
        <v>#VALUE!</v>
      </c>
      <c r="DO58" s="60" t="e">
        <v>#VALUE!</v>
      </c>
      <c r="DP58" t="e">
        <f>AND('BBP complete'!A774,"AAAAAHm4f3c=")</f>
        <v>#VALUE!</v>
      </c>
      <c r="DQ58" t="e">
        <f>AND('BBP complete'!B774,"AAAAAHm4f3g=")</f>
        <v>#VALUE!</v>
      </c>
      <c r="DR58" t="e">
        <f>AND('BBP complete'!C774,"AAAAAHm4f3k=")</f>
        <v>#VALUE!</v>
      </c>
      <c r="DS58" t="e">
        <f>AND('BBP complete'!#REF!,"AAAAAHm4f3o=")</f>
        <v>#REF!</v>
      </c>
      <c r="DT58" t="e">
        <f>AND('BBP complete'!#REF!,"AAAAAHm4f3s=")</f>
        <v>#REF!</v>
      </c>
      <c r="DU58" t="e">
        <f>AND('BBP complete'!#REF!,"AAAAAHm4f3w=")</f>
        <v>#REF!</v>
      </c>
      <c r="DV58" t="e">
        <f>AND('BBP complete'!E774,"AAAAAHm4f30=")</f>
        <v>#VALUE!</v>
      </c>
      <c r="DW58" t="e">
        <f>AND('BBP complete'!#REF!,"AAAAAHm4f34=")</f>
        <v>#REF!</v>
      </c>
      <c r="DX58" t="e">
        <f>AND('BBP complete'!K774,"AAAAAHm4f38=")</f>
        <v>#VALUE!</v>
      </c>
      <c r="DY58" t="e">
        <f>AND('BBP complete'!L773,"AAAAAHm4f4A=")</f>
        <v>#VALUE!</v>
      </c>
      <c r="DZ58" t="e">
        <f>AND('BBP complete'!#REF!,"AAAAAHm4f4E=")</f>
        <v>#REF!</v>
      </c>
      <c r="EA58" t="e">
        <f>AND('BBP complete'!#REF!,"AAAAAHm4f4I=")</f>
        <v>#REF!</v>
      </c>
      <c r="EB58" t="e">
        <f>AND('BBP complete'!#REF!,"AAAAAHm4f4M=")</f>
        <v>#REF!</v>
      </c>
      <c r="EC58" t="e">
        <f>AND('BBP complete'!D774,"AAAAAHm4f4Q=")</f>
        <v>#VALUE!</v>
      </c>
      <c r="ED58" t="e">
        <f>AND('BBP complete'!F774,"AAAAAHm4f4U=")</f>
        <v>#VALUE!</v>
      </c>
      <c r="EE58" t="e">
        <f>AND('BBP complete'!G774,"AAAAAHm4f4Y=")</f>
        <v>#VALUE!</v>
      </c>
      <c r="EF58" t="e">
        <f>AND('BBP complete'!H774,"AAAAAHm4f4c=")</f>
        <v>#VALUE!</v>
      </c>
      <c r="EG58" t="e">
        <f>AND('BBP complete'!I774,"AAAAAHm4f4g=")</f>
        <v>#VALUE!</v>
      </c>
      <c r="EH58" s="60" t="e">
        <v>#VALUE!</v>
      </c>
      <c r="EI58" t="e">
        <f>AND('BBP complete'!A775,"AAAAAHm4f4o=")</f>
        <v>#VALUE!</v>
      </c>
      <c r="EJ58" t="e">
        <f>AND('BBP complete'!B775,"AAAAAHm4f4s=")</f>
        <v>#VALUE!</v>
      </c>
      <c r="EK58" t="e">
        <f>AND('BBP complete'!C775,"AAAAAHm4f4w=")</f>
        <v>#VALUE!</v>
      </c>
      <c r="EL58" t="e">
        <f>AND('BBP complete'!#REF!,"AAAAAHm4f40=")</f>
        <v>#REF!</v>
      </c>
      <c r="EM58" t="e">
        <f>AND('BBP complete'!#REF!,"AAAAAHm4f44=")</f>
        <v>#REF!</v>
      </c>
      <c r="EN58" t="e">
        <f>AND('BBP complete'!#REF!,"AAAAAHm4f48=")</f>
        <v>#REF!</v>
      </c>
      <c r="EO58" t="e">
        <f>AND('BBP complete'!E775,"AAAAAHm4f5A=")</f>
        <v>#VALUE!</v>
      </c>
      <c r="EP58" t="e">
        <f>AND('BBP complete'!#REF!,"AAAAAHm4f5E=")</f>
        <v>#REF!</v>
      </c>
      <c r="EQ58" t="e">
        <f>AND('BBP complete'!K775,"AAAAAHm4f5I=")</f>
        <v>#VALUE!</v>
      </c>
      <c r="ER58" t="e">
        <f>AND('BBP complete'!L774,"AAAAAHm4f5M=")</f>
        <v>#VALUE!</v>
      </c>
      <c r="ES58" t="e">
        <f>AND('BBP complete'!#REF!,"AAAAAHm4f5Q=")</f>
        <v>#REF!</v>
      </c>
      <c r="ET58" t="e">
        <f>AND('BBP complete'!#REF!,"AAAAAHm4f5U=")</f>
        <v>#REF!</v>
      </c>
      <c r="EU58" t="e">
        <f>AND('BBP complete'!#REF!,"AAAAAHm4f5Y=")</f>
        <v>#REF!</v>
      </c>
      <c r="EV58" t="e">
        <f>AND('BBP complete'!D775,"AAAAAHm4f5c=")</f>
        <v>#VALUE!</v>
      </c>
      <c r="EW58" t="e">
        <f>AND('BBP complete'!F775,"AAAAAHm4f5g=")</f>
        <v>#VALUE!</v>
      </c>
      <c r="EX58" t="e">
        <f>AND('BBP complete'!G775,"AAAAAHm4f5k=")</f>
        <v>#VALUE!</v>
      </c>
      <c r="EY58" t="e">
        <f>AND('BBP complete'!H775,"AAAAAHm4f5o=")</f>
        <v>#VALUE!</v>
      </c>
      <c r="EZ58" t="e">
        <f>AND('BBP complete'!I775,"AAAAAHm4f5s=")</f>
        <v>#VALUE!</v>
      </c>
      <c r="FA58" s="60" t="e">
        <v>#VALUE!</v>
      </c>
      <c r="FB58" t="e">
        <f>AND('BBP complete'!A776,"AAAAAHm4f50=")</f>
        <v>#VALUE!</v>
      </c>
      <c r="FC58" t="e">
        <f>AND('BBP complete'!B776,"AAAAAHm4f54=")</f>
        <v>#VALUE!</v>
      </c>
      <c r="FD58" t="e">
        <f>AND('BBP complete'!C776,"AAAAAHm4f58=")</f>
        <v>#VALUE!</v>
      </c>
      <c r="FE58" t="e">
        <f>AND('BBP complete'!#REF!,"AAAAAHm4f6A=")</f>
        <v>#REF!</v>
      </c>
      <c r="FF58" t="e">
        <f>AND('BBP complete'!#REF!,"AAAAAHm4f6E=")</f>
        <v>#REF!</v>
      </c>
      <c r="FG58" t="e">
        <f>AND('BBP complete'!#REF!,"AAAAAHm4f6I=")</f>
        <v>#REF!</v>
      </c>
      <c r="FH58" t="e">
        <f>AND('BBP complete'!E776,"AAAAAHm4f6M=")</f>
        <v>#VALUE!</v>
      </c>
      <c r="FI58" t="e">
        <f>AND('BBP complete'!#REF!,"AAAAAHm4f6Q=")</f>
        <v>#REF!</v>
      </c>
      <c r="FJ58" t="e">
        <f>AND('BBP complete'!K776,"AAAAAHm4f6U=")</f>
        <v>#VALUE!</v>
      </c>
      <c r="FK58" t="e">
        <f>AND('BBP complete'!L775,"AAAAAHm4f6Y=")</f>
        <v>#VALUE!</v>
      </c>
      <c r="FL58" t="e">
        <f>AND('BBP complete'!#REF!,"AAAAAHm4f6c=")</f>
        <v>#REF!</v>
      </c>
      <c r="FM58" t="e">
        <f>AND('BBP complete'!#REF!,"AAAAAHm4f6g=")</f>
        <v>#REF!</v>
      </c>
      <c r="FN58" t="e">
        <f>AND('BBP complete'!#REF!,"AAAAAHm4f6k=")</f>
        <v>#REF!</v>
      </c>
      <c r="FO58" t="e">
        <f>AND('BBP complete'!D776,"AAAAAHm4f6o=")</f>
        <v>#VALUE!</v>
      </c>
      <c r="FP58" t="e">
        <f>AND('BBP complete'!F776,"AAAAAHm4f6s=")</f>
        <v>#VALUE!</v>
      </c>
      <c r="FQ58" t="e">
        <f>AND('BBP complete'!G776,"AAAAAHm4f6w=")</f>
        <v>#VALUE!</v>
      </c>
      <c r="FR58" t="e">
        <f>AND('BBP complete'!H776,"AAAAAHm4f60=")</f>
        <v>#VALUE!</v>
      </c>
      <c r="FS58" t="e">
        <f>AND('BBP complete'!I776,"AAAAAHm4f64=")</f>
        <v>#VALUE!</v>
      </c>
      <c r="FT58" s="60" t="e">
        <v>#VALUE!</v>
      </c>
      <c r="FU58" t="e">
        <f>AND('BBP complete'!A777,"AAAAAHm4f7A=")</f>
        <v>#VALUE!</v>
      </c>
      <c r="FV58" t="e">
        <f>AND('BBP complete'!B777,"AAAAAHm4f7E=")</f>
        <v>#VALUE!</v>
      </c>
      <c r="FW58" t="e">
        <f>AND('BBP complete'!C777,"AAAAAHm4f7I=")</f>
        <v>#VALUE!</v>
      </c>
      <c r="FX58" t="e">
        <f>AND('BBP complete'!#REF!,"AAAAAHm4f7M=")</f>
        <v>#REF!</v>
      </c>
      <c r="FY58" t="e">
        <f>AND('BBP complete'!#REF!,"AAAAAHm4f7Q=")</f>
        <v>#REF!</v>
      </c>
      <c r="FZ58" t="e">
        <f>AND('BBP complete'!#REF!,"AAAAAHm4f7U=")</f>
        <v>#REF!</v>
      </c>
      <c r="GA58" t="e">
        <f>AND('BBP complete'!E777,"AAAAAHm4f7Y=")</f>
        <v>#VALUE!</v>
      </c>
      <c r="GB58" t="e">
        <f>AND('BBP complete'!#REF!,"AAAAAHm4f7c=")</f>
        <v>#REF!</v>
      </c>
      <c r="GC58" t="e">
        <f>AND('BBP complete'!K777,"AAAAAHm4f7g=")</f>
        <v>#VALUE!</v>
      </c>
      <c r="GD58" t="e">
        <f>AND('BBP complete'!L776,"AAAAAHm4f7k=")</f>
        <v>#VALUE!</v>
      </c>
      <c r="GE58" t="e">
        <f>AND('BBP complete'!#REF!,"AAAAAHm4f7o=")</f>
        <v>#REF!</v>
      </c>
      <c r="GF58" t="e">
        <f>AND('BBP complete'!#REF!,"AAAAAHm4f7s=")</f>
        <v>#REF!</v>
      </c>
      <c r="GG58" t="e">
        <f>AND('BBP complete'!#REF!,"AAAAAHm4f7w=")</f>
        <v>#REF!</v>
      </c>
      <c r="GH58" t="e">
        <f>AND('BBP complete'!D777,"AAAAAHm4f70=")</f>
        <v>#VALUE!</v>
      </c>
      <c r="GI58" t="e">
        <f>AND('BBP complete'!F777,"AAAAAHm4f74=")</f>
        <v>#VALUE!</v>
      </c>
      <c r="GJ58" t="e">
        <f>AND('BBP complete'!G777,"AAAAAHm4f78=")</f>
        <v>#VALUE!</v>
      </c>
      <c r="GK58" t="e">
        <f>AND('BBP complete'!H777,"AAAAAHm4f8A=")</f>
        <v>#VALUE!</v>
      </c>
      <c r="GL58" t="e">
        <f>AND('BBP complete'!I777,"AAAAAHm4f8E=")</f>
        <v>#VALUE!</v>
      </c>
      <c r="GM58" s="60" t="e">
        <v>#VALUE!</v>
      </c>
      <c r="GN58" t="e">
        <f>AND('BBP complete'!A778,"AAAAAHm4f8M=")</f>
        <v>#VALUE!</v>
      </c>
      <c r="GO58" t="e">
        <f>AND('BBP complete'!B778,"AAAAAHm4f8Q=")</f>
        <v>#VALUE!</v>
      </c>
      <c r="GP58" t="e">
        <f>AND('BBP complete'!C778,"AAAAAHm4f8U=")</f>
        <v>#VALUE!</v>
      </c>
      <c r="GQ58" t="e">
        <f>AND('BBP complete'!#REF!,"AAAAAHm4f8Y=")</f>
        <v>#REF!</v>
      </c>
      <c r="GR58" t="e">
        <f>AND('BBP complete'!#REF!,"AAAAAHm4f8c=")</f>
        <v>#REF!</v>
      </c>
      <c r="GS58" t="e">
        <f>AND('BBP complete'!#REF!,"AAAAAHm4f8g=")</f>
        <v>#REF!</v>
      </c>
      <c r="GT58" t="e">
        <f>AND('BBP complete'!E778,"AAAAAHm4f8k=")</f>
        <v>#VALUE!</v>
      </c>
      <c r="GU58" t="e">
        <f>AND('BBP complete'!#REF!,"AAAAAHm4f8o=")</f>
        <v>#REF!</v>
      </c>
      <c r="GV58" t="e">
        <f>AND('BBP complete'!K778,"AAAAAHm4f8s=")</f>
        <v>#VALUE!</v>
      </c>
      <c r="GW58" t="e">
        <f>AND('BBP complete'!L777,"AAAAAHm4f8w=")</f>
        <v>#VALUE!</v>
      </c>
      <c r="GX58" t="e">
        <f>AND('BBP complete'!#REF!,"AAAAAHm4f80=")</f>
        <v>#REF!</v>
      </c>
      <c r="GY58" t="e">
        <f>AND('BBP complete'!#REF!,"AAAAAHm4f84=")</f>
        <v>#REF!</v>
      </c>
      <c r="GZ58" t="e">
        <f>AND('BBP complete'!#REF!,"AAAAAHm4f88=")</f>
        <v>#REF!</v>
      </c>
      <c r="HA58" t="e">
        <f>AND('BBP complete'!D778,"AAAAAHm4f9A=")</f>
        <v>#VALUE!</v>
      </c>
      <c r="HB58" t="e">
        <f>AND('BBP complete'!F778,"AAAAAHm4f9E=")</f>
        <v>#VALUE!</v>
      </c>
      <c r="HC58" t="e">
        <f>AND('BBP complete'!G778,"AAAAAHm4f9I=")</f>
        <v>#VALUE!</v>
      </c>
      <c r="HD58" t="e">
        <f>AND('BBP complete'!H778,"AAAAAHm4f9M=")</f>
        <v>#VALUE!</v>
      </c>
      <c r="HE58" t="e">
        <f>AND('BBP complete'!I778,"AAAAAHm4f9Q=")</f>
        <v>#VALUE!</v>
      </c>
      <c r="HF58" s="60" t="e">
        <v>#VALUE!</v>
      </c>
      <c r="HG58" t="e">
        <f>AND('BBP complete'!A779,"AAAAAHm4f9Y=")</f>
        <v>#VALUE!</v>
      </c>
      <c r="HH58" t="e">
        <f>AND('BBP complete'!B779,"AAAAAHm4f9c=")</f>
        <v>#VALUE!</v>
      </c>
      <c r="HI58" t="e">
        <f>AND('BBP complete'!C779,"AAAAAHm4f9g=")</f>
        <v>#VALUE!</v>
      </c>
      <c r="HJ58" t="e">
        <f>AND('BBP complete'!#REF!,"AAAAAHm4f9k=")</f>
        <v>#REF!</v>
      </c>
      <c r="HK58" t="e">
        <f>AND('BBP complete'!#REF!,"AAAAAHm4f9o=")</f>
        <v>#REF!</v>
      </c>
      <c r="HL58" t="e">
        <f>AND('BBP complete'!#REF!,"AAAAAHm4f9s=")</f>
        <v>#REF!</v>
      </c>
      <c r="HM58" t="e">
        <f>AND('BBP complete'!E779,"AAAAAHm4f9w=")</f>
        <v>#VALUE!</v>
      </c>
      <c r="HN58" t="e">
        <f>AND('BBP complete'!#REF!,"AAAAAHm4f90=")</f>
        <v>#REF!</v>
      </c>
      <c r="HO58" t="e">
        <f>AND('BBP complete'!K779,"AAAAAHm4f94=")</f>
        <v>#VALUE!</v>
      </c>
      <c r="HP58" t="e">
        <f>AND('BBP complete'!L778,"AAAAAHm4f98=")</f>
        <v>#VALUE!</v>
      </c>
      <c r="HQ58" t="e">
        <f>AND('BBP complete'!#REF!,"AAAAAHm4f+A=")</f>
        <v>#REF!</v>
      </c>
      <c r="HR58" t="e">
        <f>AND('BBP complete'!#REF!,"AAAAAHm4f+E=")</f>
        <v>#REF!</v>
      </c>
      <c r="HS58" t="e">
        <f>AND('BBP complete'!#REF!,"AAAAAHm4f+I=")</f>
        <v>#REF!</v>
      </c>
      <c r="HT58" t="e">
        <f>AND('BBP complete'!D779,"AAAAAHm4f+M=")</f>
        <v>#VALUE!</v>
      </c>
      <c r="HU58" t="e">
        <f>AND('BBP complete'!F779,"AAAAAHm4f+Q=")</f>
        <v>#VALUE!</v>
      </c>
      <c r="HV58" t="e">
        <f>AND('BBP complete'!G779,"AAAAAHm4f+U=")</f>
        <v>#VALUE!</v>
      </c>
      <c r="HW58" t="e">
        <f>AND('BBP complete'!H779,"AAAAAHm4f+Y=")</f>
        <v>#VALUE!</v>
      </c>
      <c r="HX58" t="e">
        <f>AND('BBP complete'!I779,"AAAAAHm4f+c=")</f>
        <v>#VALUE!</v>
      </c>
      <c r="HY58" s="60" t="e">
        <v>#VALUE!</v>
      </c>
      <c r="HZ58" t="e">
        <f>AND('BBP complete'!A780,"AAAAAHm4f+k=")</f>
        <v>#VALUE!</v>
      </c>
      <c r="IA58" t="e">
        <f>AND('BBP complete'!B780,"AAAAAHm4f+o=")</f>
        <v>#VALUE!</v>
      </c>
      <c r="IB58" t="e">
        <f>AND('BBP complete'!C780,"AAAAAHm4f+s=")</f>
        <v>#VALUE!</v>
      </c>
      <c r="IC58" t="e">
        <f>AND('BBP complete'!#REF!,"AAAAAHm4f+w=")</f>
        <v>#REF!</v>
      </c>
      <c r="ID58" t="e">
        <f>AND('BBP complete'!#REF!,"AAAAAHm4f+0=")</f>
        <v>#REF!</v>
      </c>
      <c r="IE58" t="e">
        <f>AND('BBP complete'!#REF!,"AAAAAHm4f+4=")</f>
        <v>#REF!</v>
      </c>
      <c r="IF58" t="e">
        <f>AND('BBP complete'!E780,"AAAAAHm4f+8=")</f>
        <v>#VALUE!</v>
      </c>
      <c r="IG58" t="e">
        <f>AND('BBP complete'!#REF!,"AAAAAHm4f/A=")</f>
        <v>#REF!</v>
      </c>
      <c r="IH58" t="e">
        <f>AND('BBP complete'!K780,"AAAAAHm4f/E=")</f>
        <v>#VALUE!</v>
      </c>
      <c r="II58" t="e">
        <f>AND('BBP complete'!L779,"AAAAAHm4f/I=")</f>
        <v>#VALUE!</v>
      </c>
      <c r="IJ58" t="e">
        <f>AND('BBP complete'!#REF!,"AAAAAHm4f/M=")</f>
        <v>#REF!</v>
      </c>
      <c r="IK58" t="e">
        <f>AND('BBP complete'!#REF!,"AAAAAHm4f/Q=")</f>
        <v>#REF!</v>
      </c>
      <c r="IL58" t="e">
        <f>AND('BBP complete'!#REF!,"AAAAAHm4f/U=")</f>
        <v>#REF!</v>
      </c>
      <c r="IM58" t="e">
        <f>AND('BBP complete'!D780,"AAAAAHm4f/Y=")</f>
        <v>#VALUE!</v>
      </c>
      <c r="IN58" t="e">
        <f>AND('BBP complete'!F780,"AAAAAHm4f/c=")</f>
        <v>#VALUE!</v>
      </c>
      <c r="IO58" t="e">
        <f>AND('BBP complete'!G780,"AAAAAHm4f/g=")</f>
        <v>#VALUE!</v>
      </c>
      <c r="IP58" t="e">
        <f>AND('BBP complete'!H780,"AAAAAHm4f/k=")</f>
        <v>#VALUE!</v>
      </c>
      <c r="IQ58" t="e">
        <f>AND('BBP complete'!I780,"AAAAAHm4f/o=")</f>
        <v>#VALUE!</v>
      </c>
      <c r="IR58" s="60" t="e">
        <v>#VALUE!</v>
      </c>
      <c r="IS58" t="e">
        <f>AND('BBP complete'!A781,"AAAAAHm4f/w=")</f>
        <v>#VALUE!</v>
      </c>
      <c r="IT58" t="e">
        <f>AND('BBP complete'!B781,"AAAAAHm4f/0=")</f>
        <v>#VALUE!</v>
      </c>
      <c r="IU58" t="e">
        <f>AND('BBP complete'!C781,"AAAAAHm4f/4=")</f>
        <v>#VALUE!</v>
      </c>
      <c r="IV58" t="e">
        <f>AND('BBP complete'!#REF!,"AAAAAHm4f/8=")</f>
        <v>#REF!</v>
      </c>
    </row>
    <row r="59" spans="1:256" ht="15" customHeight="1" x14ac:dyDescent="0.25">
      <c r="A59" t="e">
        <f>AND('BBP complete'!#REF!,"AAAAAF7H8wA=")</f>
        <v>#REF!</v>
      </c>
      <c r="B59" t="e">
        <f>AND('BBP complete'!#REF!,"AAAAAF7H8wE=")</f>
        <v>#REF!</v>
      </c>
      <c r="C59" t="e">
        <f>AND('BBP complete'!E781,"AAAAAF7H8wI=")</f>
        <v>#VALUE!</v>
      </c>
      <c r="D59" t="e">
        <f>AND('BBP complete'!#REF!,"AAAAAF7H8wM=")</f>
        <v>#REF!</v>
      </c>
      <c r="E59" t="e">
        <f>AND('BBP complete'!K781,"AAAAAF7H8wQ=")</f>
        <v>#VALUE!</v>
      </c>
      <c r="F59" t="e">
        <f>AND('BBP complete'!L780,"AAAAAF7H8wU=")</f>
        <v>#VALUE!</v>
      </c>
      <c r="G59" t="e">
        <f>AND('BBP complete'!#REF!,"AAAAAF7H8wY=")</f>
        <v>#REF!</v>
      </c>
      <c r="H59" t="e">
        <f>AND('BBP complete'!#REF!,"AAAAAF7H8wc=")</f>
        <v>#REF!</v>
      </c>
      <c r="I59" t="e">
        <f>AND('BBP complete'!#REF!,"AAAAAF7H8wg=")</f>
        <v>#REF!</v>
      </c>
      <c r="J59" t="e">
        <f>AND('BBP complete'!D781,"AAAAAF7H8wk=")</f>
        <v>#VALUE!</v>
      </c>
      <c r="K59" t="e">
        <f>AND('BBP complete'!F781,"AAAAAF7H8wo=")</f>
        <v>#VALUE!</v>
      </c>
      <c r="L59" t="e">
        <f>AND('BBP complete'!G781,"AAAAAF7H8ws=")</f>
        <v>#VALUE!</v>
      </c>
      <c r="M59" t="e">
        <f>AND('BBP complete'!H781,"AAAAAF7H8ww=")</f>
        <v>#VALUE!</v>
      </c>
      <c r="N59" t="e">
        <f>AND('BBP complete'!I781,"AAAAAF7H8w0=")</f>
        <v>#VALUE!</v>
      </c>
      <c r="O59" s="60" t="e">
        <v>#VALUE!</v>
      </c>
      <c r="P59" t="e">
        <f>AND('BBP complete'!A782,"AAAAAF7H8w8=")</f>
        <v>#VALUE!</v>
      </c>
      <c r="Q59" t="e">
        <f>AND('BBP complete'!B782,"AAAAAF7H8xA=")</f>
        <v>#VALUE!</v>
      </c>
      <c r="R59" t="e">
        <f>AND('BBP complete'!C782,"AAAAAF7H8xE=")</f>
        <v>#VALUE!</v>
      </c>
      <c r="S59" t="e">
        <f>AND('BBP complete'!#REF!,"AAAAAF7H8xI=")</f>
        <v>#REF!</v>
      </c>
      <c r="T59" t="e">
        <f>AND('BBP complete'!#REF!,"AAAAAF7H8xM=")</f>
        <v>#REF!</v>
      </c>
      <c r="U59" t="e">
        <f>AND('BBP complete'!#REF!,"AAAAAF7H8xQ=")</f>
        <v>#REF!</v>
      </c>
      <c r="V59" t="e">
        <f>AND('BBP complete'!E782,"AAAAAF7H8xU=")</f>
        <v>#VALUE!</v>
      </c>
      <c r="W59" t="e">
        <f>AND('BBP complete'!#REF!,"AAAAAF7H8xY=")</f>
        <v>#REF!</v>
      </c>
      <c r="X59" t="e">
        <f>AND('BBP complete'!K782,"AAAAAF7H8xc=")</f>
        <v>#VALUE!</v>
      </c>
      <c r="Y59" t="e">
        <f>AND('BBP complete'!L781,"AAAAAF7H8xg=")</f>
        <v>#VALUE!</v>
      </c>
      <c r="Z59" t="e">
        <f>AND('BBP complete'!#REF!,"AAAAAF7H8xk=")</f>
        <v>#REF!</v>
      </c>
      <c r="AA59" t="e">
        <f>AND('BBP complete'!#REF!,"AAAAAF7H8xo=")</f>
        <v>#REF!</v>
      </c>
      <c r="AB59" t="e">
        <f>AND('BBP complete'!#REF!,"AAAAAF7H8xs=")</f>
        <v>#REF!</v>
      </c>
      <c r="AC59" t="e">
        <f>AND('BBP complete'!D782,"AAAAAF7H8xw=")</f>
        <v>#VALUE!</v>
      </c>
      <c r="AD59" t="e">
        <f>AND('BBP complete'!F782,"AAAAAF7H8x0=")</f>
        <v>#VALUE!</v>
      </c>
      <c r="AE59" t="e">
        <f>AND('BBP complete'!G782,"AAAAAF7H8x4=")</f>
        <v>#VALUE!</v>
      </c>
      <c r="AF59" t="e">
        <f>AND('BBP complete'!H782,"AAAAAF7H8x8=")</f>
        <v>#VALUE!</v>
      </c>
      <c r="AG59" t="e">
        <f>AND('BBP complete'!I782,"AAAAAF7H8yA=")</f>
        <v>#VALUE!</v>
      </c>
      <c r="AH59" s="60" t="e">
        <v>#VALUE!</v>
      </c>
      <c r="AI59" t="e">
        <f>AND('BBP complete'!A783,"AAAAAF7H8yI=")</f>
        <v>#VALUE!</v>
      </c>
      <c r="AJ59" t="e">
        <f>AND('BBP complete'!B783,"AAAAAF7H8yM=")</f>
        <v>#VALUE!</v>
      </c>
      <c r="AK59" t="e">
        <f>AND('BBP complete'!C783,"AAAAAF7H8yQ=")</f>
        <v>#VALUE!</v>
      </c>
      <c r="AL59" t="e">
        <f>AND('BBP complete'!#REF!,"AAAAAF7H8yU=")</f>
        <v>#REF!</v>
      </c>
      <c r="AM59" t="e">
        <f>AND('BBP complete'!#REF!,"AAAAAF7H8yY=")</f>
        <v>#REF!</v>
      </c>
      <c r="AN59" t="e">
        <f>AND('BBP complete'!#REF!,"AAAAAF7H8yc=")</f>
        <v>#REF!</v>
      </c>
      <c r="AO59" t="e">
        <f>AND('BBP complete'!E783,"AAAAAF7H8yg=")</f>
        <v>#VALUE!</v>
      </c>
      <c r="AP59" t="e">
        <f>AND('BBP complete'!#REF!,"AAAAAF7H8yk=")</f>
        <v>#REF!</v>
      </c>
      <c r="AQ59" t="e">
        <f>AND('BBP complete'!K783,"AAAAAF7H8yo=")</f>
        <v>#VALUE!</v>
      </c>
      <c r="AR59" t="e">
        <f>AND('BBP complete'!L782,"AAAAAF7H8ys=")</f>
        <v>#VALUE!</v>
      </c>
      <c r="AS59" t="e">
        <f>AND('BBP complete'!#REF!,"AAAAAF7H8yw=")</f>
        <v>#REF!</v>
      </c>
      <c r="AT59" t="e">
        <f>AND('BBP complete'!#REF!,"AAAAAF7H8y0=")</f>
        <v>#REF!</v>
      </c>
      <c r="AU59" t="e">
        <f>AND('BBP complete'!#REF!,"AAAAAF7H8y4=")</f>
        <v>#REF!</v>
      </c>
      <c r="AV59" t="e">
        <f>AND('BBP complete'!D783,"AAAAAF7H8y8=")</f>
        <v>#VALUE!</v>
      </c>
      <c r="AW59" t="e">
        <f>AND('BBP complete'!F783,"AAAAAF7H8zA=")</f>
        <v>#VALUE!</v>
      </c>
      <c r="AX59" t="e">
        <f>AND('BBP complete'!G783,"AAAAAF7H8zE=")</f>
        <v>#VALUE!</v>
      </c>
      <c r="AY59" t="e">
        <f>AND('BBP complete'!H783,"AAAAAF7H8zI=")</f>
        <v>#VALUE!</v>
      </c>
      <c r="AZ59" t="e">
        <f>AND('BBP complete'!I783,"AAAAAF7H8zM=")</f>
        <v>#VALUE!</v>
      </c>
      <c r="BA59" s="60" t="e">
        <v>#VALUE!</v>
      </c>
      <c r="BB59" t="e">
        <f>AND('BBP complete'!A784,"AAAAAF7H8zU=")</f>
        <v>#VALUE!</v>
      </c>
      <c r="BC59" t="e">
        <f>AND('BBP complete'!B784,"AAAAAF7H8zY=")</f>
        <v>#VALUE!</v>
      </c>
      <c r="BD59" t="e">
        <f>AND('BBP complete'!C784,"AAAAAF7H8zc=")</f>
        <v>#VALUE!</v>
      </c>
      <c r="BE59" t="e">
        <f>AND('BBP complete'!#REF!,"AAAAAF7H8zg=")</f>
        <v>#REF!</v>
      </c>
      <c r="BF59" t="e">
        <f>AND('BBP complete'!#REF!,"AAAAAF7H8zk=")</f>
        <v>#REF!</v>
      </c>
      <c r="BG59" t="e">
        <f>AND('BBP complete'!#REF!,"AAAAAF7H8zo=")</f>
        <v>#REF!</v>
      </c>
      <c r="BH59" t="e">
        <f>AND('BBP complete'!E784,"AAAAAF7H8zs=")</f>
        <v>#VALUE!</v>
      </c>
      <c r="BI59" t="e">
        <f>AND('BBP complete'!#REF!,"AAAAAF7H8zw=")</f>
        <v>#REF!</v>
      </c>
      <c r="BJ59" t="e">
        <f>AND('BBP complete'!K784,"AAAAAF7H8z0=")</f>
        <v>#VALUE!</v>
      </c>
      <c r="BK59" t="e">
        <f>AND('BBP complete'!L783,"AAAAAF7H8z4=")</f>
        <v>#VALUE!</v>
      </c>
      <c r="BL59" t="e">
        <f>AND('BBP complete'!#REF!,"AAAAAF7H8z8=")</f>
        <v>#REF!</v>
      </c>
      <c r="BM59" t="e">
        <f>AND('BBP complete'!#REF!,"AAAAAF7H80A=")</f>
        <v>#REF!</v>
      </c>
      <c r="BN59" t="e">
        <f>AND('BBP complete'!#REF!,"AAAAAF7H80E=")</f>
        <v>#REF!</v>
      </c>
      <c r="BO59" t="e">
        <f>AND('BBP complete'!D784,"AAAAAF7H80I=")</f>
        <v>#VALUE!</v>
      </c>
      <c r="BP59" t="e">
        <f>AND('BBP complete'!F784,"AAAAAF7H80M=")</f>
        <v>#VALUE!</v>
      </c>
      <c r="BQ59" t="e">
        <f>AND('BBP complete'!G784,"AAAAAF7H80Q=")</f>
        <v>#VALUE!</v>
      </c>
      <c r="BR59" t="e">
        <f>AND('BBP complete'!H784,"AAAAAF7H80U=")</f>
        <v>#VALUE!</v>
      </c>
      <c r="BS59" t="e">
        <f>AND('BBP complete'!I784,"AAAAAF7H80Y=")</f>
        <v>#VALUE!</v>
      </c>
      <c r="BT59" s="60" t="e">
        <v>#VALUE!</v>
      </c>
      <c r="BU59" t="e">
        <f>AND('BBP complete'!A785,"AAAAAF7H80g=")</f>
        <v>#VALUE!</v>
      </c>
      <c r="BV59" t="e">
        <f>AND('BBP complete'!B785,"AAAAAF7H80k=")</f>
        <v>#VALUE!</v>
      </c>
      <c r="BW59" t="e">
        <f>AND('BBP complete'!C785,"AAAAAF7H80o=")</f>
        <v>#VALUE!</v>
      </c>
      <c r="BX59" t="e">
        <f>AND('BBP complete'!#REF!,"AAAAAF7H80s=")</f>
        <v>#REF!</v>
      </c>
      <c r="BY59" t="e">
        <f>AND('BBP complete'!#REF!,"AAAAAF7H80w=")</f>
        <v>#REF!</v>
      </c>
      <c r="BZ59" t="e">
        <f>AND('BBP complete'!#REF!,"AAAAAF7H800=")</f>
        <v>#REF!</v>
      </c>
      <c r="CA59" t="e">
        <f>AND('BBP complete'!E785,"AAAAAF7H804=")</f>
        <v>#VALUE!</v>
      </c>
      <c r="CB59" t="e">
        <f>AND('BBP complete'!#REF!,"AAAAAF7H808=")</f>
        <v>#REF!</v>
      </c>
      <c r="CC59" t="e">
        <f>AND('BBP complete'!K785,"AAAAAF7H81A=")</f>
        <v>#VALUE!</v>
      </c>
      <c r="CD59" t="e">
        <f>AND('BBP complete'!L784,"AAAAAF7H81E=")</f>
        <v>#VALUE!</v>
      </c>
      <c r="CE59" t="e">
        <f>AND('BBP complete'!#REF!,"AAAAAF7H81I=")</f>
        <v>#REF!</v>
      </c>
      <c r="CF59" t="e">
        <f>AND('BBP complete'!#REF!,"AAAAAF7H81M=")</f>
        <v>#REF!</v>
      </c>
      <c r="CG59" t="e">
        <f>AND('BBP complete'!#REF!,"AAAAAF7H81Q=")</f>
        <v>#REF!</v>
      </c>
      <c r="CH59" t="e">
        <f>AND('BBP complete'!D785,"AAAAAF7H81U=")</f>
        <v>#VALUE!</v>
      </c>
      <c r="CI59" t="e">
        <f>AND('BBP complete'!F785,"AAAAAF7H81Y=")</f>
        <v>#VALUE!</v>
      </c>
      <c r="CJ59" t="e">
        <f>AND('BBP complete'!G785,"AAAAAF7H81c=")</f>
        <v>#VALUE!</v>
      </c>
      <c r="CK59" t="e">
        <f>AND('BBP complete'!H785,"AAAAAF7H81g=")</f>
        <v>#VALUE!</v>
      </c>
      <c r="CL59" t="e">
        <f>AND('BBP complete'!I785,"AAAAAF7H81k=")</f>
        <v>#VALUE!</v>
      </c>
      <c r="CM59" s="60" t="e">
        <v>#VALUE!</v>
      </c>
      <c r="CN59" t="e">
        <f>AND('BBP complete'!A786,"AAAAAF7H81s=")</f>
        <v>#VALUE!</v>
      </c>
      <c r="CO59" t="e">
        <f>AND('BBP complete'!B786,"AAAAAF7H81w=")</f>
        <v>#VALUE!</v>
      </c>
      <c r="CP59" t="e">
        <f>AND('BBP complete'!C786,"AAAAAF7H810=")</f>
        <v>#VALUE!</v>
      </c>
      <c r="CQ59" t="e">
        <f>AND('BBP complete'!#REF!,"AAAAAF7H814=")</f>
        <v>#REF!</v>
      </c>
      <c r="CR59" t="e">
        <f>AND('BBP complete'!#REF!,"AAAAAF7H818=")</f>
        <v>#REF!</v>
      </c>
      <c r="CS59" t="e">
        <f>AND('BBP complete'!#REF!,"AAAAAF7H82A=")</f>
        <v>#REF!</v>
      </c>
      <c r="CT59" t="e">
        <f>AND('BBP complete'!E786,"AAAAAF7H82E=")</f>
        <v>#VALUE!</v>
      </c>
      <c r="CU59" t="e">
        <f>AND('BBP complete'!#REF!,"AAAAAF7H82I=")</f>
        <v>#REF!</v>
      </c>
      <c r="CV59" t="e">
        <f>AND('BBP complete'!K786,"AAAAAF7H82M=")</f>
        <v>#VALUE!</v>
      </c>
      <c r="CW59" t="e">
        <f>AND('BBP complete'!L785,"AAAAAF7H82Q=")</f>
        <v>#VALUE!</v>
      </c>
      <c r="CX59" t="e">
        <f>AND('BBP complete'!#REF!,"AAAAAF7H82U=")</f>
        <v>#REF!</v>
      </c>
      <c r="CY59" t="e">
        <f>AND('BBP complete'!#REF!,"AAAAAF7H82Y=")</f>
        <v>#REF!</v>
      </c>
      <c r="CZ59" t="e">
        <f>AND('BBP complete'!#REF!,"AAAAAF7H82c=")</f>
        <v>#REF!</v>
      </c>
      <c r="DA59" t="e">
        <f>AND('BBP complete'!D786,"AAAAAF7H82g=")</f>
        <v>#VALUE!</v>
      </c>
      <c r="DB59" t="e">
        <f>AND('BBP complete'!F786,"AAAAAF7H82k=")</f>
        <v>#VALUE!</v>
      </c>
      <c r="DC59" t="e">
        <f>AND('BBP complete'!G786,"AAAAAF7H82o=")</f>
        <v>#VALUE!</v>
      </c>
      <c r="DD59" t="e">
        <f>AND('BBP complete'!H786,"AAAAAF7H82s=")</f>
        <v>#VALUE!</v>
      </c>
      <c r="DE59" t="e">
        <f>AND('BBP complete'!I786,"AAAAAF7H82w=")</f>
        <v>#VALUE!</v>
      </c>
      <c r="DF59" s="60" t="e">
        <v>#VALUE!</v>
      </c>
      <c r="DG59" t="e">
        <f>AND('BBP complete'!A787,"AAAAAF7H824=")</f>
        <v>#VALUE!</v>
      </c>
      <c r="DH59" t="e">
        <f>AND('BBP complete'!B787,"AAAAAF7H828=")</f>
        <v>#VALUE!</v>
      </c>
      <c r="DI59" t="e">
        <f>AND('BBP complete'!C787,"AAAAAF7H83A=")</f>
        <v>#VALUE!</v>
      </c>
      <c r="DJ59" t="e">
        <f>AND('BBP complete'!#REF!,"AAAAAF7H83E=")</f>
        <v>#REF!</v>
      </c>
      <c r="DK59" t="e">
        <f>AND('BBP complete'!#REF!,"AAAAAF7H83I=")</f>
        <v>#REF!</v>
      </c>
      <c r="DL59" t="e">
        <f>AND('BBP complete'!#REF!,"AAAAAF7H83M=")</f>
        <v>#REF!</v>
      </c>
      <c r="DM59" t="e">
        <f>AND('BBP complete'!E787,"AAAAAF7H83Q=")</f>
        <v>#VALUE!</v>
      </c>
      <c r="DN59" t="e">
        <f>AND('BBP complete'!#REF!,"AAAAAF7H83U=")</f>
        <v>#REF!</v>
      </c>
      <c r="DO59" t="e">
        <f>AND('BBP complete'!K787,"AAAAAF7H83Y=")</f>
        <v>#VALUE!</v>
      </c>
      <c r="DP59" t="e">
        <f>AND('BBP complete'!L786,"AAAAAF7H83c=")</f>
        <v>#VALUE!</v>
      </c>
      <c r="DQ59" t="e">
        <f>AND('BBP complete'!#REF!,"AAAAAF7H83g=")</f>
        <v>#REF!</v>
      </c>
      <c r="DR59" t="e">
        <f>AND('BBP complete'!#REF!,"AAAAAF7H83k=")</f>
        <v>#REF!</v>
      </c>
      <c r="DS59" t="e">
        <f>AND('BBP complete'!#REF!,"AAAAAF7H83o=")</f>
        <v>#REF!</v>
      </c>
      <c r="DT59" t="e">
        <f>AND('BBP complete'!D787,"AAAAAF7H83s=")</f>
        <v>#VALUE!</v>
      </c>
      <c r="DU59" t="e">
        <f>AND('BBP complete'!F787,"AAAAAF7H83w=")</f>
        <v>#VALUE!</v>
      </c>
      <c r="DV59" t="e">
        <f>AND('BBP complete'!G787,"AAAAAF7H830=")</f>
        <v>#VALUE!</v>
      </c>
      <c r="DW59" t="e">
        <f>AND('BBP complete'!H787,"AAAAAF7H834=")</f>
        <v>#VALUE!</v>
      </c>
      <c r="DX59" t="e">
        <f>AND('BBP complete'!I787,"AAAAAF7H838=")</f>
        <v>#VALUE!</v>
      </c>
      <c r="DY59" s="60" t="e">
        <v>#VALUE!</v>
      </c>
      <c r="DZ59" t="e">
        <f>AND('BBP complete'!A788,"AAAAAF7H84E=")</f>
        <v>#VALUE!</v>
      </c>
      <c r="EA59" t="e">
        <f>AND('BBP complete'!B788,"AAAAAF7H84I=")</f>
        <v>#VALUE!</v>
      </c>
      <c r="EB59" t="e">
        <f>AND('BBP complete'!C788,"AAAAAF7H84M=")</f>
        <v>#VALUE!</v>
      </c>
      <c r="EC59" t="e">
        <f>AND('BBP complete'!#REF!,"AAAAAF7H84Q=")</f>
        <v>#REF!</v>
      </c>
      <c r="ED59" t="e">
        <f>AND('BBP complete'!#REF!,"AAAAAF7H84U=")</f>
        <v>#REF!</v>
      </c>
      <c r="EE59" t="e">
        <f>AND('BBP complete'!#REF!,"AAAAAF7H84Y=")</f>
        <v>#REF!</v>
      </c>
      <c r="EF59" t="e">
        <f>AND('BBP complete'!E788,"AAAAAF7H84c=")</f>
        <v>#VALUE!</v>
      </c>
      <c r="EG59" t="e">
        <f>AND('BBP complete'!#REF!,"AAAAAF7H84g=")</f>
        <v>#REF!</v>
      </c>
      <c r="EH59" t="e">
        <f>AND('BBP complete'!K788,"AAAAAF7H84k=")</f>
        <v>#VALUE!</v>
      </c>
      <c r="EI59" t="e">
        <f>AND('BBP complete'!L787,"AAAAAF7H84o=")</f>
        <v>#VALUE!</v>
      </c>
      <c r="EJ59" t="e">
        <f>AND('BBP complete'!#REF!,"AAAAAF7H84s=")</f>
        <v>#REF!</v>
      </c>
      <c r="EK59" t="e">
        <f>AND('BBP complete'!#REF!,"AAAAAF7H84w=")</f>
        <v>#REF!</v>
      </c>
      <c r="EL59" t="e">
        <f>AND('BBP complete'!#REF!,"AAAAAF7H840=")</f>
        <v>#REF!</v>
      </c>
      <c r="EM59" t="e">
        <f>AND('BBP complete'!D788,"AAAAAF7H844=")</f>
        <v>#VALUE!</v>
      </c>
      <c r="EN59" t="e">
        <f>AND('BBP complete'!F788,"AAAAAF7H848=")</f>
        <v>#VALUE!</v>
      </c>
      <c r="EO59" t="e">
        <f>AND('BBP complete'!G788,"AAAAAF7H85A=")</f>
        <v>#VALUE!</v>
      </c>
      <c r="EP59" t="e">
        <f>AND('BBP complete'!H788,"AAAAAF7H85E=")</f>
        <v>#VALUE!</v>
      </c>
      <c r="EQ59" t="e">
        <f>AND('BBP complete'!I788,"AAAAAF7H85I=")</f>
        <v>#VALUE!</v>
      </c>
      <c r="ER59" s="60" t="e">
        <v>#VALUE!</v>
      </c>
      <c r="ES59" t="e">
        <f>AND('BBP complete'!A789,"AAAAAF7H85Q=")</f>
        <v>#VALUE!</v>
      </c>
      <c r="ET59" t="e">
        <f>AND('BBP complete'!B789,"AAAAAF7H85U=")</f>
        <v>#VALUE!</v>
      </c>
      <c r="EU59" t="e">
        <f>AND('BBP complete'!C789,"AAAAAF7H85Y=")</f>
        <v>#VALUE!</v>
      </c>
      <c r="EV59" t="e">
        <f>AND('BBP complete'!#REF!,"AAAAAF7H85c=")</f>
        <v>#REF!</v>
      </c>
      <c r="EW59" t="e">
        <f>AND('BBP complete'!#REF!,"AAAAAF7H85g=")</f>
        <v>#REF!</v>
      </c>
      <c r="EX59" t="e">
        <f>AND('BBP complete'!#REF!,"AAAAAF7H85k=")</f>
        <v>#REF!</v>
      </c>
      <c r="EY59" t="e">
        <f>AND('BBP complete'!E789,"AAAAAF7H85o=")</f>
        <v>#VALUE!</v>
      </c>
      <c r="EZ59" t="e">
        <f>AND('BBP complete'!#REF!,"AAAAAF7H85s=")</f>
        <v>#REF!</v>
      </c>
      <c r="FA59" t="e">
        <f>AND('BBP complete'!K789,"AAAAAF7H85w=")</f>
        <v>#VALUE!</v>
      </c>
      <c r="FB59" t="e">
        <f>AND('BBP complete'!L788,"AAAAAF7H850=")</f>
        <v>#VALUE!</v>
      </c>
      <c r="FC59" t="e">
        <f>AND('BBP complete'!#REF!,"AAAAAF7H854=")</f>
        <v>#REF!</v>
      </c>
      <c r="FD59" t="e">
        <f>AND('BBP complete'!#REF!,"AAAAAF7H858=")</f>
        <v>#REF!</v>
      </c>
      <c r="FE59" t="e">
        <f>AND('BBP complete'!#REF!,"AAAAAF7H86A=")</f>
        <v>#REF!</v>
      </c>
      <c r="FF59" t="e">
        <f>AND('BBP complete'!D789,"AAAAAF7H86E=")</f>
        <v>#VALUE!</v>
      </c>
      <c r="FG59" t="e">
        <f>AND('BBP complete'!F789,"AAAAAF7H86I=")</f>
        <v>#VALUE!</v>
      </c>
      <c r="FH59" t="e">
        <f>AND('BBP complete'!G789,"AAAAAF7H86M=")</f>
        <v>#VALUE!</v>
      </c>
      <c r="FI59" t="e">
        <f>AND('BBP complete'!H789,"AAAAAF7H86Q=")</f>
        <v>#VALUE!</v>
      </c>
      <c r="FJ59" t="e">
        <f>AND('BBP complete'!I789,"AAAAAF7H86U=")</f>
        <v>#VALUE!</v>
      </c>
      <c r="FK59" s="60" t="e">
        <v>#VALUE!</v>
      </c>
      <c r="FL59" t="e">
        <f>AND('BBP complete'!A790,"AAAAAF7H86c=")</f>
        <v>#VALUE!</v>
      </c>
      <c r="FM59" t="e">
        <f>AND('BBP complete'!B790,"AAAAAF7H86g=")</f>
        <v>#VALUE!</v>
      </c>
      <c r="FN59" t="e">
        <f>AND('BBP complete'!C790,"AAAAAF7H86k=")</f>
        <v>#VALUE!</v>
      </c>
      <c r="FO59" t="e">
        <f>AND('BBP complete'!#REF!,"AAAAAF7H86o=")</f>
        <v>#REF!</v>
      </c>
      <c r="FP59" t="e">
        <f>AND('BBP complete'!#REF!,"AAAAAF7H86s=")</f>
        <v>#REF!</v>
      </c>
      <c r="FQ59" t="e">
        <f>AND('BBP complete'!#REF!,"AAAAAF7H86w=")</f>
        <v>#REF!</v>
      </c>
      <c r="FR59" t="e">
        <f>AND('BBP complete'!E790,"AAAAAF7H860=")</f>
        <v>#VALUE!</v>
      </c>
      <c r="FS59" t="e">
        <f>AND('BBP complete'!#REF!,"AAAAAF7H864=")</f>
        <v>#REF!</v>
      </c>
      <c r="FT59" t="e">
        <f>AND('BBP complete'!K790,"AAAAAF7H868=")</f>
        <v>#VALUE!</v>
      </c>
      <c r="FU59" t="e">
        <f>AND('BBP complete'!L789,"AAAAAF7H87A=")</f>
        <v>#VALUE!</v>
      </c>
      <c r="FV59" t="e">
        <f>AND('BBP complete'!#REF!,"AAAAAF7H87E=")</f>
        <v>#REF!</v>
      </c>
      <c r="FW59" t="e">
        <f>AND('BBP complete'!#REF!,"AAAAAF7H87I=")</f>
        <v>#REF!</v>
      </c>
      <c r="FX59" t="e">
        <f>AND('BBP complete'!#REF!,"AAAAAF7H87M=")</f>
        <v>#REF!</v>
      </c>
      <c r="FY59" t="e">
        <f>AND('BBP complete'!D790,"AAAAAF7H87Q=")</f>
        <v>#VALUE!</v>
      </c>
      <c r="FZ59" t="e">
        <f>AND('BBP complete'!F790,"AAAAAF7H87U=")</f>
        <v>#VALUE!</v>
      </c>
      <c r="GA59" t="e">
        <f>AND('BBP complete'!G790,"AAAAAF7H87Y=")</f>
        <v>#VALUE!</v>
      </c>
      <c r="GB59" t="e">
        <f>AND('BBP complete'!H790,"AAAAAF7H87c=")</f>
        <v>#VALUE!</v>
      </c>
      <c r="GC59" t="e">
        <f>AND('BBP complete'!I790,"AAAAAF7H87g=")</f>
        <v>#VALUE!</v>
      </c>
      <c r="GD59" s="60" t="e">
        <v>#VALUE!</v>
      </c>
      <c r="GE59" t="e">
        <f>AND('BBP complete'!A791,"AAAAAF7H87o=")</f>
        <v>#VALUE!</v>
      </c>
      <c r="GF59" t="e">
        <f>AND('BBP complete'!B791,"AAAAAF7H87s=")</f>
        <v>#VALUE!</v>
      </c>
      <c r="GG59" t="e">
        <f>AND('BBP complete'!C791,"AAAAAF7H87w=")</f>
        <v>#VALUE!</v>
      </c>
      <c r="GH59" t="e">
        <f>AND('BBP complete'!#REF!,"AAAAAF7H870=")</f>
        <v>#REF!</v>
      </c>
      <c r="GI59" t="e">
        <f>AND('BBP complete'!#REF!,"AAAAAF7H874=")</f>
        <v>#REF!</v>
      </c>
      <c r="GJ59" t="e">
        <f>AND('BBP complete'!#REF!,"AAAAAF7H878=")</f>
        <v>#REF!</v>
      </c>
      <c r="GK59" t="e">
        <f>AND('BBP complete'!E791,"AAAAAF7H88A=")</f>
        <v>#VALUE!</v>
      </c>
      <c r="GL59" t="e">
        <f>AND('BBP complete'!#REF!,"AAAAAF7H88E=")</f>
        <v>#REF!</v>
      </c>
      <c r="GM59" t="e">
        <f>AND('BBP complete'!K791,"AAAAAF7H88I=")</f>
        <v>#VALUE!</v>
      </c>
      <c r="GN59" t="e">
        <f>AND('BBP complete'!L790,"AAAAAF7H88M=")</f>
        <v>#VALUE!</v>
      </c>
      <c r="GO59" t="e">
        <f>AND('BBP complete'!#REF!,"AAAAAF7H88Q=")</f>
        <v>#REF!</v>
      </c>
      <c r="GP59" t="e">
        <f>AND('BBP complete'!#REF!,"AAAAAF7H88U=")</f>
        <v>#REF!</v>
      </c>
      <c r="GQ59" t="e">
        <f>AND('BBP complete'!#REF!,"AAAAAF7H88Y=")</f>
        <v>#REF!</v>
      </c>
      <c r="GR59" t="e">
        <f>AND('BBP complete'!D791,"AAAAAF7H88c=")</f>
        <v>#VALUE!</v>
      </c>
      <c r="GS59" t="e">
        <f>AND('BBP complete'!F791,"AAAAAF7H88g=")</f>
        <v>#VALUE!</v>
      </c>
      <c r="GT59" t="e">
        <f>AND('BBP complete'!G791,"AAAAAF7H88k=")</f>
        <v>#VALUE!</v>
      </c>
      <c r="GU59" t="e">
        <f>AND('BBP complete'!H791,"AAAAAF7H88o=")</f>
        <v>#VALUE!</v>
      </c>
      <c r="GV59" t="e">
        <f>AND('BBP complete'!I791,"AAAAAF7H88s=")</f>
        <v>#VALUE!</v>
      </c>
      <c r="GW59" s="60" t="e">
        <v>#VALUE!</v>
      </c>
      <c r="GX59" t="e">
        <f>AND('BBP complete'!A792,"AAAAAF7H880=")</f>
        <v>#VALUE!</v>
      </c>
      <c r="GY59" t="e">
        <f>AND('BBP complete'!B792,"AAAAAF7H884=")</f>
        <v>#VALUE!</v>
      </c>
      <c r="GZ59" t="e">
        <f>AND('BBP complete'!C792,"AAAAAF7H888=")</f>
        <v>#VALUE!</v>
      </c>
      <c r="HA59" t="e">
        <f>AND('BBP complete'!#REF!,"AAAAAF7H89A=")</f>
        <v>#REF!</v>
      </c>
      <c r="HB59" t="e">
        <f>AND('BBP complete'!#REF!,"AAAAAF7H89E=")</f>
        <v>#REF!</v>
      </c>
      <c r="HC59" t="e">
        <f>AND('BBP complete'!#REF!,"AAAAAF7H89I=")</f>
        <v>#REF!</v>
      </c>
      <c r="HD59" t="e">
        <f>AND('BBP complete'!E792,"AAAAAF7H89M=")</f>
        <v>#VALUE!</v>
      </c>
      <c r="HE59" t="e">
        <f>AND('BBP complete'!#REF!,"AAAAAF7H89Q=")</f>
        <v>#REF!</v>
      </c>
      <c r="HF59" t="e">
        <f>AND('BBP complete'!K792,"AAAAAF7H89U=")</f>
        <v>#VALUE!</v>
      </c>
      <c r="HG59" t="e">
        <f>AND('BBP complete'!L791,"AAAAAF7H89Y=")</f>
        <v>#VALUE!</v>
      </c>
      <c r="HH59" t="e">
        <f>AND('BBP complete'!#REF!,"AAAAAF7H89c=")</f>
        <v>#REF!</v>
      </c>
      <c r="HI59" t="e">
        <f>AND('BBP complete'!#REF!,"AAAAAF7H89g=")</f>
        <v>#REF!</v>
      </c>
      <c r="HJ59" t="e">
        <f>AND('BBP complete'!#REF!,"AAAAAF7H89k=")</f>
        <v>#REF!</v>
      </c>
      <c r="HK59" t="e">
        <f>AND('BBP complete'!D792,"AAAAAF7H89o=")</f>
        <v>#VALUE!</v>
      </c>
      <c r="HL59" t="e">
        <f>AND('BBP complete'!F792,"AAAAAF7H89s=")</f>
        <v>#VALUE!</v>
      </c>
      <c r="HM59" t="e">
        <f>AND('BBP complete'!G792,"AAAAAF7H89w=")</f>
        <v>#VALUE!</v>
      </c>
      <c r="HN59" t="e">
        <f>AND('BBP complete'!H792,"AAAAAF7H890=")</f>
        <v>#VALUE!</v>
      </c>
      <c r="HO59" t="e">
        <f>AND('BBP complete'!I792,"AAAAAF7H894=")</f>
        <v>#VALUE!</v>
      </c>
      <c r="HP59" s="60" t="e">
        <v>#VALUE!</v>
      </c>
      <c r="HQ59" t="e">
        <f>AND('BBP complete'!A793,"AAAAAF7H8+A=")</f>
        <v>#VALUE!</v>
      </c>
      <c r="HR59" t="e">
        <f>AND('BBP complete'!B793,"AAAAAF7H8+E=")</f>
        <v>#VALUE!</v>
      </c>
      <c r="HS59" t="e">
        <f>AND('BBP complete'!C793,"AAAAAF7H8+I=")</f>
        <v>#VALUE!</v>
      </c>
      <c r="HT59" t="e">
        <f>AND('BBP complete'!#REF!,"AAAAAF7H8+M=")</f>
        <v>#REF!</v>
      </c>
      <c r="HU59" t="e">
        <f>AND('BBP complete'!#REF!,"AAAAAF7H8+Q=")</f>
        <v>#REF!</v>
      </c>
      <c r="HV59" t="e">
        <f>AND('BBP complete'!#REF!,"AAAAAF7H8+U=")</f>
        <v>#REF!</v>
      </c>
      <c r="HW59" t="e">
        <f>AND('BBP complete'!E793,"AAAAAF7H8+Y=")</f>
        <v>#VALUE!</v>
      </c>
      <c r="HX59" t="e">
        <f>AND('BBP complete'!#REF!,"AAAAAF7H8+c=")</f>
        <v>#REF!</v>
      </c>
      <c r="HY59" t="e">
        <f>AND('BBP complete'!K793,"AAAAAF7H8+g=")</f>
        <v>#VALUE!</v>
      </c>
      <c r="HZ59" t="e">
        <f>AND('BBP complete'!L792,"AAAAAF7H8+k=")</f>
        <v>#VALUE!</v>
      </c>
      <c r="IA59" t="e">
        <f>AND('BBP complete'!#REF!,"AAAAAF7H8+o=")</f>
        <v>#REF!</v>
      </c>
      <c r="IB59" t="e">
        <f>AND('BBP complete'!#REF!,"AAAAAF7H8+s=")</f>
        <v>#REF!</v>
      </c>
      <c r="IC59" t="e">
        <f>AND('BBP complete'!#REF!,"AAAAAF7H8+w=")</f>
        <v>#REF!</v>
      </c>
      <c r="ID59" t="e">
        <f>AND('BBP complete'!D793,"AAAAAF7H8+0=")</f>
        <v>#VALUE!</v>
      </c>
      <c r="IE59" t="e">
        <f>AND('BBP complete'!F793,"AAAAAF7H8+4=")</f>
        <v>#VALUE!</v>
      </c>
      <c r="IF59" t="e">
        <f>AND('BBP complete'!G793,"AAAAAF7H8+8=")</f>
        <v>#VALUE!</v>
      </c>
      <c r="IG59" t="e">
        <f>AND('BBP complete'!H793,"AAAAAF7H8/A=")</f>
        <v>#VALUE!</v>
      </c>
      <c r="IH59" t="e">
        <f>AND('BBP complete'!I793,"AAAAAF7H8/E=")</f>
        <v>#VALUE!</v>
      </c>
      <c r="II59" s="60" t="e">
        <v>#VALUE!</v>
      </c>
      <c r="IJ59" t="e">
        <f>AND('BBP complete'!A794,"AAAAAF7H8/M=")</f>
        <v>#VALUE!</v>
      </c>
      <c r="IK59" t="e">
        <f>AND('BBP complete'!B794,"AAAAAF7H8/Q=")</f>
        <v>#VALUE!</v>
      </c>
      <c r="IL59" t="e">
        <f>AND('BBP complete'!C794,"AAAAAF7H8/U=")</f>
        <v>#VALUE!</v>
      </c>
      <c r="IM59" t="e">
        <f>AND('BBP complete'!#REF!,"AAAAAF7H8/Y=")</f>
        <v>#REF!</v>
      </c>
      <c r="IN59" t="e">
        <f>AND('BBP complete'!#REF!,"AAAAAF7H8/c=")</f>
        <v>#REF!</v>
      </c>
      <c r="IO59" t="e">
        <f>AND('BBP complete'!#REF!,"AAAAAF7H8/g=")</f>
        <v>#REF!</v>
      </c>
      <c r="IP59" t="e">
        <f>AND('BBP complete'!E794,"AAAAAF7H8/k=")</f>
        <v>#VALUE!</v>
      </c>
      <c r="IQ59" t="e">
        <f>AND('BBP complete'!#REF!,"AAAAAF7H8/o=")</f>
        <v>#REF!</v>
      </c>
      <c r="IR59" t="e">
        <f>AND('BBP complete'!K794,"AAAAAF7H8/s=")</f>
        <v>#VALUE!</v>
      </c>
      <c r="IS59" t="e">
        <f>AND('BBP complete'!L793,"AAAAAF7H8/w=")</f>
        <v>#VALUE!</v>
      </c>
      <c r="IT59" t="e">
        <f>AND('BBP complete'!#REF!,"AAAAAF7H8/0=")</f>
        <v>#REF!</v>
      </c>
      <c r="IU59" t="e">
        <f>AND('BBP complete'!#REF!,"AAAAAF7H8/4=")</f>
        <v>#REF!</v>
      </c>
      <c r="IV59" t="e">
        <f>AND('BBP complete'!#REF!,"AAAAAF7H8/8=")</f>
        <v>#REF!</v>
      </c>
    </row>
    <row r="60" spans="1:256" ht="15" customHeight="1" x14ac:dyDescent="0.25">
      <c r="A60" t="e">
        <f>AND('BBP complete'!D794,"AAAAAH1f/wA=")</f>
        <v>#VALUE!</v>
      </c>
      <c r="B60" t="e">
        <f>AND('BBP complete'!F794,"AAAAAH1f/wE=")</f>
        <v>#VALUE!</v>
      </c>
      <c r="C60" t="e">
        <f>AND('BBP complete'!G794,"AAAAAH1f/wI=")</f>
        <v>#VALUE!</v>
      </c>
      <c r="D60" t="e">
        <f>AND('BBP complete'!H794,"AAAAAH1f/wM=")</f>
        <v>#VALUE!</v>
      </c>
      <c r="E60" t="e">
        <f>AND('BBP complete'!I794,"AAAAAH1f/wQ=")</f>
        <v>#VALUE!</v>
      </c>
      <c r="F60" s="60" t="e">
        <v>#VALUE!</v>
      </c>
      <c r="G60" t="e">
        <f>AND('BBP complete'!A795,"AAAAAH1f/wY=")</f>
        <v>#VALUE!</v>
      </c>
      <c r="H60" t="e">
        <f>AND('BBP complete'!B795,"AAAAAH1f/wc=")</f>
        <v>#VALUE!</v>
      </c>
      <c r="I60" t="e">
        <f>AND('BBP complete'!C795,"AAAAAH1f/wg=")</f>
        <v>#VALUE!</v>
      </c>
      <c r="J60" t="e">
        <f>AND('BBP complete'!#REF!,"AAAAAH1f/wk=")</f>
        <v>#REF!</v>
      </c>
      <c r="K60" t="e">
        <f>AND('BBP complete'!#REF!,"AAAAAH1f/wo=")</f>
        <v>#REF!</v>
      </c>
      <c r="L60" t="e">
        <f>AND('BBP complete'!#REF!,"AAAAAH1f/ws=")</f>
        <v>#REF!</v>
      </c>
      <c r="M60" t="e">
        <f>AND('BBP complete'!E795,"AAAAAH1f/ww=")</f>
        <v>#VALUE!</v>
      </c>
      <c r="N60" t="e">
        <f>AND('BBP complete'!#REF!,"AAAAAH1f/w0=")</f>
        <v>#REF!</v>
      </c>
      <c r="O60" t="e">
        <f>AND('BBP complete'!K795,"AAAAAH1f/w4=")</f>
        <v>#VALUE!</v>
      </c>
      <c r="P60" t="e">
        <f>AND('BBP complete'!L794,"AAAAAH1f/w8=")</f>
        <v>#VALUE!</v>
      </c>
      <c r="Q60" t="e">
        <f>AND('BBP complete'!#REF!,"AAAAAH1f/xA=")</f>
        <v>#REF!</v>
      </c>
      <c r="R60" t="e">
        <f>AND('BBP complete'!#REF!,"AAAAAH1f/xE=")</f>
        <v>#REF!</v>
      </c>
      <c r="S60" t="e">
        <f>AND('BBP complete'!#REF!,"AAAAAH1f/xI=")</f>
        <v>#REF!</v>
      </c>
      <c r="T60" t="e">
        <f>AND('BBP complete'!D795,"AAAAAH1f/xM=")</f>
        <v>#VALUE!</v>
      </c>
      <c r="U60" t="e">
        <f>AND('BBP complete'!F795,"AAAAAH1f/xQ=")</f>
        <v>#VALUE!</v>
      </c>
      <c r="V60" t="e">
        <f>AND('BBP complete'!G795,"AAAAAH1f/xU=")</f>
        <v>#VALUE!</v>
      </c>
      <c r="W60" t="e">
        <f>AND('BBP complete'!H795,"AAAAAH1f/xY=")</f>
        <v>#VALUE!</v>
      </c>
      <c r="X60" t="e">
        <f>AND('BBP complete'!I795,"AAAAAH1f/xc=")</f>
        <v>#VALUE!</v>
      </c>
      <c r="Y60" s="60" t="e">
        <v>#VALUE!</v>
      </c>
      <c r="Z60" t="e">
        <f>AND('BBP complete'!A796,"AAAAAH1f/xk=")</f>
        <v>#VALUE!</v>
      </c>
      <c r="AA60" t="e">
        <f>AND('BBP complete'!B796,"AAAAAH1f/xo=")</f>
        <v>#VALUE!</v>
      </c>
      <c r="AB60" t="e">
        <f>AND('BBP complete'!C796,"AAAAAH1f/xs=")</f>
        <v>#VALUE!</v>
      </c>
      <c r="AC60" t="e">
        <f>AND('BBP complete'!#REF!,"AAAAAH1f/xw=")</f>
        <v>#REF!</v>
      </c>
      <c r="AD60" t="e">
        <f>AND('BBP complete'!#REF!,"AAAAAH1f/x0=")</f>
        <v>#REF!</v>
      </c>
      <c r="AE60" t="e">
        <f>AND('BBP complete'!#REF!,"AAAAAH1f/x4=")</f>
        <v>#REF!</v>
      </c>
      <c r="AF60" t="e">
        <f>AND('BBP complete'!E796,"AAAAAH1f/x8=")</f>
        <v>#VALUE!</v>
      </c>
      <c r="AG60" t="e">
        <f>AND('BBP complete'!#REF!,"AAAAAH1f/yA=")</f>
        <v>#REF!</v>
      </c>
      <c r="AH60" t="e">
        <f>AND('BBP complete'!K796,"AAAAAH1f/yE=")</f>
        <v>#VALUE!</v>
      </c>
      <c r="AI60" t="e">
        <f>AND('BBP complete'!L795,"AAAAAH1f/yI=")</f>
        <v>#VALUE!</v>
      </c>
      <c r="AJ60" t="e">
        <f>AND('BBP complete'!#REF!,"AAAAAH1f/yM=")</f>
        <v>#REF!</v>
      </c>
      <c r="AK60" t="e">
        <f>AND('BBP complete'!#REF!,"AAAAAH1f/yQ=")</f>
        <v>#REF!</v>
      </c>
      <c r="AL60" t="e">
        <f>AND('BBP complete'!#REF!,"AAAAAH1f/yU=")</f>
        <v>#REF!</v>
      </c>
      <c r="AM60" t="e">
        <f>AND('BBP complete'!D796,"AAAAAH1f/yY=")</f>
        <v>#VALUE!</v>
      </c>
      <c r="AN60" t="e">
        <f>AND('BBP complete'!F796,"AAAAAH1f/yc=")</f>
        <v>#VALUE!</v>
      </c>
      <c r="AO60" t="e">
        <f>AND('BBP complete'!G796,"AAAAAH1f/yg=")</f>
        <v>#VALUE!</v>
      </c>
      <c r="AP60" t="e">
        <f>AND('BBP complete'!H796,"AAAAAH1f/yk=")</f>
        <v>#VALUE!</v>
      </c>
      <c r="AQ60" t="e">
        <f>AND('BBP complete'!I796,"AAAAAH1f/yo=")</f>
        <v>#VALUE!</v>
      </c>
      <c r="AR60" s="60" t="e">
        <v>#VALUE!</v>
      </c>
      <c r="AS60" t="e">
        <f>AND('BBP complete'!A797,"AAAAAH1f/yw=")</f>
        <v>#VALUE!</v>
      </c>
      <c r="AT60" t="e">
        <f>AND('BBP complete'!B797,"AAAAAH1f/y0=")</f>
        <v>#VALUE!</v>
      </c>
      <c r="AU60" t="e">
        <f>AND('BBP complete'!C797,"AAAAAH1f/y4=")</f>
        <v>#VALUE!</v>
      </c>
      <c r="AV60" t="e">
        <f>AND('BBP complete'!#REF!,"AAAAAH1f/y8=")</f>
        <v>#REF!</v>
      </c>
      <c r="AW60" t="e">
        <f>AND('BBP complete'!#REF!,"AAAAAH1f/zA=")</f>
        <v>#REF!</v>
      </c>
      <c r="AX60" t="e">
        <f>AND('BBP complete'!#REF!,"AAAAAH1f/zE=")</f>
        <v>#REF!</v>
      </c>
      <c r="AY60" t="e">
        <f>AND('BBP complete'!E797,"AAAAAH1f/zI=")</f>
        <v>#VALUE!</v>
      </c>
      <c r="AZ60" t="e">
        <f>AND('BBP complete'!#REF!,"AAAAAH1f/zM=")</f>
        <v>#REF!</v>
      </c>
      <c r="BA60" t="e">
        <f>AND('BBP complete'!K797,"AAAAAH1f/zQ=")</f>
        <v>#VALUE!</v>
      </c>
      <c r="BB60" t="e">
        <f>AND('BBP complete'!L796,"AAAAAH1f/zU=")</f>
        <v>#VALUE!</v>
      </c>
      <c r="BC60" t="e">
        <f>AND('BBP complete'!#REF!,"AAAAAH1f/zY=")</f>
        <v>#REF!</v>
      </c>
      <c r="BD60" t="e">
        <f>AND('BBP complete'!#REF!,"AAAAAH1f/zc=")</f>
        <v>#REF!</v>
      </c>
      <c r="BE60" t="e">
        <f>AND('BBP complete'!#REF!,"AAAAAH1f/zg=")</f>
        <v>#REF!</v>
      </c>
      <c r="BF60" t="e">
        <f>AND('BBP complete'!D797,"AAAAAH1f/zk=")</f>
        <v>#VALUE!</v>
      </c>
      <c r="BG60" t="e">
        <f>AND('BBP complete'!F797,"AAAAAH1f/zo=")</f>
        <v>#VALUE!</v>
      </c>
      <c r="BH60" t="e">
        <f>AND('BBP complete'!G797,"AAAAAH1f/zs=")</f>
        <v>#VALUE!</v>
      </c>
      <c r="BI60" t="e">
        <f>AND('BBP complete'!H797,"AAAAAH1f/zw=")</f>
        <v>#VALUE!</v>
      </c>
      <c r="BJ60" t="e">
        <f>AND('BBP complete'!I797,"AAAAAH1f/z0=")</f>
        <v>#VALUE!</v>
      </c>
      <c r="BK60" s="60" t="e">
        <v>#VALUE!</v>
      </c>
      <c r="BL60" t="e">
        <f>AND('BBP complete'!A798,"AAAAAH1f/z8=")</f>
        <v>#VALUE!</v>
      </c>
      <c r="BM60" t="e">
        <f>AND('BBP complete'!B798,"AAAAAH1f/0A=")</f>
        <v>#VALUE!</v>
      </c>
      <c r="BN60" t="e">
        <f>AND('BBP complete'!C798,"AAAAAH1f/0E=")</f>
        <v>#VALUE!</v>
      </c>
      <c r="BO60" t="e">
        <f>AND('BBP complete'!#REF!,"AAAAAH1f/0I=")</f>
        <v>#REF!</v>
      </c>
      <c r="BP60" t="e">
        <f>AND('BBP complete'!#REF!,"AAAAAH1f/0M=")</f>
        <v>#REF!</v>
      </c>
      <c r="BQ60" t="e">
        <f>AND('BBP complete'!#REF!,"AAAAAH1f/0Q=")</f>
        <v>#REF!</v>
      </c>
      <c r="BR60" t="e">
        <f>AND('BBP complete'!E798,"AAAAAH1f/0U=")</f>
        <v>#VALUE!</v>
      </c>
      <c r="BS60" t="e">
        <f>AND('BBP complete'!#REF!,"AAAAAH1f/0Y=")</f>
        <v>#REF!</v>
      </c>
      <c r="BT60" t="e">
        <f>AND('BBP complete'!K798,"AAAAAH1f/0c=")</f>
        <v>#VALUE!</v>
      </c>
      <c r="BU60" t="e">
        <f>AND('BBP complete'!L797,"AAAAAH1f/0g=")</f>
        <v>#VALUE!</v>
      </c>
      <c r="BV60" t="e">
        <f>AND('BBP complete'!#REF!,"AAAAAH1f/0k=")</f>
        <v>#REF!</v>
      </c>
      <c r="BW60" t="e">
        <f>AND('BBP complete'!#REF!,"AAAAAH1f/0o=")</f>
        <v>#REF!</v>
      </c>
      <c r="BX60" t="e">
        <f>AND('BBP complete'!#REF!,"AAAAAH1f/0s=")</f>
        <v>#REF!</v>
      </c>
      <c r="BY60" t="e">
        <f>AND('BBP complete'!D798,"AAAAAH1f/0w=")</f>
        <v>#VALUE!</v>
      </c>
      <c r="BZ60" t="e">
        <f>AND('BBP complete'!F798,"AAAAAH1f/00=")</f>
        <v>#VALUE!</v>
      </c>
      <c r="CA60" t="e">
        <f>AND('BBP complete'!G798,"AAAAAH1f/04=")</f>
        <v>#VALUE!</v>
      </c>
      <c r="CB60" t="e">
        <f>AND('BBP complete'!H798,"AAAAAH1f/08=")</f>
        <v>#VALUE!</v>
      </c>
      <c r="CC60" t="e">
        <f>AND('BBP complete'!I798,"AAAAAH1f/1A=")</f>
        <v>#VALUE!</v>
      </c>
      <c r="CD60" s="60" t="e">
        <v>#VALUE!</v>
      </c>
      <c r="CE60" t="e">
        <f>AND('BBP complete'!A799,"AAAAAH1f/1I=")</f>
        <v>#VALUE!</v>
      </c>
      <c r="CF60" t="e">
        <f>AND('BBP complete'!B799,"AAAAAH1f/1M=")</f>
        <v>#VALUE!</v>
      </c>
      <c r="CG60" t="e">
        <f>AND('BBP complete'!C799,"AAAAAH1f/1Q=")</f>
        <v>#VALUE!</v>
      </c>
      <c r="CH60" t="e">
        <f>AND('BBP complete'!#REF!,"AAAAAH1f/1U=")</f>
        <v>#REF!</v>
      </c>
      <c r="CI60" t="e">
        <f>AND('BBP complete'!#REF!,"AAAAAH1f/1Y=")</f>
        <v>#REF!</v>
      </c>
      <c r="CJ60" t="e">
        <f>AND('BBP complete'!#REF!,"AAAAAH1f/1c=")</f>
        <v>#REF!</v>
      </c>
      <c r="CK60" t="e">
        <f>AND('BBP complete'!E799,"AAAAAH1f/1g=")</f>
        <v>#VALUE!</v>
      </c>
      <c r="CL60" t="e">
        <f>AND('BBP complete'!#REF!,"AAAAAH1f/1k=")</f>
        <v>#REF!</v>
      </c>
      <c r="CM60" t="e">
        <f>AND('BBP complete'!K799,"AAAAAH1f/1o=")</f>
        <v>#VALUE!</v>
      </c>
      <c r="CN60" t="e">
        <f>AND('BBP complete'!L798,"AAAAAH1f/1s=")</f>
        <v>#VALUE!</v>
      </c>
      <c r="CO60" t="e">
        <f>AND('BBP complete'!#REF!,"AAAAAH1f/1w=")</f>
        <v>#REF!</v>
      </c>
      <c r="CP60" t="e">
        <f>AND('BBP complete'!#REF!,"AAAAAH1f/10=")</f>
        <v>#REF!</v>
      </c>
      <c r="CQ60" t="e">
        <f>AND('BBP complete'!#REF!,"AAAAAH1f/14=")</f>
        <v>#REF!</v>
      </c>
      <c r="CR60" t="e">
        <f>AND('BBP complete'!D799,"AAAAAH1f/18=")</f>
        <v>#VALUE!</v>
      </c>
      <c r="CS60" t="e">
        <f>AND('BBP complete'!F799,"AAAAAH1f/2A=")</f>
        <v>#VALUE!</v>
      </c>
      <c r="CT60" t="e">
        <f>AND('BBP complete'!G799,"AAAAAH1f/2E=")</f>
        <v>#VALUE!</v>
      </c>
      <c r="CU60" t="e">
        <f>AND('BBP complete'!H799,"AAAAAH1f/2I=")</f>
        <v>#VALUE!</v>
      </c>
      <c r="CV60" t="e">
        <f>AND('BBP complete'!I799,"AAAAAH1f/2M=")</f>
        <v>#VALUE!</v>
      </c>
      <c r="CW60" s="60" t="e">
        <v>#VALUE!</v>
      </c>
      <c r="CX60" t="e">
        <f>AND('BBP complete'!A800,"AAAAAH1f/2U=")</f>
        <v>#VALUE!</v>
      </c>
      <c r="CY60" t="e">
        <f>AND('BBP complete'!B800,"AAAAAH1f/2Y=")</f>
        <v>#VALUE!</v>
      </c>
      <c r="CZ60" t="e">
        <f>AND('BBP complete'!C800,"AAAAAH1f/2c=")</f>
        <v>#VALUE!</v>
      </c>
      <c r="DA60" t="e">
        <f>AND('BBP complete'!#REF!,"AAAAAH1f/2g=")</f>
        <v>#REF!</v>
      </c>
      <c r="DB60" t="e">
        <f>AND('BBP complete'!#REF!,"AAAAAH1f/2k=")</f>
        <v>#REF!</v>
      </c>
      <c r="DC60" t="e">
        <f>AND('BBP complete'!#REF!,"AAAAAH1f/2o=")</f>
        <v>#REF!</v>
      </c>
      <c r="DD60" t="e">
        <f>AND('BBP complete'!E800,"AAAAAH1f/2s=")</f>
        <v>#VALUE!</v>
      </c>
      <c r="DE60" t="e">
        <f>AND('BBP complete'!#REF!,"AAAAAH1f/2w=")</f>
        <v>#REF!</v>
      </c>
      <c r="DF60" t="e">
        <f>AND('BBP complete'!K800,"AAAAAH1f/20=")</f>
        <v>#VALUE!</v>
      </c>
      <c r="DG60" t="e">
        <f>AND('BBP complete'!L799,"AAAAAH1f/24=")</f>
        <v>#VALUE!</v>
      </c>
      <c r="DH60" t="e">
        <f>AND('BBP complete'!#REF!,"AAAAAH1f/28=")</f>
        <v>#REF!</v>
      </c>
      <c r="DI60" t="e">
        <f>AND('BBP complete'!#REF!,"AAAAAH1f/3A=")</f>
        <v>#REF!</v>
      </c>
      <c r="DJ60" t="e">
        <f>AND('BBP complete'!#REF!,"AAAAAH1f/3E=")</f>
        <v>#REF!</v>
      </c>
      <c r="DK60" t="e">
        <f>AND('BBP complete'!D800,"AAAAAH1f/3I=")</f>
        <v>#VALUE!</v>
      </c>
      <c r="DL60" t="e">
        <f>AND('BBP complete'!F800,"AAAAAH1f/3M=")</f>
        <v>#VALUE!</v>
      </c>
      <c r="DM60" t="e">
        <f>AND('BBP complete'!G800,"AAAAAH1f/3Q=")</f>
        <v>#VALUE!</v>
      </c>
      <c r="DN60" t="e">
        <f>AND('BBP complete'!H800,"AAAAAH1f/3U=")</f>
        <v>#VALUE!</v>
      </c>
      <c r="DO60" t="e">
        <f>AND('BBP complete'!I800,"AAAAAH1f/3Y=")</f>
        <v>#VALUE!</v>
      </c>
      <c r="DP60" s="60" t="e">
        <v>#VALUE!</v>
      </c>
      <c r="DQ60" t="e">
        <f>AND('BBP complete'!A801,"AAAAAH1f/3g=")</f>
        <v>#VALUE!</v>
      </c>
      <c r="DR60" t="e">
        <f>AND('BBP complete'!B801,"AAAAAH1f/3k=")</f>
        <v>#VALUE!</v>
      </c>
      <c r="DS60" t="e">
        <f>AND('BBP complete'!C801,"AAAAAH1f/3o=")</f>
        <v>#VALUE!</v>
      </c>
      <c r="DT60" t="e">
        <f>AND('BBP complete'!#REF!,"AAAAAH1f/3s=")</f>
        <v>#REF!</v>
      </c>
      <c r="DU60" t="e">
        <f>AND('BBP complete'!#REF!,"AAAAAH1f/3w=")</f>
        <v>#REF!</v>
      </c>
      <c r="DV60" t="e">
        <f>AND('BBP complete'!#REF!,"AAAAAH1f/30=")</f>
        <v>#REF!</v>
      </c>
      <c r="DW60" t="e">
        <f>AND('BBP complete'!E801,"AAAAAH1f/34=")</f>
        <v>#VALUE!</v>
      </c>
      <c r="DX60" t="e">
        <f>AND('BBP complete'!#REF!,"AAAAAH1f/38=")</f>
        <v>#REF!</v>
      </c>
      <c r="DY60" t="e">
        <f>AND('BBP complete'!K801,"AAAAAH1f/4A=")</f>
        <v>#VALUE!</v>
      </c>
      <c r="DZ60" t="e">
        <f>AND('BBP complete'!L800,"AAAAAH1f/4E=")</f>
        <v>#VALUE!</v>
      </c>
      <c r="EA60" t="e">
        <f>AND('BBP complete'!#REF!,"AAAAAH1f/4I=")</f>
        <v>#REF!</v>
      </c>
      <c r="EB60" t="e">
        <f>AND('BBP complete'!#REF!,"AAAAAH1f/4M=")</f>
        <v>#REF!</v>
      </c>
      <c r="EC60" t="e">
        <f>AND('BBP complete'!#REF!,"AAAAAH1f/4Q=")</f>
        <v>#REF!</v>
      </c>
      <c r="ED60" t="e">
        <f>AND('BBP complete'!D801,"AAAAAH1f/4U=")</f>
        <v>#VALUE!</v>
      </c>
      <c r="EE60" t="e">
        <f>AND('BBP complete'!F801,"AAAAAH1f/4Y=")</f>
        <v>#VALUE!</v>
      </c>
      <c r="EF60" t="e">
        <f>AND('BBP complete'!G801,"AAAAAH1f/4c=")</f>
        <v>#VALUE!</v>
      </c>
      <c r="EG60" t="e">
        <f>AND('BBP complete'!H801,"AAAAAH1f/4g=")</f>
        <v>#VALUE!</v>
      </c>
      <c r="EH60" t="e">
        <f>AND('BBP complete'!I801,"AAAAAH1f/4k=")</f>
        <v>#VALUE!</v>
      </c>
      <c r="EI60" s="60" t="e">
        <v>#VALUE!</v>
      </c>
      <c r="EJ60" t="e">
        <f>AND('BBP complete'!A802,"AAAAAH1f/4s=")</f>
        <v>#VALUE!</v>
      </c>
      <c r="EK60" t="e">
        <f>AND('BBP complete'!B802,"AAAAAH1f/4w=")</f>
        <v>#VALUE!</v>
      </c>
      <c r="EL60" t="e">
        <f>AND('BBP complete'!C802,"AAAAAH1f/40=")</f>
        <v>#VALUE!</v>
      </c>
      <c r="EM60" t="e">
        <f>AND('BBP complete'!#REF!,"AAAAAH1f/44=")</f>
        <v>#REF!</v>
      </c>
      <c r="EN60" t="e">
        <f>AND('BBP complete'!#REF!,"AAAAAH1f/48=")</f>
        <v>#REF!</v>
      </c>
      <c r="EO60" t="e">
        <f>AND('BBP complete'!#REF!,"AAAAAH1f/5A=")</f>
        <v>#REF!</v>
      </c>
      <c r="EP60" t="e">
        <f>AND('BBP complete'!E802,"AAAAAH1f/5E=")</f>
        <v>#VALUE!</v>
      </c>
      <c r="EQ60" t="e">
        <f>AND('BBP complete'!#REF!,"AAAAAH1f/5I=")</f>
        <v>#REF!</v>
      </c>
      <c r="ER60" t="e">
        <f>AND('BBP complete'!K802,"AAAAAH1f/5M=")</f>
        <v>#VALUE!</v>
      </c>
      <c r="ES60" t="e">
        <f>AND('BBP complete'!L801,"AAAAAH1f/5Q=")</f>
        <v>#VALUE!</v>
      </c>
      <c r="ET60" t="e">
        <f>AND('BBP complete'!#REF!,"AAAAAH1f/5U=")</f>
        <v>#REF!</v>
      </c>
      <c r="EU60" t="e">
        <f>AND('BBP complete'!#REF!,"AAAAAH1f/5Y=")</f>
        <v>#REF!</v>
      </c>
      <c r="EV60" t="e">
        <f>AND('BBP complete'!#REF!,"AAAAAH1f/5c=")</f>
        <v>#REF!</v>
      </c>
      <c r="EW60" t="e">
        <f>AND('BBP complete'!D802,"AAAAAH1f/5g=")</f>
        <v>#VALUE!</v>
      </c>
      <c r="EX60" t="e">
        <f>AND('BBP complete'!F802,"AAAAAH1f/5k=")</f>
        <v>#VALUE!</v>
      </c>
      <c r="EY60" t="e">
        <f>AND('BBP complete'!G802,"AAAAAH1f/5o=")</f>
        <v>#VALUE!</v>
      </c>
      <c r="EZ60" t="e">
        <f>AND('BBP complete'!H802,"AAAAAH1f/5s=")</f>
        <v>#VALUE!</v>
      </c>
      <c r="FA60" t="e">
        <f>AND('BBP complete'!I802,"AAAAAH1f/5w=")</f>
        <v>#VALUE!</v>
      </c>
      <c r="FB60" s="60" t="e">
        <v>#VALUE!</v>
      </c>
      <c r="FC60" t="e">
        <f>AND('BBP complete'!A803,"AAAAAH1f/54=")</f>
        <v>#VALUE!</v>
      </c>
      <c r="FD60" t="e">
        <f>AND('BBP complete'!B803,"AAAAAH1f/58=")</f>
        <v>#VALUE!</v>
      </c>
      <c r="FE60" t="e">
        <f>AND('BBP complete'!C803,"AAAAAH1f/6A=")</f>
        <v>#VALUE!</v>
      </c>
      <c r="FF60" t="e">
        <f>AND('BBP complete'!#REF!,"AAAAAH1f/6E=")</f>
        <v>#REF!</v>
      </c>
      <c r="FG60" t="e">
        <f>AND('BBP complete'!#REF!,"AAAAAH1f/6I=")</f>
        <v>#REF!</v>
      </c>
      <c r="FH60" t="e">
        <f>AND('BBP complete'!#REF!,"AAAAAH1f/6M=")</f>
        <v>#REF!</v>
      </c>
      <c r="FI60" t="e">
        <f>AND('BBP complete'!E803,"AAAAAH1f/6Q=")</f>
        <v>#VALUE!</v>
      </c>
      <c r="FJ60" t="e">
        <f>AND('BBP complete'!#REF!,"AAAAAH1f/6U=")</f>
        <v>#REF!</v>
      </c>
      <c r="FK60" t="e">
        <f>AND('BBP complete'!K803,"AAAAAH1f/6Y=")</f>
        <v>#VALUE!</v>
      </c>
      <c r="FL60" t="e">
        <f>AND('BBP complete'!L802,"AAAAAH1f/6c=")</f>
        <v>#VALUE!</v>
      </c>
      <c r="FM60" t="e">
        <f>AND('BBP complete'!#REF!,"AAAAAH1f/6g=")</f>
        <v>#REF!</v>
      </c>
      <c r="FN60" t="e">
        <f>AND('BBP complete'!#REF!,"AAAAAH1f/6k=")</f>
        <v>#REF!</v>
      </c>
      <c r="FO60" t="e">
        <f>AND('BBP complete'!#REF!,"AAAAAH1f/6o=")</f>
        <v>#REF!</v>
      </c>
      <c r="FP60" t="e">
        <f>AND('BBP complete'!D803,"AAAAAH1f/6s=")</f>
        <v>#VALUE!</v>
      </c>
      <c r="FQ60" t="e">
        <f>AND('BBP complete'!F803,"AAAAAH1f/6w=")</f>
        <v>#VALUE!</v>
      </c>
      <c r="FR60" t="e">
        <f>AND('BBP complete'!G803,"AAAAAH1f/60=")</f>
        <v>#VALUE!</v>
      </c>
      <c r="FS60" t="e">
        <f>AND('BBP complete'!H803,"AAAAAH1f/64=")</f>
        <v>#VALUE!</v>
      </c>
      <c r="FT60" t="e">
        <f>AND('BBP complete'!I803,"AAAAAH1f/68=")</f>
        <v>#VALUE!</v>
      </c>
      <c r="FU60" s="60" t="e">
        <v>#VALUE!</v>
      </c>
      <c r="FV60" t="e">
        <f>AND('BBP complete'!A804,"AAAAAH1f/7E=")</f>
        <v>#VALUE!</v>
      </c>
      <c r="FW60" t="e">
        <f>AND('BBP complete'!B804,"AAAAAH1f/7I=")</f>
        <v>#VALUE!</v>
      </c>
      <c r="FX60" t="e">
        <f>AND('BBP complete'!C804,"AAAAAH1f/7M=")</f>
        <v>#VALUE!</v>
      </c>
      <c r="FY60" t="e">
        <f>AND('BBP complete'!#REF!,"AAAAAH1f/7Q=")</f>
        <v>#REF!</v>
      </c>
      <c r="FZ60" t="e">
        <f>AND('BBP complete'!#REF!,"AAAAAH1f/7U=")</f>
        <v>#REF!</v>
      </c>
      <c r="GA60" t="e">
        <f>AND('BBP complete'!#REF!,"AAAAAH1f/7Y=")</f>
        <v>#REF!</v>
      </c>
      <c r="GB60" t="e">
        <f>AND('BBP complete'!E804,"AAAAAH1f/7c=")</f>
        <v>#VALUE!</v>
      </c>
      <c r="GC60" t="e">
        <f>AND('BBP complete'!#REF!,"AAAAAH1f/7g=")</f>
        <v>#REF!</v>
      </c>
      <c r="GD60" t="e">
        <f>AND('BBP complete'!K804,"AAAAAH1f/7k=")</f>
        <v>#VALUE!</v>
      </c>
      <c r="GE60" t="e">
        <f>AND('BBP complete'!L803,"AAAAAH1f/7o=")</f>
        <v>#VALUE!</v>
      </c>
      <c r="GF60" t="e">
        <f>AND('BBP complete'!#REF!,"AAAAAH1f/7s=")</f>
        <v>#REF!</v>
      </c>
      <c r="GG60" t="e">
        <f>AND('BBP complete'!#REF!,"AAAAAH1f/7w=")</f>
        <v>#REF!</v>
      </c>
      <c r="GH60" t="e">
        <f>AND('BBP complete'!#REF!,"AAAAAH1f/70=")</f>
        <v>#REF!</v>
      </c>
      <c r="GI60" t="e">
        <f>AND('BBP complete'!D804,"AAAAAH1f/74=")</f>
        <v>#VALUE!</v>
      </c>
      <c r="GJ60" t="e">
        <f>AND('BBP complete'!F804,"AAAAAH1f/78=")</f>
        <v>#VALUE!</v>
      </c>
      <c r="GK60" t="e">
        <f>AND('BBP complete'!G804,"AAAAAH1f/8A=")</f>
        <v>#VALUE!</v>
      </c>
      <c r="GL60" t="e">
        <f>AND('BBP complete'!H804,"AAAAAH1f/8E=")</f>
        <v>#VALUE!</v>
      </c>
      <c r="GM60" t="e">
        <f>AND('BBP complete'!I804,"AAAAAH1f/8I=")</f>
        <v>#VALUE!</v>
      </c>
      <c r="GN60" s="60" t="e">
        <v>#VALUE!</v>
      </c>
      <c r="GO60" t="e">
        <f>AND('BBP complete'!A805,"AAAAAH1f/8Q=")</f>
        <v>#VALUE!</v>
      </c>
      <c r="GP60" t="e">
        <f>AND('BBP complete'!B805,"AAAAAH1f/8U=")</f>
        <v>#VALUE!</v>
      </c>
      <c r="GQ60" t="e">
        <f>AND('BBP complete'!C805,"AAAAAH1f/8Y=")</f>
        <v>#VALUE!</v>
      </c>
      <c r="GR60" t="e">
        <f>AND('BBP complete'!#REF!,"AAAAAH1f/8c=")</f>
        <v>#REF!</v>
      </c>
      <c r="GS60" t="e">
        <f>AND('BBP complete'!#REF!,"AAAAAH1f/8g=")</f>
        <v>#REF!</v>
      </c>
      <c r="GT60" t="e">
        <f>AND('BBP complete'!#REF!,"AAAAAH1f/8k=")</f>
        <v>#REF!</v>
      </c>
      <c r="GU60" t="e">
        <f>AND('BBP complete'!E805,"AAAAAH1f/8o=")</f>
        <v>#VALUE!</v>
      </c>
      <c r="GV60" t="e">
        <f>AND('BBP complete'!#REF!,"AAAAAH1f/8s=")</f>
        <v>#REF!</v>
      </c>
      <c r="GW60" t="e">
        <f>AND('BBP complete'!K805,"AAAAAH1f/8w=")</f>
        <v>#VALUE!</v>
      </c>
      <c r="GX60" t="e">
        <f>AND('BBP complete'!L804,"AAAAAH1f/80=")</f>
        <v>#VALUE!</v>
      </c>
      <c r="GY60" t="e">
        <f>AND('BBP complete'!#REF!,"AAAAAH1f/84=")</f>
        <v>#REF!</v>
      </c>
      <c r="GZ60" t="e">
        <f>AND('BBP complete'!#REF!,"AAAAAH1f/88=")</f>
        <v>#REF!</v>
      </c>
      <c r="HA60" t="e">
        <f>AND('BBP complete'!#REF!,"AAAAAH1f/9A=")</f>
        <v>#REF!</v>
      </c>
      <c r="HB60" t="e">
        <f>AND('BBP complete'!D805,"AAAAAH1f/9E=")</f>
        <v>#VALUE!</v>
      </c>
      <c r="HC60" t="e">
        <f>AND('BBP complete'!F805,"AAAAAH1f/9I=")</f>
        <v>#VALUE!</v>
      </c>
      <c r="HD60" t="e">
        <f>AND('BBP complete'!G805,"AAAAAH1f/9M=")</f>
        <v>#VALUE!</v>
      </c>
      <c r="HE60" t="e">
        <f>AND('BBP complete'!H805,"AAAAAH1f/9Q=")</f>
        <v>#VALUE!</v>
      </c>
      <c r="HF60" t="e">
        <f>AND('BBP complete'!I805,"AAAAAH1f/9U=")</f>
        <v>#VALUE!</v>
      </c>
      <c r="HG60" s="60" t="e">
        <v>#VALUE!</v>
      </c>
      <c r="HH60" t="e">
        <f>AND('BBP complete'!A806,"AAAAAH1f/9c=")</f>
        <v>#VALUE!</v>
      </c>
      <c r="HI60" t="e">
        <f>AND('BBP complete'!B806,"AAAAAH1f/9g=")</f>
        <v>#VALUE!</v>
      </c>
      <c r="HJ60" t="e">
        <f>AND('BBP complete'!C806,"AAAAAH1f/9k=")</f>
        <v>#VALUE!</v>
      </c>
      <c r="HK60" t="e">
        <f>AND('BBP complete'!#REF!,"AAAAAH1f/9o=")</f>
        <v>#REF!</v>
      </c>
      <c r="HL60" t="e">
        <f>AND('BBP complete'!#REF!,"AAAAAH1f/9s=")</f>
        <v>#REF!</v>
      </c>
      <c r="HM60" t="e">
        <f>AND('BBP complete'!#REF!,"AAAAAH1f/9w=")</f>
        <v>#REF!</v>
      </c>
      <c r="HN60" t="e">
        <f>AND('BBP complete'!E806,"AAAAAH1f/90=")</f>
        <v>#VALUE!</v>
      </c>
      <c r="HO60" t="e">
        <f>AND('BBP complete'!#REF!,"AAAAAH1f/94=")</f>
        <v>#REF!</v>
      </c>
      <c r="HP60" t="e">
        <f>AND('BBP complete'!K806,"AAAAAH1f/98=")</f>
        <v>#VALUE!</v>
      </c>
      <c r="HQ60" t="e">
        <f>AND('BBP complete'!L805,"AAAAAH1f/+A=")</f>
        <v>#VALUE!</v>
      </c>
      <c r="HR60" t="e">
        <f>AND('BBP complete'!#REF!,"AAAAAH1f/+E=")</f>
        <v>#REF!</v>
      </c>
      <c r="HS60" t="e">
        <f>AND('BBP complete'!#REF!,"AAAAAH1f/+I=")</f>
        <v>#REF!</v>
      </c>
      <c r="HT60" t="e">
        <f>AND('BBP complete'!#REF!,"AAAAAH1f/+M=")</f>
        <v>#REF!</v>
      </c>
      <c r="HU60" t="e">
        <f>AND('BBP complete'!D806,"AAAAAH1f/+Q=")</f>
        <v>#VALUE!</v>
      </c>
      <c r="HV60" t="e">
        <f>AND('BBP complete'!F806,"AAAAAH1f/+U=")</f>
        <v>#VALUE!</v>
      </c>
      <c r="HW60" t="e">
        <f>AND('BBP complete'!G806,"AAAAAH1f/+Y=")</f>
        <v>#VALUE!</v>
      </c>
      <c r="HX60" t="e">
        <f>AND('BBP complete'!H806,"AAAAAH1f/+c=")</f>
        <v>#VALUE!</v>
      </c>
      <c r="HY60" t="e">
        <f>AND('BBP complete'!I806,"AAAAAH1f/+g=")</f>
        <v>#VALUE!</v>
      </c>
      <c r="HZ60" s="60" t="e">
        <v>#VALUE!</v>
      </c>
      <c r="IA60" t="e">
        <f>AND('BBP complete'!A807,"AAAAAH1f/+o=")</f>
        <v>#VALUE!</v>
      </c>
      <c r="IB60" t="e">
        <f>AND('BBP complete'!B807,"AAAAAH1f/+s=")</f>
        <v>#VALUE!</v>
      </c>
      <c r="IC60" t="e">
        <f>AND('BBP complete'!C807,"AAAAAH1f/+w=")</f>
        <v>#VALUE!</v>
      </c>
      <c r="ID60" t="e">
        <f>AND('BBP complete'!#REF!,"AAAAAH1f/+0=")</f>
        <v>#REF!</v>
      </c>
      <c r="IE60" t="e">
        <f>AND('BBP complete'!#REF!,"AAAAAH1f/+4=")</f>
        <v>#REF!</v>
      </c>
      <c r="IF60" t="e">
        <f>AND('BBP complete'!#REF!,"AAAAAH1f/+8=")</f>
        <v>#REF!</v>
      </c>
      <c r="IG60" t="e">
        <f>AND('BBP complete'!E807,"AAAAAH1f//A=")</f>
        <v>#VALUE!</v>
      </c>
      <c r="IH60" t="e">
        <f>AND('BBP complete'!#REF!,"AAAAAH1f//E=")</f>
        <v>#REF!</v>
      </c>
      <c r="II60" t="e">
        <f>AND('BBP complete'!K807,"AAAAAH1f//I=")</f>
        <v>#VALUE!</v>
      </c>
      <c r="IJ60" t="e">
        <f>AND('BBP complete'!L806,"AAAAAH1f//M=")</f>
        <v>#VALUE!</v>
      </c>
      <c r="IK60" t="e">
        <f>AND('BBP complete'!#REF!,"AAAAAH1f//Q=")</f>
        <v>#REF!</v>
      </c>
      <c r="IL60" t="e">
        <f>AND('BBP complete'!#REF!,"AAAAAH1f//U=")</f>
        <v>#REF!</v>
      </c>
      <c r="IM60" t="e">
        <f>AND('BBP complete'!#REF!,"AAAAAH1f//Y=")</f>
        <v>#REF!</v>
      </c>
      <c r="IN60" t="e">
        <f>AND('BBP complete'!D807,"AAAAAH1f//c=")</f>
        <v>#VALUE!</v>
      </c>
      <c r="IO60" t="e">
        <f>AND('BBP complete'!F807,"AAAAAH1f//g=")</f>
        <v>#VALUE!</v>
      </c>
      <c r="IP60" t="e">
        <f>AND('BBP complete'!G807,"AAAAAH1f//k=")</f>
        <v>#VALUE!</v>
      </c>
      <c r="IQ60" t="e">
        <f>AND('BBP complete'!H807,"AAAAAH1f//o=")</f>
        <v>#VALUE!</v>
      </c>
      <c r="IR60" t="e">
        <f>AND('BBP complete'!I807,"AAAAAH1f//s=")</f>
        <v>#VALUE!</v>
      </c>
      <c r="IS60" s="60" t="e">
        <v>#VALUE!</v>
      </c>
      <c r="IT60" t="e">
        <f>AND('BBP complete'!A808,"AAAAAH1f//0=")</f>
        <v>#VALUE!</v>
      </c>
      <c r="IU60" t="e">
        <f>AND('BBP complete'!B808,"AAAAAH1f//4=")</f>
        <v>#VALUE!</v>
      </c>
      <c r="IV60" t="e">
        <f>AND('BBP complete'!C808,"AAAAAH1f//8=")</f>
        <v>#VALUE!</v>
      </c>
    </row>
    <row r="61" spans="1:256" ht="15" customHeight="1" x14ac:dyDescent="0.25">
      <c r="A61" t="e">
        <f>AND('BBP complete'!#REF!,"AAAAAG3etwA=")</f>
        <v>#REF!</v>
      </c>
      <c r="B61" t="e">
        <f>AND('BBP complete'!#REF!,"AAAAAG3etwE=")</f>
        <v>#REF!</v>
      </c>
      <c r="C61" t="e">
        <f>AND('BBP complete'!#REF!,"AAAAAG3etwI=")</f>
        <v>#REF!</v>
      </c>
      <c r="D61" t="e">
        <f>AND('BBP complete'!E808,"AAAAAG3etwM=")</f>
        <v>#VALUE!</v>
      </c>
      <c r="E61" t="e">
        <f>AND('BBP complete'!#REF!,"AAAAAG3etwQ=")</f>
        <v>#REF!</v>
      </c>
      <c r="F61" t="e">
        <f>AND('BBP complete'!K808,"AAAAAG3etwU=")</f>
        <v>#VALUE!</v>
      </c>
      <c r="G61" t="e">
        <f>AND('BBP complete'!L807,"AAAAAG3etwY=")</f>
        <v>#VALUE!</v>
      </c>
      <c r="H61" t="e">
        <f>AND('BBP complete'!#REF!,"AAAAAG3etwc=")</f>
        <v>#REF!</v>
      </c>
      <c r="I61" t="e">
        <f>AND('BBP complete'!#REF!,"AAAAAG3etwg=")</f>
        <v>#REF!</v>
      </c>
      <c r="J61" t="e">
        <f>AND('BBP complete'!#REF!,"AAAAAG3etwk=")</f>
        <v>#REF!</v>
      </c>
      <c r="K61" t="e">
        <f>AND('BBP complete'!D808,"AAAAAG3etwo=")</f>
        <v>#VALUE!</v>
      </c>
      <c r="L61" t="e">
        <f>AND('BBP complete'!F808,"AAAAAG3etws=")</f>
        <v>#VALUE!</v>
      </c>
      <c r="M61" t="e">
        <f>AND('BBP complete'!G808,"AAAAAG3etww=")</f>
        <v>#VALUE!</v>
      </c>
      <c r="N61" t="e">
        <f>AND('BBP complete'!H808,"AAAAAG3etw0=")</f>
        <v>#VALUE!</v>
      </c>
      <c r="O61" t="e">
        <f>AND('BBP complete'!I808,"AAAAAG3etw4=")</f>
        <v>#VALUE!</v>
      </c>
      <c r="P61" s="60" t="e">
        <v>#VALUE!</v>
      </c>
      <c r="Q61" t="e">
        <f>AND('BBP complete'!A809,"AAAAAG3etxA=")</f>
        <v>#VALUE!</v>
      </c>
      <c r="R61" t="e">
        <f>AND('BBP complete'!B809,"AAAAAG3etxE=")</f>
        <v>#VALUE!</v>
      </c>
      <c r="S61" t="e">
        <f>AND('BBP complete'!C809,"AAAAAG3etxI=")</f>
        <v>#VALUE!</v>
      </c>
      <c r="T61" t="e">
        <f>AND('BBP complete'!#REF!,"AAAAAG3etxM=")</f>
        <v>#REF!</v>
      </c>
      <c r="U61" t="e">
        <f>AND('BBP complete'!#REF!,"AAAAAG3etxQ=")</f>
        <v>#REF!</v>
      </c>
      <c r="V61" t="e">
        <f>AND('BBP complete'!#REF!,"AAAAAG3etxU=")</f>
        <v>#REF!</v>
      </c>
      <c r="W61" t="e">
        <f>AND('BBP complete'!E809,"AAAAAG3etxY=")</f>
        <v>#VALUE!</v>
      </c>
      <c r="X61" t="e">
        <f>AND('BBP complete'!#REF!,"AAAAAG3etxc=")</f>
        <v>#REF!</v>
      </c>
      <c r="Y61" t="e">
        <f>AND('BBP complete'!K809,"AAAAAG3etxg=")</f>
        <v>#VALUE!</v>
      </c>
      <c r="Z61" t="e">
        <f>AND('BBP complete'!L808,"AAAAAG3etxk=")</f>
        <v>#VALUE!</v>
      </c>
      <c r="AA61" t="e">
        <f>AND('BBP complete'!#REF!,"AAAAAG3etxo=")</f>
        <v>#REF!</v>
      </c>
      <c r="AB61" t="e">
        <f>AND('BBP complete'!#REF!,"AAAAAG3etxs=")</f>
        <v>#REF!</v>
      </c>
      <c r="AC61" t="e">
        <f>AND('BBP complete'!#REF!,"AAAAAG3etxw=")</f>
        <v>#REF!</v>
      </c>
      <c r="AD61" t="e">
        <f>AND('BBP complete'!D809,"AAAAAG3etx0=")</f>
        <v>#VALUE!</v>
      </c>
      <c r="AE61" t="e">
        <f>AND('BBP complete'!F809,"AAAAAG3etx4=")</f>
        <v>#VALUE!</v>
      </c>
      <c r="AF61" t="e">
        <f>AND('BBP complete'!G809,"AAAAAG3etx8=")</f>
        <v>#VALUE!</v>
      </c>
      <c r="AG61" t="e">
        <f>AND('BBP complete'!H809,"AAAAAG3etyA=")</f>
        <v>#VALUE!</v>
      </c>
      <c r="AH61" t="e">
        <f>AND('BBP complete'!I809,"AAAAAG3etyE=")</f>
        <v>#VALUE!</v>
      </c>
      <c r="AI61" s="60" t="e">
        <v>#VALUE!</v>
      </c>
      <c r="AJ61" t="e">
        <f>AND('BBP complete'!A810,"AAAAAG3etyM=")</f>
        <v>#VALUE!</v>
      </c>
      <c r="AK61" t="e">
        <f>AND('BBP complete'!B810,"AAAAAG3etyQ=")</f>
        <v>#VALUE!</v>
      </c>
      <c r="AL61" t="e">
        <f>AND('BBP complete'!C810,"AAAAAG3etyU=")</f>
        <v>#VALUE!</v>
      </c>
      <c r="AM61" t="e">
        <f>AND('BBP complete'!#REF!,"AAAAAG3etyY=")</f>
        <v>#REF!</v>
      </c>
      <c r="AN61" t="e">
        <f>AND('BBP complete'!#REF!,"AAAAAG3etyc=")</f>
        <v>#REF!</v>
      </c>
      <c r="AO61" t="e">
        <f>AND('BBP complete'!#REF!,"AAAAAG3etyg=")</f>
        <v>#REF!</v>
      </c>
      <c r="AP61" t="e">
        <f>AND('BBP complete'!E810,"AAAAAG3etyk=")</f>
        <v>#VALUE!</v>
      </c>
      <c r="AQ61" t="e">
        <f>AND('BBP complete'!#REF!,"AAAAAG3etyo=")</f>
        <v>#REF!</v>
      </c>
      <c r="AR61" t="e">
        <f>AND('BBP complete'!K810,"AAAAAG3etys=")</f>
        <v>#VALUE!</v>
      </c>
      <c r="AS61" t="e">
        <f>AND('BBP complete'!L809,"AAAAAG3etyw=")</f>
        <v>#VALUE!</v>
      </c>
      <c r="AT61" t="e">
        <f>AND('BBP complete'!#REF!,"AAAAAG3ety0=")</f>
        <v>#REF!</v>
      </c>
      <c r="AU61" t="e">
        <f>AND('BBP complete'!#REF!,"AAAAAG3ety4=")</f>
        <v>#REF!</v>
      </c>
      <c r="AV61" t="e">
        <f>AND('BBP complete'!#REF!,"AAAAAG3ety8=")</f>
        <v>#REF!</v>
      </c>
      <c r="AW61" t="e">
        <f>AND('BBP complete'!D810,"AAAAAG3etzA=")</f>
        <v>#VALUE!</v>
      </c>
      <c r="AX61" t="e">
        <f>AND('BBP complete'!F810,"AAAAAG3etzE=")</f>
        <v>#VALUE!</v>
      </c>
      <c r="AY61" t="e">
        <f>AND('BBP complete'!G810,"AAAAAG3etzI=")</f>
        <v>#VALUE!</v>
      </c>
      <c r="AZ61" t="e">
        <f>AND('BBP complete'!H810,"AAAAAG3etzM=")</f>
        <v>#VALUE!</v>
      </c>
      <c r="BA61" t="e">
        <f>AND('BBP complete'!I810,"AAAAAG3etzQ=")</f>
        <v>#VALUE!</v>
      </c>
      <c r="BB61" s="60" t="e">
        <v>#VALUE!</v>
      </c>
      <c r="BC61" t="e">
        <f>AND('BBP complete'!A811,"AAAAAG3etzY=")</f>
        <v>#VALUE!</v>
      </c>
      <c r="BD61" t="e">
        <f>AND('BBP complete'!B811,"AAAAAG3etzc=")</f>
        <v>#VALUE!</v>
      </c>
      <c r="BE61" t="e">
        <f>AND('BBP complete'!C811,"AAAAAG3etzg=")</f>
        <v>#VALUE!</v>
      </c>
      <c r="BF61" t="e">
        <f>AND('BBP complete'!#REF!,"AAAAAG3etzk=")</f>
        <v>#REF!</v>
      </c>
      <c r="BG61" t="e">
        <f>AND('BBP complete'!#REF!,"AAAAAG3etzo=")</f>
        <v>#REF!</v>
      </c>
      <c r="BH61" t="e">
        <f>AND('BBP complete'!#REF!,"AAAAAG3etzs=")</f>
        <v>#REF!</v>
      </c>
      <c r="BI61" t="e">
        <f>AND('BBP complete'!E811,"AAAAAG3etzw=")</f>
        <v>#VALUE!</v>
      </c>
      <c r="BJ61" t="e">
        <f>AND('BBP complete'!#REF!,"AAAAAG3etz0=")</f>
        <v>#REF!</v>
      </c>
      <c r="BK61" t="e">
        <f>AND('BBP complete'!K811,"AAAAAG3etz4=")</f>
        <v>#VALUE!</v>
      </c>
      <c r="BL61" t="e">
        <f>AND('BBP complete'!L810,"AAAAAG3etz8=")</f>
        <v>#VALUE!</v>
      </c>
      <c r="BM61" t="e">
        <f>AND('BBP complete'!#REF!,"AAAAAG3et0A=")</f>
        <v>#REF!</v>
      </c>
      <c r="BN61" t="e">
        <f>AND('BBP complete'!#REF!,"AAAAAG3et0E=")</f>
        <v>#REF!</v>
      </c>
      <c r="BO61" t="e">
        <f>AND('BBP complete'!#REF!,"AAAAAG3et0I=")</f>
        <v>#REF!</v>
      </c>
      <c r="BP61" t="e">
        <f>AND('BBP complete'!D811,"AAAAAG3et0M=")</f>
        <v>#VALUE!</v>
      </c>
      <c r="BQ61" t="e">
        <f>AND('BBP complete'!F811,"AAAAAG3et0Q=")</f>
        <v>#VALUE!</v>
      </c>
      <c r="BR61" t="e">
        <f>AND('BBP complete'!G811,"AAAAAG3et0U=")</f>
        <v>#VALUE!</v>
      </c>
      <c r="BS61" t="e">
        <f>AND('BBP complete'!H811,"AAAAAG3et0Y=")</f>
        <v>#VALUE!</v>
      </c>
      <c r="BT61" t="e">
        <f>AND('BBP complete'!I811,"AAAAAG3et0c=")</f>
        <v>#VALUE!</v>
      </c>
      <c r="BU61" s="60" t="e">
        <v>#VALUE!</v>
      </c>
      <c r="BV61" t="e">
        <f>AND('BBP complete'!A812,"AAAAAG3et0k=")</f>
        <v>#VALUE!</v>
      </c>
      <c r="BW61" t="e">
        <f>AND('BBP complete'!B812,"AAAAAG3et0o=")</f>
        <v>#VALUE!</v>
      </c>
      <c r="BX61" t="e">
        <f>AND('BBP complete'!C812,"AAAAAG3et0s=")</f>
        <v>#VALUE!</v>
      </c>
      <c r="BY61" t="e">
        <f>AND('BBP complete'!#REF!,"AAAAAG3et0w=")</f>
        <v>#REF!</v>
      </c>
      <c r="BZ61" t="e">
        <f>AND('BBP complete'!#REF!,"AAAAAG3et00=")</f>
        <v>#REF!</v>
      </c>
      <c r="CA61" t="e">
        <f>AND('BBP complete'!#REF!,"AAAAAG3et04=")</f>
        <v>#REF!</v>
      </c>
      <c r="CB61" t="e">
        <f>AND('BBP complete'!E812,"AAAAAG3et08=")</f>
        <v>#VALUE!</v>
      </c>
      <c r="CC61" t="e">
        <f>AND('BBP complete'!#REF!,"AAAAAG3et1A=")</f>
        <v>#REF!</v>
      </c>
      <c r="CD61" t="e">
        <f>AND('BBP complete'!K812,"AAAAAG3et1E=")</f>
        <v>#VALUE!</v>
      </c>
      <c r="CE61" t="e">
        <f>AND('BBP complete'!L812,"AAAAAG3et1I=")</f>
        <v>#VALUE!</v>
      </c>
      <c r="CF61" t="e">
        <f>AND('BBP complete'!#REF!,"AAAAAG3et1M=")</f>
        <v>#REF!</v>
      </c>
      <c r="CG61" t="e">
        <f>AND('BBP complete'!#REF!,"AAAAAG3et1Q=")</f>
        <v>#REF!</v>
      </c>
      <c r="CH61" t="e">
        <f>AND('BBP complete'!#REF!,"AAAAAG3et1U=")</f>
        <v>#REF!</v>
      </c>
      <c r="CI61" t="e">
        <f>AND('BBP complete'!D813,"AAAAAG3et1Y=")</f>
        <v>#VALUE!</v>
      </c>
      <c r="CJ61" t="e">
        <f>AND('BBP complete'!F813,"AAAAAG3et1c=")</f>
        <v>#VALUE!</v>
      </c>
      <c r="CK61" t="e">
        <f>AND('BBP complete'!G813,"AAAAAG3et1g=")</f>
        <v>#VALUE!</v>
      </c>
      <c r="CL61" t="e">
        <f>AND('BBP complete'!H813,"AAAAAG3et1k=")</f>
        <v>#VALUE!</v>
      </c>
      <c r="CM61" t="e">
        <f>AND('BBP complete'!I813,"AAAAAG3et1o=")</f>
        <v>#VALUE!</v>
      </c>
      <c r="CN61" s="60" t="e">
        <v>#VALUE!</v>
      </c>
      <c r="CO61" t="e">
        <f>AND('BBP complete'!A813,"AAAAAG3et1w=")</f>
        <v>#VALUE!</v>
      </c>
      <c r="CP61" t="e">
        <f>AND('BBP complete'!B813,"AAAAAG3et10=")</f>
        <v>#VALUE!</v>
      </c>
      <c r="CQ61" t="e">
        <f>AND('BBP complete'!C813,"AAAAAG3et14=")</f>
        <v>#VALUE!</v>
      </c>
      <c r="CR61" t="e">
        <f>AND('BBP complete'!#REF!,"AAAAAG3et18=")</f>
        <v>#REF!</v>
      </c>
      <c r="CS61" t="e">
        <f>AND('BBP complete'!#REF!,"AAAAAG3et2A=")</f>
        <v>#REF!</v>
      </c>
      <c r="CT61" t="e">
        <f>AND('BBP complete'!#REF!,"AAAAAG3et2E=")</f>
        <v>#REF!</v>
      </c>
      <c r="CU61" t="e">
        <f>AND('BBP complete'!E813,"AAAAAG3et2I=")</f>
        <v>#VALUE!</v>
      </c>
      <c r="CV61" t="e">
        <f>AND('BBP complete'!#REF!,"AAAAAG3et2M=")</f>
        <v>#REF!</v>
      </c>
      <c r="CW61" t="e">
        <f>AND('BBP complete'!K813,"AAAAAG3et2Q=")</f>
        <v>#VALUE!</v>
      </c>
      <c r="CX61" t="e">
        <f>AND('BBP complete'!L813,"AAAAAG3et2U=")</f>
        <v>#VALUE!</v>
      </c>
      <c r="CY61" t="e">
        <f>AND('BBP complete'!#REF!,"AAAAAG3et2Y=")</f>
        <v>#REF!</v>
      </c>
      <c r="CZ61" t="e">
        <f>AND('BBP complete'!#REF!,"AAAAAG3et2c=")</f>
        <v>#REF!</v>
      </c>
      <c r="DA61" t="e">
        <f>AND('BBP complete'!#REF!,"AAAAAG3et2g=")</f>
        <v>#REF!</v>
      </c>
      <c r="DB61" t="e">
        <f>AND('BBP complete'!D814,"AAAAAG3et2k=")</f>
        <v>#VALUE!</v>
      </c>
      <c r="DC61" t="e">
        <f>AND('BBP complete'!F814,"AAAAAG3et2o=")</f>
        <v>#VALUE!</v>
      </c>
      <c r="DD61" t="e">
        <f>AND('BBP complete'!G814,"AAAAAG3et2s=")</f>
        <v>#VALUE!</v>
      </c>
      <c r="DE61" t="e">
        <f>AND('BBP complete'!H814,"AAAAAG3et2w=")</f>
        <v>#VALUE!</v>
      </c>
      <c r="DF61" t="e">
        <f>AND('BBP complete'!I814,"AAAAAG3et20=")</f>
        <v>#VALUE!</v>
      </c>
      <c r="DG61" s="60" t="e">
        <v>#VALUE!</v>
      </c>
      <c r="DH61" t="e">
        <f>AND('BBP complete'!A814,"AAAAAG3et28=")</f>
        <v>#VALUE!</v>
      </c>
      <c r="DI61" t="e">
        <f>AND('BBP complete'!B814,"AAAAAG3et3A=")</f>
        <v>#VALUE!</v>
      </c>
      <c r="DJ61" t="e">
        <f>AND('BBP complete'!C814,"AAAAAG3et3E=")</f>
        <v>#VALUE!</v>
      </c>
      <c r="DK61" t="e">
        <f>AND('BBP complete'!#REF!,"AAAAAG3et3I=")</f>
        <v>#REF!</v>
      </c>
      <c r="DL61" t="e">
        <f>AND('BBP complete'!#REF!,"AAAAAG3et3M=")</f>
        <v>#REF!</v>
      </c>
      <c r="DM61" t="e">
        <f>AND('BBP complete'!#REF!,"AAAAAG3et3Q=")</f>
        <v>#REF!</v>
      </c>
      <c r="DN61" t="e">
        <f>AND('BBP complete'!E814,"AAAAAG3et3U=")</f>
        <v>#VALUE!</v>
      </c>
      <c r="DO61" t="e">
        <f>AND('BBP complete'!#REF!,"AAAAAG3et3Y=")</f>
        <v>#REF!</v>
      </c>
      <c r="DP61" t="e">
        <f>AND('BBP complete'!K814,"AAAAAG3et3c=")</f>
        <v>#VALUE!</v>
      </c>
      <c r="DQ61" t="e">
        <f>AND('BBP complete'!L814,"AAAAAG3et3g=")</f>
        <v>#VALUE!</v>
      </c>
      <c r="DR61" t="e">
        <f>AND('BBP complete'!#REF!,"AAAAAG3et3k=")</f>
        <v>#REF!</v>
      </c>
      <c r="DS61" t="e">
        <f>AND('BBP complete'!#REF!,"AAAAAG3et3o=")</f>
        <v>#REF!</v>
      </c>
      <c r="DT61" t="e">
        <f>AND('BBP complete'!#REF!,"AAAAAG3et3s=")</f>
        <v>#REF!</v>
      </c>
      <c r="DU61" t="e">
        <f>AND('BBP complete'!D815,"AAAAAG3et3w=")</f>
        <v>#VALUE!</v>
      </c>
      <c r="DV61" t="e">
        <f>AND('BBP complete'!F815,"AAAAAG3et30=")</f>
        <v>#VALUE!</v>
      </c>
      <c r="DW61" t="e">
        <f>AND('BBP complete'!G815,"AAAAAG3et34=")</f>
        <v>#VALUE!</v>
      </c>
      <c r="DX61" t="e">
        <f>AND('BBP complete'!H815,"AAAAAG3et38=")</f>
        <v>#VALUE!</v>
      </c>
      <c r="DY61" t="e">
        <f>AND('BBP complete'!I815,"AAAAAG3et4A=")</f>
        <v>#VALUE!</v>
      </c>
      <c r="DZ61" s="60" t="e">
        <v>#VALUE!</v>
      </c>
      <c r="EA61" t="e">
        <f>AND('BBP complete'!A815,"AAAAAG3et4I=")</f>
        <v>#VALUE!</v>
      </c>
      <c r="EB61" t="e">
        <f>AND('BBP complete'!B815,"AAAAAG3et4M=")</f>
        <v>#VALUE!</v>
      </c>
      <c r="EC61" t="e">
        <f>AND('BBP complete'!C815,"AAAAAG3et4Q=")</f>
        <v>#VALUE!</v>
      </c>
      <c r="ED61" t="e">
        <f>AND('BBP complete'!#REF!,"AAAAAG3et4U=")</f>
        <v>#REF!</v>
      </c>
      <c r="EE61" t="e">
        <f>AND('BBP complete'!#REF!,"AAAAAG3et4Y=")</f>
        <v>#REF!</v>
      </c>
      <c r="EF61" t="e">
        <f>AND('BBP complete'!#REF!,"AAAAAG3et4c=")</f>
        <v>#REF!</v>
      </c>
      <c r="EG61" t="e">
        <f>AND('BBP complete'!E815,"AAAAAG3et4g=")</f>
        <v>#VALUE!</v>
      </c>
      <c r="EH61" t="e">
        <f>AND('BBP complete'!#REF!,"AAAAAG3et4k=")</f>
        <v>#REF!</v>
      </c>
      <c r="EI61" t="e">
        <f>AND('BBP complete'!K815,"AAAAAG3et4o=")</f>
        <v>#VALUE!</v>
      </c>
      <c r="EJ61" t="e">
        <f>AND('BBP complete'!L815,"AAAAAG3et4s=")</f>
        <v>#VALUE!</v>
      </c>
      <c r="EK61" t="e">
        <f>AND('BBP complete'!#REF!,"AAAAAG3et4w=")</f>
        <v>#REF!</v>
      </c>
      <c r="EL61" t="e">
        <f>AND('BBP complete'!#REF!,"AAAAAG3et40=")</f>
        <v>#REF!</v>
      </c>
      <c r="EM61" t="e">
        <f>AND('BBP complete'!#REF!,"AAAAAG3et44=")</f>
        <v>#REF!</v>
      </c>
      <c r="EN61" t="e">
        <f>AND('BBP complete'!D816,"AAAAAG3et48=")</f>
        <v>#VALUE!</v>
      </c>
      <c r="EO61" t="e">
        <f>AND('BBP complete'!F816,"AAAAAG3et5A=")</f>
        <v>#VALUE!</v>
      </c>
      <c r="EP61" t="e">
        <f>AND('BBP complete'!G816,"AAAAAG3et5E=")</f>
        <v>#VALUE!</v>
      </c>
      <c r="EQ61" t="e">
        <f>AND('BBP complete'!H816,"AAAAAG3et5I=")</f>
        <v>#VALUE!</v>
      </c>
      <c r="ER61" t="e">
        <f>AND('BBP complete'!I816,"AAAAAG3et5M=")</f>
        <v>#VALUE!</v>
      </c>
      <c r="ES61" s="60" t="e">
        <v>#VALUE!</v>
      </c>
      <c r="ET61" t="e">
        <f>AND('BBP complete'!A816,"AAAAAG3et5U=")</f>
        <v>#VALUE!</v>
      </c>
      <c r="EU61" t="e">
        <f>AND('BBP complete'!B816,"AAAAAG3et5Y=")</f>
        <v>#VALUE!</v>
      </c>
      <c r="EV61" t="e">
        <f>AND('BBP complete'!C816,"AAAAAG3et5c=")</f>
        <v>#VALUE!</v>
      </c>
      <c r="EW61" t="e">
        <f>AND('BBP complete'!#REF!,"AAAAAG3et5g=")</f>
        <v>#REF!</v>
      </c>
      <c r="EX61" t="e">
        <f>AND('BBP complete'!#REF!,"AAAAAG3et5k=")</f>
        <v>#REF!</v>
      </c>
      <c r="EY61" t="e">
        <f>AND('BBP complete'!#REF!,"AAAAAG3et5o=")</f>
        <v>#REF!</v>
      </c>
      <c r="EZ61" t="e">
        <f>AND('BBP complete'!E816,"AAAAAG3et5s=")</f>
        <v>#VALUE!</v>
      </c>
      <c r="FA61" t="e">
        <f>AND('BBP complete'!#REF!,"AAAAAG3et5w=")</f>
        <v>#REF!</v>
      </c>
      <c r="FB61" t="e">
        <f>AND('BBP complete'!K816,"AAAAAG3et50=")</f>
        <v>#VALUE!</v>
      </c>
      <c r="FC61" t="e">
        <f>AND('BBP complete'!L816,"AAAAAG3et54=")</f>
        <v>#VALUE!</v>
      </c>
      <c r="FD61" t="e">
        <f>AND('BBP complete'!#REF!,"AAAAAG3et58=")</f>
        <v>#REF!</v>
      </c>
      <c r="FE61" t="e">
        <f>AND('BBP complete'!#REF!,"AAAAAG3et6A=")</f>
        <v>#REF!</v>
      </c>
      <c r="FF61" t="e">
        <f>AND('BBP complete'!#REF!,"AAAAAG3et6E=")</f>
        <v>#REF!</v>
      </c>
      <c r="FG61" t="e">
        <f>AND('BBP complete'!D817,"AAAAAG3et6I=")</f>
        <v>#VALUE!</v>
      </c>
      <c r="FH61" t="e">
        <f>AND('BBP complete'!F817,"AAAAAG3et6M=")</f>
        <v>#VALUE!</v>
      </c>
      <c r="FI61" t="e">
        <f>AND('BBP complete'!G817,"AAAAAG3et6Q=")</f>
        <v>#VALUE!</v>
      </c>
      <c r="FJ61" t="e">
        <f>AND('BBP complete'!H817,"AAAAAG3et6U=")</f>
        <v>#VALUE!</v>
      </c>
      <c r="FK61" t="e">
        <f>AND('BBP complete'!I817,"AAAAAG3et6Y=")</f>
        <v>#VALUE!</v>
      </c>
      <c r="FL61" s="60" t="e">
        <v>#VALUE!</v>
      </c>
      <c r="FM61" t="e">
        <f>AND('BBP complete'!A817,"AAAAAG3et6g=")</f>
        <v>#VALUE!</v>
      </c>
      <c r="FN61" t="e">
        <f>AND('BBP complete'!B817,"AAAAAG3et6k=")</f>
        <v>#VALUE!</v>
      </c>
      <c r="FO61" t="e">
        <f>AND('BBP complete'!C817,"AAAAAG3et6o=")</f>
        <v>#VALUE!</v>
      </c>
      <c r="FP61" t="e">
        <f>AND('BBP complete'!#REF!,"AAAAAG3et6s=")</f>
        <v>#REF!</v>
      </c>
      <c r="FQ61" t="e">
        <f>AND('BBP complete'!#REF!,"AAAAAG3et6w=")</f>
        <v>#REF!</v>
      </c>
      <c r="FR61" t="e">
        <f>AND('BBP complete'!#REF!,"AAAAAG3et60=")</f>
        <v>#REF!</v>
      </c>
      <c r="FS61" t="e">
        <f>AND('BBP complete'!E817,"AAAAAG3et64=")</f>
        <v>#VALUE!</v>
      </c>
      <c r="FT61" t="e">
        <f>AND('BBP complete'!#REF!,"AAAAAG3et68=")</f>
        <v>#REF!</v>
      </c>
      <c r="FU61" t="e">
        <f>AND('BBP complete'!K817,"AAAAAG3et7A=")</f>
        <v>#VALUE!</v>
      </c>
      <c r="FV61" t="e">
        <f>AND('BBP complete'!L817,"AAAAAG3et7E=")</f>
        <v>#VALUE!</v>
      </c>
      <c r="FW61" t="e">
        <f>AND('BBP complete'!#REF!,"AAAAAG3et7I=")</f>
        <v>#REF!</v>
      </c>
      <c r="FX61" t="e">
        <f>AND('BBP complete'!#REF!,"AAAAAG3et7M=")</f>
        <v>#REF!</v>
      </c>
      <c r="FY61" t="e">
        <f>AND('BBP complete'!#REF!,"AAAAAG3et7Q=")</f>
        <v>#REF!</v>
      </c>
      <c r="FZ61" t="e">
        <f>AND('BBP complete'!D818,"AAAAAG3et7U=")</f>
        <v>#VALUE!</v>
      </c>
      <c r="GA61" t="e">
        <f>AND('BBP complete'!F818,"AAAAAG3et7Y=")</f>
        <v>#VALUE!</v>
      </c>
      <c r="GB61" t="e">
        <f>AND('BBP complete'!G818,"AAAAAG3et7c=")</f>
        <v>#VALUE!</v>
      </c>
      <c r="GC61" t="e">
        <f>AND('BBP complete'!H818,"AAAAAG3et7g=")</f>
        <v>#VALUE!</v>
      </c>
      <c r="GD61" t="e">
        <f>AND('BBP complete'!I818,"AAAAAG3et7k=")</f>
        <v>#VALUE!</v>
      </c>
      <c r="GE61" s="60" t="e">
        <v>#VALUE!</v>
      </c>
      <c r="GF61" t="e">
        <f>AND('BBP complete'!A818,"AAAAAG3et7s=")</f>
        <v>#VALUE!</v>
      </c>
      <c r="GG61" t="e">
        <f>AND('BBP complete'!B818,"AAAAAG3et7w=")</f>
        <v>#VALUE!</v>
      </c>
      <c r="GH61" t="e">
        <f>AND('BBP complete'!C818,"AAAAAG3et70=")</f>
        <v>#VALUE!</v>
      </c>
      <c r="GI61" t="e">
        <f>AND('BBP complete'!#REF!,"AAAAAG3et74=")</f>
        <v>#REF!</v>
      </c>
      <c r="GJ61" t="e">
        <f>AND('BBP complete'!#REF!,"AAAAAG3et78=")</f>
        <v>#REF!</v>
      </c>
      <c r="GK61" t="e">
        <f>AND('BBP complete'!#REF!,"AAAAAG3et8A=")</f>
        <v>#REF!</v>
      </c>
      <c r="GL61" t="e">
        <f>AND('BBP complete'!E818,"AAAAAG3et8E=")</f>
        <v>#VALUE!</v>
      </c>
      <c r="GM61" t="e">
        <f>AND('BBP complete'!#REF!,"AAAAAG3et8I=")</f>
        <v>#REF!</v>
      </c>
      <c r="GN61" t="e">
        <f>AND('BBP complete'!K818,"AAAAAG3et8M=")</f>
        <v>#VALUE!</v>
      </c>
      <c r="GO61" t="e">
        <f>AND('BBP complete'!L818,"AAAAAG3et8Q=")</f>
        <v>#VALUE!</v>
      </c>
      <c r="GP61" t="e">
        <f>AND('BBP complete'!#REF!,"AAAAAG3et8U=")</f>
        <v>#REF!</v>
      </c>
      <c r="GQ61" t="e">
        <f>AND('BBP complete'!#REF!,"AAAAAG3et8Y=")</f>
        <v>#REF!</v>
      </c>
      <c r="GR61" t="e">
        <f>AND('BBP complete'!#REF!,"AAAAAG3et8c=")</f>
        <v>#REF!</v>
      </c>
      <c r="GS61" t="e">
        <f>AND('BBP complete'!D819,"AAAAAG3et8g=")</f>
        <v>#VALUE!</v>
      </c>
      <c r="GT61" t="e">
        <f>AND('BBP complete'!F819,"AAAAAG3et8k=")</f>
        <v>#VALUE!</v>
      </c>
      <c r="GU61" t="e">
        <f>AND('BBP complete'!G819,"AAAAAG3et8o=")</f>
        <v>#VALUE!</v>
      </c>
      <c r="GV61" t="e">
        <f>AND('BBP complete'!H819,"AAAAAG3et8s=")</f>
        <v>#VALUE!</v>
      </c>
      <c r="GW61" t="e">
        <f>AND('BBP complete'!I819,"AAAAAG3et8w=")</f>
        <v>#VALUE!</v>
      </c>
      <c r="GX61" s="60" t="e">
        <v>#VALUE!</v>
      </c>
      <c r="GY61" t="e">
        <f>AND('BBP complete'!A819,"AAAAAG3et84=")</f>
        <v>#VALUE!</v>
      </c>
      <c r="GZ61" t="e">
        <f>AND('BBP complete'!B819,"AAAAAG3et88=")</f>
        <v>#VALUE!</v>
      </c>
      <c r="HA61" t="e">
        <f>AND('BBP complete'!C819,"AAAAAG3et9A=")</f>
        <v>#VALUE!</v>
      </c>
      <c r="HB61" t="e">
        <f>AND('BBP complete'!#REF!,"AAAAAG3et9E=")</f>
        <v>#REF!</v>
      </c>
      <c r="HC61" t="e">
        <f>AND('BBP complete'!#REF!,"AAAAAG3et9I=")</f>
        <v>#REF!</v>
      </c>
      <c r="HD61" t="e">
        <f>AND('BBP complete'!#REF!,"AAAAAG3et9M=")</f>
        <v>#REF!</v>
      </c>
      <c r="HE61" t="e">
        <f>AND('BBP complete'!E819,"AAAAAG3et9Q=")</f>
        <v>#VALUE!</v>
      </c>
      <c r="HF61" t="e">
        <f>AND('BBP complete'!#REF!,"AAAAAG3et9U=")</f>
        <v>#REF!</v>
      </c>
      <c r="HG61" t="e">
        <f>AND('BBP complete'!K819,"AAAAAG3et9Y=")</f>
        <v>#VALUE!</v>
      </c>
      <c r="HH61" t="e">
        <f>AND('BBP complete'!L819,"AAAAAG3et9c=")</f>
        <v>#VALUE!</v>
      </c>
      <c r="HI61" t="e">
        <f>AND('BBP complete'!#REF!,"AAAAAG3et9g=")</f>
        <v>#REF!</v>
      </c>
      <c r="HJ61" t="e">
        <f>AND('BBP complete'!#REF!,"AAAAAG3et9k=")</f>
        <v>#REF!</v>
      </c>
      <c r="HK61" t="e">
        <f>AND('BBP complete'!#REF!,"AAAAAG3et9o=")</f>
        <v>#REF!</v>
      </c>
      <c r="HL61" t="e">
        <f>AND('BBP complete'!D820,"AAAAAG3et9s=")</f>
        <v>#VALUE!</v>
      </c>
      <c r="HM61" t="e">
        <f>AND('BBP complete'!F820,"AAAAAG3et9w=")</f>
        <v>#VALUE!</v>
      </c>
      <c r="HN61" t="e">
        <f>AND('BBP complete'!G820,"AAAAAG3et90=")</f>
        <v>#VALUE!</v>
      </c>
      <c r="HO61" t="e">
        <f>AND('BBP complete'!H820,"AAAAAG3et94=")</f>
        <v>#VALUE!</v>
      </c>
      <c r="HP61" t="e">
        <f>AND('BBP complete'!I820,"AAAAAG3et98=")</f>
        <v>#VALUE!</v>
      </c>
      <c r="HQ61" s="60" t="e">
        <v>#VALUE!</v>
      </c>
      <c r="HR61" t="e">
        <f>AND('BBP complete'!A820,"AAAAAG3et+E=")</f>
        <v>#VALUE!</v>
      </c>
      <c r="HS61" t="e">
        <f>AND('BBP complete'!B820,"AAAAAG3et+I=")</f>
        <v>#VALUE!</v>
      </c>
      <c r="HT61" t="e">
        <f>AND('BBP complete'!C820,"AAAAAG3et+M=")</f>
        <v>#VALUE!</v>
      </c>
      <c r="HU61" t="e">
        <f>AND('BBP complete'!#REF!,"AAAAAG3et+Q=")</f>
        <v>#REF!</v>
      </c>
      <c r="HV61" t="e">
        <f>AND('BBP complete'!#REF!,"AAAAAG3et+U=")</f>
        <v>#REF!</v>
      </c>
      <c r="HW61" t="e">
        <f>AND('BBP complete'!#REF!,"AAAAAG3et+Y=")</f>
        <v>#REF!</v>
      </c>
      <c r="HX61" t="e">
        <f>AND('BBP complete'!E820,"AAAAAG3et+c=")</f>
        <v>#VALUE!</v>
      </c>
      <c r="HY61" t="e">
        <f>AND('BBP complete'!#REF!,"AAAAAG3et+g=")</f>
        <v>#REF!</v>
      </c>
      <c r="HZ61" t="e">
        <f>AND('BBP complete'!K820,"AAAAAG3et+k=")</f>
        <v>#VALUE!</v>
      </c>
      <c r="IA61" t="e">
        <f>AND('BBP complete'!L820,"AAAAAG3et+o=")</f>
        <v>#VALUE!</v>
      </c>
      <c r="IB61" t="e">
        <f>AND('BBP complete'!#REF!,"AAAAAG3et+s=")</f>
        <v>#REF!</v>
      </c>
      <c r="IC61" t="e">
        <f>AND('BBP complete'!#REF!,"AAAAAG3et+w=")</f>
        <v>#REF!</v>
      </c>
      <c r="ID61" t="e">
        <f>AND('BBP complete'!#REF!,"AAAAAG3et+0=")</f>
        <v>#REF!</v>
      </c>
      <c r="IE61" t="e">
        <f>AND('BBP complete'!D821,"AAAAAG3et+4=")</f>
        <v>#VALUE!</v>
      </c>
      <c r="IF61" t="e">
        <f>AND('BBP complete'!F821,"AAAAAG3et+8=")</f>
        <v>#VALUE!</v>
      </c>
      <c r="IG61" t="e">
        <f>AND('BBP complete'!G821,"AAAAAG3et/A=")</f>
        <v>#VALUE!</v>
      </c>
      <c r="IH61" t="e">
        <f>AND('BBP complete'!H821,"AAAAAG3et/E=")</f>
        <v>#VALUE!</v>
      </c>
      <c r="II61" t="e">
        <f>AND('BBP complete'!I821,"AAAAAG3et/I=")</f>
        <v>#VALUE!</v>
      </c>
      <c r="IJ61" s="60" t="e">
        <v>#VALUE!</v>
      </c>
      <c r="IK61" t="e">
        <f>AND('BBP complete'!A821,"AAAAAG3et/Q=")</f>
        <v>#VALUE!</v>
      </c>
      <c r="IL61" t="e">
        <f>AND('BBP complete'!B821,"AAAAAG3et/U=")</f>
        <v>#VALUE!</v>
      </c>
      <c r="IM61" t="e">
        <f>AND('BBP complete'!C821,"AAAAAG3et/Y=")</f>
        <v>#VALUE!</v>
      </c>
      <c r="IN61" t="e">
        <f>AND('BBP complete'!#REF!,"AAAAAG3et/c=")</f>
        <v>#REF!</v>
      </c>
      <c r="IO61" t="e">
        <f>AND('BBP complete'!#REF!,"AAAAAG3et/g=")</f>
        <v>#REF!</v>
      </c>
      <c r="IP61" t="e">
        <f>AND('BBP complete'!#REF!,"AAAAAG3et/k=")</f>
        <v>#REF!</v>
      </c>
      <c r="IQ61" t="e">
        <f>AND('BBP complete'!E821,"AAAAAG3et/o=")</f>
        <v>#VALUE!</v>
      </c>
      <c r="IR61" t="e">
        <f>AND('BBP complete'!#REF!,"AAAAAG3et/s=")</f>
        <v>#REF!</v>
      </c>
      <c r="IS61" t="e">
        <f>AND('BBP complete'!K821,"AAAAAG3et/w=")</f>
        <v>#VALUE!</v>
      </c>
      <c r="IT61" t="e">
        <f>AND('BBP complete'!L821,"AAAAAG3et/0=")</f>
        <v>#VALUE!</v>
      </c>
      <c r="IU61" t="e">
        <f>AND('BBP complete'!#REF!,"AAAAAG3et/4=")</f>
        <v>#REF!</v>
      </c>
      <c r="IV61" t="e">
        <f>AND('BBP complete'!#REF!,"AAAAAG3et/8=")</f>
        <v>#REF!</v>
      </c>
    </row>
    <row r="62" spans="1:256" ht="15" customHeight="1" x14ac:dyDescent="0.25">
      <c r="A62" t="e">
        <f>AND('BBP complete'!#REF!,"AAAAAEN6/wA=")</f>
        <v>#REF!</v>
      </c>
      <c r="B62" t="e">
        <f>AND('BBP complete'!D822,"AAAAAEN6/wE=")</f>
        <v>#VALUE!</v>
      </c>
      <c r="C62" t="e">
        <f>AND('BBP complete'!F822,"AAAAAEN6/wI=")</f>
        <v>#VALUE!</v>
      </c>
      <c r="D62" t="e">
        <f>AND('BBP complete'!G822,"AAAAAEN6/wM=")</f>
        <v>#VALUE!</v>
      </c>
      <c r="E62" t="e">
        <f>AND('BBP complete'!H822,"AAAAAEN6/wQ=")</f>
        <v>#VALUE!</v>
      </c>
      <c r="F62" t="e">
        <f>AND('BBP complete'!I822,"AAAAAEN6/wU=")</f>
        <v>#VALUE!</v>
      </c>
      <c r="G62" s="60" t="e">
        <v>#VALUE!</v>
      </c>
      <c r="H62" t="e">
        <f>AND('BBP complete'!A822,"AAAAAEN6/wc=")</f>
        <v>#VALUE!</v>
      </c>
      <c r="I62" t="e">
        <f>AND('BBP complete'!B822,"AAAAAEN6/wg=")</f>
        <v>#VALUE!</v>
      </c>
      <c r="J62" t="e">
        <f>AND('BBP complete'!C822,"AAAAAEN6/wk=")</f>
        <v>#VALUE!</v>
      </c>
      <c r="K62" t="e">
        <f>AND('BBP complete'!#REF!,"AAAAAEN6/wo=")</f>
        <v>#REF!</v>
      </c>
      <c r="L62" t="e">
        <f>AND('BBP complete'!#REF!,"AAAAAEN6/ws=")</f>
        <v>#REF!</v>
      </c>
      <c r="M62" t="e">
        <f>AND('BBP complete'!#REF!,"AAAAAEN6/ww=")</f>
        <v>#REF!</v>
      </c>
      <c r="N62" t="e">
        <f>AND('BBP complete'!E822,"AAAAAEN6/w0=")</f>
        <v>#VALUE!</v>
      </c>
      <c r="O62" t="e">
        <f>AND('BBP complete'!#REF!,"AAAAAEN6/w4=")</f>
        <v>#REF!</v>
      </c>
      <c r="P62" t="e">
        <f>AND('BBP complete'!K822,"AAAAAEN6/w8=")</f>
        <v>#VALUE!</v>
      </c>
      <c r="Q62" t="e">
        <f>AND('BBP complete'!L822,"AAAAAEN6/xA=")</f>
        <v>#VALUE!</v>
      </c>
      <c r="R62" t="e">
        <f>AND('BBP complete'!#REF!,"AAAAAEN6/xE=")</f>
        <v>#REF!</v>
      </c>
      <c r="S62" t="e">
        <f>AND('BBP complete'!#REF!,"AAAAAEN6/xI=")</f>
        <v>#REF!</v>
      </c>
      <c r="T62" t="e">
        <f>AND('BBP complete'!#REF!,"AAAAAEN6/xM=")</f>
        <v>#REF!</v>
      </c>
      <c r="U62" t="e">
        <f>AND('BBP complete'!D823,"AAAAAEN6/xQ=")</f>
        <v>#VALUE!</v>
      </c>
      <c r="V62" t="e">
        <f>AND('BBP complete'!F823,"AAAAAEN6/xU=")</f>
        <v>#VALUE!</v>
      </c>
      <c r="W62" t="e">
        <f>AND('BBP complete'!G823,"AAAAAEN6/xY=")</f>
        <v>#VALUE!</v>
      </c>
      <c r="X62" t="e">
        <f>AND('BBP complete'!H823,"AAAAAEN6/xc=")</f>
        <v>#VALUE!</v>
      </c>
      <c r="Y62" t="e">
        <f>AND('BBP complete'!I823,"AAAAAEN6/xg=")</f>
        <v>#VALUE!</v>
      </c>
      <c r="Z62" s="60" t="e">
        <v>#VALUE!</v>
      </c>
      <c r="AA62" t="e">
        <f>AND('BBP complete'!A823,"AAAAAEN6/xo=")</f>
        <v>#VALUE!</v>
      </c>
      <c r="AB62" t="e">
        <f>AND('BBP complete'!B823,"AAAAAEN6/xs=")</f>
        <v>#VALUE!</v>
      </c>
      <c r="AC62" t="e">
        <f>AND('BBP complete'!C823,"AAAAAEN6/xw=")</f>
        <v>#VALUE!</v>
      </c>
      <c r="AD62" t="e">
        <f>AND('BBP complete'!#REF!,"AAAAAEN6/x0=")</f>
        <v>#REF!</v>
      </c>
      <c r="AE62" t="e">
        <f>AND('BBP complete'!#REF!,"AAAAAEN6/x4=")</f>
        <v>#REF!</v>
      </c>
      <c r="AF62" t="e">
        <f>AND('BBP complete'!#REF!,"AAAAAEN6/x8=")</f>
        <v>#REF!</v>
      </c>
      <c r="AG62" t="e">
        <f>AND('BBP complete'!E823,"AAAAAEN6/yA=")</f>
        <v>#VALUE!</v>
      </c>
      <c r="AH62" t="e">
        <f>AND('BBP complete'!#REF!,"AAAAAEN6/yE=")</f>
        <v>#REF!</v>
      </c>
      <c r="AI62" t="e">
        <f>AND('BBP complete'!K823,"AAAAAEN6/yI=")</f>
        <v>#VALUE!</v>
      </c>
      <c r="AJ62" t="e">
        <f>AND('BBP complete'!L823,"AAAAAEN6/yM=")</f>
        <v>#VALUE!</v>
      </c>
      <c r="AK62" t="e">
        <f>AND('BBP complete'!#REF!,"AAAAAEN6/yQ=")</f>
        <v>#REF!</v>
      </c>
      <c r="AL62" t="e">
        <f>AND('BBP complete'!#REF!,"AAAAAEN6/yU=")</f>
        <v>#REF!</v>
      </c>
      <c r="AM62" t="e">
        <f>AND('BBP complete'!#REF!,"AAAAAEN6/yY=")</f>
        <v>#REF!</v>
      </c>
      <c r="AN62" t="e">
        <f>AND('BBP complete'!D824,"AAAAAEN6/yc=")</f>
        <v>#VALUE!</v>
      </c>
      <c r="AO62" t="e">
        <f>AND('BBP complete'!F824,"AAAAAEN6/yg=")</f>
        <v>#VALUE!</v>
      </c>
      <c r="AP62" t="e">
        <f>AND('BBP complete'!G824,"AAAAAEN6/yk=")</f>
        <v>#VALUE!</v>
      </c>
      <c r="AQ62" t="e">
        <f>AND('BBP complete'!H824,"AAAAAEN6/yo=")</f>
        <v>#VALUE!</v>
      </c>
      <c r="AR62" t="e">
        <f>AND('BBP complete'!I824,"AAAAAEN6/ys=")</f>
        <v>#VALUE!</v>
      </c>
      <c r="AS62" s="60" t="e">
        <v>#VALUE!</v>
      </c>
      <c r="AT62" t="e">
        <f>AND('BBP complete'!A824,"AAAAAEN6/y0=")</f>
        <v>#VALUE!</v>
      </c>
      <c r="AU62" t="e">
        <f>AND('BBP complete'!B824,"AAAAAEN6/y4=")</f>
        <v>#VALUE!</v>
      </c>
      <c r="AV62" t="e">
        <f>AND('BBP complete'!C824,"AAAAAEN6/y8=")</f>
        <v>#VALUE!</v>
      </c>
      <c r="AW62" t="e">
        <f>AND('BBP complete'!#REF!,"AAAAAEN6/zA=")</f>
        <v>#REF!</v>
      </c>
      <c r="AX62" t="e">
        <f>AND('BBP complete'!#REF!,"AAAAAEN6/zE=")</f>
        <v>#REF!</v>
      </c>
      <c r="AY62" t="e">
        <f>AND('BBP complete'!#REF!,"AAAAAEN6/zI=")</f>
        <v>#REF!</v>
      </c>
      <c r="AZ62" t="e">
        <f>AND('BBP complete'!E824,"AAAAAEN6/zM=")</f>
        <v>#VALUE!</v>
      </c>
      <c r="BA62" t="e">
        <f>AND('BBP complete'!#REF!,"AAAAAEN6/zQ=")</f>
        <v>#REF!</v>
      </c>
      <c r="BB62" t="e">
        <f>AND('BBP complete'!K824,"AAAAAEN6/zU=")</f>
        <v>#VALUE!</v>
      </c>
      <c r="BC62" t="e">
        <f>AND('BBP complete'!L824,"AAAAAEN6/zY=")</f>
        <v>#VALUE!</v>
      </c>
      <c r="BD62" t="e">
        <f>AND('BBP complete'!#REF!,"AAAAAEN6/zc=")</f>
        <v>#REF!</v>
      </c>
      <c r="BE62" t="e">
        <f>AND('BBP complete'!#REF!,"AAAAAEN6/zg=")</f>
        <v>#REF!</v>
      </c>
      <c r="BF62" t="e">
        <f>AND('BBP complete'!#REF!,"AAAAAEN6/zk=")</f>
        <v>#REF!</v>
      </c>
      <c r="BG62" t="e">
        <f>AND('BBP complete'!D825,"AAAAAEN6/zo=")</f>
        <v>#VALUE!</v>
      </c>
      <c r="BH62" t="e">
        <f>AND('BBP complete'!F825,"AAAAAEN6/zs=")</f>
        <v>#VALUE!</v>
      </c>
      <c r="BI62" t="e">
        <f>AND('BBP complete'!G825,"AAAAAEN6/zw=")</f>
        <v>#VALUE!</v>
      </c>
      <c r="BJ62" t="e">
        <f>AND('BBP complete'!H825,"AAAAAEN6/z0=")</f>
        <v>#VALUE!</v>
      </c>
      <c r="BK62" t="e">
        <f>AND('BBP complete'!I825,"AAAAAEN6/z4=")</f>
        <v>#VALUE!</v>
      </c>
      <c r="BL62" s="60" t="e">
        <v>#VALUE!</v>
      </c>
      <c r="BM62" t="e">
        <f>AND('BBP complete'!A825,"AAAAAEN6/0A=")</f>
        <v>#VALUE!</v>
      </c>
      <c r="BN62" t="e">
        <f>AND('BBP complete'!B825,"AAAAAEN6/0E=")</f>
        <v>#VALUE!</v>
      </c>
      <c r="BO62" t="e">
        <f>AND('BBP complete'!C825,"AAAAAEN6/0I=")</f>
        <v>#VALUE!</v>
      </c>
      <c r="BP62" t="e">
        <f>AND('BBP complete'!#REF!,"AAAAAEN6/0M=")</f>
        <v>#REF!</v>
      </c>
      <c r="BQ62" t="e">
        <f>AND('BBP complete'!#REF!,"AAAAAEN6/0Q=")</f>
        <v>#REF!</v>
      </c>
      <c r="BR62" t="e">
        <f>AND('BBP complete'!#REF!,"AAAAAEN6/0U=")</f>
        <v>#REF!</v>
      </c>
      <c r="BS62" t="e">
        <f>AND('BBP complete'!E825,"AAAAAEN6/0Y=")</f>
        <v>#VALUE!</v>
      </c>
      <c r="BT62" t="e">
        <f>AND('BBP complete'!#REF!,"AAAAAEN6/0c=")</f>
        <v>#REF!</v>
      </c>
      <c r="BU62" t="e">
        <f>AND('BBP complete'!K825,"AAAAAEN6/0g=")</f>
        <v>#VALUE!</v>
      </c>
      <c r="BV62" t="e">
        <f>AND('BBP complete'!L825,"AAAAAEN6/0k=")</f>
        <v>#VALUE!</v>
      </c>
      <c r="BW62" t="e">
        <f>AND('BBP complete'!#REF!,"AAAAAEN6/0o=")</f>
        <v>#REF!</v>
      </c>
      <c r="BX62" t="e">
        <f>AND('BBP complete'!#REF!,"AAAAAEN6/0s=")</f>
        <v>#REF!</v>
      </c>
      <c r="BY62" t="e">
        <f>AND('BBP complete'!#REF!,"AAAAAEN6/0w=")</f>
        <v>#REF!</v>
      </c>
      <c r="BZ62" t="e">
        <f>AND('BBP complete'!D826,"AAAAAEN6/00=")</f>
        <v>#VALUE!</v>
      </c>
      <c r="CA62" t="e">
        <f>AND('BBP complete'!F826,"AAAAAEN6/04=")</f>
        <v>#VALUE!</v>
      </c>
      <c r="CB62" t="e">
        <f>AND('BBP complete'!G826,"AAAAAEN6/08=")</f>
        <v>#VALUE!</v>
      </c>
      <c r="CC62" t="e">
        <f>AND('BBP complete'!H826,"AAAAAEN6/1A=")</f>
        <v>#VALUE!</v>
      </c>
      <c r="CD62" t="e">
        <f>AND('BBP complete'!I826,"AAAAAEN6/1E=")</f>
        <v>#VALUE!</v>
      </c>
      <c r="CE62" s="60" t="e">
        <v>#VALUE!</v>
      </c>
      <c r="CF62" t="e">
        <f>AND('BBP complete'!A826,"AAAAAEN6/1M=")</f>
        <v>#VALUE!</v>
      </c>
      <c r="CG62" t="e">
        <f>AND('BBP complete'!B826,"AAAAAEN6/1Q=")</f>
        <v>#VALUE!</v>
      </c>
      <c r="CH62" t="e">
        <f>AND('BBP complete'!C826,"AAAAAEN6/1U=")</f>
        <v>#VALUE!</v>
      </c>
      <c r="CI62" t="e">
        <f>AND('BBP complete'!#REF!,"AAAAAEN6/1Y=")</f>
        <v>#REF!</v>
      </c>
      <c r="CJ62" t="e">
        <f>AND('BBP complete'!#REF!,"AAAAAEN6/1c=")</f>
        <v>#REF!</v>
      </c>
      <c r="CK62" t="e">
        <f>AND('BBP complete'!#REF!,"AAAAAEN6/1g=")</f>
        <v>#REF!</v>
      </c>
      <c r="CL62" t="e">
        <f>AND('BBP complete'!E826,"AAAAAEN6/1k=")</f>
        <v>#VALUE!</v>
      </c>
      <c r="CM62" t="e">
        <f>AND('BBP complete'!#REF!,"AAAAAEN6/1o=")</f>
        <v>#REF!</v>
      </c>
      <c r="CN62" t="e">
        <f>AND('BBP complete'!K826,"AAAAAEN6/1s=")</f>
        <v>#VALUE!</v>
      </c>
      <c r="CO62" t="e">
        <f>AND('BBP complete'!L826,"AAAAAEN6/1w=")</f>
        <v>#VALUE!</v>
      </c>
      <c r="CP62" t="e">
        <f>AND('BBP complete'!#REF!,"AAAAAEN6/10=")</f>
        <v>#REF!</v>
      </c>
      <c r="CQ62" t="e">
        <f>AND('BBP complete'!#REF!,"AAAAAEN6/14=")</f>
        <v>#REF!</v>
      </c>
      <c r="CR62" t="e">
        <f>AND('BBP complete'!#REF!,"AAAAAEN6/18=")</f>
        <v>#REF!</v>
      </c>
      <c r="CS62" t="e">
        <f>AND('BBP complete'!D827,"AAAAAEN6/2A=")</f>
        <v>#VALUE!</v>
      </c>
      <c r="CT62" t="e">
        <f>AND('BBP complete'!F827,"AAAAAEN6/2E=")</f>
        <v>#VALUE!</v>
      </c>
      <c r="CU62" t="e">
        <f>AND('BBP complete'!G827,"AAAAAEN6/2I=")</f>
        <v>#VALUE!</v>
      </c>
      <c r="CV62" t="e">
        <f>AND('BBP complete'!H827,"AAAAAEN6/2M=")</f>
        <v>#VALUE!</v>
      </c>
      <c r="CW62" t="e">
        <f>AND('BBP complete'!I827,"AAAAAEN6/2Q=")</f>
        <v>#VALUE!</v>
      </c>
      <c r="CX62" s="60" t="e">
        <v>#VALUE!</v>
      </c>
      <c r="CY62" t="e">
        <f>AND('BBP complete'!A827,"AAAAAEN6/2Y=")</f>
        <v>#VALUE!</v>
      </c>
      <c r="CZ62" t="e">
        <f>AND('BBP complete'!B827,"AAAAAEN6/2c=")</f>
        <v>#VALUE!</v>
      </c>
      <c r="DA62" t="e">
        <f>AND('BBP complete'!C827,"AAAAAEN6/2g=")</f>
        <v>#VALUE!</v>
      </c>
      <c r="DB62" t="e">
        <f>AND('BBP complete'!#REF!,"AAAAAEN6/2k=")</f>
        <v>#REF!</v>
      </c>
      <c r="DC62" t="e">
        <f>AND('BBP complete'!#REF!,"AAAAAEN6/2o=")</f>
        <v>#REF!</v>
      </c>
      <c r="DD62" t="e">
        <f>AND('BBP complete'!#REF!,"AAAAAEN6/2s=")</f>
        <v>#REF!</v>
      </c>
      <c r="DE62" t="e">
        <f>AND('BBP complete'!E827,"AAAAAEN6/2w=")</f>
        <v>#VALUE!</v>
      </c>
      <c r="DF62" t="e">
        <f>AND('BBP complete'!#REF!,"AAAAAEN6/20=")</f>
        <v>#REF!</v>
      </c>
      <c r="DG62" t="e">
        <f>AND('BBP complete'!K827,"AAAAAEN6/24=")</f>
        <v>#VALUE!</v>
      </c>
      <c r="DH62" t="e">
        <f>AND('BBP complete'!L827,"AAAAAEN6/28=")</f>
        <v>#VALUE!</v>
      </c>
      <c r="DI62" t="e">
        <f>AND('BBP complete'!#REF!,"AAAAAEN6/3A=")</f>
        <v>#REF!</v>
      </c>
      <c r="DJ62" t="e">
        <f>AND('BBP complete'!#REF!,"AAAAAEN6/3E=")</f>
        <v>#REF!</v>
      </c>
      <c r="DK62" t="e">
        <f>AND('BBP complete'!#REF!,"AAAAAEN6/3I=")</f>
        <v>#REF!</v>
      </c>
      <c r="DL62" t="e">
        <f>AND('BBP complete'!D828,"AAAAAEN6/3M=")</f>
        <v>#VALUE!</v>
      </c>
      <c r="DM62" t="e">
        <f>AND('BBP complete'!F828,"AAAAAEN6/3Q=")</f>
        <v>#VALUE!</v>
      </c>
      <c r="DN62" t="e">
        <f>AND('BBP complete'!G828,"AAAAAEN6/3U=")</f>
        <v>#VALUE!</v>
      </c>
      <c r="DO62" t="e">
        <f>AND('BBP complete'!H828,"AAAAAEN6/3Y=")</f>
        <v>#VALUE!</v>
      </c>
      <c r="DP62" t="e">
        <f>AND('BBP complete'!I828,"AAAAAEN6/3c=")</f>
        <v>#VALUE!</v>
      </c>
      <c r="DQ62" s="60" t="e">
        <v>#VALUE!</v>
      </c>
      <c r="DR62" t="e">
        <f>AND('BBP complete'!A828,"AAAAAEN6/3k=")</f>
        <v>#VALUE!</v>
      </c>
      <c r="DS62" t="e">
        <f>AND('BBP complete'!B828,"AAAAAEN6/3o=")</f>
        <v>#VALUE!</v>
      </c>
      <c r="DT62" t="e">
        <f>AND('BBP complete'!C828,"AAAAAEN6/3s=")</f>
        <v>#VALUE!</v>
      </c>
      <c r="DU62" t="e">
        <f>AND('BBP complete'!#REF!,"AAAAAEN6/3w=")</f>
        <v>#REF!</v>
      </c>
      <c r="DV62" t="e">
        <f>AND('BBP complete'!#REF!,"AAAAAEN6/30=")</f>
        <v>#REF!</v>
      </c>
      <c r="DW62" t="e">
        <f>AND('BBP complete'!#REF!,"AAAAAEN6/34=")</f>
        <v>#REF!</v>
      </c>
      <c r="DX62" t="e">
        <f>AND('BBP complete'!E828,"AAAAAEN6/38=")</f>
        <v>#VALUE!</v>
      </c>
      <c r="DY62" t="e">
        <f>AND('BBP complete'!#REF!,"AAAAAEN6/4A=")</f>
        <v>#REF!</v>
      </c>
      <c r="DZ62" t="e">
        <f>AND('BBP complete'!K828,"AAAAAEN6/4E=")</f>
        <v>#VALUE!</v>
      </c>
      <c r="EA62" t="e">
        <f>AND('BBP complete'!L828,"AAAAAEN6/4I=")</f>
        <v>#VALUE!</v>
      </c>
      <c r="EB62" t="e">
        <f>AND('BBP complete'!#REF!,"AAAAAEN6/4M=")</f>
        <v>#REF!</v>
      </c>
      <c r="EC62" t="e">
        <f>AND('BBP complete'!#REF!,"AAAAAEN6/4Q=")</f>
        <v>#REF!</v>
      </c>
      <c r="ED62" t="e">
        <f>AND('BBP complete'!#REF!,"AAAAAEN6/4U=")</f>
        <v>#REF!</v>
      </c>
      <c r="EE62" t="e">
        <f>AND('BBP complete'!D829,"AAAAAEN6/4Y=")</f>
        <v>#VALUE!</v>
      </c>
      <c r="EF62" t="e">
        <f>AND('BBP complete'!F829,"AAAAAEN6/4c=")</f>
        <v>#VALUE!</v>
      </c>
      <c r="EG62" t="e">
        <f>AND('BBP complete'!G829,"AAAAAEN6/4g=")</f>
        <v>#VALUE!</v>
      </c>
      <c r="EH62" t="e">
        <f>AND('BBP complete'!H829,"AAAAAEN6/4k=")</f>
        <v>#VALUE!</v>
      </c>
      <c r="EI62" t="e">
        <f>AND('BBP complete'!I829,"AAAAAEN6/4o=")</f>
        <v>#VALUE!</v>
      </c>
      <c r="EJ62" s="60" t="e">
        <v>#VALUE!</v>
      </c>
      <c r="EK62" t="e">
        <f>AND('BBP complete'!A829,"AAAAAEN6/4w=")</f>
        <v>#VALUE!</v>
      </c>
      <c r="EL62" t="e">
        <f>AND('BBP complete'!B829,"AAAAAEN6/40=")</f>
        <v>#VALUE!</v>
      </c>
      <c r="EM62" t="e">
        <f>AND('BBP complete'!C829,"AAAAAEN6/44=")</f>
        <v>#VALUE!</v>
      </c>
      <c r="EN62" t="e">
        <f>AND('BBP complete'!#REF!,"AAAAAEN6/48=")</f>
        <v>#REF!</v>
      </c>
      <c r="EO62" t="e">
        <f>AND('BBP complete'!#REF!,"AAAAAEN6/5A=")</f>
        <v>#REF!</v>
      </c>
      <c r="EP62" t="e">
        <f>AND('BBP complete'!#REF!,"AAAAAEN6/5E=")</f>
        <v>#REF!</v>
      </c>
      <c r="EQ62" t="e">
        <f>AND('BBP complete'!E829,"AAAAAEN6/5I=")</f>
        <v>#VALUE!</v>
      </c>
      <c r="ER62" t="e">
        <f>AND('BBP complete'!#REF!,"AAAAAEN6/5M=")</f>
        <v>#REF!</v>
      </c>
      <c r="ES62" t="e">
        <f>AND('BBP complete'!K829,"AAAAAEN6/5Q=")</f>
        <v>#VALUE!</v>
      </c>
      <c r="ET62" t="e">
        <f>AND('BBP complete'!L829,"AAAAAEN6/5U=")</f>
        <v>#VALUE!</v>
      </c>
      <c r="EU62" t="e">
        <f>AND('BBP complete'!#REF!,"AAAAAEN6/5Y=")</f>
        <v>#REF!</v>
      </c>
      <c r="EV62" t="e">
        <f>AND('BBP complete'!#REF!,"AAAAAEN6/5c=")</f>
        <v>#REF!</v>
      </c>
      <c r="EW62" t="e">
        <f>AND('BBP complete'!#REF!,"AAAAAEN6/5g=")</f>
        <v>#REF!</v>
      </c>
      <c r="EX62" t="e">
        <f>AND('BBP complete'!D830,"AAAAAEN6/5k=")</f>
        <v>#VALUE!</v>
      </c>
      <c r="EY62" t="e">
        <f>AND('BBP complete'!F830,"AAAAAEN6/5o=")</f>
        <v>#VALUE!</v>
      </c>
      <c r="EZ62" t="e">
        <f>AND('BBP complete'!G830,"AAAAAEN6/5s=")</f>
        <v>#VALUE!</v>
      </c>
      <c r="FA62" t="e">
        <f>AND('BBP complete'!H830,"AAAAAEN6/5w=")</f>
        <v>#VALUE!</v>
      </c>
      <c r="FB62" t="e">
        <f>AND('BBP complete'!I830,"AAAAAEN6/50=")</f>
        <v>#VALUE!</v>
      </c>
      <c r="FC62" s="60" t="e">
        <v>#VALUE!</v>
      </c>
      <c r="FD62" t="e">
        <f>AND('BBP complete'!A830,"AAAAAEN6/58=")</f>
        <v>#VALUE!</v>
      </c>
      <c r="FE62" t="e">
        <f>AND('BBP complete'!B830,"AAAAAEN6/6A=")</f>
        <v>#VALUE!</v>
      </c>
      <c r="FF62" t="e">
        <f>AND('BBP complete'!C830,"AAAAAEN6/6E=")</f>
        <v>#VALUE!</v>
      </c>
      <c r="FG62" t="e">
        <f>AND('BBP complete'!#REF!,"AAAAAEN6/6I=")</f>
        <v>#REF!</v>
      </c>
      <c r="FH62" t="e">
        <f>AND('BBP complete'!#REF!,"AAAAAEN6/6M=")</f>
        <v>#REF!</v>
      </c>
      <c r="FI62" t="e">
        <f>AND('BBP complete'!#REF!,"AAAAAEN6/6Q=")</f>
        <v>#REF!</v>
      </c>
      <c r="FJ62" t="e">
        <f>AND('BBP complete'!E830,"AAAAAEN6/6U=")</f>
        <v>#VALUE!</v>
      </c>
      <c r="FK62" t="e">
        <f>AND('BBP complete'!#REF!,"AAAAAEN6/6Y=")</f>
        <v>#REF!</v>
      </c>
      <c r="FL62" t="e">
        <f>AND('BBP complete'!K830,"AAAAAEN6/6c=")</f>
        <v>#VALUE!</v>
      </c>
      <c r="FM62" t="e">
        <f>AND('BBP complete'!L830,"AAAAAEN6/6g=")</f>
        <v>#VALUE!</v>
      </c>
      <c r="FN62" t="e">
        <f>AND('BBP complete'!#REF!,"AAAAAEN6/6k=")</f>
        <v>#REF!</v>
      </c>
      <c r="FO62" t="e">
        <f>AND('BBP complete'!#REF!,"AAAAAEN6/6o=")</f>
        <v>#REF!</v>
      </c>
      <c r="FP62" t="e">
        <f>AND('BBP complete'!#REF!,"AAAAAEN6/6s=")</f>
        <v>#REF!</v>
      </c>
      <c r="FQ62" t="e">
        <f>AND('BBP complete'!D831,"AAAAAEN6/6w=")</f>
        <v>#VALUE!</v>
      </c>
      <c r="FR62" t="e">
        <f>AND('BBP complete'!F831,"AAAAAEN6/60=")</f>
        <v>#VALUE!</v>
      </c>
      <c r="FS62" t="e">
        <f>AND('BBP complete'!G831,"AAAAAEN6/64=")</f>
        <v>#VALUE!</v>
      </c>
      <c r="FT62" t="e">
        <f>AND('BBP complete'!H831,"AAAAAEN6/68=")</f>
        <v>#VALUE!</v>
      </c>
      <c r="FU62" t="e">
        <f>AND('BBP complete'!I831,"AAAAAEN6/7A=")</f>
        <v>#VALUE!</v>
      </c>
      <c r="FV62" s="60" t="e">
        <v>#VALUE!</v>
      </c>
      <c r="FW62" t="e">
        <f>AND('BBP complete'!A831,"AAAAAEN6/7I=")</f>
        <v>#VALUE!</v>
      </c>
      <c r="FX62" t="e">
        <f>AND('BBP complete'!B831,"AAAAAEN6/7M=")</f>
        <v>#VALUE!</v>
      </c>
      <c r="FY62" t="e">
        <f>AND('BBP complete'!C831,"AAAAAEN6/7Q=")</f>
        <v>#VALUE!</v>
      </c>
      <c r="FZ62" t="e">
        <f>AND('BBP complete'!#REF!,"AAAAAEN6/7U=")</f>
        <v>#REF!</v>
      </c>
      <c r="GA62" t="e">
        <f>AND('BBP complete'!#REF!,"AAAAAEN6/7Y=")</f>
        <v>#REF!</v>
      </c>
      <c r="GB62" t="e">
        <f>AND('BBP complete'!#REF!,"AAAAAEN6/7c=")</f>
        <v>#REF!</v>
      </c>
      <c r="GC62" t="e">
        <f>AND('BBP complete'!E831,"AAAAAEN6/7g=")</f>
        <v>#VALUE!</v>
      </c>
      <c r="GD62" t="e">
        <f>AND('BBP complete'!#REF!,"AAAAAEN6/7k=")</f>
        <v>#REF!</v>
      </c>
      <c r="GE62" t="e">
        <f>AND('BBP complete'!K831,"AAAAAEN6/7o=")</f>
        <v>#VALUE!</v>
      </c>
      <c r="GF62" t="e">
        <f>AND('BBP complete'!L831,"AAAAAEN6/7s=")</f>
        <v>#VALUE!</v>
      </c>
      <c r="GG62" t="e">
        <f>AND('BBP complete'!#REF!,"AAAAAEN6/7w=")</f>
        <v>#REF!</v>
      </c>
      <c r="GH62" t="e">
        <f>AND('BBP complete'!#REF!,"AAAAAEN6/70=")</f>
        <v>#REF!</v>
      </c>
      <c r="GI62" t="e">
        <f>AND('BBP complete'!#REF!,"AAAAAEN6/74=")</f>
        <v>#REF!</v>
      </c>
      <c r="GJ62" t="e">
        <f>AND('BBP complete'!D832,"AAAAAEN6/78=")</f>
        <v>#VALUE!</v>
      </c>
      <c r="GK62" t="e">
        <f>AND('BBP complete'!F832,"AAAAAEN6/8A=")</f>
        <v>#VALUE!</v>
      </c>
      <c r="GL62" t="e">
        <f>AND('BBP complete'!G832,"AAAAAEN6/8E=")</f>
        <v>#VALUE!</v>
      </c>
      <c r="GM62" t="e">
        <f>AND('BBP complete'!H832,"AAAAAEN6/8I=")</f>
        <v>#VALUE!</v>
      </c>
      <c r="GN62" t="e">
        <f>AND('BBP complete'!I832,"AAAAAEN6/8M=")</f>
        <v>#VALUE!</v>
      </c>
      <c r="GO62" s="60" t="e">
        <v>#VALUE!</v>
      </c>
      <c r="GP62" t="e">
        <f>AND('BBP complete'!A832,"AAAAAEN6/8U=")</f>
        <v>#VALUE!</v>
      </c>
      <c r="GQ62" t="e">
        <f>AND('BBP complete'!B832,"AAAAAEN6/8Y=")</f>
        <v>#VALUE!</v>
      </c>
      <c r="GR62" t="e">
        <f>AND('BBP complete'!C832,"AAAAAEN6/8c=")</f>
        <v>#VALUE!</v>
      </c>
      <c r="GS62" t="e">
        <f>AND('BBP complete'!#REF!,"AAAAAEN6/8g=")</f>
        <v>#REF!</v>
      </c>
      <c r="GT62" t="e">
        <f>AND('BBP complete'!#REF!,"AAAAAEN6/8k=")</f>
        <v>#REF!</v>
      </c>
      <c r="GU62" t="e">
        <f>AND('BBP complete'!#REF!,"AAAAAEN6/8o=")</f>
        <v>#REF!</v>
      </c>
      <c r="GV62" t="e">
        <f>AND('BBP complete'!E832,"AAAAAEN6/8s=")</f>
        <v>#VALUE!</v>
      </c>
      <c r="GW62" t="e">
        <f>AND('BBP complete'!#REF!,"AAAAAEN6/8w=")</f>
        <v>#REF!</v>
      </c>
      <c r="GX62" t="e">
        <f>AND('BBP complete'!K832,"AAAAAEN6/80=")</f>
        <v>#VALUE!</v>
      </c>
      <c r="GY62" t="e">
        <f>AND('BBP complete'!L832,"AAAAAEN6/84=")</f>
        <v>#VALUE!</v>
      </c>
      <c r="GZ62" t="e">
        <f>AND('BBP complete'!#REF!,"AAAAAEN6/88=")</f>
        <v>#REF!</v>
      </c>
      <c r="HA62" t="e">
        <f>AND('BBP complete'!#REF!,"AAAAAEN6/9A=")</f>
        <v>#REF!</v>
      </c>
      <c r="HB62" t="e">
        <f>AND('BBP complete'!#REF!,"AAAAAEN6/9E=")</f>
        <v>#REF!</v>
      </c>
      <c r="HC62" t="e">
        <f>AND('BBP complete'!D833,"AAAAAEN6/9I=")</f>
        <v>#VALUE!</v>
      </c>
      <c r="HD62" t="e">
        <f>AND('BBP complete'!F833,"AAAAAEN6/9M=")</f>
        <v>#VALUE!</v>
      </c>
      <c r="HE62" t="e">
        <f>AND('BBP complete'!G833,"AAAAAEN6/9Q=")</f>
        <v>#VALUE!</v>
      </c>
      <c r="HF62" t="e">
        <f>AND('BBP complete'!H833,"AAAAAEN6/9U=")</f>
        <v>#VALUE!</v>
      </c>
      <c r="HG62" t="e">
        <f>AND('BBP complete'!I833,"AAAAAEN6/9Y=")</f>
        <v>#VALUE!</v>
      </c>
      <c r="HH62" s="60" t="e">
        <v>#VALUE!</v>
      </c>
      <c r="HI62" t="e">
        <f>AND('BBP complete'!A833,"AAAAAEN6/9g=")</f>
        <v>#VALUE!</v>
      </c>
      <c r="HJ62" t="e">
        <f>AND('BBP complete'!B833,"AAAAAEN6/9k=")</f>
        <v>#VALUE!</v>
      </c>
      <c r="HK62" t="e">
        <f>AND('BBP complete'!C833,"AAAAAEN6/9o=")</f>
        <v>#VALUE!</v>
      </c>
      <c r="HL62" t="e">
        <f>AND('BBP complete'!#REF!,"AAAAAEN6/9s=")</f>
        <v>#REF!</v>
      </c>
      <c r="HM62" t="e">
        <f>AND('BBP complete'!#REF!,"AAAAAEN6/9w=")</f>
        <v>#REF!</v>
      </c>
      <c r="HN62" t="e">
        <f>AND('BBP complete'!#REF!,"AAAAAEN6/90=")</f>
        <v>#REF!</v>
      </c>
      <c r="HO62" t="e">
        <f>AND('BBP complete'!E833,"AAAAAEN6/94=")</f>
        <v>#VALUE!</v>
      </c>
      <c r="HP62" t="e">
        <f>AND('BBP complete'!#REF!,"AAAAAEN6/98=")</f>
        <v>#REF!</v>
      </c>
      <c r="HQ62" t="e">
        <f>AND('BBP complete'!K833,"AAAAAEN6/+A=")</f>
        <v>#VALUE!</v>
      </c>
      <c r="HR62" t="e">
        <f>AND('BBP complete'!L833,"AAAAAEN6/+E=")</f>
        <v>#VALUE!</v>
      </c>
      <c r="HS62" t="e">
        <f>AND('BBP complete'!#REF!,"AAAAAEN6/+I=")</f>
        <v>#REF!</v>
      </c>
      <c r="HT62" t="e">
        <f>AND('BBP complete'!#REF!,"AAAAAEN6/+M=")</f>
        <v>#REF!</v>
      </c>
      <c r="HU62" t="e">
        <f>AND('BBP complete'!#REF!,"AAAAAEN6/+Q=")</f>
        <v>#REF!</v>
      </c>
      <c r="HV62" t="e">
        <f>AND('BBP complete'!D834,"AAAAAEN6/+U=")</f>
        <v>#VALUE!</v>
      </c>
      <c r="HW62" t="e">
        <f>AND('BBP complete'!F834,"AAAAAEN6/+Y=")</f>
        <v>#VALUE!</v>
      </c>
      <c r="HX62" t="e">
        <f>AND('BBP complete'!G834,"AAAAAEN6/+c=")</f>
        <v>#VALUE!</v>
      </c>
      <c r="HY62" t="e">
        <f>AND('BBP complete'!H834,"AAAAAEN6/+g=")</f>
        <v>#VALUE!</v>
      </c>
      <c r="HZ62" t="e">
        <f>AND('BBP complete'!I834,"AAAAAEN6/+k=")</f>
        <v>#VALUE!</v>
      </c>
      <c r="IA62" s="60" t="e">
        <v>#VALUE!</v>
      </c>
      <c r="IB62" t="e">
        <f>AND('BBP complete'!A834,"AAAAAEN6/+s=")</f>
        <v>#VALUE!</v>
      </c>
      <c r="IC62" t="e">
        <f>AND('BBP complete'!B834,"AAAAAEN6/+w=")</f>
        <v>#VALUE!</v>
      </c>
      <c r="ID62" t="e">
        <f>AND('BBP complete'!C834,"AAAAAEN6/+0=")</f>
        <v>#VALUE!</v>
      </c>
      <c r="IE62" t="e">
        <f>AND('BBP complete'!#REF!,"AAAAAEN6/+4=")</f>
        <v>#REF!</v>
      </c>
      <c r="IF62" t="e">
        <f>AND('BBP complete'!#REF!,"AAAAAEN6/+8=")</f>
        <v>#REF!</v>
      </c>
      <c r="IG62" t="e">
        <f>AND('BBP complete'!#REF!,"AAAAAEN6//A=")</f>
        <v>#REF!</v>
      </c>
      <c r="IH62" t="e">
        <f>AND('BBP complete'!E834,"AAAAAEN6//E=")</f>
        <v>#VALUE!</v>
      </c>
      <c r="II62" t="e">
        <f>AND('BBP complete'!#REF!,"AAAAAEN6//I=")</f>
        <v>#REF!</v>
      </c>
      <c r="IJ62" t="e">
        <f>AND('BBP complete'!K834,"AAAAAEN6//M=")</f>
        <v>#VALUE!</v>
      </c>
      <c r="IK62" t="e">
        <f>AND('BBP complete'!L834,"AAAAAEN6//Q=")</f>
        <v>#VALUE!</v>
      </c>
      <c r="IL62" t="e">
        <f>AND('BBP complete'!#REF!,"AAAAAEN6//U=")</f>
        <v>#REF!</v>
      </c>
      <c r="IM62" t="e">
        <f>AND('BBP complete'!#REF!,"AAAAAEN6//Y=")</f>
        <v>#REF!</v>
      </c>
      <c r="IN62" t="e">
        <f>AND('BBP complete'!#REF!,"AAAAAEN6//c=")</f>
        <v>#REF!</v>
      </c>
      <c r="IO62" t="e">
        <f>AND('BBP complete'!D835,"AAAAAEN6//g=")</f>
        <v>#VALUE!</v>
      </c>
      <c r="IP62" t="e">
        <f>AND('BBP complete'!F835,"AAAAAEN6//k=")</f>
        <v>#VALUE!</v>
      </c>
      <c r="IQ62" t="e">
        <f>AND('BBP complete'!G835,"AAAAAEN6//o=")</f>
        <v>#VALUE!</v>
      </c>
      <c r="IR62" t="e">
        <f>AND('BBP complete'!H835,"AAAAAEN6//s=")</f>
        <v>#VALUE!</v>
      </c>
      <c r="IS62" t="e">
        <f>AND('BBP complete'!I835,"AAAAAEN6//w=")</f>
        <v>#VALUE!</v>
      </c>
      <c r="IT62" s="60" t="e">
        <v>#VALUE!</v>
      </c>
      <c r="IU62" t="e">
        <f>AND('BBP complete'!A835,"AAAAAEN6//4=")</f>
        <v>#VALUE!</v>
      </c>
      <c r="IV62" t="e">
        <f>AND('BBP complete'!B835,"AAAAAEN6//8=")</f>
        <v>#VALUE!</v>
      </c>
    </row>
    <row r="63" spans="1:256" ht="15" customHeight="1" x14ac:dyDescent="0.25">
      <c r="A63" t="e">
        <f>AND('BBP complete'!C835,"AAAAAHd+9QA=")</f>
        <v>#VALUE!</v>
      </c>
      <c r="B63" t="e">
        <f>AND('BBP complete'!#REF!,"AAAAAHd+9QE=")</f>
        <v>#REF!</v>
      </c>
      <c r="C63" t="e">
        <f>AND('BBP complete'!#REF!,"AAAAAHd+9QI=")</f>
        <v>#REF!</v>
      </c>
      <c r="D63" t="e">
        <f>AND('BBP complete'!#REF!,"AAAAAHd+9QM=")</f>
        <v>#REF!</v>
      </c>
      <c r="E63" t="e">
        <f>AND('BBP complete'!E835,"AAAAAHd+9QQ=")</f>
        <v>#VALUE!</v>
      </c>
      <c r="F63" t="e">
        <f>AND('BBP complete'!#REF!,"AAAAAHd+9QU=")</f>
        <v>#REF!</v>
      </c>
      <c r="G63" t="e">
        <f>AND('BBP complete'!K835,"AAAAAHd+9QY=")</f>
        <v>#VALUE!</v>
      </c>
      <c r="H63" t="e">
        <f>AND('BBP complete'!L835,"AAAAAHd+9Qc=")</f>
        <v>#VALUE!</v>
      </c>
      <c r="I63" t="e">
        <f>AND('BBP complete'!#REF!,"AAAAAHd+9Qg=")</f>
        <v>#REF!</v>
      </c>
      <c r="J63" t="e">
        <f>AND('BBP complete'!#REF!,"AAAAAHd+9Qk=")</f>
        <v>#REF!</v>
      </c>
      <c r="K63" t="e">
        <f>AND('BBP complete'!#REF!,"AAAAAHd+9Qo=")</f>
        <v>#REF!</v>
      </c>
      <c r="L63" t="e">
        <f>AND('BBP complete'!D836,"AAAAAHd+9Qs=")</f>
        <v>#VALUE!</v>
      </c>
      <c r="M63" t="e">
        <f>AND('BBP complete'!F836,"AAAAAHd+9Qw=")</f>
        <v>#VALUE!</v>
      </c>
      <c r="N63" t="e">
        <f>AND('BBP complete'!G836,"AAAAAHd+9Q0=")</f>
        <v>#VALUE!</v>
      </c>
      <c r="O63" t="e">
        <f>AND('BBP complete'!H836,"AAAAAHd+9Q4=")</f>
        <v>#VALUE!</v>
      </c>
      <c r="P63" t="e">
        <f>AND('BBP complete'!I836,"AAAAAHd+9Q8=")</f>
        <v>#VALUE!</v>
      </c>
      <c r="Q63" s="60" t="e">
        <v>#VALUE!</v>
      </c>
      <c r="R63" t="e">
        <f>AND('BBP complete'!A836,"AAAAAHd+9RE=")</f>
        <v>#VALUE!</v>
      </c>
      <c r="S63" t="e">
        <f>AND('BBP complete'!B836,"AAAAAHd+9RI=")</f>
        <v>#VALUE!</v>
      </c>
      <c r="T63" t="e">
        <f>AND('BBP complete'!C836,"AAAAAHd+9RM=")</f>
        <v>#VALUE!</v>
      </c>
      <c r="U63" t="e">
        <f>AND('BBP complete'!#REF!,"AAAAAHd+9RQ=")</f>
        <v>#REF!</v>
      </c>
      <c r="V63" t="e">
        <f>AND('BBP complete'!#REF!,"AAAAAHd+9RU=")</f>
        <v>#REF!</v>
      </c>
      <c r="W63" t="e">
        <f>AND('BBP complete'!#REF!,"AAAAAHd+9RY=")</f>
        <v>#REF!</v>
      </c>
      <c r="X63" t="e">
        <f>AND('BBP complete'!E836,"AAAAAHd+9Rc=")</f>
        <v>#VALUE!</v>
      </c>
      <c r="Y63" t="e">
        <f>AND('BBP complete'!#REF!,"AAAAAHd+9Rg=")</f>
        <v>#REF!</v>
      </c>
      <c r="Z63" t="e">
        <f>AND('BBP complete'!K836,"AAAAAHd+9Rk=")</f>
        <v>#VALUE!</v>
      </c>
      <c r="AA63" t="e">
        <f>AND('BBP complete'!L836,"AAAAAHd+9Ro=")</f>
        <v>#VALUE!</v>
      </c>
      <c r="AB63" t="e">
        <f>AND('BBP complete'!#REF!,"AAAAAHd+9Rs=")</f>
        <v>#REF!</v>
      </c>
      <c r="AC63" t="e">
        <f>AND('BBP complete'!#REF!,"AAAAAHd+9Rw=")</f>
        <v>#REF!</v>
      </c>
      <c r="AD63" t="e">
        <f>AND('BBP complete'!#REF!,"AAAAAHd+9R0=")</f>
        <v>#REF!</v>
      </c>
      <c r="AE63" t="e">
        <f>AND('BBP complete'!D837,"AAAAAHd+9R4=")</f>
        <v>#VALUE!</v>
      </c>
      <c r="AF63" t="e">
        <f>AND('BBP complete'!F837,"AAAAAHd+9R8=")</f>
        <v>#VALUE!</v>
      </c>
      <c r="AG63" t="e">
        <f>AND('BBP complete'!G837,"AAAAAHd+9SA=")</f>
        <v>#VALUE!</v>
      </c>
      <c r="AH63" t="e">
        <f>AND('BBP complete'!H837,"AAAAAHd+9SE=")</f>
        <v>#VALUE!</v>
      </c>
      <c r="AI63" t="e">
        <f>AND('BBP complete'!I837,"AAAAAHd+9SI=")</f>
        <v>#VALUE!</v>
      </c>
      <c r="AJ63" s="60" t="e">
        <v>#VALUE!</v>
      </c>
      <c r="AK63" t="e">
        <f>AND('BBP complete'!A837,"AAAAAHd+9SQ=")</f>
        <v>#VALUE!</v>
      </c>
      <c r="AL63" t="e">
        <f>AND('BBP complete'!B837,"AAAAAHd+9SU=")</f>
        <v>#VALUE!</v>
      </c>
      <c r="AM63" t="e">
        <f>AND('BBP complete'!C837,"AAAAAHd+9SY=")</f>
        <v>#VALUE!</v>
      </c>
      <c r="AN63" t="e">
        <f>AND('BBP complete'!#REF!,"AAAAAHd+9Sc=")</f>
        <v>#REF!</v>
      </c>
      <c r="AO63" t="e">
        <f>AND('BBP complete'!#REF!,"AAAAAHd+9Sg=")</f>
        <v>#REF!</v>
      </c>
      <c r="AP63" t="e">
        <f>AND('BBP complete'!#REF!,"AAAAAHd+9Sk=")</f>
        <v>#REF!</v>
      </c>
      <c r="AQ63" t="e">
        <f>AND('BBP complete'!E837,"AAAAAHd+9So=")</f>
        <v>#VALUE!</v>
      </c>
      <c r="AR63" t="e">
        <f>AND('BBP complete'!#REF!,"AAAAAHd+9Ss=")</f>
        <v>#REF!</v>
      </c>
      <c r="AS63" t="e">
        <f>AND('BBP complete'!K837,"AAAAAHd+9Sw=")</f>
        <v>#VALUE!</v>
      </c>
      <c r="AT63" t="e">
        <f>AND('BBP complete'!L837,"AAAAAHd+9S0=")</f>
        <v>#VALUE!</v>
      </c>
      <c r="AU63" t="e">
        <f>AND('BBP complete'!#REF!,"AAAAAHd+9S4=")</f>
        <v>#REF!</v>
      </c>
      <c r="AV63" t="e">
        <f>AND('BBP complete'!#REF!,"AAAAAHd+9S8=")</f>
        <v>#REF!</v>
      </c>
      <c r="AW63" t="e">
        <f>AND('BBP complete'!#REF!,"AAAAAHd+9TA=")</f>
        <v>#REF!</v>
      </c>
      <c r="AX63" t="e">
        <f>AND('BBP complete'!D838,"AAAAAHd+9TE=")</f>
        <v>#VALUE!</v>
      </c>
      <c r="AY63" t="e">
        <f>AND('BBP complete'!F838,"AAAAAHd+9TI=")</f>
        <v>#VALUE!</v>
      </c>
      <c r="AZ63" t="e">
        <f>AND('BBP complete'!G838,"AAAAAHd+9TM=")</f>
        <v>#VALUE!</v>
      </c>
      <c r="BA63" t="e">
        <f>AND('BBP complete'!H838,"AAAAAHd+9TQ=")</f>
        <v>#VALUE!</v>
      </c>
      <c r="BB63" t="e">
        <f>AND('BBP complete'!I838,"AAAAAHd+9TU=")</f>
        <v>#VALUE!</v>
      </c>
      <c r="BC63" s="60" t="e">
        <v>#VALUE!</v>
      </c>
      <c r="BD63" t="e">
        <f>AND('BBP complete'!A838,"AAAAAHd+9Tc=")</f>
        <v>#VALUE!</v>
      </c>
      <c r="BE63" t="e">
        <f>AND('BBP complete'!B838,"AAAAAHd+9Tg=")</f>
        <v>#VALUE!</v>
      </c>
      <c r="BF63" t="e">
        <f>AND('BBP complete'!C838,"AAAAAHd+9Tk=")</f>
        <v>#VALUE!</v>
      </c>
      <c r="BG63" t="e">
        <f>AND('BBP complete'!#REF!,"AAAAAHd+9To=")</f>
        <v>#REF!</v>
      </c>
      <c r="BH63" t="e">
        <f>AND('BBP complete'!#REF!,"AAAAAHd+9Ts=")</f>
        <v>#REF!</v>
      </c>
      <c r="BI63" t="e">
        <f>AND('BBP complete'!#REF!,"AAAAAHd+9Tw=")</f>
        <v>#REF!</v>
      </c>
      <c r="BJ63" t="e">
        <f>AND('BBP complete'!E838,"AAAAAHd+9T0=")</f>
        <v>#VALUE!</v>
      </c>
      <c r="BK63" t="e">
        <f>AND('BBP complete'!#REF!,"AAAAAHd+9T4=")</f>
        <v>#REF!</v>
      </c>
      <c r="BL63" t="e">
        <f>AND('BBP complete'!K838,"AAAAAHd+9T8=")</f>
        <v>#VALUE!</v>
      </c>
      <c r="BM63" t="e">
        <f>AND('BBP complete'!L838,"AAAAAHd+9UA=")</f>
        <v>#VALUE!</v>
      </c>
      <c r="BN63" t="e">
        <f>AND('BBP complete'!#REF!,"AAAAAHd+9UE=")</f>
        <v>#REF!</v>
      </c>
      <c r="BO63" t="e">
        <f>AND('BBP complete'!#REF!,"AAAAAHd+9UI=")</f>
        <v>#REF!</v>
      </c>
      <c r="BP63" t="e">
        <f>AND('BBP complete'!#REF!,"AAAAAHd+9UM=")</f>
        <v>#REF!</v>
      </c>
      <c r="BQ63" t="e">
        <f>AND('BBP complete'!D839,"AAAAAHd+9UQ=")</f>
        <v>#VALUE!</v>
      </c>
      <c r="BR63" t="e">
        <f>AND('BBP complete'!F839,"AAAAAHd+9UU=")</f>
        <v>#VALUE!</v>
      </c>
      <c r="BS63" t="e">
        <f>AND('BBP complete'!G839,"AAAAAHd+9UY=")</f>
        <v>#VALUE!</v>
      </c>
      <c r="BT63" t="e">
        <f>AND('BBP complete'!H839,"AAAAAHd+9Uc=")</f>
        <v>#VALUE!</v>
      </c>
      <c r="BU63" t="e">
        <f>AND('BBP complete'!I839,"AAAAAHd+9Ug=")</f>
        <v>#VALUE!</v>
      </c>
      <c r="BV63" s="60" t="e">
        <v>#VALUE!</v>
      </c>
      <c r="BW63" t="e">
        <f>AND('BBP complete'!A839,"AAAAAHd+9Uo=")</f>
        <v>#VALUE!</v>
      </c>
      <c r="BX63" t="e">
        <f>AND('BBP complete'!B839,"AAAAAHd+9Us=")</f>
        <v>#VALUE!</v>
      </c>
      <c r="BY63" t="e">
        <f>AND('BBP complete'!C839,"AAAAAHd+9Uw=")</f>
        <v>#VALUE!</v>
      </c>
      <c r="BZ63" t="e">
        <f>AND('BBP complete'!#REF!,"AAAAAHd+9U0=")</f>
        <v>#REF!</v>
      </c>
      <c r="CA63" t="e">
        <f>AND('BBP complete'!#REF!,"AAAAAHd+9U4=")</f>
        <v>#REF!</v>
      </c>
      <c r="CB63" t="e">
        <f>AND('BBP complete'!#REF!,"AAAAAHd+9U8=")</f>
        <v>#REF!</v>
      </c>
      <c r="CC63" t="e">
        <f>AND('BBP complete'!E839,"AAAAAHd+9VA=")</f>
        <v>#VALUE!</v>
      </c>
      <c r="CD63" t="e">
        <f>AND('BBP complete'!#REF!,"AAAAAHd+9VE=")</f>
        <v>#REF!</v>
      </c>
      <c r="CE63" t="e">
        <f>AND('BBP complete'!K839,"AAAAAHd+9VI=")</f>
        <v>#VALUE!</v>
      </c>
      <c r="CF63" t="e">
        <f>AND('BBP complete'!L839,"AAAAAHd+9VM=")</f>
        <v>#VALUE!</v>
      </c>
      <c r="CG63" t="e">
        <f>AND('BBP complete'!#REF!,"AAAAAHd+9VQ=")</f>
        <v>#REF!</v>
      </c>
      <c r="CH63" t="e">
        <f>AND('BBP complete'!#REF!,"AAAAAHd+9VU=")</f>
        <v>#REF!</v>
      </c>
      <c r="CI63" t="e">
        <f>AND('BBP complete'!#REF!,"AAAAAHd+9VY=")</f>
        <v>#REF!</v>
      </c>
      <c r="CJ63" t="e">
        <f>AND('BBP complete'!D840,"AAAAAHd+9Vc=")</f>
        <v>#VALUE!</v>
      </c>
      <c r="CK63" t="e">
        <f>AND('BBP complete'!F840,"AAAAAHd+9Vg=")</f>
        <v>#VALUE!</v>
      </c>
      <c r="CL63" t="e">
        <f>AND('BBP complete'!G840,"AAAAAHd+9Vk=")</f>
        <v>#VALUE!</v>
      </c>
      <c r="CM63" t="e">
        <f>AND('BBP complete'!H840,"AAAAAHd+9Vo=")</f>
        <v>#VALUE!</v>
      </c>
      <c r="CN63" t="e">
        <f>AND('BBP complete'!I840,"AAAAAHd+9Vs=")</f>
        <v>#VALUE!</v>
      </c>
      <c r="CO63" s="60" t="e">
        <v>#VALUE!</v>
      </c>
      <c r="CP63" t="e">
        <f>AND('BBP complete'!A840,"AAAAAHd+9V0=")</f>
        <v>#VALUE!</v>
      </c>
      <c r="CQ63" t="e">
        <f>AND('BBP complete'!B840,"AAAAAHd+9V4=")</f>
        <v>#VALUE!</v>
      </c>
      <c r="CR63" t="e">
        <f>AND('BBP complete'!C840,"AAAAAHd+9V8=")</f>
        <v>#VALUE!</v>
      </c>
      <c r="CS63" t="e">
        <f>AND('BBP complete'!#REF!,"AAAAAHd+9WA=")</f>
        <v>#REF!</v>
      </c>
      <c r="CT63" t="e">
        <f>AND('BBP complete'!#REF!,"AAAAAHd+9WE=")</f>
        <v>#REF!</v>
      </c>
      <c r="CU63" t="e">
        <f>AND('BBP complete'!#REF!,"AAAAAHd+9WI=")</f>
        <v>#REF!</v>
      </c>
      <c r="CV63" t="e">
        <f>AND('BBP complete'!E840,"AAAAAHd+9WM=")</f>
        <v>#VALUE!</v>
      </c>
      <c r="CW63" t="e">
        <f>AND('BBP complete'!#REF!,"AAAAAHd+9WQ=")</f>
        <v>#REF!</v>
      </c>
      <c r="CX63" t="e">
        <f>AND('BBP complete'!K840,"AAAAAHd+9WU=")</f>
        <v>#VALUE!</v>
      </c>
      <c r="CY63" t="e">
        <f>AND('BBP complete'!L840,"AAAAAHd+9WY=")</f>
        <v>#VALUE!</v>
      </c>
      <c r="CZ63" t="e">
        <f>AND('BBP complete'!#REF!,"AAAAAHd+9Wc=")</f>
        <v>#REF!</v>
      </c>
      <c r="DA63" t="e">
        <f>AND('BBP complete'!#REF!,"AAAAAHd+9Wg=")</f>
        <v>#REF!</v>
      </c>
      <c r="DB63" t="e">
        <f>AND('BBP complete'!#REF!,"AAAAAHd+9Wk=")</f>
        <v>#REF!</v>
      </c>
      <c r="DC63" t="e">
        <f>AND('BBP complete'!D841,"AAAAAHd+9Wo=")</f>
        <v>#VALUE!</v>
      </c>
      <c r="DD63" t="e">
        <f>AND('BBP complete'!F841,"AAAAAHd+9Ws=")</f>
        <v>#VALUE!</v>
      </c>
      <c r="DE63" t="e">
        <f>AND('BBP complete'!G841,"AAAAAHd+9Ww=")</f>
        <v>#VALUE!</v>
      </c>
      <c r="DF63" t="e">
        <f>AND('BBP complete'!H841,"AAAAAHd+9W0=")</f>
        <v>#VALUE!</v>
      </c>
      <c r="DG63" t="e">
        <f>AND('BBP complete'!I841,"AAAAAHd+9W4=")</f>
        <v>#VALUE!</v>
      </c>
      <c r="DH63" s="60" t="e">
        <v>#VALUE!</v>
      </c>
      <c r="DI63" t="e">
        <f>AND('BBP complete'!A841,"AAAAAHd+9XA=")</f>
        <v>#VALUE!</v>
      </c>
      <c r="DJ63" t="e">
        <f>AND('BBP complete'!B841,"AAAAAHd+9XE=")</f>
        <v>#VALUE!</v>
      </c>
      <c r="DK63" t="e">
        <f>AND('BBP complete'!C841,"AAAAAHd+9XI=")</f>
        <v>#VALUE!</v>
      </c>
      <c r="DL63" t="e">
        <f>AND('BBP complete'!#REF!,"AAAAAHd+9XM=")</f>
        <v>#REF!</v>
      </c>
      <c r="DM63" t="e">
        <f>AND('BBP complete'!#REF!,"AAAAAHd+9XQ=")</f>
        <v>#REF!</v>
      </c>
      <c r="DN63" t="e">
        <f>AND('BBP complete'!#REF!,"AAAAAHd+9XU=")</f>
        <v>#REF!</v>
      </c>
      <c r="DO63" t="e">
        <f>AND('BBP complete'!E841,"AAAAAHd+9XY=")</f>
        <v>#VALUE!</v>
      </c>
      <c r="DP63" t="e">
        <f>AND('BBP complete'!#REF!,"AAAAAHd+9Xc=")</f>
        <v>#REF!</v>
      </c>
      <c r="DQ63" t="e">
        <f>AND('BBP complete'!K841,"AAAAAHd+9Xg=")</f>
        <v>#VALUE!</v>
      </c>
      <c r="DR63" t="e">
        <f>AND('BBP complete'!L841,"AAAAAHd+9Xk=")</f>
        <v>#VALUE!</v>
      </c>
      <c r="DS63" t="e">
        <f>AND('BBP complete'!#REF!,"AAAAAHd+9Xo=")</f>
        <v>#REF!</v>
      </c>
      <c r="DT63" t="e">
        <f>AND('BBP complete'!#REF!,"AAAAAHd+9Xs=")</f>
        <v>#REF!</v>
      </c>
      <c r="DU63" t="e">
        <f>AND('BBP complete'!#REF!,"AAAAAHd+9Xw=")</f>
        <v>#REF!</v>
      </c>
      <c r="DV63" t="e">
        <f>AND('BBP complete'!D842,"AAAAAHd+9X0=")</f>
        <v>#VALUE!</v>
      </c>
      <c r="DW63" t="e">
        <f>AND('BBP complete'!F842,"AAAAAHd+9X4=")</f>
        <v>#VALUE!</v>
      </c>
      <c r="DX63" t="e">
        <f>AND('BBP complete'!G842,"AAAAAHd+9X8=")</f>
        <v>#VALUE!</v>
      </c>
      <c r="DY63" t="e">
        <f>AND('BBP complete'!H842,"AAAAAHd+9YA=")</f>
        <v>#VALUE!</v>
      </c>
      <c r="DZ63" t="e">
        <f>AND('BBP complete'!I842,"AAAAAHd+9YE=")</f>
        <v>#VALUE!</v>
      </c>
      <c r="EA63" s="60" t="e">
        <v>#VALUE!</v>
      </c>
      <c r="EB63" t="e">
        <f>AND('BBP complete'!A842,"AAAAAHd+9YM=")</f>
        <v>#VALUE!</v>
      </c>
      <c r="EC63" t="e">
        <f>AND('BBP complete'!B842,"AAAAAHd+9YQ=")</f>
        <v>#VALUE!</v>
      </c>
      <c r="ED63" t="e">
        <f>AND('BBP complete'!C842,"AAAAAHd+9YU=")</f>
        <v>#VALUE!</v>
      </c>
      <c r="EE63" t="e">
        <f>AND('BBP complete'!#REF!,"AAAAAHd+9YY=")</f>
        <v>#REF!</v>
      </c>
      <c r="EF63" t="e">
        <f>AND('BBP complete'!#REF!,"AAAAAHd+9Yc=")</f>
        <v>#REF!</v>
      </c>
      <c r="EG63" t="e">
        <f>AND('BBP complete'!#REF!,"AAAAAHd+9Yg=")</f>
        <v>#REF!</v>
      </c>
      <c r="EH63" t="e">
        <f>AND('BBP complete'!E842,"AAAAAHd+9Yk=")</f>
        <v>#VALUE!</v>
      </c>
      <c r="EI63" t="e">
        <f>AND('BBP complete'!#REF!,"AAAAAHd+9Yo=")</f>
        <v>#REF!</v>
      </c>
      <c r="EJ63" t="e">
        <f>AND('BBP complete'!K842,"AAAAAHd+9Ys=")</f>
        <v>#VALUE!</v>
      </c>
      <c r="EK63" t="e">
        <f>AND('BBP complete'!L842,"AAAAAHd+9Yw=")</f>
        <v>#VALUE!</v>
      </c>
      <c r="EL63" t="e">
        <f>AND('BBP complete'!#REF!,"AAAAAHd+9Y0=")</f>
        <v>#REF!</v>
      </c>
      <c r="EM63" t="e">
        <f>AND('BBP complete'!#REF!,"AAAAAHd+9Y4=")</f>
        <v>#REF!</v>
      </c>
      <c r="EN63" t="e">
        <f>AND('BBP complete'!#REF!,"AAAAAHd+9Y8=")</f>
        <v>#REF!</v>
      </c>
      <c r="EO63" t="e">
        <f>AND('BBP complete'!D843,"AAAAAHd+9ZA=")</f>
        <v>#VALUE!</v>
      </c>
      <c r="EP63" t="e">
        <f>AND('BBP complete'!F843,"AAAAAHd+9ZE=")</f>
        <v>#VALUE!</v>
      </c>
      <c r="EQ63" t="e">
        <f>AND('BBP complete'!G843,"AAAAAHd+9ZI=")</f>
        <v>#VALUE!</v>
      </c>
      <c r="ER63" t="e">
        <f>AND('BBP complete'!H843,"AAAAAHd+9ZM=")</f>
        <v>#VALUE!</v>
      </c>
      <c r="ES63" t="e">
        <f>AND('BBP complete'!I843,"AAAAAHd+9ZQ=")</f>
        <v>#VALUE!</v>
      </c>
      <c r="ET63" s="60" t="e">
        <v>#VALUE!</v>
      </c>
      <c r="EU63" t="e">
        <f>AND('BBP complete'!A843,"AAAAAHd+9ZY=")</f>
        <v>#VALUE!</v>
      </c>
      <c r="EV63" t="e">
        <f>AND('BBP complete'!B843,"AAAAAHd+9Zc=")</f>
        <v>#VALUE!</v>
      </c>
      <c r="EW63" t="e">
        <f>AND('BBP complete'!C843,"AAAAAHd+9Zg=")</f>
        <v>#VALUE!</v>
      </c>
      <c r="EX63" t="e">
        <f>AND('BBP complete'!#REF!,"AAAAAHd+9Zk=")</f>
        <v>#REF!</v>
      </c>
      <c r="EY63" t="e">
        <f>AND('BBP complete'!#REF!,"AAAAAHd+9Zo=")</f>
        <v>#REF!</v>
      </c>
      <c r="EZ63" t="e">
        <f>AND('BBP complete'!#REF!,"AAAAAHd+9Zs=")</f>
        <v>#REF!</v>
      </c>
      <c r="FA63" t="e">
        <f>AND('BBP complete'!E843,"AAAAAHd+9Zw=")</f>
        <v>#VALUE!</v>
      </c>
      <c r="FB63" t="e">
        <f>AND('BBP complete'!#REF!,"AAAAAHd+9Z0=")</f>
        <v>#REF!</v>
      </c>
      <c r="FC63" t="e">
        <f>AND('BBP complete'!K843,"AAAAAHd+9Z4=")</f>
        <v>#VALUE!</v>
      </c>
      <c r="FD63" t="e">
        <f>AND('BBP complete'!L843,"AAAAAHd+9Z8=")</f>
        <v>#VALUE!</v>
      </c>
      <c r="FE63" t="e">
        <f>AND('BBP complete'!#REF!,"AAAAAHd+9aA=")</f>
        <v>#REF!</v>
      </c>
      <c r="FF63" t="e">
        <f>AND('BBP complete'!#REF!,"AAAAAHd+9aE=")</f>
        <v>#REF!</v>
      </c>
      <c r="FG63" t="e">
        <f>AND('BBP complete'!#REF!,"AAAAAHd+9aI=")</f>
        <v>#REF!</v>
      </c>
      <c r="FH63" t="e">
        <f>AND('BBP complete'!D844,"AAAAAHd+9aM=")</f>
        <v>#VALUE!</v>
      </c>
      <c r="FI63" t="e">
        <f>AND('BBP complete'!F844,"AAAAAHd+9aQ=")</f>
        <v>#VALUE!</v>
      </c>
      <c r="FJ63" t="e">
        <f>AND('BBP complete'!G844,"AAAAAHd+9aU=")</f>
        <v>#VALUE!</v>
      </c>
      <c r="FK63" t="e">
        <f>AND('BBP complete'!H844,"AAAAAHd+9aY=")</f>
        <v>#VALUE!</v>
      </c>
      <c r="FL63" t="e">
        <f>AND('BBP complete'!I844,"AAAAAHd+9ac=")</f>
        <v>#VALUE!</v>
      </c>
      <c r="FM63" s="60" t="e">
        <v>#VALUE!</v>
      </c>
      <c r="FN63" t="e">
        <f>AND('BBP complete'!A844,"AAAAAHd+9ak=")</f>
        <v>#VALUE!</v>
      </c>
      <c r="FO63" t="e">
        <f>AND('BBP complete'!B844,"AAAAAHd+9ao=")</f>
        <v>#VALUE!</v>
      </c>
      <c r="FP63" t="e">
        <f>AND('BBP complete'!C844,"AAAAAHd+9as=")</f>
        <v>#VALUE!</v>
      </c>
      <c r="FQ63" t="e">
        <f>AND('BBP complete'!#REF!,"AAAAAHd+9aw=")</f>
        <v>#REF!</v>
      </c>
      <c r="FR63" t="e">
        <f>AND('BBP complete'!#REF!,"AAAAAHd+9a0=")</f>
        <v>#REF!</v>
      </c>
      <c r="FS63" t="e">
        <f>AND('BBP complete'!#REF!,"AAAAAHd+9a4=")</f>
        <v>#REF!</v>
      </c>
      <c r="FT63" t="e">
        <f>AND('BBP complete'!E844,"AAAAAHd+9a8=")</f>
        <v>#VALUE!</v>
      </c>
      <c r="FU63" t="e">
        <f>AND('BBP complete'!#REF!,"AAAAAHd+9bA=")</f>
        <v>#REF!</v>
      </c>
      <c r="FV63" t="e">
        <f>AND('BBP complete'!K844,"AAAAAHd+9bE=")</f>
        <v>#VALUE!</v>
      </c>
      <c r="FW63" t="e">
        <f>AND('BBP complete'!L844,"AAAAAHd+9bI=")</f>
        <v>#VALUE!</v>
      </c>
      <c r="FX63" t="e">
        <f>AND('BBP complete'!#REF!,"AAAAAHd+9bM=")</f>
        <v>#REF!</v>
      </c>
      <c r="FY63" t="e">
        <f>AND('BBP complete'!#REF!,"AAAAAHd+9bQ=")</f>
        <v>#REF!</v>
      </c>
      <c r="FZ63" t="e">
        <f>AND('BBP complete'!#REF!,"AAAAAHd+9bU=")</f>
        <v>#REF!</v>
      </c>
      <c r="GA63" t="e">
        <f>AND('BBP complete'!D845,"AAAAAHd+9bY=")</f>
        <v>#VALUE!</v>
      </c>
      <c r="GB63" t="e">
        <f>AND('BBP complete'!F845,"AAAAAHd+9bc=")</f>
        <v>#VALUE!</v>
      </c>
      <c r="GC63" t="e">
        <f>AND('BBP complete'!G845,"AAAAAHd+9bg=")</f>
        <v>#VALUE!</v>
      </c>
      <c r="GD63" t="e">
        <f>AND('BBP complete'!H845,"AAAAAHd+9bk=")</f>
        <v>#VALUE!</v>
      </c>
      <c r="GE63" t="e">
        <f>AND('BBP complete'!I845,"AAAAAHd+9bo=")</f>
        <v>#VALUE!</v>
      </c>
      <c r="GF63" s="60" t="e">
        <v>#VALUE!</v>
      </c>
      <c r="GG63" t="e">
        <f>AND('BBP complete'!A845,"AAAAAHd+9bw=")</f>
        <v>#VALUE!</v>
      </c>
      <c r="GH63" t="e">
        <f>AND('BBP complete'!B845,"AAAAAHd+9b0=")</f>
        <v>#VALUE!</v>
      </c>
      <c r="GI63" t="e">
        <f>AND('BBP complete'!C845,"AAAAAHd+9b4=")</f>
        <v>#VALUE!</v>
      </c>
      <c r="GJ63" t="e">
        <f>AND('BBP complete'!#REF!,"AAAAAHd+9b8=")</f>
        <v>#REF!</v>
      </c>
      <c r="GK63" t="e">
        <f>AND('BBP complete'!#REF!,"AAAAAHd+9cA=")</f>
        <v>#REF!</v>
      </c>
      <c r="GL63" t="e">
        <f>AND('BBP complete'!#REF!,"AAAAAHd+9cE=")</f>
        <v>#REF!</v>
      </c>
      <c r="GM63" t="e">
        <f>AND('BBP complete'!E845,"AAAAAHd+9cI=")</f>
        <v>#VALUE!</v>
      </c>
      <c r="GN63" t="e">
        <f>AND('BBP complete'!#REF!,"AAAAAHd+9cM=")</f>
        <v>#REF!</v>
      </c>
      <c r="GO63" t="e">
        <f>AND('BBP complete'!K845,"AAAAAHd+9cQ=")</f>
        <v>#VALUE!</v>
      </c>
      <c r="GP63" t="e">
        <f>AND('BBP complete'!L845,"AAAAAHd+9cU=")</f>
        <v>#VALUE!</v>
      </c>
      <c r="GQ63" t="e">
        <f>AND('BBP complete'!#REF!,"AAAAAHd+9cY=")</f>
        <v>#REF!</v>
      </c>
      <c r="GR63" t="e">
        <f>AND('BBP complete'!#REF!,"AAAAAHd+9cc=")</f>
        <v>#REF!</v>
      </c>
      <c r="GS63" t="e">
        <f>AND('BBP complete'!#REF!,"AAAAAHd+9cg=")</f>
        <v>#REF!</v>
      </c>
      <c r="GT63" t="e">
        <f>AND('BBP complete'!D846,"AAAAAHd+9ck=")</f>
        <v>#VALUE!</v>
      </c>
      <c r="GU63" t="e">
        <f>AND('BBP complete'!F846,"AAAAAHd+9co=")</f>
        <v>#VALUE!</v>
      </c>
      <c r="GV63" t="e">
        <f>AND('BBP complete'!G846,"AAAAAHd+9cs=")</f>
        <v>#VALUE!</v>
      </c>
      <c r="GW63" t="e">
        <f>AND('BBP complete'!H846,"AAAAAHd+9cw=")</f>
        <v>#VALUE!</v>
      </c>
      <c r="GX63" t="e">
        <f>AND('BBP complete'!I846,"AAAAAHd+9c0=")</f>
        <v>#VALUE!</v>
      </c>
      <c r="GY63" s="60" t="e">
        <v>#VALUE!</v>
      </c>
      <c r="GZ63" t="e">
        <f>AND('BBP complete'!A846,"AAAAAHd+9c8=")</f>
        <v>#VALUE!</v>
      </c>
      <c r="HA63" t="e">
        <f>AND('BBP complete'!B846,"AAAAAHd+9dA=")</f>
        <v>#VALUE!</v>
      </c>
      <c r="HB63" t="e">
        <f>AND('BBP complete'!C846,"AAAAAHd+9dE=")</f>
        <v>#VALUE!</v>
      </c>
      <c r="HC63" t="e">
        <f>AND('BBP complete'!#REF!,"AAAAAHd+9dI=")</f>
        <v>#REF!</v>
      </c>
      <c r="HD63" t="e">
        <f>AND('BBP complete'!#REF!,"AAAAAHd+9dM=")</f>
        <v>#REF!</v>
      </c>
      <c r="HE63" t="e">
        <f>AND('BBP complete'!#REF!,"AAAAAHd+9dQ=")</f>
        <v>#REF!</v>
      </c>
      <c r="HF63" t="e">
        <f>AND('BBP complete'!E846,"AAAAAHd+9dU=")</f>
        <v>#VALUE!</v>
      </c>
      <c r="HG63" t="e">
        <f>AND('BBP complete'!#REF!,"AAAAAHd+9dY=")</f>
        <v>#REF!</v>
      </c>
      <c r="HH63" t="e">
        <f>AND('BBP complete'!K846,"AAAAAHd+9dc=")</f>
        <v>#VALUE!</v>
      </c>
      <c r="HI63" t="e">
        <f>AND('BBP complete'!L846,"AAAAAHd+9dg=")</f>
        <v>#VALUE!</v>
      </c>
      <c r="HJ63" t="e">
        <f>AND('BBP complete'!#REF!,"AAAAAHd+9dk=")</f>
        <v>#REF!</v>
      </c>
      <c r="HK63" t="e">
        <f>AND('BBP complete'!#REF!,"AAAAAHd+9do=")</f>
        <v>#REF!</v>
      </c>
      <c r="HL63" t="e">
        <f>AND('BBP complete'!#REF!,"AAAAAHd+9ds=")</f>
        <v>#REF!</v>
      </c>
      <c r="HM63" t="e">
        <f>AND('BBP complete'!D847,"AAAAAHd+9dw=")</f>
        <v>#VALUE!</v>
      </c>
      <c r="HN63" t="e">
        <f>AND('BBP complete'!F847,"AAAAAHd+9d0=")</f>
        <v>#VALUE!</v>
      </c>
      <c r="HO63" t="e">
        <f>AND('BBP complete'!G847,"AAAAAHd+9d4=")</f>
        <v>#VALUE!</v>
      </c>
      <c r="HP63" t="e">
        <f>AND('BBP complete'!H847,"AAAAAHd+9d8=")</f>
        <v>#VALUE!</v>
      </c>
      <c r="HQ63" t="e">
        <f>AND('BBP complete'!I847,"AAAAAHd+9eA=")</f>
        <v>#VALUE!</v>
      </c>
      <c r="HR63" s="60" t="e">
        <v>#VALUE!</v>
      </c>
      <c r="HS63" t="e">
        <f>AND('BBP complete'!A847,"AAAAAHd+9eI=")</f>
        <v>#VALUE!</v>
      </c>
      <c r="HT63" t="e">
        <f>AND('BBP complete'!B847,"AAAAAHd+9eM=")</f>
        <v>#VALUE!</v>
      </c>
      <c r="HU63" t="e">
        <f>AND('BBP complete'!C847,"AAAAAHd+9eQ=")</f>
        <v>#VALUE!</v>
      </c>
      <c r="HV63" t="e">
        <f>AND('BBP complete'!#REF!,"AAAAAHd+9eU=")</f>
        <v>#REF!</v>
      </c>
      <c r="HW63" t="e">
        <f>AND('BBP complete'!#REF!,"AAAAAHd+9eY=")</f>
        <v>#REF!</v>
      </c>
      <c r="HX63" t="e">
        <f>AND('BBP complete'!#REF!,"AAAAAHd+9ec=")</f>
        <v>#REF!</v>
      </c>
      <c r="HY63" t="e">
        <f>AND('BBP complete'!E847,"AAAAAHd+9eg=")</f>
        <v>#VALUE!</v>
      </c>
      <c r="HZ63" t="e">
        <f>AND('BBP complete'!#REF!,"AAAAAHd+9ek=")</f>
        <v>#REF!</v>
      </c>
      <c r="IA63" t="e">
        <f>AND('BBP complete'!K847,"AAAAAHd+9eo=")</f>
        <v>#VALUE!</v>
      </c>
      <c r="IB63" t="e">
        <f>AND('BBP complete'!L847,"AAAAAHd+9es=")</f>
        <v>#VALUE!</v>
      </c>
      <c r="IC63" t="e">
        <f>AND('BBP complete'!#REF!,"AAAAAHd+9ew=")</f>
        <v>#REF!</v>
      </c>
      <c r="ID63" t="e">
        <f>AND('BBP complete'!#REF!,"AAAAAHd+9e0=")</f>
        <v>#REF!</v>
      </c>
      <c r="IE63" t="e">
        <f>AND('BBP complete'!#REF!,"AAAAAHd+9e4=")</f>
        <v>#REF!</v>
      </c>
      <c r="IF63" t="e">
        <f>AND('BBP complete'!D848,"AAAAAHd+9e8=")</f>
        <v>#VALUE!</v>
      </c>
      <c r="IG63" t="e">
        <f>AND('BBP complete'!F848,"AAAAAHd+9fA=")</f>
        <v>#VALUE!</v>
      </c>
      <c r="IH63" t="e">
        <f>AND('BBP complete'!G848,"AAAAAHd+9fE=")</f>
        <v>#VALUE!</v>
      </c>
      <c r="II63" t="e">
        <f>AND('BBP complete'!H848,"AAAAAHd+9fI=")</f>
        <v>#VALUE!</v>
      </c>
      <c r="IJ63" t="e">
        <f>AND('BBP complete'!I848,"AAAAAHd+9fM=")</f>
        <v>#VALUE!</v>
      </c>
      <c r="IK63" s="60" t="e">
        <v>#VALUE!</v>
      </c>
      <c r="IL63" t="e">
        <f>AND('BBP complete'!A848,"AAAAAHd+9fU=")</f>
        <v>#VALUE!</v>
      </c>
      <c r="IM63" t="e">
        <f>AND('BBP complete'!B848,"AAAAAHd+9fY=")</f>
        <v>#VALUE!</v>
      </c>
      <c r="IN63" t="e">
        <f>AND('BBP complete'!C848,"AAAAAHd+9fc=")</f>
        <v>#VALUE!</v>
      </c>
      <c r="IO63" t="e">
        <f>AND('BBP complete'!#REF!,"AAAAAHd+9fg=")</f>
        <v>#REF!</v>
      </c>
      <c r="IP63" t="e">
        <f>AND('BBP complete'!#REF!,"AAAAAHd+9fk=")</f>
        <v>#REF!</v>
      </c>
      <c r="IQ63" t="e">
        <f>AND('BBP complete'!#REF!,"AAAAAHd+9fo=")</f>
        <v>#REF!</v>
      </c>
      <c r="IR63" t="e">
        <f>AND('BBP complete'!E848,"AAAAAHd+9fs=")</f>
        <v>#VALUE!</v>
      </c>
      <c r="IS63" t="e">
        <f>AND('BBP complete'!#REF!,"AAAAAHd+9fw=")</f>
        <v>#REF!</v>
      </c>
      <c r="IT63" t="e">
        <f>AND('BBP complete'!K848,"AAAAAHd+9f0=")</f>
        <v>#VALUE!</v>
      </c>
      <c r="IU63" t="e">
        <f>AND('BBP complete'!L848,"AAAAAHd+9f4=")</f>
        <v>#VALUE!</v>
      </c>
      <c r="IV63" t="e">
        <f>AND('BBP complete'!#REF!,"AAAAAHd+9f8=")</f>
        <v>#REF!</v>
      </c>
    </row>
    <row r="64" spans="1:256" ht="15" customHeight="1" x14ac:dyDescent="0.25">
      <c r="A64" t="e">
        <f>AND('BBP complete'!#REF!,"AAAAAH33/wA=")</f>
        <v>#REF!</v>
      </c>
      <c r="B64" t="e">
        <f>AND('BBP complete'!#REF!,"AAAAAH33/wE=")</f>
        <v>#REF!</v>
      </c>
      <c r="C64" t="e">
        <f>AND('BBP complete'!D849,"AAAAAH33/wI=")</f>
        <v>#VALUE!</v>
      </c>
      <c r="D64" t="e">
        <f>AND('BBP complete'!F849,"AAAAAH33/wM=")</f>
        <v>#VALUE!</v>
      </c>
      <c r="E64" t="e">
        <f>AND('BBP complete'!G849,"AAAAAH33/wQ=")</f>
        <v>#VALUE!</v>
      </c>
      <c r="F64" t="e">
        <f>AND('BBP complete'!H849,"AAAAAH33/wU=")</f>
        <v>#VALUE!</v>
      </c>
      <c r="G64" t="e">
        <f>AND('BBP complete'!I849,"AAAAAH33/wY=")</f>
        <v>#VALUE!</v>
      </c>
      <c r="H64" s="60" t="e">
        <v>#VALUE!</v>
      </c>
      <c r="I64" t="e">
        <f>AND('BBP complete'!A849,"AAAAAH33/wg=")</f>
        <v>#VALUE!</v>
      </c>
      <c r="J64" t="e">
        <f>AND('BBP complete'!B849,"AAAAAH33/wk=")</f>
        <v>#VALUE!</v>
      </c>
      <c r="K64" t="e">
        <f>AND('BBP complete'!C849,"AAAAAH33/wo=")</f>
        <v>#VALUE!</v>
      </c>
      <c r="L64" t="e">
        <f>AND('BBP complete'!#REF!,"AAAAAH33/ws=")</f>
        <v>#REF!</v>
      </c>
      <c r="M64" t="e">
        <f>AND('BBP complete'!#REF!,"AAAAAH33/ww=")</f>
        <v>#REF!</v>
      </c>
      <c r="N64" t="e">
        <f>AND('BBP complete'!#REF!,"AAAAAH33/w0=")</f>
        <v>#REF!</v>
      </c>
      <c r="O64" t="e">
        <f>AND('BBP complete'!E849,"AAAAAH33/w4=")</f>
        <v>#VALUE!</v>
      </c>
      <c r="P64" t="e">
        <f>AND('BBP complete'!#REF!,"AAAAAH33/w8=")</f>
        <v>#REF!</v>
      </c>
      <c r="Q64" t="e">
        <f>AND('BBP complete'!K849,"AAAAAH33/xA=")</f>
        <v>#VALUE!</v>
      </c>
      <c r="R64" t="e">
        <f>AND('BBP complete'!L849,"AAAAAH33/xE=")</f>
        <v>#VALUE!</v>
      </c>
      <c r="S64" t="e">
        <f>AND('BBP complete'!#REF!,"AAAAAH33/xI=")</f>
        <v>#REF!</v>
      </c>
      <c r="T64" t="e">
        <f>AND('BBP complete'!#REF!,"AAAAAH33/xM=")</f>
        <v>#REF!</v>
      </c>
      <c r="U64" t="e">
        <f>AND('BBP complete'!#REF!,"AAAAAH33/xQ=")</f>
        <v>#REF!</v>
      </c>
      <c r="V64" t="e">
        <f>AND('BBP complete'!D850,"AAAAAH33/xU=")</f>
        <v>#VALUE!</v>
      </c>
      <c r="W64" t="e">
        <f>AND('BBP complete'!F850,"AAAAAH33/xY=")</f>
        <v>#VALUE!</v>
      </c>
      <c r="X64" t="e">
        <f>AND('BBP complete'!G850,"AAAAAH33/xc=")</f>
        <v>#VALUE!</v>
      </c>
      <c r="Y64" t="e">
        <f>AND('BBP complete'!H850,"AAAAAH33/xg=")</f>
        <v>#VALUE!</v>
      </c>
      <c r="Z64" t="e">
        <f>AND('BBP complete'!I850,"AAAAAH33/xk=")</f>
        <v>#VALUE!</v>
      </c>
      <c r="AA64" s="60" t="e">
        <v>#VALUE!</v>
      </c>
      <c r="AB64" t="e">
        <f>AND('BBP complete'!A850,"AAAAAH33/xs=")</f>
        <v>#VALUE!</v>
      </c>
      <c r="AC64" t="e">
        <f>AND('BBP complete'!B850,"AAAAAH33/xw=")</f>
        <v>#VALUE!</v>
      </c>
      <c r="AD64" t="e">
        <f>AND('BBP complete'!C850,"AAAAAH33/x0=")</f>
        <v>#VALUE!</v>
      </c>
      <c r="AE64" t="e">
        <f>AND('BBP complete'!#REF!,"AAAAAH33/x4=")</f>
        <v>#REF!</v>
      </c>
      <c r="AF64" t="e">
        <f>AND('BBP complete'!#REF!,"AAAAAH33/x8=")</f>
        <v>#REF!</v>
      </c>
      <c r="AG64" t="e">
        <f>AND('BBP complete'!#REF!,"AAAAAH33/yA=")</f>
        <v>#REF!</v>
      </c>
      <c r="AH64" t="e">
        <f>AND('BBP complete'!E850,"AAAAAH33/yE=")</f>
        <v>#VALUE!</v>
      </c>
      <c r="AI64" t="e">
        <f>AND('BBP complete'!#REF!,"AAAAAH33/yI=")</f>
        <v>#REF!</v>
      </c>
      <c r="AJ64" t="e">
        <f>AND('BBP complete'!K850,"AAAAAH33/yM=")</f>
        <v>#VALUE!</v>
      </c>
      <c r="AK64" t="e">
        <f>AND('BBP complete'!L850,"AAAAAH33/yQ=")</f>
        <v>#VALUE!</v>
      </c>
      <c r="AL64" t="e">
        <f>AND('BBP complete'!#REF!,"AAAAAH33/yU=")</f>
        <v>#REF!</v>
      </c>
      <c r="AM64" t="e">
        <f>AND('BBP complete'!#REF!,"AAAAAH33/yY=")</f>
        <v>#REF!</v>
      </c>
      <c r="AN64" t="e">
        <f>AND('BBP complete'!#REF!,"AAAAAH33/yc=")</f>
        <v>#REF!</v>
      </c>
      <c r="AO64" t="e">
        <f>AND('BBP complete'!D851,"AAAAAH33/yg=")</f>
        <v>#VALUE!</v>
      </c>
      <c r="AP64" t="e">
        <f>AND('BBP complete'!F851,"AAAAAH33/yk=")</f>
        <v>#VALUE!</v>
      </c>
      <c r="AQ64" t="e">
        <f>AND('BBP complete'!G851,"AAAAAH33/yo=")</f>
        <v>#VALUE!</v>
      </c>
      <c r="AR64" t="e">
        <f>AND('BBP complete'!H851,"AAAAAH33/ys=")</f>
        <v>#VALUE!</v>
      </c>
      <c r="AS64" t="e">
        <f>AND('BBP complete'!I851,"AAAAAH33/yw=")</f>
        <v>#VALUE!</v>
      </c>
      <c r="AT64" s="60" t="e">
        <v>#VALUE!</v>
      </c>
      <c r="AU64" t="e">
        <f>AND('BBP complete'!A851,"AAAAAH33/y4=")</f>
        <v>#VALUE!</v>
      </c>
      <c r="AV64" t="e">
        <f>AND('BBP complete'!B851,"AAAAAH33/y8=")</f>
        <v>#VALUE!</v>
      </c>
      <c r="AW64" t="e">
        <f>AND('BBP complete'!C851,"AAAAAH33/zA=")</f>
        <v>#VALUE!</v>
      </c>
      <c r="AX64" t="e">
        <f>AND('BBP complete'!#REF!,"AAAAAH33/zE=")</f>
        <v>#REF!</v>
      </c>
      <c r="AY64" t="e">
        <f>AND('BBP complete'!#REF!,"AAAAAH33/zI=")</f>
        <v>#REF!</v>
      </c>
      <c r="AZ64" t="e">
        <f>AND('BBP complete'!#REF!,"AAAAAH33/zM=")</f>
        <v>#REF!</v>
      </c>
      <c r="BA64" t="e">
        <f>AND('BBP complete'!E851,"AAAAAH33/zQ=")</f>
        <v>#VALUE!</v>
      </c>
      <c r="BB64" t="e">
        <f>AND('BBP complete'!#REF!,"AAAAAH33/zU=")</f>
        <v>#REF!</v>
      </c>
      <c r="BC64" t="e">
        <f>AND('BBP complete'!K851,"AAAAAH33/zY=")</f>
        <v>#VALUE!</v>
      </c>
      <c r="BD64" t="e">
        <f>AND('BBP complete'!L851,"AAAAAH33/zc=")</f>
        <v>#VALUE!</v>
      </c>
      <c r="BE64" t="e">
        <f>AND('BBP complete'!#REF!,"AAAAAH33/zg=")</f>
        <v>#REF!</v>
      </c>
      <c r="BF64" t="e">
        <f>AND('BBP complete'!#REF!,"AAAAAH33/zk=")</f>
        <v>#REF!</v>
      </c>
      <c r="BG64" t="e">
        <f>AND('BBP complete'!#REF!,"AAAAAH33/zo=")</f>
        <v>#REF!</v>
      </c>
      <c r="BH64" t="e">
        <f>AND('BBP complete'!D852,"AAAAAH33/zs=")</f>
        <v>#VALUE!</v>
      </c>
      <c r="BI64" t="e">
        <f>AND('BBP complete'!F852,"AAAAAH33/zw=")</f>
        <v>#VALUE!</v>
      </c>
      <c r="BJ64" t="e">
        <f>AND('BBP complete'!G852,"AAAAAH33/z0=")</f>
        <v>#VALUE!</v>
      </c>
      <c r="BK64" t="e">
        <f>AND('BBP complete'!H852,"AAAAAH33/z4=")</f>
        <v>#VALUE!</v>
      </c>
      <c r="BL64" t="e">
        <f>AND('BBP complete'!I852,"AAAAAH33/z8=")</f>
        <v>#VALUE!</v>
      </c>
      <c r="BM64" s="60" t="e">
        <v>#VALUE!</v>
      </c>
      <c r="BN64" t="e">
        <f>AND('BBP complete'!A852,"AAAAAH33/0E=")</f>
        <v>#VALUE!</v>
      </c>
      <c r="BO64" t="e">
        <f>AND('BBP complete'!B852,"AAAAAH33/0I=")</f>
        <v>#VALUE!</v>
      </c>
      <c r="BP64" t="e">
        <f>AND('BBP complete'!C852,"AAAAAH33/0M=")</f>
        <v>#VALUE!</v>
      </c>
      <c r="BQ64" t="e">
        <f>AND('BBP complete'!#REF!,"AAAAAH33/0Q=")</f>
        <v>#REF!</v>
      </c>
      <c r="BR64" t="e">
        <f>AND('BBP complete'!#REF!,"AAAAAH33/0U=")</f>
        <v>#REF!</v>
      </c>
      <c r="BS64" t="e">
        <f>AND('BBP complete'!#REF!,"AAAAAH33/0Y=")</f>
        <v>#REF!</v>
      </c>
      <c r="BT64" t="e">
        <f>AND('BBP complete'!E852,"AAAAAH33/0c=")</f>
        <v>#VALUE!</v>
      </c>
      <c r="BU64" t="e">
        <f>AND('BBP complete'!#REF!,"AAAAAH33/0g=")</f>
        <v>#REF!</v>
      </c>
      <c r="BV64" t="e">
        <f>AND('BBP complete'!K852,"AAAAAH33/0k=")</f>
        <v>#VALUE!</v>
      </c>
      <c r="BW64" t="e">
        <f>AND('BBP complete'!L852,"AAAAAH33/0o=")</f>
        <v>#VALUE!</v>
      </c>
      <c r="BX64" t="e">
        <f>AND('BBP complete'!#REF!,"AAAAAH33/0s=")</f>
        <v>#REF!</v>
      </c>
      <c r="BY64" t="e">
        <f>AND('BBP complete'!#REF!,"AAAAAH33/0w=")</f>
        <v>#REF!</v>
      </c>
      <c r="BZ64" t="e">
        <f>AND('BBP complete'!#REF!,"AAAAAH33/00=")</f>
        <v>#REF!</v>
      </c>
      <c r="CA64" t="e">
        <f>AND('BBP complete'!D853,"AAAAAH33/04=")</f>
        <v>#VALUE!</v>
      </c>
      <c r="CB64" t="e">
        <f>AND('BBP complete'!F853,"AAAAAH33/08=")</f>
        <v>#VALUE!</v>
      </c>
      <c r="CC64" t="e">
        <f>AND('BBP complete'!G853,"AAAAAH33/1A=")</f>
        <v>#VALUE!</v>
      </c>
      <c r="CD64" t="e">
        <f>AND('BBP complete'!H853,"AAAAAH33/1E=")</f>
        <v>#VALUE!</v>
      </c>
      <c r="CE64" t="e">
        <f>AND('BBP complete'!I853,"AAAAAH33/1I=")</f>
        <v>#VALUE!</v>
      </c>
      <c r="CF64" s="60" t="e">
        <v>#VALUE!</v>
      </c>
      <c r="CG64" t="e">
        <f>AND('BBP complete'!A853,"AAAAAH33/1Q=")</f>
        <v>#VALUE!</v>
      </c>
      <c r="CH64" t="e">
        <f>AND('BBP complete'!B853,"AAAAAH33/1U=")</f>
        <v>#VALUE!</v>
      </c>
      <c r="CI64" t="e">
        <f>AND('BBP complete'!C853,"AAAAAH33/1Y=")</f>
        <v>#VALUE!</v>
      </c>
      <c r="CJ64" t="e">
        <f>AND('BBP complete'!#REF!,"AAAAAH33/1c=")</f>
        <v>#REF!</v>
      </c>
      <c r="CK64" t="e">
        <f>AND('BBP complete'!#REF!,"AAAAAH33/1g=")</f>
        <v>#REF!</v>
      </c>
      <c r="CL64" t="e">
        <f>AND('BBP complete'!#REF!,"AAAAAH33/1k=")</f>
        <v>#REF!</v>
      </c>
      <c r="CM64" t="e">
        <f>AND('BBP complete'!E853,"AAAAAH33/1o=")</f>
        <v>#VALUE!</v>
      </c>
      <c r="CN64" t="e">
        <f>AND('BBP complete'!#REF!,"AAAAAH33/1s=")</f>
        <v>#REF!</v>
      </c>
      <c r="CO64" t="e">
        <f>AND('BBP complete'!K853,"AAAAAH33/1w=")</f>
        <v>#VALUE!</v>
      </c>
      <c r="CP64" t="e">
        <f>AND('BBP complete'!L853,"AAAAAH33/10=")</f>
        <v>#VALUE!</v>
      </c>
      <c r="CQ64" t="e">
        <f>AND('BBP complete'!#REF!,"AAAAAH33/14=")</f>
        <v>#REF!</v>
      </c>
      <c r="CR64" t="e">
        <f>AND('BBP complete'!#REF!,"AAAAAH33/18=")</f>
        <v>#REF!</v>
      </c>
      <c r="CS64" t="e">
        <f>AND('BBP complete'!#REF!,"AAAAAH33/2A=")</f>
        <v>#REF!</v>
      </c>
      <c r="CT64" t="e">
        <f>AND('BBP complete'!D854,"AAAAAH33/2E=")</f>
        <v>#VALUE!</v>
      </c>
      <c r="CU64" t="e">
        <f>AND('BBP complete'!F854,"AAAAAH33/2I=")</f>
        <v>#VALUE!</v>
      </c>
      <c r="CV64" t="e">
        <f>AND('BBP complete'!G854,"AAAAAH33/2M=")</f>
        <v>#VALUE!</v>
      </c>
      <c r="CW64" t="e">
        <f>AND('BBP complete'!H854,"AAAAAH33/2Q=")</f>
        <v>#VALUE!</v>
      </c>
      <c r="CX64" t="e">
        <f>AND('BBP complete'!I854,"AAAAAH33/2U=")</f>
        <v>#VALUE!</v>
      </c>
      <c r="CY64" s="60" t="e">
        <v>#VALUE!</v>
      </c>
      <c r="CZ64" t="e">
        <f>AND('BBP complete'!A854,"AAAAAH33/2c=")</f>
        <v>#VALUE!</v>
      </c>
      <c r="DA64" t="e">
        <f>AND('BBP complete'!B854,"AAAAAH33/2g=")</f>
        <v>#VALUE!</v>
      </c>
      <c r="DB64" t="e">
        <f>AND('BBP complete'!C854,"AAAAAH33/2k=")</f>
        <v>#VALUE!</v>
      </c>
      <c r="DC64" t="e">
        <f>AND('BBP complete'!#REF!,"AAAAAH33/2o=")</f>
        <v>#REF!</v>
      </c>
      <c r="DD64" t="e">
        <f>AND('BBP complete'!#REF!,"AAAAAH33/2s=")</f>
        <v>#REF!</v>
      </c>
      <c r="DE64" t="e">
        <f>AND('BBP complete'!#REF!,"AAAAAH33/2w=")</f>
        <v>#REF!</v>
      </c>
      <c r="DF64" t="e">
        <f>AND('BBP complete'!E854,"AAAAAH33/20=")</f>
        <v>#VALUE!</v>
      </c>
      <c r="DG64" t="e">
        <f>AND('BBP complete'!#REF!,"AAAAAH33/24=")</f>
        <v>#REF!</v>
      </c>
      <c r="DH64" t="e">
        <f>AND('BBP complete'!K854,"AAAAAH33/28=")</f>
        <v>#VALUE!</v>
      </c>
      <c r="DI64" t="e">
        <f>AND('BBP complete'!L854,"AAAAAH33/3A=")</f>
        <v>#VALUE!</v>
      </c>
      <c r="DJ64" t="e">
        <f>AND('BBP complete'!#REF!,"AAAAAH33/3E=")</f>
        <v>#REF!</v>
      </c>
      <c r="DK64" t="e">
        <f>AND('BBP complete'!#REF!,"AAAAAH33/3I=")</f>
        <v>#REF!</v>
      </c>
      <c r="DL64" t="e">
        <f>AND('BBP complete'!#REF!,"AAAAAH33/3M=")</f>
        <v>#REF!</v>
      </c>
      <c r="DM64" t="e">
        <f>AND('BBP complete'!D855,"AAAAAH33/3Q=")</f>
        <v>#VALUE!</v>
      </c>
      <c r="DN64" t="e">
        <f>AND('BBP complete'!F855,"AAAAAH33/3U=")</f>
        <v>#VALUE!</v>
      </c>
      <c r="DO64" t="e">
        <f>AND('BBP complete'!G855,"AAAAAH33/3Y=")</f>
        <v>#VALUE!</v>
      </c>
      <c r="DP64" t="e">
        <f>AND('BBP complete'!H855,"AAAAAH33/3c=")</f>
        <v>#VALUE!</v>
      </c>
      <c r="DQ64" t="e">
        <f>AND('BBP complete'!I855,"AAAAAH33/3g=")</f>
        <v>#VALUE!</v>
      </c>
      <c r="DR64" s="60" t="e">
        <v>#VALUE!</v>
      </c>
      <c r="DS64" t="e">
        <f>AND('BBP complete'!A855,"AAAAAH33/3o=")</f>
        <v>#VALUE!</v>
      </c>
      <c r="DT64" t="e">
        <f>AND('BBP complete'!B855,"AAAAAH33/3s=")</f>
        <v>#VALUE!</v>
      </c>
      <c r="DU64" t="e">
        <f>AND('BBP complete'!C855,"AAAAAH33/3w=")</f>
        <v>#VALUE!</v>
      </c>
      <c r="DV64" t="e">
        <f>AND('BBP complete'!#REF!,"AAAAAH33/30=")</f>
        <v>#REF!</v>
      </c>
      <c r="DW64" t="e">
        <f>AND('BBP complete'!#REF!,"AAAAAH33/34=")</f>
        <v>#REF!</v>
      </c>
      <c r="DX64" t="e">
        <f>AND('BBP complete'!#REF!,"AAAAAH33/38=")</f>
        <v>#REF!</v>
      </c>
      <c r="DY64" t="e">
        <f>AND('BBP complete'!E855,"AAAAAH33/4A=")</f>
        <v>#VALUE!</v>
      </c>
      <c r="DZ64" t="e">
        <f>AND('BBP complete'!#REF!,"AAAAAH33/4E=")</f>
        <v>#REF!</v>
      </c>
      <c r="EA64" t="e">
        <f>AND('BBP complete'!K855,"AAAAAH33/4I=")</f>
        <v>#VALUE!</v>
      </c>
      <c r="EB64" t="e">
        <f>AND('BBP complete'!L855,"AAAAAH33/4M=")</f>
        <v>#VALUE!</v>
      </c>
      <c r="EC64" t="e">
        <f>AND('BBP complete'!#REF!,"AAAAAH33/4Q=")</f>
        <v>#REF!</v>
      </c>
      <c r="ED64" t="e">
        <f>AND('BBP complete'!#REF!,"AAAAAH33/4U=")</f>
        <v>#REF!</v>
      </c>
      <c r="EE64" t="e">
        <f>AND('BBP complete'!#REF!,"AAAAAH33/4Y=")</f>
        <v>#REF!</v>
      </c>
      <c r="EF64" t="e">
        <f>AND('BBP complete'!D856,"AAAAAH33/4c=")</f>
        <v>#VALUE!</v>
      </c>
      <c r="EG64" t="e">
        <f>AND('BBP complete'!F856,"AAAAAH33/4g=")</f>
        <v>#VALUE!</v>
      </c>
      <c r="EH64" t="e">
        <f>AND('BBP complete'!G856,"AAAAAH33/4k=")</f>
        <v>#VALUE!</v>
      </c>
      <c r="EI64" t="e">
        <f>AND('BBP complete'!H856,"AAAAAH33/4o=")</f>
        <v>#VALUE!</v>
      </c>
      <c r="EJ64" t="e">
        <f>AND('BBP complete'!I856,"AAAAAH33/4s=")</f>
        <v>#VALUE!</v>
      </c>
      <c r="EK64" s="60" t="e">
        <v>#VALUE!</v>
      </c>
      <c r="EL64" t="e">
        <f>AND('BBP complete'!A856,"AAAAAH33/40=")</f>
        <v>#VALUE!</v>
      </c>
      <c r="EM64" t="e">
        <f>AND('BBP complete'!B856,"AAAAAH33/44=")</f>
        <v>#VALUE!</v>
      </c>
      <c r="EN64" t="e">
        <f>AND('BBP complete'!C856,"AAAAAH33/48=")</f>
        <v>#VALUE!</v>
      </c>
      <c r="EO64" t="e">
        <f>AND('BBP complete'!#REF!,"AAAAAH33/5A=")</f>
        <v>#REF!</v>
      </c>
      <c r="EP64" t="e">
        <f>AND('BBP complete'!#REF!,"AAAAAH33/5E=")</f>
        <v>#REF!</v>
      </c>
      <c r="EQ64" t="e">
        <f>AND('BBP complete'!#REF!,"AAAAAH33/5I=")</f>
        <v>#REF!</v>
      </c>
      <c r="ER64" t="e">
        <f>AND('BBP complete'!E856,"AAAAAH33/5M=")</f>
        <v>#VALUE!</v>
      </c>
      <c r="ES64" t="e">
        <f>AND('BBP complete'!#REF!,"AAAAAH33/5Q=")</f>
        <v>#REF!</v>
      </c>
      <c r="ET64" t="e">
        <f>AND('BBP complete'!K856,"AAAAAH33/5U=")</f>
        <v>#VALUE!</v>
      </c>
      <c r="EU64" t="e">
        <f>AND('BBP complete'!L856,"AAAAAH33/5Y=")</f>
        <v>#VALUE!</v>
      </c>
      <c r="EV64" t="e">
        <f>AND('BBP complete'!#REF!,"AAAAAH33/5c=")</f>
        <v>#REF!</v>
      </c>
      <c r="EW64" t="e">
        <f>AND('BBP complete'!#REF!,"AAAAAH33/5g=")</f>
        <v>#REF!</v>
      </c>
      <c r="EX64" t="e">
        <f>AND('BBP complete'!#REF!,"AAAAAH33/5k=")</f>
        <v>#REF!</v>
      </c>
      <c r="EY64" t="e">
        <f>AND('BBP complete'!D857,"AAAAAH33/5o=")</f>
        <v>#VALUE!</v>
      </c>
      <c r="EZ64" t="e">
        <f>AND('BBP complete'!F857,"AAAAAH33/5s=")</f>
        <v>#VALUE!</v>
      </c>
      <c r="FA64" t="e">
        <f>AND('BBP complete'!G857,"AAAAAH33/5w=")</f>
        <v>#VALUE!</v>
      </c>
      <c r="FB64" t="e">
        <f>AND('BBP complete'!H857,"AAAAAH33/50=")</f>
        <v>#VALUE!</v>
      </c>
      <c r="FC64" t="e">
        <f>AND('BBP complete'!I857,"AAAAAH33/54=")</f>
        <v>#VALUE!</v>
      </c>
      <c r="FD64" s="60" t="e">
        <v>#VALUE!</v>
      </c>
      <c r="FE64" t="e">
        <f>AND('BBP complete'!A857,"AAAAAH33/6A=")</f>
        <v>#VALUE!</v>
      </c>
      <c r="FF64" t="e">
        <f>AND('BBP complete'!B857,"AAAAAH33/6E=")</f>
        <v>#VALUE!</v>
      </c>
      <c r="FG64" t="e">
        <f>AND('BBP complete'!C857,"AAAAAH33/6I=")</f>
        <v>#VALUE!</v>
      </c>
      <c r="FH64" t="e">
        <f>AND('BBP complete'!#REF!,"AAAAAH33/6M=")</f>
        <v>#REF!</v>
      </c>
      <c r="FI64" t="e">
        <f>AND('BBP complete'!#REF!,"AAAAAH33/6Q=")</f>
        <v>#REF!</v>
      </c>
      <c r="FJ64" t="e">
        <f>AND('BBP complete'!#REF!,"AAAAAH33/6U=")</f>
        <v>#REF!</v>
      </c>
      <c r="FK64" t="e">
        <f>AND('BBP complete'!E857,"AAAAAH33/6Y=")</f>
        <v>#VALUE!</v>
      </c>
      <c r="FL64" t="e">
        <f>AND('BBP complete'!#REF!,"AAAAAH33/6c=")</f>
        <v>#REF!</v>
      </c>
      <c r="FM64" t="e">
        <f>AND('BBP complete'!K857,"AAAAAH33/6g=")</f>
        <v>#VALUE!</v>
      </c>
      <c r="FN64" t="e">
        <f>AND('BBP complete'!L857,"AAAAAH33/6k=")</f>
        <v>#VALUE!</v>
      </c>
      <c r="FO64" t="e">
        <f>AND('BBP complete'!#REF!,"AAAAAH33/6o=")</f>
        <v>#REF!</v>
      </c>
      <c r="FP64" t="e">
        <f>AND('BBP complete'!#REF!,"AAAAAH33/6s=")</f>
        <v>#REF!</v>
      </c>
      <c r="FQ64" t="e">
        <f>AND('BBP complete'!#REF!,"AAAAAH33/6w=")</f>
        <v>#REF!</v>
      </c>
      <c r="FR64" t="e">
        <f>AND('BBP complete'!D858,"AAAAAH33/60=")</f>
        <v>#VALUE!</v>
      </c>
      <c r="FS64" t="e">
        <f>AND('BBP complete'!F858,"AAAAAH33/64=")</f>
        <v>#VALUE!</v>
      </c>
      <c r="FT64" t="e">
        <f>AND('BBP complete'!G858,"AAAAAH33/68=")</f>
        <v>#VALUE!</v>
      </c>
      <c r="FU64" t="e">
        <f>AND('BBP complete'!H858,"AAAAAH33/7A=")</f>
        <v>#VALUE!</v>
      </c>
      <c r="FV64" t="e">
        <f>AND('BBP complete'!I858,"AAAAAH33/7E=")</f>
        <v>#VALUE!</v>
      </c>
      <c r="FW64" s="60" t="e">
        <v>#VALUE!</v>
      </c>
      <c r="FX64" t="e">
        <f>AND('BBP complete'!A858,"AAAAAH33/7M=")</f>
        <v>#VALUE!</v>
      </c>
      <c r="FY64" t="e">
        <f>AND('BBP complete'!B858,"AAAAAH33/7Q=")</f>
        <v>#VALUE!</v>
      </c>
      <c r="FZ64" t="e">
        <f>AND('BBP complete'!C858,"AAAAAH33/7U=")</f>
        <v>#VALUE!</v>
      </c>
      <c r="GA64" t="e">
        <f>AND('BBP complete'!#REF!,"AAAAAH33/7Y=")</f>
        <v>#REF!</v>
      </c>
      <c r="GB64" t="e">
        <f>AND('BBP complete'!#REF!,"AAAAAH33/7c=")</f>
        <v>#REF!</v>
      </c>
      <c r="GC64" t="e">
        <f>AND('BBP complete'!#REF!,"AAAAAH33/7g=")</f>
        <v>#REF!</v>
      </c>
      <c r="GD64" t="e">
        <f>AND('BBP complete'!E858,"AAAAAH33/7k=")</f>
        <v>#VALUE!</v>
      </c>
      <c r="GE64" t="e">
        <f>AND('BBP complete'!#REF!,"AAAAAH33/7o=")</f>
        <v>#REF!</v>
      </c>
      <c r="GF64" t="e">
        <f>AND('BBP complete'!K858,"AAAAAH33/7s=")</f>
        <v>#VALUE!</v>
      </c>
      <c r="GG64" t="e">
        <f>AND('BBP complete'!L858,"AAAAAH33/7w=")</f>
        <v>#VALUE!</v>
      </c>
      <c r="GH64" t="e">
        <f>AND('BBP complete'!#REF!,"AAAAAH33/70=")</f>
        <v>#REF!</v>
      </c>
      <c r="GI64" t="e">
        <f>AND('BBP complete'!#REF!,"AAAAAH33/74=")</f>
        <v>#REF!</v>
      </c>
      <c r="GJ64" t="e">
        <f>AND('BBP complete'!#REF!,"AAAAAH33/78=")</f>
        <v>#REF!</v>
      </c>
      <c r="GK64" t="e">
        <f>AND('BBP complete'!D859,"AAAAAH33/8A=")</f>
        <v>#VALUE!</v>
      </c>
      <c r="GL64" t="e">
        <f>AND('BBP complete'!F859,"AAAAAH33/8E=")</f>
        <v>#VALUE!</v>
      </c>
      <c r="GM64" t="e">
        <f>AND('BBP complete'!G859,"AAAAAH33/8I=")</f>
        <v>#VALUE!</v>
      </c>
      <c r="GN64" t="e">
        <f>AND('BBP complete'!H859,"AAAAAH33/8M=")</f>
        <v>#VALUE!</v>
      </c>
      <c r="GO64" t="e">
        <f>AND('BBP complete'!I859,"AAAAAH33/8Q=")</f>
        <v>#VALUE!</v>
      </c>
      <c r="GP64" s="60" t="e">
        <v>#VALUE!</v>
      </c>
      <c r="GQ64" t="e">
        <f>AND('BBP complete'!A859,"AAAAAH33/8Y=")</f>
        <v>#VALUE!</v>
      </c>
      <c r="GR64" t="e">
        <f>AND('BBP complete'!B859,"AAAAAH33/8c=")</f>
        <v>#VALUE!</v>
      </c>
      <c r="GS64" t="e">
        <f>AND('BBP complete'!C859,"AAAAAH33/8g=")</f>
        <v>#VALUE!</v>
      </c>
      <c r="GT64" t="e">
        <f>AND('BBP complete'!#REF!,"AAAAAH33/8k=")</f>
        <v>#REF!</v>
      </c>
      <c r="GU64" t="e">
        <f>AND('BBP complete'!#REF!,"AAAAAH33/8o=")</f>
        <v>#REF!</v>
      </c>
      <c r="GV64" t="e">
        <f>AND('BBP complete'!#REF!,"AAAAAH33/8s=")</f>
        <v>#REF!</v>
      </c>
      <c r="GW64" t="e">
        <f>AND('BBP complete'!E859,"AAAAAH33/8w=")</f>
        <v>#VALUE!</v>
      </c>
      <c r="GX64" t="e">
        <f>AND('BBP complete'!#REF!,"AAAAAH33/80=")</f>
        <v>#REF!</v>
      </c>
      <c r="GY64" t="e">
        <f>AND('BBP complete'!K859,"AAAAAH33/84=")</f>
        <v>#VALUE!</v>
      </c>
      <c r="GZ64" t="e">
        <f>AND('BBP complete'!L859,"AAAAAH33/88=")</f>
        <v>#VALUE!</v>
      </c>
      <c r="HA64" t="e">
        <f>AND('BBP complete'!#REF!,"AAAAAH33/9A=")</f>
        <v>#REF!</v>
      </c>
      <c r="HB64" t="e">
        <f>AND('BBP complete'!#REF!,"AAAAAH33/9E=")</f>
        <v>#REF!</v>
      </c>
      <c r="HC64" t="e">
        <f>AND('BBP complete'!#REF!,"AAAAAH33/9I=")</f>
        <v>#REF!</v>
      </c>
      <c r="HD64" t="e">
        <f>AND('BBP complete'!D860,"AAAAAH33/9M=")</f>
        <v>#VALUE!</v>
      </c>
      <c r="HE64" t="e">
        <f>AND('BBP complete'!F860,"AAAAAH33/9Q=")</f>
        <v>#VALUE!</v>
      </c>
      <c r="HF64" t="e">
        <f>AND('BBP complete'!G860,"AAAAAH33/9U=")</f>
        <v>#VALUE!</v>
      </c>
      <c r="HG64" t="e">
        <f>AND('BBP complete'!H860,"AAAAAH33/9Y=")</f>
        <v>#VALUE!</v>
      </c>
      <c r="HH64" t="e">
        <f>AND('BBP complete'!I860,"AAAAAH33/9c=")</f>
        <v>#VALUE!</v>
      </c>
      <c r="HI64" s="60" t="e">
        <v>#VALUE!</v>
      </c>
      <c r="HJ64" t="e">
        <f>AND('BBP complete'!A860,"AAAAAH33/9k=")</f>
        <v>#VALUE!</v>
      </c>
      <c r="HK64" t="e">
        <f>AND('BBP complete'!B860,"AAAAAH33/9o=")</f>
        <v>#VALUE!</v>
      </c>
      <c r="HL64" t="e">
        <f>AND('BBP complete'!C860,"AAAAAH33/9s=")</f>
        <v>#VALUE!</v>
      </c>
      <c r="HM64" t="e">
        <f>AND('BBP complete'!#REF!,"AAAAAH33/9w=")</f>
        <v>#REF!</v>
      </c>
      <c r="HN64" t="e">
        <f>AND('BBP complete'!#REF!,"AAAAAH33/90=")</f>
        <v>#REF!</v>
      </c>
      <c r="HO64" t="e">
        <f>AND('BBP complete'!#REF!,"AAAAAH33/94=")</f>
        <v>#REF!</v>
      </c>
      <c r="HP64" t="e">
        <f>AND('BBP complete'!E860,"AAAAAH33/98=")</f>
        <v>#VALUE!</v>
      </c>
      <c r="HQ64" t="e">
        <f>AND('BBP complete'!#REF!,"AAAAAH33/+A=")</f>
        <v>#REF!</v>
      </c>
      <c r="HR64" t="e">
        <f>AND('BBP complete'!K860,"AAAAAH33/+E=")</f>
        <v>#VALUE!</v>
      </c>
      <c r="HS64" t="e">
        <f>AND('BBP complete'!L860,"AAAAAH33/+I=")</f>
        <v>#VALUE!</v>
      </c>
      <c r="HT64" t="e">
        <f>AND('BBP complete'!#REF!,"AAAAAH33/+M=")</f>
        <v>#REF!</v>
      </c>
      <c r="HU64" t="e">
        <f>AND('BBP complete'!#REF!,"AAAAAH33/+Q=")</f>
        <v>#REF!</v>
      </c>
      <c r="HV64" t="e">
        <f>AND('BBP complete'!#REF!,"AAAAAH33/+U=")</f>
        <v>#REF!</v>
      </c>
      <c r="HW64" t="e">
        <f>AND('BBP complete'!D861,"AAAAAH33/+Y=")</f>
        <v>#VALUE!</v>
      </c>
      <c r="HX64" t="e">
        <f>AND('BBP complete'!F861,"AAAAAH33/+c=")</f>
        <v>#VALUE!</v>
      </c>
      <c r="HY64" t="e">
        <f>AND('BBP complete'!G861,"AAAAAH33/+g=")</f>
        <v>#VALUE!</v>
      </c>
      <c r="HZ64" t="e">
        <f>AND('BBP complete'!H861,"AAAAAH33/+k=")</f>
        <v>#VALUE!</v>
      </c>
      <c r="IA64" t="e">
        <f>AND('BBP complete'!I861,"AAAAAH33/+o=")</f>
        <v>#VALUE!</v>
      </c>
      <c r="IB64" s="60" t="e">
        <v>#VALUE!</v>
      </c>
      <c r="IC64" t="e">
        <f>AND('BBP complete'!A861,"AAAAAH33/+w=")</f>
        <v>#VALUE!</v>
      </c>
      <c r="ID64" t="e">
        <f>AND('BBP complete'!B861,"AAAAAH33/+0=")</f>
        <v>#VALUE!</v>
      </c>
      <c r="IE64" t="e">
        <f>AND('BBP complete'!C861,"AAAAAH33/+4=")</f>
        <v>#VALUE!</v>
      </c>
      <c r="IF64" t="e">
        <f>AND('BBP complete'!#REF!,"AAAAAH33/+8=")</f>
        <v>#REF!</v>
      </c>
      <c r="IG64" t="e">
        <f>AND('BBP complete'!#REF!,"AAAAAH33//A=")</f>
        <v>#REF!</v>
      </c>
      <c r="IH64" t="e">
        <f>AND('BBP complete'!#REF!,"AAAAAH33//E=")</f>
        <v>#REF!</v>
      </c>
      <c r="II64" t="e">
        <f>AND('BBP complete'!E861,"AAAAAH33//I=")</f>
        <v>#VALUE!</v>
      </c>
      <c r="IJ64" t="e">
        <f>AND('BBP complete'!#REF!,"AAAAAH33//M=")</f>
        <v>#REF!</v>
      </c>
      <c r="IK64" t="e">
        <f>AND('BBP complete'!K861,"AAAAAH33//Q=")</f>
        <v>#VALUE!</v>
      </c>
      <c r="IL64" t="e">
        <f>AND('BBP complete'!L861,"AAAAAH33//U=")</f>
        <v>#VALUE!</v>
      </c>
      <c r="IM64" t="e">
        <f>AND('BBP complete'!#REF!,"AAAAAH33//Y=")</f>
        <v>#REF!</v>
      </c>
      <c r="IN64" t="e">
        <f>AND('BBP complete'!#REF!,"AAAAAH33//c=")</f>
        <v>#REF!</v>
      </c>
      <c r="IO64" t="e">
        <f>AND('BBP complete'!#REF!,"AAAAAH33//g=")</f>
        <v>#REF!</v>
      </c>
      <c r="IP64" t="e">
        <f>AND('BBP complete'!D862,"AAAAAH33//k=")</f>
        <v>#VALUE!</v>
      </c>
      <c r="IQ64" t="e">
        <f>AND('BBP complete'!F862,"AAAAAH33//o=")</f>
        <v>#VALUE!</v>
      </c>
      <c r="IR64" t="e">
        <f>AND('BBP complete'!G862,"AAAAAH33//s=")</f>
        <v>#VALUE!</v>
      </c>
      <c r="IS64" t="e">
        <f>AND('BBP complete'!H862,"AAAAAH33//w=")</f>
        <v>#VALUE!</v>
      </c>
      <c r="IT64" t="e">
        <f>AND('BBP complete'!I862,"AAAAAH33//0=")</f>
        <v>#VALUE!</v>
      </c>
      <c r="IU64" s="60" t="e">
        <v>#VALUE!</v>
      </c>
      <c r="IV64" t="e">
        <f>AND('BBP complete'!A862,"AAAAAH33//8=")</f>
        <v>#VALUE!</v>
      </c>
    </row>
    <row r="65" spans="1:256" ht="15" customHeight="1" x14ac:dyDescent="0.25">
      <c r="A65" t="e">
        <f>AND('BBP complete'!B862,"AAAAAH/1zQA=")</f>
        <v>#VALUE!</v>
      </c>
      <c r="B65" t="e">
        <f>AND('BBP complete'!C862,"AAAAAH/1zQE=")</f>
        <v>#VALUE!</v>
      </c>
      <c r="C65" t="e">
        <f>AND('BBP complete'!#REF!,"AAAAAH/1zQI=")</f>
        <v>#REF!</v>
      </c>
      <c r="D65" t="e">
        <f>AND('BBP complete'!#REF!,"AAAAAH/1zQM=")</f>
        <v>#REF!</v>
      </c>
      <c r="E65" t="e">
        <f>AND('BBP complete'!#REF!,"AAAAAH/1zQQ=")</f>
        <v>#REF!</v>
      </c>
      <c r="F65" t="e">
        <f>AND('BBP complete'!E862,"AAAAAH/1zQU=")</f>
        <v>#VALUE!</v>
      </c>
      <c r="G65" t="e">
        <f>AND('BBP complete'!#REF!,"AAAAAH/1zQY=")</f>
        <v>#REF!</v>
      </c>
      <c r="H65" t="e">
        <f>AND('BBP complete'!K862,"AAAAAH/1zQc=")</f>
        <v>#VALUE!</v>
      </c>
      <c r="I65" t="e">
        <f>AND('BBP complete'!L862,"AAAAAH/1zQg=")</f>
        <v>#VALUE!</v>
      </c>
      <c r="J65" t="e">
        <f>AND('BBP complete'!#REF!,"AAAAAH/1zQk=")</f>
        <v>#REF!</v>
      </c>
      <c r="K65" t="e">
        <f>AND('BBP complete'!#REF!,"AAAAAH/1zQo=")</f>
        <v>#REF!</v>
      </c>
      <c r="L65" t="e">
        <f>AND('BBP complete'!#REF!,"AAAAAH/1zQs=")</f>
        <v>#REF!</v>
      </c>
      <c r="M65" t="e">
        <f>AND('BBP complete'!D863,"AAAAAH/1zQw=")</f>
        <v>#VALUE!</v>
      </c>
      <c r="N65" t="e">
        <f>AND('BBP complete'!F863,"AAAAAH/1zQ0=")</f>
        <v>#VALUE!</v>
      </c>
      <c r="O65" t="e">
        <f>AND('BBP complete'!G863,"AAAAAH/1zQ4=")</f>
        <v>#VALUE!</v>
      </c>
      <c r="P65" t="e">
        <f>AND('BBP complete'!H863,"AAAAAH/1zQ8=")</f>
        <v>#VALUE!</v>
      </c>
      <c r="Q65" t="e">
        <f>AND('BBP complete'!I863,"AAAAAH/1zRA=")</f>
        <v>#VALUE!</v>
      </c>
      <c r="R65" s="60" t="e">
        <v>#VALUE!</v>
      </c>
      <c r="S65" t="e">
        <f>AND('BBP complete'!A863,"AAAAAH/1zRI=")</f>
        <v>#VALUE!</v>
      </c>
      <c r="T65" t="e">
        <f>AND('BBP complete'!B863,"AAAAAH/1zRM=")</f>
        <v>#VALUE!</v>
      </c>
      <c r="U65" t="e">
        <f>AND('BBP complete'!C863,"AAAAAH/1zRQ=")</f>
        <v>#VALUE!</v>
      </c>
      <c r="V65" t="e">
        <f>AND('BBP complete'!#REF!,"AAAAAH/1zRU=")</f>
        <v>#REF!</v>
      </c>
      <c r="W65" t="e">
        <f>AND('BBP complete'!#REF!,"AAAAAH/1zRY=")</f>
        <v>#REF!</v>
      </c>
      <c r="X65" t="e">
        <f>AND('BBP complete'!#REF!,"AAAAAH/1zRc=")</f>
        <v>#REF!</v>
      </c>
      <c r="Y65" t="e">
        <f>AND('BBP complete'!E863,"AAAAAH/1zRg=")</f>
        <v>#VALUE!</v>
      </c>
      <c r="Z65" t="e">
        <f>AND('BBP complete'!#REF!,"AAAAAH/1zRk=")</f>
        <v>#REF!</v>
      </c>
      <c r="AA65" t="e">
        <f>AND('BBP complete'!K863,"AAAAAH/1zRo=")</f>
        <v>#VALUE!</v>
      </c>
      <c r="AB65" t="e">
        <f>AND('BBP complete'!L863,"AAAAAH/1zRs=")</f>
        <v>#VALUE!</v>
      </c>
      <c r="AC65" t="e">
        <f>AND('BBP complete'!#REF!,"AAAAAH/1zRw=")</f>
        <v>#REF!</v>
      </c>
      <c r="AD65" t="e">
        <f>AND('BBP complete'!#REF!,"AAAAAH/1zR0=")</f>
        <v>#REF!</v>
      </c>
      <c r="AE65" t="e">
        <f>AND('BBP complete'!#REF!,"AAAAAH/1zR4=")</f>
        <v>#REF!</v>
      </c>
      <c r="AF65" t="e">
        <f>AND('BBP complete'!D864,"AAAAAH/1zR8=")</f>
        <v>#VALUE!</v>
      </c>
      <c r="AG65" t="e">
        <f>AND('BBP complete'!F864,"AAAAAH/1zSA=")</f>
        <v>#VALUE!</v>
      </c>
      <c r="AH65" t="e">
        <f>AND('BBP complete'!G864,"AAAAAH/1zSE=")</f>
        <v>#VALUE!</v>
      </c>
      <c r="AI65" t="e">
        <f>AND('BBP complete'!H864,"AAAAAH/1zSI=")</f>
        <v>#VALUE!</v>
      </c>
      <c r="AJ65" t="e">
        <f>AND('BBP complete'!I864,"AAAAAH/1zSM=")</f>
        <v>#VALUE!</v>
      </c>
      <c r="AK65" s="60" t="e">
        <v>#VALUE!</v>
      </c>
      <c r="AL65" t="e">
        <f>AND('BBP complete'!A864,"AAAAAH/1zSU=")</f>
        <v>#VALUE!</v>
      </c>
      <c r="AM65" t="e">
        <f>AND('BBP complete'!B864,"AAAAAH/1zSY=")</f>
        <v>#VALUE!</v>
      </c>
      <c r="AN65" t="e">
        <f>AND('BBP complete'!C864,"AAAAAH/1zSc=")</f>
        <v>#VALUE!</v>
      </c>
      <c r="AO65" t="e">
        <f>AND('BBP complete'!#REF!,"AAAAAH/1zSg=")</f>
        <v>#REF!</v>
      </c>
      <c r="AP65" t="e">
        <f>AND('BBP complete'!#REF!,"AAAAAH/1zSk=")</f>
        <v>#REF!</v>
      </c>
      <c r="AQ65" t="e">
        <f>AND('BBP complete'!#REF!,"AAAAAH/1zSo=")</f>
        <v>#REF!</v>
      </c>
      <c r="AR65" t="e">
        <f>AND('BBP complete'!E864,"AAAAAH/1zSs=")</f>
        <v>#VALUE!</v>
      </c>
      <c r="AS65" t="e">
        <f>AND('BBP complete'!#REF!,"AAAAAH/1zSw=")</f>
        <v>#REF!</v>
      </c>
      <c r="AT65" t="e">
        <f>AND('BBP complete'!K864,"AAAAAH/1zS0=")</f>
        <v>#VALUE!</v>
      </c>
      <c r="AU65" t="e">
        <f>AND('BBP complete'!L864,"AAAAAH/1zS4=")</f>
        <v>#VALUE!</v>
      </c>
      <c r="AV65" t="e">
        <f>AND('BBP complete'!#REF!,"AAAAAH/1zS8=")</f>
        <v>#REF!</v>
      </c>
      <c r="AW65" t="e">
        <f>AND('BBP complete'!#REF!,"AAAAAH/1zTA=")</f>
        <v>#REF!</v>
      </c>
      <c r="AX65" t="e">
        <f>AND('BBP complete'!#REF!,"AAAAAH/1zTE=")</f>
        <v>#REF!</v>
      </c>
      <c r="AY65" t="e">
        <f>AND('BBP complete'!D865,"AAAAAH/1zTI=")</f>
        <v>#VALUE!</v>
      </c>
      <c r="AZ65" t="e">
        <f>AND('BBP complete'!F865,"AAAAAH/1zTM=")</f>
        <v>#VALUE!</v>
      </c>
      <c r="BA65" t="e">
        <f>AND('BBP complete'!G865,"AAAAAH/1zTQ=")</f>
        <v>#VALUE!</v>
      </c>
      <c r="BB65" t="e">
        <f>AND('BBP complete'!H865,"AAAAAH/1zTU=")</f>
        <v>#VALUE!</v>
      </c>
      <c r="BC65" t="e">
        <f>AND('BBP complete'!I865,"AAAAAH/1zTY=")</f>
        <v>#VALUE!</v>
      </c>
      <c r="BD65" s="60" t="e">
        <v>#VALUE!</v>
      </c>
      <c r="BE65" t="e">
        <f>AND('BBP complete'!A865,"AAAAAH/1zTg=")</f>
        <v>#VALUE!</v>
      </c>
      <c r="BF65" t="e">
        <f>AND('BBP complete'!B865,"AAAAAH/1zTk=")</f>
        <v>#VALUE!</v>
      </c>
      <c r="BG65" t="e">
        <f>AND('BBP complete'!C865,"AAAAAH/1zTo=")</f>
        <v>#VALUE!</v>
      </c>
      <c r="BH65" t="e">
        <f>AND('BBP complete'!#REF!,"AAAAAH/1zTs=")</f>
        <v>#REF!</v>
      </c>
      <c r="BI65" t="e">
        <f>AND('BBP complete'!#REF!,"AAAAAH/1zTw=")</f>
        <v>#REF!</v>
      </c>
      <c r="BJ65" t="e">
        <f>AND('BBP complete'!#REF!,"AAAAAH/1zT0=")</f>
        <v>#REF!</v>
      </c>
      <c r="BK65" t="e">
        <f>AND('BBP complete'!E865,"AAAAAH/1zT4=")</f>
        <v>#VALUE!</v>
      </c>
      <c r="BL65" t="e">
        <f>AND('BBP complete'!#REF!,"AAAAAH/1zT8=")</f>
        <v>#REF!</v>
      </c>
      <c r="BM65" t="e">
        <f>AND('BBP complete'!K865,"AAAAAH/1zUA=")</f>
        <v>#VALUE!</v>
      </c>
      <c r="BN65" t="e">
        <f>AND('BBP complete'!L865,"AAAAAH/1zUE=")</f>
        <v>#VALUE!</v>
      </c>
      <c r="BO65" t="e">
        <f>AND('BBP complete'!#REF!,"AAAAAH/1zUI=")</f>
        <v>#REF!</v>
      </c>
      <c r="BP65" t="e">
        <f>AND('BBP complete'!#REF!,"AAAAAH/1zUM=")</f>
        <v>#REF!</v>
      </c>
      <c r="BQ65" t="e">
        <f>AND('BBP complete'!#REF!,"AAAAAH/1zUQ=")</f>
        <v>#REF!</v>
      </c>
      <c r="BR65" t="e">
        <f>AND('BBP complete'!D866,"AAAAAH/1zUU=")</f>
        <v>#VALUE!</v>
      </c>
      <c r="BS65" t="e">
        <f>AND('BBP complete'!F866,"AAAAAH/1zUY=")</f>
        <v>#VALUE!</v>
      </c>
      <c r="BT65" t="e">
        <f>AND('BBP complete'!G866,"AAAAAH/1zUc=")</f>
        <v>#VALUE!</v>
      </c>
      <c r="BU65" t="e">
        <f>AND('BBP complete'!H866,"AAAAAH/1zUg=")</f>
        <v>#VALUE!</v>
      </c>
      <c r="BV65" t="e">
        <f>AND('BBP complete'!I866,"AAAAAH/1zUk=")</f>
        <v>#VALUE!</v>
      </c>
      <c r="BW65" s="60" t="e">
        <v>#VALUE!</v>
      </c>
      <c r="BX65" t="e">
        <f>AND('BBP complete'!A866,"AAAAAH/1zUs=")</f>
        <v>#VALUE!</v>
      </c>
      <c r="BY65" t="e">
        <f>AND('BBP complete'!B866,"AAAAAH/1zUw=")</f>
        <v>#VALUE!</v>
      </c>
      <c r="BZ65" t="e">
        <f>AND('BBP complete'!C866,"AAAAAH/1zU0=")</f>
        <v>#VALUE!</v>
      </c>
      <c r="CA65" t="e">
        <f>AND('BBP complete'!#REF!,"AAAAAH/1zU4=")</f>
        <v>#REF!</v>
      </c>
      <c r="CB65" t="e">
        <f>AND('BBP complete'!#REF!,"AAAAAH/1zU8=")</f>
        <v>#REF!</v>
      </c>
      <c r="CC65" t="e">
        <f>AND('BBP complete'!#REF!,"AAAAAH/1zVA=")</f>
        <v>#REF!</v>
      </c>
      <c r="CD65" t="e">
        <f>AND('BBP complete'!E866,"AAAAAH/1zVE=")</f>
        <v>#VALUE!</v>
      </c>
      <c r="CE65" t="e">
        <f>AND('BBP complete'!#REF!,"AAAAAH/1zVI=")</f>
        <v>#REF!</v>
      </c>
      <c r="CF65" t="e">
        <f>AND('BBP complete'!K866,"AAAAAH/1zVM=")</f>
        <v>#VALUE!</v>
      </c>
      <c r="CG65" t="e">
        <f>AND('BBP complete'!L866,"AAAAAH/1zVQ=")</f>
        <v>#VALUE!</v>
      </c>
      <c r="CH65" t="e">
        <f>AND('BBP complete'!#REF!,"AAAAAH/1zVU=")</f>
        <v>#REF!</v>
      </c>
      <c r="CI65" t="e">
        <f>AND('BBP complete'!#REF!,"AAAAAH/1zVY=")</f>
        <v>#REF!</v>
      </c>
      <c r="CJ65" t="e">
        <f>AND('BBP complete'!#REF!,"AAAAAH/1zVc=")</f>
        <v>#REF!</v>
      </c>
      <c r="CK65" t="e">
        <f>AND('BBP complete'!D867,"AAAAAH/1zVg=")</f>
        <v>#VALUE!</v>
      </c>
      <c r="CL65" t="e">
        <f>AND('BBP complete'!F867,"AAAAAH/1zVk=")</f>
        <v>#VALUE!</v>
      </c>
      <c r="CM65" t="e">
        <f>AND('BBP complete'!G867,"AAAAAH/1zVo=")</f>
        <v>#VALUE!</v>
      </c>
      <c r="CN65" t="e">
        <f>AND('BBP complete'!H867,"AAAAAH/1zVs=")</f>
        <v>#VALUE!</v>
      </c>
      <c r="CO65" t="e">
        <f>AND('BBP complete'!I867,"AAAAAH/1zVw=")</f>
        <v>#VALUE!</v>
      </c>
      <c r="CP65" s="60" t="e">
        <v>#VALUE!</v>
      </c>
      <c r="CQ65" t="e">
        <f>AND('BBP complete'!A867,"AAAAAH/1zV4=")</f>
        <v>#VALUE!</v>
      </c>
      <c r="CR65" t="e">
        <f>AND('BBP complete'!B867,"AAAAAH/1zV8=")</f>
        <v>#VALUE!</v>
      </c>
      <c r="CS65" t="e">
        <f>AND('BBP complete'!C867,"AAAAAH/1zWA=")</f>
        <v>#VALUE!</v>
      </c>
      <c r="CT65" t="e">
        <f>AND('BBP complete'!#REF!,"AAAAAH/1zWE=")</f>
        <v>#REF!</v>
      </c>
      <c r="CU65" t="e">
        <f>AND('BBP complete'!#REF!,"AAAAAH/1zWI=")</f>
        <v>#REF!</v>
      </c>
      <c r="CV65" t="e">
        <f>AND('BBP complete'!#REF!,"AAAAAH/1zWM=")</f>
        <v>#REF!</v>
      </c>
      <c r="CW65" t="e">
        <f>AND('BBP complete'!E867,"AAAAAH/1zWQ=")</f>
        <v>#VALUE!</v>
      </c>
      <c r="CX65" t="e">
        <f>AND('BBP complete'!#REF!,"AAAAAH/1zWU=")</f>
        <v>#REF!</v>
      </c>
      <c r="CY65" t="e">
        <f>AND('BBP complete'!K867,"AAAAAH/1zWY=")</f>
        <v>#VALUE!</v>
      </c>
      <c r="CZ65" t="e">
        <f>AND('BBP complete'!L867,"AAAAAH/1zWc=")</f>
        <v>#VALUE!</v>
      </c>
      <c r="DA65" t="e">
        <f>AND('BBP complete'!#REF!,"AAAAAH/1zWg=")</f>
        <v>#REF!</v>
      </c>
      <c r="DB65" t="e">
        <f>AND('BBP complete'!#REF!,"AAAAAH/1zWk=")</f>
        <v>#REF!</v>
      </c>
      <c r="DC65" t="e">
        <f>AND('BBP complete'!#REF!,"AAAAAH/1zWo=")</f>
        <v>#REF!</v>
      </c>
      <c r="DD65" t="e">
        <f>AND('BBP complete'!D868,"AAAAAH/1zWs=")</f>
        <v>#VALUE!</v>
      </c>
      <c r="DE65" t="e">
        <f>AND('BBP complete'!F868,"AAAAAH/1zWw=")</f>
        <v>#VALUE!</v>
      </c>
      <c r="DF65" t="e">
        <f>AND('BBP complete'!G868,"AAAAAH/1zW0=")</f>
        <v>#VALUE!</v>
      </c>
      <c r="DG65" t="e">
        <f>AND('BBP complete'!H868,"AAAAAH/1zW4=")</f>
        <v>#VALUE!</v>
      </c>
      <c r="DH65" t="e">
        <f>AND('BBP complete'!I868,"AAAAAH/1zW8=")</f>
        <v>#VALUE!</v>
      </c>
      <c r="DI65" s="60" t="e">
        <v>#VALUE!</v>
      </c>
      <c r="DJ65" t="e">
        <f>AND('BBP complete'!A868,"AAAAAH/1zXE=")</f>
        <v>#VALUE!</v>
      </c>
      <c r="DK65" t="e">
        <f>AND('BBP complete'!B868,"AAAAAH/1zXI=")</f>
        <v>#VALUE!</v>
      </c>
      <c r="DL65" t="e">
        <f>AND('BBP complete'!C868,"AAAAAH/1zXM=")</f>
        <v>#VALUE!</v>
      </c>
      <c r="DM65" t="e">
        <f>AND('BBP complete'!#REF!,"AAAAAH/1zXQ=")</f>
        <v>#REF!</v>
      </c>
      <c r="DN65" t="e">
        <f>AND('BBP complete'!#REF!,"AAAAAH/1zXU=")</f>
        <v>#REF!</v>
      </c>
      <c r="DO65" t="e">
        <f>AND('BBP complete'!#REF!,"AAAAAH/1zXY=")</f>
        <v>#REF!</v>
      </c>
      <c r="DP65" t="e">
        <f>AND('BBP complete'!E868,"AAAAAH/1zXc=")</f>
        <v>#VALUE!</v>
      </c>
      <c r="DQ65" t="e">
        <f>AND('BBP complete'!#REF!,"AAAAAH/1zXg=")</f>
        <v>#REF!</v>
      </c>
      <c r="DR65" t="e">
        <f>AND('BBP complete'!K868,"AAAAAH/1zXk=")</f>
        <v>#VALUE!</v>
      </c>
      <c r="DS65" t="e">
        <f>AND('BBP complete'!L868,"AAAAAH/1zXo=")</f>
        <v>#VALUE!</v>
      </c>
      <c r="DT65" t="e">
        <f>AND('BBP complete'!#REF!,"AAAAAH/1zXs=")</f>
        <v>#REF!</v>
      </c>
      <c r="DU65" t="e">
        <f>AND('BBP complete'!#REF!,"AAAAAH/1zXw=")</f>
        <v>#REF!</v>
      </c>
      <c r="DV65" t="e">
        <f>AND('BBP complete'!#REF!,"AAAAAH/1zX0=")</f>
        <v>#REF!</v>
      </c>
      <c r="DW65" t="e">
        <f>AND('BBP complete'!D869,"AAAAAH/1zX4=")</f>
        <v>#VALUE!</v>
      </c>
      <c r="DX65" t="e">
        <f>AND('BBP complete'!F869,"AAAAAH/1zX8=")</f>
        <v>#VALUE!</v>
      </c>
      <c r="DY65" t="e">
        <f>AND('BBP complete'!G869,"AAAAAH/1zYA=")</f>
        <v>#VALUE!</v>
      </c>
      <c r="DZ65" t="e">
        <f>AND('BBP complete'!H869,"AAAAAH/1zYE=")</f>
        <v>#VALUE!</v>
      </c>
      <c r="EA65" t="e">
        <f>AND('BBP complete'!I869,"AAAAAH/1zYI=")</f>
        <v>#VALUE!</v>
      </c>
      <c r="EB65" s="60" t="e">
        <v>#VALUE!</v>
      </c>
      <c r="EC65" t="e">
        <f>AND('BBP complete'!A869,"AAAAAH/1zYQ=")</f>
        <v>#VALUE!</v>
      </c>
      <c r="ED65" t="e">
        <f>AND('BBP complete'!B869,"AAAAAH/1zYU=")</f>
        <v>#VALUE!</v>
      </c>
      <c r="EE65" t="e">
        <f>AND('BBP complete'!C869,"AAAAAH/1zYY=")</f>
        <v>#VALUE!</v>
      </c>
      <c r="EF65" t="e">
        <f>AND('BBP complete'!#REF!,"AAAAAH/1zYc=")</f>
        <v>#REF!</v>
      </c>
      <c r="EG65" t="e">
        <f>AND('BBP complete'!#REF!,"AAAAAH/1zYg=")</f>
        <v>#REF!</v>
      </c>
      <c r="EH65" t="e">
        <f>AND('BBP complete'!#REF!,"AAAAAH/1zYk=")</f>
        <v>#REF!</v>
      </c>
      <c r="EI65" t="e">
        <f>AND('BBP complete'!E869,"AAAAAH/1zYo=")</f>
        <v>#VALUE!</v>
      </c>
      <c r="EJ65" t="e">
        <f>AND('BBP complete'!#REF!,"AAAAAH/1zYs=")</f>
        <v>#REF!</v>
      </c>
      <c r="EK65" t="e">
        <f>AND('BBP complete'!K869,"AAAAAH/1zYw=")</f>
        <v>#VALUE!</v>
      </c>
      <c r="EL65" t="e">
        <f>AND('BBP complete'!L869,"AAAAAH/1zY0=")</f>
        <v>#VALUE!</v>
      </c>
      <c r="EM65" t="e">
        <f>AND('BBP complete'!#REF!,"AAAAAH/1zY4=")</f>
        <v>#REF!</v>
      </c>
      <c r="EN65" t="e">
        <f>AND('BBP complete'!#REF!,"AAAAAH/1zY8=")</f>
        <v>#REF!</v>
      </c>
      <c r="EO65" t="e">
        <f>AND('BBP complete'!#REF!,"AAAAAH/1zZA=")</f>
        <v>#REF!</v>
      </c>
      <c r="EP65" t="e">
        <f>AND('BBP complete'!D870,"AAAAAH/1zZE=")</f>
        <v>#VALUE!</v>
      </c>
      <c r="EQ65" t="e">
        <f>AND('BBP complete'!F870,"AAAAAH/1zZI=")</f>
        <v>#VALUE!</v>
      </c>
      <c r="ER65" t="e">
        <f>AND('BBP complete'!G870,"AAAAAH/1zZM=")</f>
        <v>#VALUE!</v>
      </c>
      <c r="ES65" t="e">
        <f>AND('BBP complete'!H870,"AAAAAH/1zZQ=")</f>
        <v>#VALUE!</v>
      </c>
      <c r="ET65" t="e">
        <f>AND('BBP complete'!I870,"AAAAAH/1zZU=")</f>
        <v>#VALUE!</v>
      </c>
      <c r="EU65" s="60" t="e">
        <v>#VALUE!</v>
      </c>
      <c r="EV65" t="e">
        <f>AND('BBP complete'!A870,"AAAAAH/1zZc=")</f>
        <v>#VALUE!</v>
      </c>
      <c r="EW65" t="e">
        <f>AND('BBP complete'!B870,"AAAAAH/1zZg=")</f>
        <v>#VALUE!</v>
      </c>
      <c r="EX65" t="e">
        <f>AND('BBP complete'!C870,"AAAAAH/1zZk=")</f>
        <v>#VALUE!</v>
      </c>
      <c r="EY65" t="e">
        <f>AND('BBP complete'!#REF!,"AAAAAH/1zZo=")</f>
        <v>#REF!</v>
      </c>
      <c r="EZ65" t="e">
        <f>AND('BBP complete'!#REF!,"AAAAAH/1zZs=")</f>
        <v>#REF!</v>
      </c>
      <c r="FA65" t="e">
        <f>AND('BBP complete'!#REF!,"AAAAAH/1zZw=")</f>
        <v>#REF!</v>
      </c>
      <c r="FB65" t="e">
        <f>AND('BBP complete'!E870,"AAAAAH/1zZ0=")</f>
        <v>#VALUE!</v>
      </c>
      <c r="FC65" t="e">
        <f>AND('BBP complete'!#REF!,"AAAAAH/1zZ4=")</f>
        <v>#REF!</v>
      </c>
      <c r="FD65" t="e">
        <f>AND('BBP complete'!K870,"AAAAAH/1zZ8=")</f>
        <v>#VALUE!</v>
      </c>
      <c r="FE65" t="e">
        <f>AND('BBP complete'!L870,"AAAAAH/1zaA=")</f>
        <v>#VALUE!</v>
      </c>
      <c r="FF65" t="e">
        <f>AND('BBP complete'!#REF!,"AAAAAH/1zaE=")</f>
        <v>#REF!</v>
      </c>
      <c r="FG65" t="e">
        <f>AND('BBP complete'!#REF!,"AAAAAH/1zaI=")</f>
        <v>#REF!</v>
      </c>
      <c r="FH65" t="e">
        <f>AND('BBP complete'!#REF!,"AAAAAH/1zaM=")</f>
        <v>#REF!</v>
      </c>
      <c r="FI65" t="e">
        <f>AND('BBP complete'!D871,"AAAAAH/1zaQ=")</f>
        <v>#VALUE!</v>
      </c>
      <c r="FJ65" t="e">
        <f>AND('BBP complete'!F871,"AAAAAH/1zaU=")</f>
        <v>#VALUE!</v>
      </c>
      <c r="FK65" t="e">
        <f>AND('BBP complete'!G871,"AAAAAH/1zaY=")</f>
        <v>#VALUE!</v>
      </c>
      <c r="FL65" t="e">
        <f>AND('BBP complete'!H871,"AAAAAH/1zac=")</f>
        <v>#VALUE!</v>
      </c>
      <c r="FM65" t="e">
        <f>AND('BBP complete'!I871,"AAAAAH/1zag=")</f>
        <v>#VALUE!</v>
      </c>
      <c r="FN65" s="60" t="e">
        <v>#VALUE!</v>
      </c>
      <c r="FO65" t="e">
        <f>AND('BBP complete'!A871,"AAAAAH/1zao=")</f>
        <v>#VALUE!</v>
      </c>
      <c r="FP65" t="e">
        <f>AND('BBP complete'!B871,"AAAAAH/1zas=")</f>
        <v>#VALUE!</v>
      </c>
      <c r="FQ65" t="e">
        <f>AND('BBP complete'!C871,"AAAAAH/1zaw=")</f>
        <v>#VALUE!</v>
      </c>
      <c r="FR65" t="e">
        <f>AND('BBP complete'!#REF!,"AAAAAH/1za0=")</f>
        <v>#REF!</v>
      </c>
      <c r="FS65" t="e">
        <f>AND('BBP complete'!#REF!,"AAAAAH/1za4=")</f>
        <v>#REF!</v>
      </c>
      <c r="FT65" t="e">
        <f>AND('BBP complete'!#REF!,"AAAAAH/1za8=")</f>
        <v>#REF!</v>
      </c>
      <c r="FU65" t="e">
        <f>AND('BBP complete'!E871,"AAAAAH/1zbA=")</f>
        <v>#VALUE!</v>
      </c>
      <c r="FV65" t="e">
        <f>AND('BBP complete'!#REF!,"AAAAAH/1zbE=")</f>
        <v>#REF!</v>
      </c>
      <c r="FW65" t="e">
        <f>AND('BBP complete'!K871,"AAAAAH/1zbI=")</f>
        <v>#VALUE!</v>
      </c>
      <c r="FX65" t="e">
        <f>AND('BBP complete'!L871,"AAAAAH/1zbM=")</f>
        <v>#VALUE!</v>
      </c>
      <c r="FY65" t="e">
        <f>AND('BBP complete'!#REF!,"AAAAAH/1zbQ=")</f>
        <v>#REF!</v>
      </c>
      <c r="FZ65" t="e">
        <f>AND('BBP complete'!#REF!,"AAAAAH/1zbU=")</f>
        <v>#REF!</v>
      </c>
      <c r="GA65" t="e">
        <f>AND('BBP complete'!#REF!,"AAAAAH/1zbY=")</f>
        <v>#REF!</v>
      </c>
      <c r="GB65" t="e">
        <f>AND('BBP complete'!D872,"AAAAAH/1zbc=")</f>
        <v>#VALUE!</v>
      </c>
      <c r="GC65" t="e">
        <f>AND('BBP complete'!F872,"AAAAAH/1zbg=")</f>
        <v>#VALUE!</v>
      </c>
      <c r="GD65" t="e">
        <f>AND('BBP complete'!G872,"AAAAAH/1zbk=")</f>
        <v>#VALUE!</v>
      </c>
      <c r="GE65" t="e">
        <f>AND('BBP complete'!H872,"AAAAAH/1zbo=")</f>
        <v>#VALUE!</v>
      </c>
      <c r="GF65" t="e">
        <f>AND('BBP complete'!I872,"AAAAAH/1zbs=")</f>
        <v>#VALUE!</v>
      </c>
      <c r="GG65" s="60" t="e">
        <v>#VALUE!</v>
      </c>
      <c r="GH65" t="e">
        <f>AND('BBP complete'!A872,"AAAAAH/1zb0=")</f>
        <v>#VALUE!</v>
      </c>
      <c r="GI65" t="e">
        <f>AND('BBP complete'!B872,"AAAAAH/1zb4=")</f>
        <v>#VALUE!</v>
      </c>
      <c r="GJ65" t="e">
        <f>AND('BBP complete'!C872,"AAAAAH/1zb8=")</f>
        <v>#VALUE!</v>
      </c>
      <c r="GK65" t="e">
        <f>AND('BBP complete'!#REF!,"AAAAAH/1zcA=")</f>
        <v>#REF!</v>
      </c>
      <c r="GL65" t="e">
        <f>AND('BBP complete'!#REF!,"AAAAAH/1zcE=")</f>
        <v>#REF!</v>
      </c>
      <c r="GM65" t="e">
        <f>AND('BBP complete'!#REF!,"AAAAAH/1zcI=")</f>
        <v>#REF!</v>
      </c>
      <c r="GN65" t="e">
        <f>AND('BBP complete'!E872,"AAAAAH/1zcM=")</f>
        <v>#VALUE!</v>
      </c>
      <c r="GO65" t="e">
        <f>AND('BBP complete'!#REF!,"AAAAAH/1zcQ=")</f>
        <v>#REF!</v>
      </c>
      <c r="GP65" t="e">
        <f>AND('BBP complete'!K872,"AAAAAH/1zcU=")</f>
        <v>#VALUE!</v>
      </c>
      <c r="GQ65" t="e">
        <f>AND('BBP complete'!L872,"AAAAAH/1zcY=")</f>
        <v>#VALUE!</v>
      </c>
      <c r="GR65" t="e">
        <f>AND('BBP complete'!#REF!,"AAAAAH/1zcc=")</f>
        <v>#REF!</v>
      </c>
      <c r="GS65" t="e">
        <f>AND('BBP complete'!#REF!,"AAAAAH/1zcg=")</f>
        <v>#REF!</v>
      </c>
      <c r="GT65" t="e">
        <f>AND('BBP complete'!#REF!,"AAAAAH/1zck=")</f>
        <v>#REF!</v>
      </c>
      <c r="GU65" t="e">
        <f>AND('BBP complete'!D873,"AAAAAH/1zco=")</f>
        <v>#VALUE!</v>
      </c>
      <c r="GV65" t="e">
        <f>AND('BBP complete'!F873,"AAAAAH/1zcs=")</f>
        <v>#VALUE!</v>
      </c>
      <c r="GW65" t="e">
        <f>AND('BBP complete'!G873,"AAAAAH/1zcw=")</f>
        <v>#VALUE!</v>
      </c>
      <c r="GX65" t="e">
        <f>AND('BBP complete'!H873,"AAAAAH/1zc0=")</f>
        <v>#VALUE!</v>
      </c>
      <c r="GY65" t="e">
        <f>AND('BBP complete'!I873,"AAAAAH/1zc4=")</f>
        <v>#VALUE!</v>
      </c>
      <c r="GZ65" s="60" t="e">
        <v>#VALUE!</v>
      </c>
      <c r="HA65" t="e">
        <f>AND('BBP complete'!A873,"AAAAAH/1zdA=")</f>
        <v>#VALUE!</v>
      </c>
      <c r="HB65" t="e">
        <f>AND('BBP complete'!B873,"AAAAAH/1zdE=")</f>
        <v>#VALUE!</v>
      </c>
      <c r="HC65" t="e">
        <f>AND('BBP complete'!C873,"AAAAAH/1zdI=")</f>
        <v>#VALUE!</v>
      </c>
      <c r="HD65" t="e">
        <f>AND('BBP complete'!#REF!,"AAAAAH/1zdM=")</f>
        <v>#REF!</v>
      </c>
      <c r="HE65" t="e">
        <f>AND('BBP complete'!#REF!,"AAAAAH/1zdQ=")</f>
        <v>#REF!</v>
      </c>
      <c r="HF65" t="e">
        <f>AND('BBP complete'!#REF!,"AAAAAH/1zdU=")</f>
        <v>#REF!</v>
      </c>
      <c r="HG65" t="e">
        <f>AND('BBP complete'!E873,"AAAAAH/1zdY=")</f>
        <v>#VALUE!</v>
      </c>
      <c r="HH65" t="e">
        <f>AND('BBP complete'!#REF!,"AAAAAH/1zdc=")</f>
        <v>#REF!</v>
      </c>
      <c r="HI65" t="e">
        <f>AND('BBP complete'!K873,"AAAAAH/1zdg=")</f>
        <v>#VALUE!</v>
      </c>
      <c r="HJ65" t="e">
        <f>AND('BBP complete'!L873,"AAAAAH/1zdk=")</f>
        <v>#VALUE!</v>
      </c>
      <c r="HK65" t="e">
        <f>AND('BBP complete'!#REF!,"AAAAAH/1zdo=")</f>
        <v>#REF!</v>
      </c>
      <c r="HL65" t="e">
        <f>AND('BBP complete'!#REF!,"AAAAAH/1zds=")</f>
        <v>#REF!</v>
      </c>
      <c r="HM65" t="e">
        <f>AND('BBP complete'!#REF!,"AAAAAH/1zdw=")</f>
        <v>#REF!</v>
      </c>
      <c r="HN65" t="e">
        <f>AND('BBP complete'!D874,"AAAAAH/1zd0=")</f>
        <v>#VALUE!</v>
      </c>
      <c r="HO65" t="e">
        <f>AND('BBP complete'!F874,"AAAAAH/1zd4=")</f>
        <v>#VALUE!</v>
      </c>
      <c r="HP65" t="e">
        <f>AND('BBP complete'!G874,"AAAAAH/1zd8=")</f>
        <v>#VALUE!</v>
      </c>
      <c r="HQ65" t="e">
        <f>AND('BBP complete'!H874,"AAAAAH/1zeA=")</f>
        <v>#VALUE!</v>
      </c>
      <c r="HR65" t="e">
        <f>AND('BBP complete'!I874,"AAAAAH/1zeE=")</f>
        <v>#VALUE!</v>
      </c>
      <c r="HS65" s="60" t="e">
        <v>#VALUE!</v>
      </c>
      <c r="HT65" t="e">
        <f>AND('BBP complete'!A874,"AAAAAH/1zeM=")</f>
        <v>#VALUE!</v>
      </c>
      <c r="HU65" t="e">
        <f>AND('BBP complete'!B874,"AAAAAH/1zeQ=")</f>
        <v>#VALUE!</v>
      </c>
      <c r="HV65" t="e">
        <f>AND('BBP complete'!C874,"AAAAAH/1zeU=")</f>
        <v>#VALUE!</v>
      </c>
      <c r="HW65" t="e">
        <f>AND('BBP complete'!#REF!,"AAAAAH/1zeY=")</f>
        <v>#REF!</v>
      </c>
      <c r="HX65" t="e">
        <f>AND('BBP complete'!#REF!,"AAAAAH/1zec=")</f>
        <v>#REF!</v>
      </c>
      <c r="HY65" t="e">
        <f>AND('BBP complete'!#REF!,"AAAAAH/1zeg=")</f>
        <v>#REF!</v>
      </c>
      <c r="HZ65" t="e">
        <f>AND('BBP complete'!E874,"AAAAAH/1zek=")</f>
        <v>#VALUE!</v>
      </c>
      <c r="IA65" t="e">
        <f>AND('BBP complete'!#REF!,"AAAAAH/1zeo=")</f>
        <v>#REF!</v>
      </c>
      <c r="IB65" t="e">
        <f>AND('BBP complete'!K874,"AAAAAH/1zes=")</f>
        <v>#VALUE!</v>
      </c>
      <c r="IC65" t="e">
        <f>AND('BBP complete'!L874,"AAAAAH/1zew=")</f>
        <v>#VALUE!</v>
      </c>
      <c r="ID65" t="e">
        <f>AND('BBP complete'!#REF!,"AAAAAH/1ze0=")</f>
        <v>#REF!</v>
      </c>
      <c r="IE65" t="e">
        <f>AND('BBP complete'!#REF!,"AAAAAH/1ze4=")</f>
        <v>#REF!</v>
      </c>
      <c r="IF65" t="e">
        <f>AND('BBP complete'!#REF!,"AAAAAH/1ze8=")</f>
        <v>#REF!</v>
      </c>
      <c r="IG65" t="e">
        <f>AND('BBP complete'!D875,"AAAAAH/1zfA=")</f>
        <v>#VALUE!</v>
      </c>
      <c r="IH65" t="e">
        <f>AND('BBP complete'!F875,"AAAAAH/1zfE=")</f>
        <v>#VALUE!</v>
      </c>
      <c r="II65" t="e">
        <f>AND('BBP complete'!G875,"AAAAAH/1zfI=")</f>
        <v>#VALUE!</v>
      </c>
      <c r="IJ65" t="e">
        <f>AND('BBP complete'!H875,"AAAAAH/1zfM=")</f>
        <v>#VALUE!</v>
      </c>
      <c r="IK65" t="e">
        <f>AND('BBP complete'!I875,"AAAAAH/1zfQ=")</f>
        <v>#VALUE!</v>
      </c>
      <c r="IL65" s="60" t="e">
        <v>#VALUE!</v>
      </c>
      <c r="IM65" t="e">
        <f>AND('BBP complete'!A875,"AAAAAH/1zfY=")</f>
        <v>#VALUE!</v>
      </c>
      <c r="IN65" t="e">
        <f>AND('BBP complete'!B875,"AAAAAH/1zfc=")</f>
        <v>#VALUE!</v>
      </c>
      <c r="IO65" t="e">
        <f>AND('BBP complete'!C875,"AAAAAH/1zfg=")</f>
        <v>#VALUE!</v>
      </c>
      <c r="IP65" t="e">
        <f>AND('BBP complete'!#REF!,"AAAAAH/1zfk=")</f>
        <v>#REF!</v>
      </c>
      <c r="IQ65" t="e">
        <f>AND('BBP complete'!#REF!,"AAAAAH/1zfo=")</f>
        <v>#REF!</v>
      </c>
      <c r="IR65" t="e">
        <f>AND('BBP complete'!#REF!,"AAAAAH/1zfs=")</f>
        <v>#REF!</v>
      </c>
      <c r="IS65" t="e">
        <f>AND('BBP complete'!E875,"AAAAAH/1zfw=")</f>
        <v>#VALUE!</v>
      </c>
      <c r="IT65" t="e">
        <f>AND('BBP complete'!#REF!,"AAAAAH/1zf0=")</f>
        <v>#REF!</v>
      </c>
      <c r="IU65" t="e">
        <f>AND('BBP complete'!K875,"AAAAAH/1zf4=")</f>
        <v>#VALUE!</v>
      </c>
      <c r="IV65" t="e">
        <f>AND('BBP complete'!L875,"AAAAAH/1zf8=")</f>
        <v>#VALUE!</v>
      </c>
    </row>
    <row r="66" spans="1:256" ht="15" customHeight="1" x14ac:dyDescent="0.25">
      <c r="A66" t="e">
        <f>AND('BBP complete'!#REF!,"AAAAAHN67wA=")</f>
        <v>#REF!</v>
      </c>
      <c r="B66" t="e">
        <f>AND('BBP complete'!#REF!,"AAAAAHN67wE=")</f>
        <v>#REF!</v>
      </c>
      <c r="C66" t="e">
        <f>AND('BBP complete'!#REF!,"AAAAAHN67wI=")</f>
        <v>#REF!</v>
      </c>
      <c r="D66" t="e">
        <f>AND('BBP complete'!D876,"AAAAAHN67wM=")</f>
        <v>#VALUE!</v>
      </c>
      <c r="E66" t="e">
        <f>AND('BBP complete'!F876,"AAAAAHN67wQ=")</f>
        <v>#VALUE!</v>
      </c>
      <c r="F66" t="e">
        <f>AND('BBP complete'!G876,"AAAAAHN67wU=")</f>
        <v>#VALUE!</v>
      </c>
      <c r="G66" t="e">
        <f>AND('BBP complete'!H876,"AAAAAHN67wY=")</f>
        <v>#VALUE!</v>
      </c>
      <c r="H66" t="e">
        <f>AND('BBP complete'!I876,"AAAAAHN67wc=")</f>
        <v>#VALUE!</v>
      </c>
      <c r="I66" s="60" t="e">
        <v>#VALUE!</v>
      </c>
      <c r="J66" t="e">
        <f>AND('BBP complete'!A876,"AAAAAHN67wk=")</f>
        <v>#VALUE!</v>
      </c>
      <c r="K66" t="e">
        <f>AND('BBP complete'!B876,"AAAAAHN67wo=")</f>
        <v>#VALUE!</v>
      </c>
      <c r="L66" t="e">
        <f>AND('BBP complete'!C876,"AAAAAHN67ws=")</f>
        <v>#VALUE!</v>
      </c>
      <c r="M66" t="e">
        <f>AND('BBP complete'!#REF!,"AAAAAHN67ww=")</f>
        <v>#REF!</v>
      </c>
      <c r="N66" t="e">
        <f>AND('BBP complete'!#REF!,"AAAAAHN67w0=")</f>
        <v>#REF!</v>
      </c>
      <c r="O66" t="e">
        <f>AND('BBP complete'!#REF!,"AAAAAHN67w4=")</f>
        <v>#REF!</v>
      </c>
      <c r="P66" t="e">
        <f>AND('BBP complete'!E876,"AAAAAHN67w8=")</f>
        <v>#VALUE!</v>
      </c>
      <c r="Q66" t="e">
        <f>AND('BBP complete'!#REF!,"AAAAAHN67xA=")</f>
        <v>#REF!</v>
      </c>
      <c r="R66" t="e">
        <f>AND('BBP complete'!K876,"AAAAAHN67xE=")</f>
        <v>#VALUE!</v>
      </c>
      <c r="S66" t="e">
        <f>AND('BBP complete'!L876,"AAAAAHN67xI=")</f>
        <v>#VALUE!</v>
      </c>
      <c r="T66" t="e">
        <f>AND('BBP complete'!#REF!,"AAAAAHN67xM=")</f>
        <v>#REF!</v>
      </c>
      <c r="U66" t="e">
        <f>AND('BBP complete'!#REF!,"AAAAAHN67xQ=")</f>
        <v>#REF!</v>
      </c>
      <c r="V66" t="e">
        <f>AND('BBP complete'!#REF!,"AAAAAHN67xU=")</f>
        <v>#REF!</v>
      </c>
      <c r="W66" t="e">
        <f>AND('BBP complete'!D877,"AAAAAHN67xY=")</f>
        <v>#VALUE!</v>
      </c>
      <c r="X66" t="e">
        <f>AND('BBP complete'!F877,"AAAAAHN67xc=")</f>
        <v>#VALUE!</v>
      </c>
      <c r="Y66" t="e">
        <f>AND('BBP complete'!G877,"AAAAAHN67xg=")</f>
        <v>#VALUE!</v>
      </c>
      <c r="Z66" t="e">
        <f>AND('BBP complete'!H877,"AAAAAHN67xk=")</f>
        <v>#VALUE!</v>
      </c>
      <c r="AA66" t="e">
        <f>AND('BBP complete'!I877,"AAAAAHN67xo=")</f>
        <v>#VALUE!</v>
      </c>
      <c r="AB66" s="60" t="e">
        <v>#VALUE!</v>
      </c>
      <c r="AC66" t="e">
        <f>AND('BBP complete'!A877,"AAAAAHN67xw=")</f>
        <v>#VALUE!</v>
      </c>
      <c r="AD66" t="e">
        <f>AND('BBP complete'!B877,"AAAAAHN67x0=")</f>
        <v>#VALUE!</v>
      </c>
      <c r="AE66" t="e">
        <f>AND('BBP complete'!C877,"AAAAAHN67x4=")</f>
        <v>#VALUE!</v>
      </c>
      <c r="AF66" t="e">
        <f>AND('BBP complete'!#REF!,"AAAAAHN67x8=")</f>
        <v>#REF!</v>
      </c>
      <c r="AG66" t="e">
        <f>AND('BBP complete'!#REF!,"AAAAAHN67yA=")</f>
        <v>#REF!</v>
      </c>
      <c r="AH66" t="e">
        <f>AND('BBP complete'!#REF!,"AAAAAHN67yE=")</f>
        <v>#REF!</v>
      </c>
      <c r="AI66" t="e">
        <f>AND('BBP complete'!E877,"AAAAAHN67yI=")</f>
        <v>#VALUE!</v>
      </c>
      <c r="AJ66" t="e">
        <f>AND('BBP complete'!#REF!,"AAAAAHN67yM=")</f>
        <v>#REF!</v>
      </c>
      <c r="AK66" t="e">
        <f>AND('BBP complete'!K877,"AAAAAHN67yQ=")</f>
        <v>#VALUE!</v>
      </c>
      <c r="AL66" t="e">
        <f>AND('BBP complete'!L877,"AAAAAHN67yU=")</f>
        <v>#VALUE!</v>
      </c>
      <c r="AM66" t="e">
        <f>AND('BBP complete'!#REF!,"AAAAAHN67yY=")</f>
        <v>#REF!</v>
      </c>
      <c r="AN66" t="e">
        <f>AND('BBP complete'!#REF!,"AAAAAHN67yc=")</f>
        <v>#REF!</v>
      </c>
      <c r="AO66" t="e">
        <f>AND('BBP complete'!#REF!,"AAAAAHN67yg=")</f>
        <v>#REF!</v>
      </c>
      <c r="AP66" t="e">
        <f>AND('BBP complete'!D878,"AAAAAHN67yk=")</f>
        <v>#VALUE!</v>
      </c>
      <c r="AQ66" t="e">
        <f>AND('BBP complete'!F878,"AAAAAHN67yo=")</f>
        <v>#VALUE!</v>
      </c>
      <c r="AR66" t="e">
        <f>AND('BBP complete'!G878,"AAAAAHN67ys=")</f>
        <v>#VALUE!</v>
      </c>
      <c r="AS66" t="e">
        <f>AND('BBP complete'!H878,"AAAAAHN67yw=")</f>
        <v>#VALUE!</v>
      </c>
      <c r="AT66" t="e">
        <f>AND('BBP complete'!I878,"AAAAAHN67y0=")</f>
        <v>#VALUE!</v>
      </c>
      <c r="AU66" s="60" t="e">
        <v>#VALUE!</v>
      </c>
      <c r="AV66" t="e">
        <f>AND('BBP complete'!A878,"AAAAAHN67y8=")</f>
        <v>#VALUE!</v>
      </c>
      <c r="AW66" t="e">
        <f>AND('BBP complete'!B881,"AAAAAHN67zA=")</f>
        <v>#VALUE!</v>
      </c>
      <c r="AX66" t="e">
        <f>AND('BBP complete'!C881,"AAAAAHN67zE=")</f>
        <v>#VALUE!</v>
      </c>
      <c r="AY66" t="e">
        <f>AND('BBP complete'!#REF!,"AAAAAHN67zI=")</f>
        <v>#REF!</v>
      </c>
      <c r="AZ66" t="e">
        <f>AND('BBP complete'!#REF!,"AAAAAHN67zM=")</f>
        <v>#REF!</v>
      </c>
      <c r="BA66" t="e">
        <f>AND('BBP complete'!#REF!,"AAAAAHN67zQ=")</f>
        <v>#REF!</v>
      </c>
      <c r="BB66" t="e">
        <f>AND('BBP complete'!E878,"AAAAAHN67zU=")</f>
        <v>#VALUE!</v>
      </c>
      <c r="BC66" t="e">
        <f>AND('BBP complete'!#REF!,"AAAAAHN67zY=")</f>
        <v>#REF!</v>
      </c>
      <c r="BD66" t="e">
        <f>AND('BBP complete'!K878,"AAAAAHN67zc=")</f>
        <v>#VALUE!</v>
      </c>
      <c r="BE66" t="e">
        <f>AND('BBP complete'!L878,"AAAAAHN67zg=")</f>
        <v>#VALUE!</v>
      </c>
      <c r="BF66" t="e">
        <f>AND('BBP complete'!#REF!,"AAAAAHN67zk=")</f>
        <v>#REF!</v>
      </c>
      <c r="BG66" t="e">
        <f>AND('BBP complete'!#REF!,"AAAAAHN67zo=")</f>
        <v>#REF!</v>
      </c>
      <c r="BH66" t="e">
        <f>AND('BBP complete'!#REF!,"AAAAAHN67zs=")</f>
        <v>#REF!</v>
      </c>
      <c r="BI66" t="e">
        <f>AND('BBP complete'!D879,"AAAAAHN67zw=")</f>
        <v>#VALUE!</v>
      </c>
      <c r="BJ66" t="e">
        <f>AND('BBP complete'!F879,"AAAAAHN67z0=")</f>
        <v>#VALUE!</v>
      </c>
      <c r="BK66" t="e">
        <f>AND('BBP complete'!G879,"AAAAAHN67z4=")</f>
        <v>#VALUE!</v>
      </c>
      <c r="BL66" t="e">
        <f>AND('BBP complete'!H879,"AAAAAHN67z8=")</f>
        <v>#VALUE!</v>
      </c>
      <c r="BM66" t="e">
        <f>AND('BBP complete'!I879,"AAAAAHN670A=")</f>
        <v>#VALUE!</v>
      </c>
      <c r="BN66" s="60" t="e">
        <v>#VALUE!</v>
      </c>
      <c r="BO66" t="e">
        <f>AND('BBP complete'!B879,"AAAAAHN670I=")</f>
        <v>#VALUE!</v>
      </c>
      <c r="BP66" t="e">
        <f>AND('BBP complete'!B902,"AAAAAHN670M=")</f>
        <v>#VALUE!</v>
      </c>
      <c r="BQ66" t="e">
        <f>AND('BBP complete'!C902,"AAAAAHN670Q=")</f>
        <v>#VALUE!</v>
      </c>
      <c r="BR66" t="e">
        <f>AND('BBP complete'!#REF!,"AAAAAHN670U=")</f>
        <v>#REF!</v>
      </c>
      <c r="BS66" t="e">
        <f>AND('BBP complete'!#REF!,"AAAAAHN670Y=")</f>
        <v>#REF!</v>
      </c>
      <c r="BT66" t="e">
        <f>AND('BBP complete'!#REF!,"AAAAAHN670c=")</f>
        <v>#REF!</v>
      </c>
      <c r="BU66" t="e">
        <f>AND('BBP complete'!E879,"AAAAAHN670g=")</f>
        <v>#VALUE!</v>
      </c>
      <c r="BV66" t="e">
        <f>AND('BBP complete'!#REF!,"AAAAAHN670k=")</f>
        <v>#REF!</v>
      </c>
      <c r="BW66" t="e">
        <f>AND('BBP complete'!K879,"AAAAAHN670o=")</f>
        <v>#VALUE!</v>
      </c>
      <c r="BX66" t="e">
        <f>AND('BBP complete'!L879,"AAAAAHN670s=")</f>
        <v>#VALUE!</v>
      </c>
      <c r="BY66" t="e">
        <f>AND('BBP complete'!#REF!,"AAAAAHN670w=")</f>
        <v>#REF!</v>
      </c>
      <c r="BZ66" t="e">
        <f>AND('BBP complete'!#REF!,"AAAAAHN6700=")</f>
        <v>#REF!</v>
      </c>
      <c r="CA66" t="e">
        <f>AND('BBP complete'!#REF!,"AAAAAHN6704=")</f>
        <v>#REF!</v>
      </c>
      <c r="CB66" t="e">
        <f>AND('BBP complete'!D880,"AAAAAHN6708=")</f>
        <v>#VALUE!</v>
      </c>
      <c r="CC66" t="e">
        <f>AND('BBP complete'!F880,"AAAAAHN671A=")</f>
        <v>#VALUE!</v>
      </c>
      <c r="CD66" t="e">
        <f>AND('BBP complete'!G880,"AAAAAHN671E=")</f>
        <v>#VALUE!</v>
      </c>
      <c r="CE66" t="e">
        <f>AND('BBP complete'!H880,"AAAAAHN671I=")</f>
        <v>#VALUE!</v>
      </c>
      <c r="CF66" t="e">
        <f>AND('BBP complete'!I880,"AAAAAHN671M=")</f>
        <v>#VALUE!</v>
      </c>
      <c r="CG66" s="60" t="e">
        <v>#VALUE!</v>
      </c>
      <c r="CH66" t="e">
        <f>AND('BBP complete'!A880,"AAAAAHN671U=")</f>
        <v>#VALUE!</v>
      </c>
      <c r="CI66" t="e">
        <f>AND('BBP complete'!B903,"AAAAAHN671Y=")</f>
        <v>#VALUE!</v>
      </c>
      <c r="CJ66" t="e">
        <f>AND('BBP complete'!C903,"AAAAAHN671c=")</f>
        <v>#VALUE!</v>
      </c>
      <c r="CK66" t="e">
        <f>AND('BBP complete'!#REF!,"AAAAAHN671g=")</f>
        <v>#REF!</v>
      </c>
      <c r="CL66" t="e">
        <f>AND('BBP complete'!#REF!,"AAAAAHN671k=")</f>
        <v>#REF!</v>
      </c>
      <c r="CM66" t="e">
        <f>AND('BBP complete'!#REF!,"AAAAAHN671o=")</f>
        <v>#REF!</v>
      </c>
      <c r="CN66" t="e">
        <f>AND('BBP complete'!E880,"AAAAAHN671s=")</f>
        <v>#VALUE!</v>
      </c>
      <c r="CO66" t="e">
        <f>AND('BBP complete'!#REF!,"AAAAAHN671w=")</f>
        <v>#REF!</v>
      </c>
      <c r="CP66" t="e">
        <f>AND('BBP complete'!K880,"AAAAAHN6710=")</f>
        <v>#VALUE!</v>
      </c>
      <c r="CQ66" t="e">
        <f>AND('BBP complete'!L880,"AAAAAHN6714=")</f>
        <v>#VALUE!</v>
      </c>
      <c r="CR66" t="e">
        <f>AND('BBP complete'!#REF!,"AAAAAHN6718=")</f>
        <v>#REF!</v>
      </c>
      <c r="CS66" t="e">
        <f>AND('BBP complete'!#REF!,"AAAAAHN672A=")</f>
        <v>#REF!</v>
      </c>
      <c r="CT66" t="e">
        <f>AND('BBP complete'!#REF!,"AAAAAHN672E=")</f>
        <v>#REF!</v>
      </c>
      <c r="CU66" t="e">
        <f>AND('BBP complete'!D881,"AAAAAHN672I=")</f>
        <v>#VALUE!</v>
      </c>
      <c r="CV66" t="e">
        <f>AND('BBP complete'!F881,"AAAAAHN672M=")</f>
        <v>#VALUE!</v>
      </c>
      <c r="CW66" t="e">
        <f>AND('BBP complete'!G881,"AAAAAHN672Q=")</f>
        <v>#VALUE!</v>
      </c>
      <c r="CX66" t="e">
        <f>AND('BBP complete'!H881,"AAAAAHN672U=")</f>
        <v>#VALUE!</v>
      </c>
      <c r="CY66" t="e">
        <f>AND('BBP complete'!I881,"AAAAAHN672Y=")</f>
        <v>#VALUE!</v>
      </c>
      <c r="CZ66" s="60" t="e">
        <v>#VALUE!</v>
      </c>
      <c r="DA66" t="e">
        <f>AND('BBP complete'!A881,"AAAAAHN672g=")</f>
        <v>#VALUE!</v>
      </c>
      <c r="DB66" t="e">
        <f>AND('BBP complete'!B904,"AAAAAHN672k=")</f>
        <v>#VALUE!</v>
      </c>
      <c r="DC66" t="e">
        <f>AND('BBP complete'!C904,"AAAAAHN672o=")</f>
        <v>#VALUE!</v>
      </c>
      <c r="DD66" t="e">
        <f>AND('BBP complete'!#REF!,"AAAAAHN672s=")</f>
        <v>#REF!</v>
      </c>
      <c r="DE66" t="e">
        <f>AND('BBP complete'!#REF!,"AAAAAHN672w=")</f>
        <v>#REF!</v>
      </c>
      <c r="DF66" t="e">
        <f>AND('BBP complete'!#REF!,"AAAAAHN6720=")</f>
        <v>#REF!</v>
      </c>
      <c r="DG66" t="e">
        <f>AND('BBP complete'!E881,"AAAAAHN6724=")</f>
        <v>#VALUE!</v>
      </c>
      <c r="DH66" t="e">
        <f>AND('BBP complete'!#REF!,"AAAAAHN6728=")</f>
        <v>#REF!</v>
      </c>
      <c r="DI66" t="e">
        <f>AND('BBP complete'!K881,"AAAAAHN673A=")</f>
        <v>#VALUE!</v>
      </c>
      <c r="DJ66" t="e">
        <f>AND('BBP complete'!L881,"AAAAAHN673E=")</f>
        <v>#VALUE!</v>
      </c>
      <c r="DK66" t="e">
        <f>AND('BBP complete'!#REF!,"AAAAAHN673I=")</f>
        <v>#REF!</v>
      </c>
      <c r="DL66" t="e">
        <f>AND('BBP complete'!#REF!,"AAAAAHN673M=")</f>
        <v>#REF!</v>
      </c>
      <c r="DM66" t="e">
        <f>AND('BBP complete'!#REF!,"AAAAAHN673Q=")</f>
        <v>#REF!</v>
      </c>
      <c r="DN66" t="e">
        <f>AND('BBP complete'!D882,"AAAAAHN673U=")</f>
        <v>#VALUE!</v>
      </c>
      <c r="DO66" t="e">
        <f>AND('BBP complete'!F882,"AAAAAHN673Y=")</f>
        <v>#VALUE!</v>
      </c>
      <c r="DP66" t="e">
        <f>AND('BBP complete'!G882,"AAAAAHN673c=")</f>
        <v>#VALUE!</v>
      </c>
      <c r="DQ66" t="e">
        <f>AND('BBP complete'!H882,"AAAAAHN673g=")</f>
        <v>#VALUE!</v>
      </c>
      <c r="DR66" t="e">
        <f>AND('BBP complete'!I882,"AAAAAHN673k=")</f>
        <v>#VALUE!</v>
      </c>
      <c r="DS66" s="60" t="e">
        <v>#VALUE!</v>
      </c>
      <c r="DT66" t="e">
        <f>AND('BBP complete'!A882,"AAAAAHN673s=")</f>
        <v>#VALUE!</v>
      </c>
      <c r="DU66" t="e">
        <f>AND('BBP complete'!B905,"AAAAAHN673w=")</f>
        <v>#VALUE!</v>
      </c>
      <c r="DV66" t="e">
        <f>AND('BBP complete'!C905,"AAAAAHN6730=")</f>
        <v>#VALUE!</v>
      </c>
      <c r="DW66" t="e">
        <f>AND('BBP complete'!#REF!,"AAAAAHN6734=")</f>
        <v>#REF!</v>
      </c>
      <c r="DX66" t="e">
        <f>AND('BBP complete'!#REF!,"AAAAAHN6738=")</f>
        <v>#REF!</v>
      </c>
      <c r="DY66" t="e">
        <f>AND('BBP complete'!#REF!,"AAAAAHN674A=")</f>
        <v>#REF!</v>
      </c>
      <c r="DZ66" t="e">
        <f>AND('BBP complete'!E882,"AAAAAHN674E=")</f>
        <v>#VALUE!</v>
      </c>
      <c r="EA66" t="e">
        <f>AND('BBP complete'!#REF!,"AAAAAHN674I=")</f>
        <v>#REF!</v>
      </c>
      <c r="EB66" t="e">
        <f>AND('BBP complete'!K882,"AAAAAHN674M=")</f>
        <v>#VALUE!</v>
      </c>
      <c r="EC66" t="e">
        <f>AND('BBP complete'!L882,"AAAAAHN674Q=")</f>
        <v>#VALUE!</v>
      </c>
      <c r="ED66" t="e">
        <f>AND('BBP complete'!#REF!,"AAAAAHN674U=")</f>
        <v>#REF!</v>
      </c>
      <c r="EE66" t="e">
        <f>AND('BBP complete'!#REF!,"AAAAAHN674Y=")</f>
        <v>#REF!</v>
      </c>
      <c r="EF66" t="e">
        <f>AND('BBP complete'!#REF!,"AAAAAHN674c=")</f>
        <v>#REF!</v>
      </c>
      <c r="EG66" t="e">
        <f>AND('BBP complete'!D883,"AAAAAHN674g=")</f>
        <v>#VALUE!</v>
      </c>
      <c r="EH66" t="e">
        <f>AND('BBP complete'!F883,"AAAAAHN674k=")</f>
        <v>#VALUE!</v>
      </c>
      <c r="EI66" t="e">
        <f>AND('BBP complete'!G883,"AAAAAHN674o=")</f>
        <v>#VALUE!</v>
      </c>
      <c r="EJ66" t="e">
        <f>AND('BBP complete'!H883,"AAAAAHN674s=")</f>
        <v>#VALUE!</v>
      </c>
      <c r="EK66" t="e">
        <f>AND('BBP complete'!I883,"AAAAAHN674w=")</f>
        <v>#VALUE!</v>
      </c>
      <c r="EL66" s="60" t="e">
        <v>#VALUE!</v>
      </c>
      <c r="EM66" t="e">
        <f>AND('BBP complete'!A883,"AAAAAHN6744=")</f>
        <v>#VALUE!</v>
      </c>
      <c r="EN66" t="e">
        <f>AND('BBP complete'!#REF!,"AAAAAHN6748=")</f>
        <v>#REF!</v>
      </c>
      <c r="EO66" t="e">
        <f>AND('BBP complete'!#REF!,"AAAAAHN675A=")</f>
        <v>#REF!</v>
      </c>
      <c r="EP66" t="e">
        <f>AND('BBP complete'!#REF!,"AAAAAHN675E=")</f>
        <v>#REF!</v>
      </c>
      <c r="EQ66" t="e">
        <f>AND('BBP complete'!#REF!,"AAAAAHN675I=")</f>
        <v>#REF!</v>
      </c>
      <c r="ER66" t="e">
        <f>AND('BBP complete'!#REF!,"AAAAAHN675M=")</f>
        <v>#REF!</v>
      </c>
      <c r="ES66" t="e">
        <f>AND('BBP complete'!E883,"AAAAAHN675Q=")</f>
        <v>#VALUE!</v>
      </c>
      <c r="ET66" t="e">
        <f>AND('BBP complete'!#REF!,"AAAAAHN675U=")</f>
        <v>#REF!</v>
      </c>
      <c r="EU66" t="e">
        <f>AND('BBP complete'!K883,"AAAAAHN675Y=")</f>
        <v>#VALUE!</v>
      </c>
      <c r="EV66" t="e">
        <f>AND('BBP complete'!L883,"AAAAAHN675c=")</f>
        <v>#VALUE!</v>
      </c>
      <c r="EW66" t="e">
        <f>AND('BBP complete'!#REF!,"AAAAAHN675g=")</f>
        <v>#REF!</v>
      </c>
      <c r="EX66" t="e">
        <f>AND('BBP complete'!#REF!,"AAAAAHN675k=")</f>
        <v>#REF!</v>
      </c>
      <c r="EY66" t="e">
        <f>AND('BBP complete'!#REF!,"AAAAAHN675o=")</f>
        <v>#REF!</v>
      </c>
      <c r="EZ66" t="e">
        <f>AND('BBP complete'!D884,"AAAAAHN675s=")</f>
        <v>#VALUE!</v>
      </c>
      <c r="FA66" t="e">
        <f>AND('BBP complete'!F884,"AAAAAHN675w=")</f>
        <v>#VALUE!</v>
      </c>
      <c r="FB66" t="e">
        <f>AND('BBP complete'!G884,"AAAAAHN6750=")</f>
        <v>#VALUE!</v>
      </c>
      <c r="FC66" t="e">
        <f>AND('BBP complete'!H884,"AAAAAHN6754=")</f>
        <v>#VALUE!</v>
      </c>
      <c r="FD66" t="e">
        <f>AND('BBP complete'!I884,"AAAAAHN6758=")</f>
        <v>#VALUE!</v>
      </c>
      <c r="FE66" s="60" t="e">
        <v>#VALUE!</v>
      </c>
      <c r="FF66" t="e">
        <f>AND('BBP complete'!A884,"AAAAAHN676E=")</f>
        <v>#VALUE!</v>
      </c>
      <c r="FG66" t="e">
        <f>AND('BBP complete'!#REF!,"AAAAAHN676I=")</f>
        <v>#REF!</v>
      </c>
      <c r="FH66" t="e">
        <f>AND('BBP complete'!#REF!,"AAAAAHN676M=")</f>
        <v>#REF!</v>
      </c>
      <c r="FI66" t="e">
        <f>AND('BBP complete'!#REF!,"AAAAAHN676Q=")</f>
        <v>#REF!</v>
      </c>
      <c r="FJ66" t="e">
        <f>AND('BBP complete'!#REF!,"AAAAAHN676U=")</f>
        <v>#REF!</v>
      </c>
      <c r="FK66" t="e">
        <f>AND('BBP complete'!#REF!,"AAAAAHN676Y=")</f>
        <v>#REF!</v>
      </c>
      <c r="FL66" t="e">
        <f>AND('BBP complete'!E884,"AAAAAHN676c=")</f>
        <v>#VALUE!</v>
      </c>
      <c r="FM66" t="e">
        <f>AND('BBP complete'!#REF!,"AAAAAHN676g=")</f>
        <v>#REF!</v>
      </c>
      <c r="FN66" t="e">
        <f>AND('BBP complete'!K884,"AAAAAHN676k=")</f>
        <v>#VALUE!</v>
      </c>
      <c r="FO66" t="e">
        <f>AND('BBP complete'!L884,"AAAAAHN676o=")</f>
        <v>#VALUE!</v>
      </c>
      <c r="FP66" t="e">
        <f>AND('BBP complete'!#REF!,"AAAAAHN676s=")</f>
        <v>#REF!</v>
      </c>
      <c r="FQ66" t="e">
        <f>AND('BBP complete'!#REF!,"AAAAAHN676w=")</f>
        <v>#REF!</v>
      </c>
      <c r="FR66" t="e">
        <f>AND('BBP complete'!#REF!,"AAAAAHN6760=")</f>
        <v>#REF!</v>
      </c>
      <c r="FS66" t="e">
        <f>AND('BBP complete'!D885,"AAAAAHN6764=")</f>
        <v>#VALUE!</v>
      </c>
      <c r="FT66" t="e">
        <f>AND('BBP complete'!F885,"AAAAAHN6768=")</f>
        <v>#VALUE!</v>
      </c>
      <c r="FU66" t="e">
        <f>AND('BBP complete'!G885,"AAAAAHN677A=")</f>
        <v>#VALUE!</v>
      </c>
      <c r="FV66" t="e">
        <f>AND('BBP complete'!H885,"AAAAAHN677E=")</f>
        <v>#VALUE!</v>
      </c>
      <c r="FW66" t="e">
        <f>AND('BBP complete'!I885,"AAAAAHN677I=")</f>
        <v>#VALUE!</v>
      </c>
      <c r="FX66" s="60" t="e">
        <v>#VALUE!</v>
      </c>
      <c r="FY66" t="e">
        <f>AND('BBP complete'!A885,"AAAAAHN677Q=")</f>
        <v>#VALUE!</v>
      </c>
      <c r="FZ66" t="e">
        <f>AND('BBP complete'!#REF!,"AAAAAHN677U=")</f>
        <v>#REF!</v>
      </c>
      <c r="GA66" t="e">
        <f>AND('BBP complete'!#REF!,"AAAAAHN677Y=")</f>
        <v>#REF!</v>
      </c>
      <c r="GB66" t="e">
        <f>AND('BBP complete'!#REF!,"AAAAAHN677c=")</f>
        <v>#REF!</v>
      </c>
      <c r="GC66" t="e">
        <f>AND('BBP complete'!#REF!,"AAAAAHN677g=")</f>
        <v>#REF!</v>
      </c>
      <c r="GD66" t="e">
        <f>AND('BBP complete'!#REF!,"AAAAAHN677k=")</f>
        <v>#REF!</v>
      </c>
      <c r="GE66" t="e">
        <f>AND('BBP complete'!E885,"AAAAAHN677o=")</f>
        <v>#VALUE!</v>
      </c>
      <c r="GF66" t="e">
        <f>AND('BBP complete'!#REF!,"AAAAAHN677s=")</f>
        <v>#REF!</v>
      </c>
      <c r="GG66" t="e">
        <f>AND('BBP complete'!K885,"AAAAAHN677w=")</f>
        <v>#VALUE!</v>
      </c>
      <c r="GH66" t="e">
        <f>AND('BBP complete'!L885,"AAAAAHN6770=")</f>
        <v>#VALUE!</v>
      </c>
      <c r="GI66" t="e">
        <f>AND('BBP complete'!#REF!,"AAAAAHN6774=")</f>
        <v>#REF!</v>
      </c>
      <c r="GJ66" t="e">
        <f>AND('BBP complete'!#REF!,"AAAAAHN6778=")</f>
        <v>#REF!</v>
      </c>
      <c r="GK66" t="e">
        <f>AND('BBP complete'!#REF!,"AAAAAHN678A=")</f>
        <v>#REF!</v>
      </c>
      <c r="GL66" t="e">
        <f>AND('BBP complete'!D886,"AAAAAHN678E=")</f>
        <v>#VALUE!</v>
      </c>
      <c r="GM66" t="e">
        <f>AND('BBP complete'!F886,"AAAAAHN678I=")</f>
        <v>#VALUE!</v>
      </c>
      <c r="GN66" t="e">
        <f>AND('BBP complete'!G886,"AAAAAHN678M=")</f>
        <v>#VALUE!</v>
      </c>
      <c r="GO66" t="e">
        <f>AND('BBP complete'!H886,"AAAAAHN678Q=")</f>
        <v>#VALUE!</v>
      </c>
      <c r="GP66" t="e">
        <f>AND('BBP complete'!I886,"AAAAAHN678U=")</f>
        <v>#VALUE!</v>
      </c>
      <c r="GQ66" s="60" t="e">
        <v>#VALUE!</v>
      </c>
      <c r="GR66" t="e">
        <f>AND('BBP complete'!A886,"AAAAAHN678c=")</f>
        <v>#VALUE!</v>
      </c>
      <c r="GS66" t="e">
        <f>AND('BBP complete'!#REF!,"AAAAAHN678g=")</f>
        <v>#REF!</v>
      </c>
      <c r="GT66" t="e">
        <f>AND('BBP complete'!#REF!,"AAAAAHN678k=")</f>
        <v>#REF!</v>
      </c>
      <c r="GU66" t="e">
        <f>AND('BBP complete'!#REF!,"AAAAAHN678o=")</f>
        <v>#REF!</v>
      </c>
      <c r="GV66" t="e">
        <f>AND('BBP complete'!#REF!,"AAAAAHN678s=")</f>
        <v>#REF!</v>
      </c>
      <c r="GW66" t="e">
        <f>AND('BBP complete'!#REF!,"AAAAAHN678w=")</f>
        <v>#REF!</v>
      </c>
      <c r="GX66" t="e">
        <f>AND('BBP complete'!E886,"AAAAAHN6780=")</f>
        <v>#VALUE!</v>
      </c>
      <c r="GY66" t="e">
        <f>AND('BBP complete'!#REF!,"AAAAAHN6784=")</f>
        <v>#REF!</v>
      </c>
      <c r="GZ66" t="e">
        <f>AND('BBP complete'!K886,"AAAAAHN6788=")</f>
        <v>#VALUE!</v>
      </c>
      <c r="HA66" t="e">
        <f>AND('BBP complete'!L887,"AAAAAHN679A=")</f>
        <v>#VALUE!</v>
      </c>
      <c r="HB66" t="e">
        <f>AND('BBP complete'!#REF!,"AAAAAHN679E=")</f>
        <v>#REF!</v>
      </c>
      <c r="HC66" t="e">
        <f>AND('BBP complete'!#REF!,"AAAAAHN679I=")</f>
        <v>#REF!</v>
      </c>
      <c r="HD66" t="e">
        <f>AND('BBP complete'!#REF!,"AAAAAHN679M=")</f>
        <v>#REF!</v>
      </c>
      <c r="HE66" t="e">
        <f>AND('BBP complete'!D888,"AAAAAHN679Q=")</f>
        <v>#VALUE!</v>
      </c>
      <c r="HF66" t="e">
        <f>AND('BBP complete'!F888,"AAAAAHN679U=")</f>
        <v>#VALUE!</v>
      </c>
      <c r="HG66" t="e">
        <f>AND('BBP complete'!G888,"AAAAAHN679Y=")</f>
        <v>#VALUE!</v>
      </c>
      <c r="HH66" t="e">
        <f>AND('BBP complete'!H888,"AAAAAHN679c=")</f>
        <v>#VALUE!</v>
      </c>
      <c r="HI66" t="e">
        <f>AND('BBP complete'!I888,"AAAAAHN679g=")</f>
        <v>#VALUE!</v>
      </c>
      <c r="HJ66" s="60" t="e">
        <v>#VALUE!</v>
      </c>
      <c r="HK66" t="e">
        <f>AND('BBP complete'!A888,"AAAAAHN679o=")</f>
        <v>#VALUE!</v>
      </c>
      <c r="HL66" t="e">
        <f>AND('BBP complete'!#REF!,"AAAAAHN679s=")</f>
        <v>#REF!</v>
      </c>
      <c r="HM66" t="e">
        <f>AND('BBP complete'!#REF!,"AAAAAHN679w=")</f>
        <v>#REF!</v>
      </c>
      <c r="HN66" t="e">
        <f>AND('BBP complete'!#REF!,"AAAAAHN6790=")</f>
        <v>#REF!</v>
      </c>
      <c r="HO66" t="e">
        <f>AND('BBP complete'!#REF!,"AAAAAHN6794=")</f>
        <v>#REF!</v>
      </c>
      <c r="HP66" t="e">
        <f>AND('BBP complete'!#REF!,"AAAAAHN6798=")</f>
        <v>#REF!</v>
      </c>
      <c r="HQ66" t="e">
        <f>AND('BBP complete'!E888,"AAAAAHN67+A=")</f>
        <v>#VALUE!</v>
      </c>
      <c r="HR66" t="e">
        <f>AND('BBP complete'!#REF!,"AAAAAHN67+E=")</f>
        <v>#REF!</v>
      </c>
      <c r="HS66" t="e">
        <f>AND('BBP complete'!K888,"AAAAAHN67+I=")</f>
        <v>#VALUE!</v>
      </c>
      <c r="HT66" t="e">
        <f>AND('BBP complete'!L888,"AAAAAHN67+M=")</f>
        <v>#VALUE!</v>
      </c>
      <c r="HU66" t="e">
        <f>AND('BBP complete'!#REF!,"AAAAAHN67+Q=")</f>
        <v>#REF!</v>
      </c>
      <c r="HV66" t="e">
        <f>AND('BBP complete'!#REF!,"AAAAAHN67+U=")</f>
        <v>#REF!</v>
      </c>
      <c r="HW66" t="e">
        <f>AND('BBP complete'!#REF!,"AAAAAHN67+Y=")</f>
        <v>#REF!</v>
      </c>
      <c r="HX66" t="e">
        <f>AND('BBP complete'!D889,"AAAAAHN67+c=")</f>
        <v>#VALUE!</v>
      </c>
      <c r="HY66" t="e">
        <f>AND('BBP complete'!F889,"AAAAAHN67+g=")</f>
        <v>#VALUE!</v>
      </c>
      <c r="HZ66" t="e">
        <f>AND('BBP complete'!G889,"AAAAAHN67+k=")</f>
        <v>#VALUE!</v>
      </c>
      <c r="IA66" t="e">
        <f>AND('BBP complete'!H889,"AAAAAHN67+o=")</f>
        <v>#VALUE!</v>
      </c>
      <c r="IB66" t="e">
        <f>AND('BBP complete'!I889,"AAAAAHN67+s=")</f>
        <v>#VALUE!</v>
      </c>
      <c r="IC66" s="60" t="e">
        <v>#VALUE!</v>
      </c>
      <c r="ID66" t="e">
        <f>AND('BBP complete'!A889,"AAAAAHN67+0=")</f>
        <v>#VALUE!</v>
      </c>
      <c r="IE66" t="e">
        <f>AND('BBP complete'!#REF!,"AAAAAHN67+4=")</f>
        <v>#REF!</v>
      </c>
      <c r="IF66" t="e">
        <f>AND('BBP complete'!#REF!,"AAAAAHN67+8=")</f>
        <v>#REF!</v>
      </c>
      <c r="IG66" t="e">
        <f>AND('BBP complete'!#REF!,"AAAAAHN67/A=")</f>
        <v>#REF!</v>
      </c>
      <c r="IH66" t="e">
        <f>AND('BBP complete'!#REF!,"AAAAAHN67/E=")</f>
        <v>#REF!</v>
      </c>
      <c r="II66" t="e">
        <f>AND('BBP complete'!#REF!,"AAAAAHN67/I=")</f>
        <v>#REF!</v>
      </c>
      <c r="IJ66" t="e">
        <f>AND('BBP complete'!E889,"AAAAAHN67/M=")</f>
        <v>#VALUE!</v>
      </c>
      <c r="IK66" t="e">
        <f>AND('BBP complete'!#REF!,"AAAAAHN67/Q=")</f>
        <v>#REF!</v>
      </c>
      <c r="IL66" t="e">
        <f>AND('BBP complete'!K889,"AAAAAHN67/U=")</f>
        <v>#VALUE!</v>
      </c>
      <c r="IM66" t="e">
        <f>AND('BBP complete'!L889,"AAAAAHN67/Y=")</f>
        <v>#VALUE!</v>
      </c>
      <c r="IN66" t="e">
        <f>AND('BBP complete'!#REF!,"AAAAAHN67/c=")</f>
        <v>#REF!</v>
      </c>
      <c r="IO66" t="e">
        <f>AND('BBP complete'!#REF!,"AAAAAHN67/g=")</f>
        <v>#REF!</v>
      </c>
      <c r="IP66" t="e">
        <f>AND('BBP complete'!#REF!,"AAAAAHN67/k=")</f>
        <v>#REF!</v>
      </c>
      <c r="IQ66" t="e">
        <f>AND('BBP complete'!D890,"AAAAAHN67/o=")</f>
        <v>#VALUE!</v>
      </c>
      <c r="IR66" t="e">
        <f>AND('BBP complete'!F890,"AAAAAHN67/s=")</f>
        <v>#VALUE!</v>
      </c>
      <c r="IS66" t="e">
        <f>AND('BBP complete'!G890,"AAAAAHN67/w=")</f>
        <v>#VALUE!</v>
      </c>
      <c r="IT66" t="e">
        <f>AND('BBP complete'!H890,"AAAAAHN67/0=")</f>
        <v>#VALUE!</v>
      </c>
      <c r="IU66" t="e">
        <f>AND('BBP complete'!I890,"AAAAAHN67/4=")</f>
        <v>#VALUE!</v>
      </c>
      <c r="IV66" s="60" t="e">
        <v>#VALUE!</v>
      </c>
    </row>
    <row r="67" spans="1:256" ht="15" customHeight="1" x14ac:dyDescent="0.25">
      <c r="A67" t="e">
        <f>AND('BBP complete'!A890,"AAAAAHf7twA=")</f>
        <v>#VALUE!</v>
      </c>
      <c r="B67" t="e">
        <f>AND('BBP complete'!#REF!,"AAAAAHf7twE=")</f>
        <v>#REF!</v>
      </c>
      <c r="C67" t="e">
        <f>AND('BBP complete'!#REF!,"AAAAAHf7twI=")</f>
        <v>#REF!</v>
      </c>
      <c r="D67" t="e">
        <f>AND('BBP complete'!#REF!,"AAAAAHf7twM=")</f>
        <v>#REF!</v>
      </c>
      <c r="E67" t="e">
        <f>AND('BBP complete'!#REF!,"AAAAAHf7twQ=")</f>
        <v>#REF!</v>
      </c>
      <c r="F67" t="e">
        <f>AND('BBP complete'!#REF!,"AAAAAHf7twU=")</f>
        <v>#REF!</v>
      </c>
      <c r="G67" t="e">
        <f>AND('BBP complete'!E890,"AAAAAHf7twY=")</f>
        <v>#VALUE!</v>
      </c>
      <c r="H67" t="e">
        <f>AND('BBP complete'!#REF!,"AAAAAHf7twc=")</f>
        <v>#REF!</v>
      </c>
      <c r="I67" t="e">
        <f>AND('BBP complete'!K890,"AAAAAHf7twg=")</f>
        <v>#VALUE!</v>
      </c>
      <c r="J67" t="e">
        <f>AND('BBP complete'!L890,"AAAAAHf7twk=")</f>
        <v>#VALUE!</v>
      </c>
      <c r="K67" t="e">
        <f>AND('BBP complete'!#REF!,"AAAAAHf7two=")</f>
        <v>#REF!</v>
      </c>
      <c r="L67" t="e">
        <f>AND('BBP complete'!#REF!,"AAAAAHf7tws=")</f>
        <v>#REF!</v>
      </c>
      <c r="M67" t="e">
        <f>AND('BBP complete'!#REF!,"AAAAAHf7tww=")</f>
        <v>#REF!</v>
      </c>
      <c r="N67" t="e">
        <f>AND('BBP complete'!D891,"AAAAAHf7tw0=")</f>
        <v>#VALUE!</v>
      </c>
      <c r="O67" t="e">
        <f>AND('BBP complete'!F891,"AAAAAHf7tw4=")</f>
        <v>#VALUE!</v>
      </c>
      <c r="P67" t="e">
        <f>AND('BBP complete'!G891,"AAAAAHf7tw8=")</f>
        <v>#VALUE!</v>
      </c>
      <c r="Q67" t="e">
        <f>AND('BBP complete'!H891,"AAAAAHf7txA=")</f>
        <v>#VALUE!</v>
      </c>
      <c r="R67" t="e">
        <f>AND('BBP complete'!I891,"AAAAAHf7txE=")</f>
        <v>#VALUE!</v>
      </c>
      <c r="S67" s="60" t="e">
        <v>#VALUE!</v>
      </c>
      <c r="T67" t="e">
        <f>AND('BBP complete'!A891,"AAAAAHf7txM=")</f>
        <v>#VALUE!</v>
      </c>
      <c r="U67" t="e">
        <f>AND('BBP complete'!B1097,"AAAAAHf7txQ=")</f>
        <v>#VALUE!</v>
      </c>
      <c r="V67" t="e">
        <f>AND('BBP complete'!C1097,"AAAAAHf7txU=")</f>
        <v>#VALUE!</v>
      </c>
      <c r="W67" t="e">
        <f>AND('BBP complete'!#REF!,"AAAAAHf7txY=")</f>
        <v>#REF!</v>
      </c>
      <c r="X67" t="e">
        <f>AND('BBP complete'!#REF!,"AAAAAHf7txc=")</f>
        <v>#REF!</v>
      </c>
      <c r="Y67" t="e">
        <f>AND('BBP complete'!#REF!,"AAAAAHf7txg=")</f>
        <v>#REF!</v>
      </c>
      <c r="Z67" t="e">
        <f>AND('BBP complete'!E891,"AAAAAHf7txk=")</f>
        <v>#VALUE!</v>
      </c>
      <c r="AA67" t="e">
        <f>AND('BBP complete'!#REF!,"AAAAAHf7txo=")</f>
        <v>#REF!</v>
      </c>
      <c r="AB67" t="e">
        <f>AND('BBP complete'!K891,"AAAAAHf7txs=")</f>
        <v>#VALUE!</v>
      </c>
      <c r="AC67" t="e">
        <f>AND('BBP complete'!L891,"AAAAAHf7txw=")</f>
        <v>#VALUE!</v>
      </c>
      <c r="AD67" t="e">
        <f>AND('BBP complete'!#REF!,"AAAAAHf7tx0=")</f>
        <v>#REF!</v>
      </c>
      <c r="AE67" t="e">
        <f>AND('BBP complete'!#REF!,"AAAAAHf7tx4=")</f>
        <v>#REF!</v>
      </c>
      <c r="AF67" t="e">
        <f>AND('BBP complete'!#REF!,"AAAAAHf7tx8=")</f>
        <v>#REF!</v>
      </c>
      <c r="AG67" t="e">
        <f>AND('BBP complete'!D892,"AAAAAHf7tyA=")</f>
        <v>#VALUE!</v>
      </c>
      <c r="AH67" t="e">
        <f>AND('BBP complete'!F892,"AAAAAHf7tyE=")</f>
        <v>#VALUE!</v>
      </c>
      <c r="AI67" t="e">
        <f>AND('BBP complete'!G892,"AAAAAHf7tyI=")</f>
        <v>#VALUE!</v>
      </c>
      <c r="AJ67" t="e">
        <f>AND('BBP complete'!H892,"AAAAAHf7tyM=")</f>
        <v>#VALUE!</v>
      </c>
      <c r="AK67" t="e">
        <f>AND('BBP complete'!I892,"AAAAAHf7tyQ=")</f>
        <v>#VALUE!</v>
      </c>
      <c r="AL67" s="60" t="e">
        <v>#VALUE!</v>
      </c>
      <c r="AM67" t="e">
        <f>AND('BBP complete'!A892,"AAAAAHf7tyY=")</f>
        <v>#VALUE!</v>
      </c>
      <c r="AN67" t="e">
        <f>AND('BBP complete'!#REF!,"AAAAAHf7tyc=")</f>
        <v>#REF!</v>
      </c>
      <c r="AO67" t="e">
        <f>AND('BBP complete'!#REF!,"AAAAAHf7tyg=")</f>
        <v>#REF!</v>
      </c>
      <c r="AP67" t="e">
        <f>AND('BBP complete'!#REF!,"AAAAAHf7tyk=")</f>
        <v>#REF!</v>
      </c>
      <c r="AQ67" t="e">
        <f>AND('BBP complete'!#REF!,"AAAAAHf7tyo=")</f>
        <v>#REF!</v>
      </c>
      <c r="AR67" t="e">
        <f>AND('BBP complete'!#REF!,"AAAAAHf7tys=")</f>
        <v>#REF!</v>
      </c>
      <c r="AS67" t="e">
        <f>AND('BBP complete'!E892,"AAAAAHf7tyw=")</f>
        <v>#VALUE!</v>
      </c>
      <c r="AT67" t="e">
        <f>AND('BBP complete'!#REF!,"AAAAAHf7ty0=")</f>
        <v>#REF!</v>
      </c>
      <c r="AU67" t="e">
        <f>AND('BBP complete'!K892,"AAAAAHf7ty4=")</f>
        <v>#VALUE!</v>
      </c>
      <c r="AV67" t="e">
        <f>AND('BBP complete'!L892,"AAAAAHf7ty8=")</f>
        <v>#VALUE!</v>
      </c>
      <c r="AW67" t="e">
        <f>AND('BBP complete'!#REF!,"AAAAAHf7tzA=")</f>
        <v>#REF!</v>
      </c>
      <c r="AX67" t="e">
        <f>AND('BBP complete'!#REF!,"AAAAAHf7tzE=")</f>
        <v>#REF!</v>
      </c>
      <c r="AY67" t="e">
        <f>AND('BBP complete'!#REF!,"AAAAAHf7tzI=")</f>
        <v>#REF!</v>
      </c>
      <c r="AZ67" t="e">
        <f>AND('BBP complete'!D893,"AAAAAHf7tzM=")</f>
        <v>#VALUE!</v>
      </c>
      <c r="BA67" t="e">
        <f>AND('BBP complete'!F893,"AAAAAHf7tzQ=")</f>
        <v>#VALUE!</v>
      </c>
      <c r="BB67" t="e">
        <f>AND('BBP complete'!G893,"AAAAAHf7tzU=")</f>
        <v>#VALUE!</v>
      </c>
      <c r="BC67" t="e">
        <f>AND('BBP complete'!H893,"AAAAAHf7tzY=")</f>
        <v>#VALUE!</v>
      </c>
      <c r="BD67" t="e">
        <f>AND('BBP complete'!I893,"AAAAAHf7tzc=")</f>
        <v>#VALUE!</v>
      </c>
      <c r="BE67" s="60" t="e">
        <v>#VALUE!</v>
      </c>
      <c r="BF67" t="e">
        <f>AND('BBP complete'!A893,"AAAAAHf7tzk=")</f>
        <v>#VALUE!</v>
      </c>
      <c r="BG67" t="e">
        <f>AND('BBP complete'!#REF!,"AAAAAHf7tzo=")</f>
        <v>#REF!</v>
      </c>
      <c r="BH67" t="e">
        <f>AND('BBP complete'!#REF!,"AAAAAHf7tzs=")</f>
        <v>#REF!</v>
      </c>
      <c r="BI67" t="e">
        <f>AND('BBP complete'!#REF!,"AAAAAHf7tzw=")</f>
        <v>#REF!</v>
      </c>
      <c r="BJ67" t="e">
        <f>AND('BBP complete'!#REF!,"AAAAAHf7tz0=")</f>
        <v>#REF!</v>
      </c>
      <c r="BK67" t="e">
        <f>AND('BBP complete'!#REF!,"AAAAAHf7tz4=")</f>
        <v>#REF!</v>
      </c>
      <c r="BL67" t="e">
        <f>AND('BBP complete'!E893,"AAAAAHf7tz8=")</f>
        <v>#VALUE!</v>
      </c>
      <c r="BM67" t="e">
        <f>AND('BBP complete'!#REF!,"AAAAAHf7t0A=")</f>
        <v>#REF!</v>
      </c>
      <c r="BN67" t="e">
        <f>AND('BBP complete'!K893,"AAAAAHf7t0E=")</f>
        <v>#VALUE!</v>
      </c>
      <c r="BO67" t="e">
        <f>AND('BBP complete'!L893,"AAAAAHf7t0I=")</f>
        <v>#VALUE!</v>
      </c>
      <c r="BP67" t="e">
        <f>AND('BBP complete'!#REF!,"AAAAAHf7t0M=")</f>
        <v>#REF!</v>
      </c>
      <c r="BQ67" t="e">
        <f>AND('BBP complete'!#REF!,"AAAAAHf7t0Q=")</f>
        <v>#REF!</v>
      </c>
      <c r="BR67" t="e">
        <f>AND('BBP complete'!#REF!,"AAAAAHf7t0U=")</f>
        <v>#REF!</v>
      </c>
      <c r="BS67" t="e">
        <f>AND('BBP complete'!D894,"AAAAAHf7t0Y=")</f>
        <v>#VALUE!</v>
      </c>
      <c r="BT67" t="e">
        <f>AND('BBP complete'!F894,"AAAAAHf7t0c=")</f>
        <v>#VALUE!</v>
      </c>
      <c r="BU67" t="e">
        <f>AND('BBP complete'!G894,"AAAAAHf7t0g=")</f>
        <v>#VALUE!</v>
      </c>
      <c r="BV67" t="e">
        <f>AND('BBP complete'!H894,"AAAAAHf7t0k=")</f>
        <v>#VALUE!</v>
      </c>
      <c r="BW67" t="e">
        <f>AND('BBP complete'!I894,"AAAAAHf7t0o=")</f>
        <v>#VALUE!</v>
      </c>
      <c r="BX67" s="60" t="e">
        <v>#VALUE!</v>
      </c>
      <c r="BY67" t="e">
        <f>AND('BBP complete'!A894,"AAAAAHf7t0w=")</f>
        <v>#VALUE!</v>
      </c>
      <c r="BZ67" t="e">
        <f>AND('BBP complete'!#REF!,"AAAAAHf7t00=")</f>
        <v>#REF!</v>
      </c>
      <c r="CA67" t="e">
        <f>AND('BBP complete'!#REF!,"AAAAAHf7t04=")</f>
        <v>#REF!</v>
      </c>
      <c r="CB67" t="e">
        <f>AND('BBP complete'!#REF!,"AAAAAHf7t08=")</f>
        <v>#REF!</v>
      </c>
      <c r="CC67" t="e">
        <f>AND('BBP complete'!#REF!,"AAAAAHf7t1A=")</f>
        <v>#REF!</v>
      </c>
      <c r="CD67" t="e">
        <f>AND('BBP complete'!#REF!,"AAAAAHf7t1E=")</f>
        <v>#REF!</v>
      </c>
      <c r="CE67" t="e">
        <f>AND('BBP complete'!E894,"AAAAAHf7t1I=")</f>
        <v>#VALUE!</v>
      </c>
      <c r="CF67" t="e">
        <f>AND('BBP complete'!#REF!,"AAAAAHf7t1M=")</f>
        <v>#REF!</v>
      </c>
      <c r="CG67" t="e">
        <f>AND('BBP complete'!K894,"AAAAAHf7t1Q=")</f>
        <v>#VALUE!</v>
      </c>
      <c r="CH67" t="e">
        <f>AND('BBP complete'!L894,"AAAAAHf7t1U=")</f>
        <v>#VALUE!</v>
      </c>
      <c r="CI67" t="e">
        <f>AND('BBP complete'!#REF!,"AAAAAHf7t1Y=")</f>
        <v>#REF!</v>
      </c>
      <c r="CJ67" t="e">
        <f>AND('BBP complete'!#REF!,"AAAAAHf7t1c=")</f>
        <v>#REF!</v>
      </c>
      <c r="CK67" t="e">
        <f>AND('BBP complete'!#REF!,"AAAAAHf7t1g=")</f>
        <v>#REF!</v>
      </c>
      <c r="CL67" t="e">
        <f>AND('BBP complete'!D895,"AAAAAHf7t1k=")</f>
        <v>#VALUE!</v>
      </c>
      <c r="CM67" t="e">
        <f>AND('BBP complete'!F895,"AAAAAHf7t1o=")</f>
        <v>#VALUE!</v>
      </c>
      <c r="CN67" t="e">
        <f>AND('BBP complete'!G895,"AAAAAHf7t1s=")</f>
        <v>#VALUE!</v>
      </c>
      <c r="CO67" t="e">
        <f>AND('BBP complete'!H895,"AAAAAHf7t1w=")</f>
        <v>#VALUE!</v>
      </c>
      <c r="CP67" t="e">
        <f>AND('BBP complete'!I895,"AAAAAHf7t10=")</f>
        <v>#VALUE!</v>
      </c>
      <c r="CQ67" s="60" t="e">
        <v>#VALUE!</v>
      </c>
      <c r="CR67" t="e">
        <f>AND('BBP complete'!A895,"AAAAAHf7t18=")</f>
        <v>#VALUE!</v>
      </c>
      <c r="CS67" t="e">
        <f>AND('BBP complete'!#REF!,"AAAAAHf7t2A=")</f>
        <v>#REF!</v>
      </c>
      <c r="CT67" t="e">
        <f>AND('BBP complete'!#REF!,"AAAAAHf7t2E=")</f>
        <v>#REF!</v>
      </c>
      <c r="CU67" t="e">
        <f>AND('BBP complete'!#REF!,"AAAAAHf7t2I=")</f>
        <v>#REF!</v>
      </c>
      <c r="CV67" t="e">
        <f>AND('BBP complete'!#REF!,"AAAAAHf7t2M=")</f>
        <v>#REF!</v>
      </c>
      <c r="CW67" t="e">
        <f>AND('BBP complete'!#REF!,"AAAAAHf7t2Q=")</f>
        <v>#REF!</v>
      </c>
      <c r="CX67" t="e">
        <f>AND('BBP complete'!E895,"AAAAAHf7t2U=")</f>
        <v>#VALUE!</v>
      </c>
      <c r="CY67" t="e">
        <f>AND('BBP complete'!#REF!,"AAAAAHf7t2Y=")</f>
        <v>#REF!</v>
      </c>
      <c r="CZ67" t="e">
        <f>AND('BBP complete'!K895,"AAAAAHf7t2c=")</f>
        <v>#VALUE!</v>
      </c>
      <c r="DA67" t="e">
        <f>AND('BBP complete'!L895,"AAAAAHf7t2g=")</f>
        <v>#VALUE!</v>
      </c>
      <c r="DB67" t="e">
        <f>AND('BBP complete'!#REF!,"AAAAAHf7t2k=")</f>
        <v>#REF!</v>
      </c>
      <c r="DC67" t="e">
        <f>AND('BBP complete'!#REF!,"AAAAAHf7t2o=")</f>
        <v>#REF!</v>
      </c>
      <c r="DD67" t="e">
        <f>AND('BBP complete'!#REF!,"AAAAAHf7t2s=")</f>
        <v>#REF!</v>
      </c>
      <c r="DE67" t="e">
        <f>AND('BBP complete'!D896,"AAAAAHf7t2w=")</f>
        <v>#VALUE!</v>
      </c>
      <c r="DF67" t="e">
        <f>AND('BBP complete'!F896,"AAAAAHf7t20=")</f>
        <v>#VALUE!</v>
      </c>
      <c r="DG67" t="e">
        <f>AND('BBP complete'!G896,"AAAAAHf7t24=")</f>
        <v>#VALUE!</v>
      </c>
      <c r="DH67" t="e">
        <f>AND('BBP complete'!H896,"AAAAAHf7t28=")</f>
        <v>#VALUE!</v>
      </c>
      <c r="DI67" t="e">
        <f>AND('BBP complete'!I896,"AAAAAHf7t3A=")</f>
        <v>#VALUE!</v>
      </c>
      <c r="DJ67" s="60" t="e">
        <v>#VALUE!</v>
      </c>
      <c r="DK67" t="e">
        <f>AND('BBP complete'!A896,"AAAAAHf7t3I=")</f>
        <v>#VALUE!</v>
      </c>
      <c r="DL67" t="e">
        <f>AND('BBP complete'!#REF!,"AAAAAHf7t3M=")</f>
        <v>#REF!</v>
      </c>
      <c r="DM67" t="e">
        <f>AND('BBP complete'!#REF!,"AAAAAHf7t3Q=")</f>
        <v>#REF!</v>
      </c>
      <c r="DN67" t="e">
        <f>AND('BBP complete'!#REF!,"AAAAAHf7t3U=")</f>
        <v>#REF!</v>
      </c>
      <c r="DO67" t="e">
        <f>AND('BBP complete'!#REF!,"AAAAAHf7t3Y=")</f>
        <v>#REF!</v>
      </c>
      <c r="DP67" t="e">
        <f>AND('BBP complete'!#REF!,"AAAAAHf7t3c=")</f>
        <v>#REF!</v>
      </c>
      <c r="DQ67" t="e">
        <f>AND('BBP complete'!E896,"AAAAAHf7t3g=")</f>
        <v>#VALUE!</v>
      </c>
      <c r="DR67" t="e">
        <f>AND('BBP complete'!#REF!,"AAAAAHf7t3k=")</f>
        <v>#REF!</v>
      </c>
      <c r="DS67" t="e">
        <f>AND('BBP complete'!K896,"AAAAAHf7t3o=")</f>
        <v>#VALUE!</v>
      </c>
      <c r="DT67" t="e">
        <f>AND('BBP complete'!L896,"AAAAAHf7t3s=")</f>
        <v>#VALUE!</v>
      </c>
      <c r="DU67" t="e">
        <f>AND('BBP complete'!#REF!,"AAAAAHf7t3w=")</f>
        <v>#REF!</v>
      </c>
      <c r="DV67" t="e">
        <f>AND('BBP complete'!#REF!,"AAAAAHf7t30=")</f>
        <v>#REF!</v>
      </c>
      <c r="DW67" t="e">
        <f>AND('BBP complete'!#REF!,"AAAAAHf7t34=")</f>
        <v>#REF!</v>
      </c>
      <c r="DX67" t="e">
        <f>AND('BBP complete'!D897,"AAAAAHf7t38=")</f>
        <v>#VALUE!</v>
      </c>
      <c r="DY67" t="e">
        <f>AND('BBP complete'!F897,"AAAAAHf7t4A=")</f>
        <v>#VALUE!</v>
      </c>
      <c r="DZ67" t="e">
        <f>AND('BBP complete'!G897,"AAAAAHf7t4E=")</f>
        <v>#VALUE!</v>
      </c>
      <c r="EA67" t="e">
        <f>AND('BBP complete'!H897,"AAAAAHf7t4I=")</f>
        <v>#VALUE!</v>
      </c>
      <c r="EB67" t="e">
        <f>AND('BBP complete'!I897,"AAAAAHf7t4M=")</f>
        <v>#VALUE!</v>
      </c>
      <c r="EC67" s="60" t="e">
        <v>#VALUE!</v>
      </c>
      <c r="ED67" t="e">
        <f>AND('BBP complete'!A897,"AAAAAHf7t4U=")</f>
        <v>#VALUE!</v>
      </c>
      <c r="EE67" t="e">
        <f>AND('BBP complete'!#REF!,"AAAAAHf7t4Y=")</f>
        <v>#REF!</v>
      </c>
      <c r="EF67" t="e">
        <f>AND('BBP complete'!#REF!,"AAAAAHf7t4c=")</f>
        <v>#REF!</v>
      </c>
      <c r="EG67" t="e">
        <f>AND('BBP complete'!#REF!,"AAAAAHf7t4g=")</f>
        <v>#REF!</v>
      </c>
      <c r="EH67" t="e">
        <f>AND('BBP complete'!#REF!,"AAAAAHf7t4k=")</f>
        <v>#REF!</v>
      </c>
      <c r="EI67" t="e">
        <f>AND('BBP complete'!#REF!,"AAAAAHf7t4o=")</f>
        <v>#REF!</v>
      </c>
      <c r="EJ67" t="e">
        <f>AND('BBP complete'!E897,"AAAAAHf7t4s=")</f>
        <v>#VALUE!</v>
      </c>
      <c r="EK67" t="e">
        <f>AND('BBP complete'!#REF!,"AAAAAHf7t4w=")</f>
        <v>#REF!</v>
      </c>
      <c r="EL67" t="e">
        <f>AND('BBP complete'!K897,"AAAAAHf7t40=")</f>
        <v>#VALUE!</v>
      </c>
      <c r="EM67" t="e">
        <f>AND('BBP complete'!L897,"AAAAAHf7t44=")</f>
        <v>#VALUE!</v>
      </c>
      <c r="EN67" t="e">
        <f>AND('BBP complete'!#REF!,"AAAAAHf7t48=")</f>
        <v>#REF!</v>
      </c>
      <c r="EO67" t="e">
        <f>AND('BBP complete'!#REF!,"AAAAAHf7t5A=")</f>
        <v>#REF!</v>
      </c>
      <c r="EP67" t="e">
        <f>AND('BBP complete'!#REF!,"AAAAAHf7t5E=")</f>
        <v>#REF!</v>
      </c>
      <c r="EQ67" t="e">
        <f>AND('BBP complete'!D898,"AAAAAHf7t5I=")</f>
        <v>#VALUE!</v>
      </c>
      <c r="ER67" t="e">
        <f>AND('BBP complete'!F898,"AAAAAHf7t5M=")</f>
        <v>#VALUE!</v>
      </c>
      <c r="ES67" t="e">
        <f>AND('BBP complete'!G898,"AAAAAHf7t5Q=")</f>
        <v>#VALUE!</v>
      </c>
      <c r="ET67" t="e">
        <f>AND('BBP complete'!H898,"AAAAAHf7t5U=")</f>
        <v>#VALUE!</v>
      </c>
      <c r="EU67" t="e">
        <f>AND('BBP complete'!I898,"AAAAAHf7t5Y=")</f>
        <v>#VALUE!</v>
      </c>
      <c r="EV67" s="60" t="e">
        <v>#VALUE!</v>
      </c>
      <c r="EW67" t="e">
        <f>AND('BBP complete'!A898,"AAAAAHf7t5g=")</f>
        <v>#VALUE!</v>
      </c>
      <c r="EX67" t="e">
        <f>AND('BBP complete'!#REF!,"AAAAAHf7t5k=")</f>
        <v>#REF!</v>
      </c>
      <c r="EY67" t="e">
        <f>AND('BBP complete'!#REF!,"AAAAAHf7t5o=")</f>
        <v>#REF!</v>
      </c>
      <c r="EZ67" t="e">
        <f>AND('BBP complete'!#REF!,"AAAAAHf7t5s=")</f>
        <v>#REF!</v>
      </c>
      <c r="FA67" t="e">
        <f>AND('BBP complete'!#REF!,"AAAAAHf7t5w=")</f>
        <v>#REF!</v>
      </c>
      <c r="FB67" t="e">
        <f>AND('BBP complete'!#REF!,"AAAAAHf7t50=")</f>
        <v>#REF!</v>
      </c>
      <c r="FC67" t="e">
        <f>AND('BBP complete'!E898,"AAAAAHf7t54=")</f>
        <v>#VALUE!</v>
      </c>
      <c r="FD67" t="e">
        <f>AND('BBP complete'!#REF!,"AAAAAHf7t58=")</f>
        <v>#REF!</v>
      </c>
      <c r="FE67" t="e">
        <f>AND('BBP complete'!K898,"AAAAAHf7t6A=")</f>
        <v>#VALUE!</v>
      </c>
      <c r="FF67" t="e">
        <f>AND('BBP complete'!L898,"AAAAAHf7t6E=")</f>
        <v>#VALUE!</v>
      </c>
      <c r="FG67" t="e">
        <f>AND('BBP complete'!#REF!,"AAAAAHf7t6I=")</f>
        <v>#REF!</v>
      </c>
      <c r="FH67" t="e">
        <f>AND('BBP complete'!#REF!,"AAAAAHf7t6M=")</f>
        <v>#REF!</v>
      </c>
      <c r="FI67" t="e">
        <f>AND('BBP complete'!#REF!,"AAAAAHf7t6Q=")</f>
        <v>#REF!</v>
      </c>
      <c r="FJ67" t="e">
        <f>AND('BBP complete'!D899,"AAAAAHf7t6U=")</f>
        <v>#VALUE!</v>
      </c>
      <c r="FK67" t="e">
        <f>AND('BBP complete'!F899,"AAAAAHf7t6Y=")</f>
        <v>#VALUE!</v>
      </c>
      <c r="FL67" t="e">
        <f>AND('BBP complete'!G899,"AAAAAHf7t6c=")</f>
        <v>#VALUE!</v>
      </c>
      <c r="FM67" t="e">
        <f>AND('BBP complete'!H899,"AAAAAHf7t6g=")</f>
        <v>#VALUE!</v>
      </c>
      <c r="FN67" t="e">
        <f>AND('BBP complete'!I899,"AAAAAHf7t6k=")</f>
        <v>#VALUE!</v>
      </c>
      <c r="FO67" s="60" t="e">
        <v>#VALUE!</v>
      </c>
      <c r="FP67" t="e">
        <f>AND('BBP complete'!A899,"AAAAAHf7t6s=")</f>
        <v>#VALUE!</v>
      </c>
      <c r="FQ67" t="e">
        <f>AND('BBP complete'!#REF!,"AAAAAHf7t6w=")</f>
        <v>#REF!</v>
      </c>
      <c r="FR67" t="e">
        <f>AND('BBP complete'!#REF!,"AAAAAHf7t60=")</f>
        <v>#REF!</v>
      </c>
      <c r="FS67" t="e">
        <f>AND('BBP complete'!#REF!,"AAAAAHf7t64=")</f>
        <v>#REF!</v>
      </c>
      <c r="FT67" t="e">
        <f>AND('BBP complete'!#REF!,"AAAAAHf7t68=")</f>
        <v>#REF!</v>
      </c>
      <c r="FU67" t="e">
        <f>AND('BBP complete'!#REF!,"AAAAAHf7t7A=")</f>
        <v>#REF!</v>
      </c>
      <c r="FV67" t="e">
        <f>AND('BBP complete'!E899,"AAAAAHf7t7E=")</f>
        <v>#VALUE!</v>
      </c>
      <c r="FW67" t="e">
        <f>AND('BBP complete'!#REF!,"AAAAAHf7t7I=")</f>
        <v>#REF!</v>
      </c>
      <c r="FX67" t="e">
        <f>AND('BBP complete'!K899,"AAAAAHf7t7M=")</f>
        <v>#VALUE!</v>
      </c>
      <c r="FY67" t="e">
        <f>AND('BBP complete'!L899,"AAAAAHf7t7Q=")</f>
        <v>#VALUE!</v>
      </c>
      <c r="FZ67" t="e">
        <f>AND('BBP complete'!#REF!,"AAAAAHf7t7U=")</f>
        <v>#REF!</v>
      </c>
      <c r="GA67" t="e">
        <f>AND('BBP complete'!#REF!,"AAAAAHf7t7Y=")</f>
        <v>#REF!</v>
      </c>
      <c r="GB67" t="e">
        <f>AND('BBP complete'!#REF!,"AAAAAHf7t7c=")</f>
        <v>#REF!</v>
      </c>
      <c r="GC67" t="e">
        <f>AND('BBP complete'!D900,"AAAAAHf7t7g=")</f>
        <v>#VALUE!</v>
      </c>
      <c r="GD67" t="e">
        <f>AND('BBP complete'!F900,"AAAAAHf7t7k=")</f>
        <v>#VALUE!</v>
      </c>
      <c r="GE67" t="e">
        <f>AND('BBP complete'!G900,"AAAAAHf7t7o=")</f>
        <v>#VALUE!</v>
      </c>
      <c r="GF67" t="e">
        <f>AND('BBP complete'!H900,"AAAAAHf7t7s=")</f>
        <v>#VALUE!</v>
      </c>
      <c r="GG67" t="e">
        <f>AND('BBP complete'!I900,"AAAAAHf7t7w=")</f>
        <v>#VALUE!</v>
      </c>
      <c r="GH67" s="60" t="e">
        <v>#VALUE!</v>
      </c>
      <c r="GI67" t="e">
        <f>AND('BBP complete'!A900,"AAAAAHf7t74=")</f>
        <v>#VALUE!</v>
      </c>
      <c r="GJ67" t="e">
        <f>AND('BBP complete'!B900,"AAAAAHf7t78=")</f>
        <v>#VALUE!</v>
      </c>
      <c r="GK67" t="e">
        <f>AND('BBP complete'!C900,"AAAAAHf7t8A=")</f>
        <v>#VALUE!</v>
      </c>
      <c r="GL67" t="e">
        <f>AND('BBP complete'!#REF!,"AAAAAHf7t8E=")</f>
        <v>#REF!</v>
      </c>
      <c r="GM67" t="e">
        <f>AND('BBP complete'!#REF!,"AAAAAHf7t8I=")</f>
        <v>#REF!</v>
      </c>
      <c r="GN67" t="e">
        <f>AND('BBP complete'!#REF!,"AAAAAHf7t8M=")</f>
        <v>#REF!</v>
      </c>
      <c r="GO67" t="e">
        <f>AND('BBP complete'!E900,"AAAAAHf7t8Q=")</f>
        <v>#VALUE!</v>
      </c>
      <c r="GP67" t="e">
        <f>AND('BBP complete'!#REF!,"AAAAAHf7t8U=")</f>
        <v>#REF!</v>
      </c>
      <c r="GQ67" t="e">
        <f>AND('BBP complete'!K900,"AAAAAHf7t8Y=")</f>
        <v>#VALUE!</v>
      </c>
      <c r="GR67" t="e">
        <f>AND('BBP complete'!L900,"AAAAAHf7t8c=")</f>
        <v>#VALUE!</v>
      </c>
      <c r="GS67" t="e">
        <f>AND('BBP complete'!#REF!,"AAAAAHf7t8g=")</f>
        <v>#REF!</v>
      </c>
      <c r="GT67" t="e">
        <f>AND('BBP complete'!#REF!,"AAAAAHf7t8k=")</f>
        <v>#REF!</v>
      </c>
      <c r="GU67" t="e">
        <f>AND('BBP complete'!#REF!,"AAAAAHf7t8o=")</f>
        <v>#REF!</v>
      </c>
      <c r="GV67" t="e">
        <f>AND('BBP complete'!D901,"AAAAAHf7t8s=")</f>
        <v>#VALUE!</v>
      </c>
      <c r="GW67" t="e">
        <f>AND('BBP complete'!F901,"AAAAAHf7t8w=")</f>
        <v>#VALUE!</v>
      </c>
      <c r="GX67" t="e">
        <f>AND('BBP complete'!G901,"AAAAAHf7t80=")</f>
        <v>#VALUE!</v>
      </c>
      <c r="GY67" t="e">
        <f>AND('BBP complete'!H901,"AAAAAHf7t84=")</f>
        <v>#VALUE!</v>
      </c>
      <c r="GZ67" t="e">
        <f>AND('BBP complete'!I901,"AAAAAHf7t88=")</f>
        <v>#VALUE!</v>
      </c>
      <c r="HA67" s="60" t="e">
        <v>#VALUE!</v>
      </c>
      <c r="HB67" t="e">
        <f>AND('BBP complete'!A901,"AAAAAHf7t9E=")</f>
        <v>#VALUE!</v>
      </c>
      <c r="HC67" t="e">
        <f>AND('BBP complete'!B901,"AAAAAHf7t9I=")</f>
        <v>#VALUE!</v>
      </c>
      <c r="HD67" t="e">
        <f>AND('BBP complete'!C901,"AAAAAHf7t9M=")</f>
        <v>#VALUE!</v>
      </c>
      <c r="HE67" t="e">
        <f>AND('BBP complete'!#REF!,"AAAAAHf7t9Q=")</f>
        <v>#REF!</v>
      </c>
      <c r="HF67" t="e">
        <f>AND('BBP complete'!#REF!,"AAAAAHf7t9U=")</f>
        <v>#REF!</v>
      </c>
      <c r="HG67" t="e">
        <f>AND('BBP complete'!#REF!,"AAAAAHf7t9Y=")</f>
        <v>#REF!</v>
      </c>
      <c r="HH67" t="e">
        <f>AND('BBP complete'!E901,"AAAAAHf7t9c=")</f>
        <v>#VALUE!</v>
      </c>
      <c r="HI67" t="e">
        <f>AND('BBP complete'!#REF!,"AAAAAHf7t9g=")</f>
        <v>#REF!</v>
      </c>
      <c r="HJ67" t="e">
        <f>AND('BBP complete'!K901,"AAAAAHf7t9k=")</f>
        <v>#VALUE!</v>
      </c>
      <c r="HK67" t="e">
        <f>AND('BBP complete'!L901,"AAAAAHf7t9o=")</f>
        <v>#VALUE!</v>
      </c>
      <c r="HL67" t="e">
        <f>AND('BBP complete'!#REF!,"AAAAAHf7t9s=")</f>
        <v>#REF!</v>
      </c>
      <c r="HM67" t="e">
        <f>AND('BBP complete'!#REF!,"AAAAAHf7t9w=")</f>
        <v>#REF!</v>
      </c>
      <c r="HN67" t="e">
        <f>AND('BBP complete'!#REF!,"AAAAAHf7t90=")</f>
        <v>#REF!</v>
      </c>
      <c r="HO67" t="e">
        <f>AND('BBP complete'!D902,"AAAAAHf7t94=")</f>
        <v>#VALUE!</v>
      </c>
      <c r="HP67" t="e">
        <f>AND('BBP complete'!F902,"AAAAAHf7t98=")</f>
        <v>#VALUE!</v>
      </c>
      <c r="HQ67" t="e">
        <f>AND('BBP complete'!G902,"AAAAAHf7t+A=")</f>
        <v>#VALUE!</v>
      </c>
      <c r="HR67" t="e">
        <f>AND('BBP complete'!H902,"AAAAAHf7t+E=")</f>
        <v>#VALUE!</v>
      </c>
      <c r="HS67" t="e">
        <f>AND('BBP complete'!I902,"AAAAAHf7t+I=")</f>
        <v>#VALUE!</v>
      </c>
      <c r="HT67" s="60" t="e">
        <v>#VALUE!</v>
      </c>
      <c r="HU67" t="e">
        <f>AND('BBP complete'!A902,"AAAAAHf7t+Q=")</f>
        <v>#VALUE!</v>
      </c>
      <c r="HV67" t="e">
        <f>AND('BBP complete'!#REF!,"AAAAAHf7t+U=")</f>
        <v>#REF!</v>
      </c>
      <c r="HW67" t="e">
        <f>AND('BBP complete'!#REF!,"AAAAAHf7t+Y=")</f>
        <v>#REF!</v>
      </c>
      <c r="HX67" t="e">
        <f>AND('BBP complete'!#REF!,"AAAAAHf7t+c=")</f>
        <v>#REF!</v>
      </c>
      <c r="HY67" t="e">
        <f>AND('BBP complete'!#REF!,"AAAAAHf7t+g=")</f>
        <v>#REF!</v>
      </c>
      <c r="HZ67" t="e">
        <f>AND('BBP complete'!#REF!,"AAAAAHf7t+k=")</f>
        <v>#REF!</v>
      </c>
      <c r="IA67" t="e">
        <f>AND('BBP complete'!E902,"AAAAAHf7t+o=")</f>
        <v>#VALUE!</v>
      </c>
      <c r="IB67" t="e">
        <f>AND('BBP complete'!#REF!,"AAAAAHf7t+s=")</f>
        <v>#REF!</v>
      </c>
      <c r="IC67" t="e">
        <f>AND('BBP complete'!K902,"AAAAAHf7t+w=")</f>
        <v>#VALUE!</v>
      </c>
      <c r="ID67" t="e">
        <f>AND('BBP complete'!L902,"AAAAAHf7t+0=")</f>
        <v>#VALUE!</v>
      </c>
      <c r="IE67" t="e">
        <f>AND('BBP complete'!#REF!,"AAAAAHf7t+4=")</f>
        <v>#REF!</v>
      </c>
      <c r="IF67" t="e">
        <f>AND('BBP complete'!#REF!,"AAAAAHf7t+8=")</f>
        <v>#REF!</v>
      </c>
      <c r="IG67" t="e">
        <f>AND('BBP complete'!#REF!,"AAAAAHf7t/A=")</f>
        <v>#REF!</v>
      </c>
      <c r="IH67" t="e">
        <f>AND('BBP complete'!D903,"AAAAAHf7t/E=")</f>
        <v>#VALUE!</v>
      </c>
      <c r="II67" t="e">
        <f>AND('BBP complete'!F903,"AAAAAHf7t/I=")</f>
        <v>#VALUE!</v>
      </c>
      <c r="IJ67" t="e">
        <f>AND('BBP complete'!G903,"AAAAAHf7t/M=")</f>
        <v>#VALUE!</v>
      </c>
      <c r="IK67" t="e">
        <f>AND('BBP complete'!H903,"AAAAAHf7t/Q=")</f>
        <v>#VALUE!</v>
      </c>
      <c r="IL67" t="e">
        <f>AND('BBP complete'!I903,"AAAAAHf7t/U=")</f>
        <v>#VALUE!</v>
      </c>
      <c r="IM67" s="60" t="e">
        <v>#VALUE!</v>
      </c>
      <c r="IN67" t="e">
        <f>AND('BBP complete'!A903,"AAAAAHf7t/c=")</f>
        <v>#VALUE!</v>
      </c>
      <c r="IO67" t="e">
        <f>AND('BBP complete'!#REF!,"AAAAAHf7t/g=")</f>
        <v>#REF!</v>
      </c>
      <c r="IP67" t="e">
        <f>AND('BBP complete'!#REF!,"AAAAAHf7t/k=")</f>
        <v>#REF!</v>
      </c>
      <c r="IQ67" t="e">
        <f>AND('BBP complete'!#REF!,"AAAAAHf7t/o=")</f>
        <v>#REF!</v>
      </c>
      <c r="IR67" t="e">
        <f>AND('BBP complete'!#REF!,"AAAAAHf7t/s=")</f>
        <v>#REF!</v>
      </c>
      <c r="IS67" t="e">
        <f>AND('BBP complete'!#REF!,"AAAAAHf7t/w=")</f>
        <v>#REF!</v>
      </c>
      <c r="IT67" t="e">
        <f>AND('BBP complete'!E903,"AAAAAHf7t/0=")</f>
        <v>#VALUE!</v>
      </c>
      <c r="IU67" t="e">
        <f>AND('BBP complete'!#REF!,"AAAAAHf7t/4=")</f>
        <v>#REF!</v>
      </c>
      <c r="IV67" t="e">
        <f>AND('BBP complete'!K903,"AAAAAHf7t/8=")</f>
        <v>#VALUE!</v>
      </c>
    </row>
    <row r="68" spans="1:256" ht="15" customHeight="1" x14ac:dyDescent="0.25">
      <c r="A68" t="e">
        <f>AND('BBP complete'!L903,"AAAAADu/9QA=")</f>
        <v>#VALUE!</v>
      </c>
      <c r="B68" t="e">
        <f>AND('BBP complete'!#REF!,"AAAAADu/9QE=")</f>
        <v>#REF!</v>
      </c>
      <c r="C68" t="e">
        <f>AND('BBP complete'!#REF!,"AAAAADu/9QI=")</f>
        <v>#REF!</v>
      </c>
      <c r="D68" t="e">
        <f>AND('BBP complete'!#REF!,"AAAAADu/9QM=")</f>
        <v>#REF!</v>
      </c>
      <c r="E68" t="e">
        <f>AND('BBP complete'!D904,"AAAAADu/9QQ=")</f>
        <v>#VALUE!</v>
      </c>
      <c r="F68" t="e">
        <f>AND('BBP complete'!F904,"AAAAADu/9QU=")</f>
        <v>#VALUE!</v>
      </c>
      <c r="G68" t="e">
        <f>AND('BBP complete'!G904,"AAAAADu/9QY=")</f>
        <v>#VALUE!</v>
      </c>
      <c r="H68" t="e">
        <f>AND('BBP complete'!H904,"AAAAADu/9Qc=")</f>
        <v>#VALUE!</v>
      </c>
      <c r="I68" t="e">
        <f>AND('BBP complete'!I904,"AAAAADu/9Qg=")</f>
        <v>#VALUE!</v>
      </c>
      <c r="J68" s="60" t="e">
        <v>#VALUE!</v>
      </c>
      <c r="K68" t="e">
        <f>AND('BBP complete'!A904,"AAAAADu/9Qo=")</f>
        <v>#VALUE!</v>
      </c>
      <c r="L68" t="e">
        <f>AND('BBP complete'!#REF!,"AAAAADu/9Qs=")</f>
        <v>#REF!</v>
      </c>
      <c r="M68" t="e">
        <f>AND('BBP complete'!#REF!,"AAAAADu/9Qw=")</f>
        <v>#REF!</v>
      </c>
      <c r="N68" t="e">
        <f>AND('BBP complete'!#REF!,"AAAAADu/9Q0=")</f>
        <v>#REF!</v>
      </c>
      <c r="O68" t="e">
        <f>AND('BBP complete'!#REF!,"AAAAADu/9Q4=")</f>
        <v>#REF!</v>
      </c>
      <c r="P68" t="e">
        <f>AND('BBP complete'!#REF!,"AAAAADu/9Q8=")</f>
        <v>#REF!</v>
      </c>
      <c r="Q68" t="e">
        <f>AND('BBP complete'!E904,"AAAAADu/9RA=")</f>
        <v>#VALUE!</v>
      </c>
      <c r="R68" t="e">
        <f>AND('BBP complete'!#REF!,"AAAAADu/9RE=")</f>
        <v>#REF!</v>
      </c>
      <c r="S68" t="e">
        <f>AND('BBP complete'!K904,"AAAAADu/9RI=")</f>
        <v>#VALUE!</v>
      </c>
      <c r="T68" t="e">
        <f>AND('BBP complete'!L904,"AAAAADu/9RM=")</f>
        <v>#VALUE!</v>
      </c>
      <c r="U68" t="e">
        <f>AND('BBP complete'!#REF!,"AAAAADu/9RQ=")</f>
        <v>#REF!</v>
      </c>
      <c r="V68" t="e">
        <f>AND('BBP complete'!#REF!,"AAAAADu/9RU=")</f>
        <v>#REF!</v>
      </c>
      <c r="W68" t="e">
        <f>AND('BBP complete'!#REF!,"AAAAADu/9RY=")</f>
        <v>#REF!</v>
      </c>
      <c r="X68" t="e">
        <f>AND('BBP complete'!D905,"AAAAADu/9Rc=")</f>
        <v>#VALUE!</v>
      </c>
      <c r="Y68" t="e">
        <f>AND('BBP complete'!F905,"AAAAADu/9Rg=")</f>
        <v>#VALUE!</v>
      </c>
      <c r="Z68" t="e">
        <f>AND('BBP complete'!G905,"AAAAADu/9Rk=")</f>
        <v>#VALUE!</v>
      </c>
      <c r="AA68" t="e">
        <f>AND('BBP complete'!H905,"AAAAADu/9Ro=")</f>
        <v>#VALUE!</v>
      </c>
      <c r="AB68" t="e">
        <f>AND('BBP complete'!I905,"AAAAADu/9Rs=")</f>
        <v>#VALUE!</v>
      </c>
      <c r="AC68" s="60" t="e">
        <v>#VALUE!</v>
      </c>
      <c r="AD68" t="e">
        <f>AND('BBP complete'!A905,"AAAAADu/9R0=")</f>
        <v>#VALUE!</v>
      </c>
      <c r="AE68" t="e">
        <f>AND('BBP complete'!#REF!,"AAAAADu/9R4=")</f>
        <v>#REF!</v>
      </c>
      <c r="AF68" t="e">
        <f>AND('BBP complete'!#REF!,"AAAAADu/9R8=")</f>
        <v>#REF!</v>
      </c>
      <c r="AG68" t="e">
        <f>AND('BBP complete'!#REF!,"AAAAADu/9SA=")</f>
        <v>#REF!</v>
      </c>
      <c r="AH68" t="e">
        <f>AND('BBP complete'!#REF!,"AAAAADu/9SE=")</f>
        <v>#REF!</v>
      </c>
      <c r="AI68" t="e">
        <f>AND('BBP complete'!#REF!,"AAAAADu/9SI=")</f>
        <v>#REF!</v>
      </c>
      <c r="AJ68" t="e">
        <f>AND('BBP complete'!E905,"AAAAADu/9SM=")</f>
        <v>#VALUE!</v>
      </c>
      <c r="AK68" t="e">
        <f>AND('BBP complete'!#REF!,"AAAAADu/9SQ=")</f>
        <v>#REF!</v>
      </c>
      <c r="AL68" t="e">
        <f>AND('BBP complete'!K905,"AAAAADu/9SU=")</f>
        <v>#VALUE!</v>
      </c>
      <c r="AM68" t="e">
        <f>AND('BBP complete'!L905,"AAAAADu/9SY=")</f>
        <v>#VALUE!</v>
      </c>
      <c r="AN68" t="e">
        <f>AND('BBP complete'!#REF!,"AAAAADu/9Sc=")</f>
        <v>#REF!</v>
      </c>
      <c r="AO68" t="e">
        <f>AND('BBP complete'!#REF!,"AAAAADu/9Sg=")</f>
        <v>#REF!</v>
      </c>
      <c r="AP68" t="e">
        <f>AND('BBP complete'!#REF!,"AAAAADu/9Sk=")</f>
        <v>#REF!</v>
      </c>
      <c r="AQ68" t="e">
        <f>AND('BBP complete'!D906,"AAAAADu/9So=")</f>
        <v>#VALUE!</v>
      </c>
      <c r="AR68" t="e">
        <f>AND('BBP complete'!F906,"AAAAADu/9Ss=")</f>
        <v>#VALUE!</v>
      </c>
      <c r="AS68" t="e">
        <f>AND('BBP complete'!G906,"AAAAADu/9Sw=")</f>
        <v>#VALUE!</v>
      </c>
      <c r="AT68" t="e">
        <f>AND('BBP complete'!H906,"AAAAADu/9S0=")</f>
        <v>#VALUE!</v>
      </c>
      <c r="AU68" t="e">
        <f>AND('BBP complete'!I906,"AAAAADu/9S4=")</f>
        <v>#VALUE!</v>
      </c>
      <c r="AV68" s="60" t="e">
        <v>#VALUE!</v>
      </c>
      <c r="AW68" t="e">
        <f>AND('BBP complete'!A906,"AAAAADu/9TA=")</f>
        <v>#VALUE!</v>
      </c>
      <c r="AX68" t="e">
        <f>AND('BBP complete'!#REF!,"AAAAADu/9TE=")</f>
        <v>#REF!</v>
      </c>
      <c r="AY68" t="e">
        <f>AND('BBP complete'!#REF!,"AAAAADu/9TI=")</f>
        <v>#REF!</v>
      </c>
      <c r="AZ68" t="e">
        <f>AND('BBP complete'!#REF!,"AAAAADu/9TM=")</f>
        <v>#REF!</v>
      </c>
      <c r="BA68" t="e">
        <f>AND('BBP complete'!#REF!,"AAAAADu/9TQ=")</f>
        <v>#REF!</v>
      </c>
      <c r="BB68" t="e">
        <f>AND('BBP complete'!#REF!,"AAAAADu/9TU=")</f>
        <v>#REF!</v>
      </c>
      <c r="BC68" t="e">
        <f>AND('BBP complete'!E906,"AAAAADu/9TY=")</f>
        <v>#VALUE!</v>
      </c>
      <c r="BD68" t="e">
        <f>AND('BBP complete'!#REF!,"AAAAADu/9Tc=")</f>
        <v>#REF!</v>
      </c>
      <c r="BE68" t="e">
        <f>AND('BBP complete'!K906,"AAAAADu/9Tg=")</f>
        <v>#VALUE!</v>
      </c>
      <c r="BF68" t="e">
        <f>AND('BBP complete'!L906,"AAAAADu/9Tk=")</f>
        <v>#VALUE!</v>
      </c>
      <c r="BG68" t="e">
        <f>AND('BBP complete'!#REF!,"AAAAADu/9To=")</f>
        <v>#REF!</v>
      </c>
      <c r="BH68" t="e">
        <f>AND('BBP complete'!#REF!,"AAAAADu/9Ts=")</f>
        <v>#REF!</v>
      </c>
      <c r="BI68" t="e">
        <f>AND('BBP complete'!#REF!,"AAAAADu/9Tw=")</f>
        <v>#REF!</v>
      </c>
      <c r="BJ68" t="e">
        <f>AND('BBP complete'!D907,"AAAAADu/9T0=")</f>
        <v>#VALUE!</v>
      </c>
      <c r="BK68" t="e">
        <f>AND('BBP complete'!F907,"AAAAADu/9T4=")</f>
        <v>#VALUE!</v>
      </c>
      <c r="BL68" t="e">
        <f>AND('BBP complete'!G907,"AAAAADu/9T8=")</f>
        <v>#VALUE!</v>
      </c>
      <c r="BM68" t="e">
        <f>AND('BBP complete'!H907,"AAAAADu/9UA=")</f>
        <v>#VALUE!</v>
      </c>
      <c r="BN68" t="e">
        <f>AND('BBP complete'!I907,"AAAAADu/9UE=")</f>
        <v>#VALUE!</v>
      </c>
      <c r="BO68" s="60" t="e">
        <v>#VALUE!</v>
      </c>
      <c r="BP68" t="e">
        <f>AND('BBP complete'!A907,"AAAAADu/9UM=")</f>
        <v>#VALUE!</v>
      </c>
      <c r="BQ68" t="e">
        <f>AND('BBP complete'!#REF!,"AAAAADu/9UQ=")</f>
        <v>#REF!</v>
      </c>
      <c r="BR68" t="e">
        <f>AND('BBP complete'!#REF!,"AAAAADu/9UU=")</f>
        <v>#REF!</v>
      </c>
      <c r="BS68" t="e">
        <f>AND('BBP complete'!#REF!,"AAAAADu/9UY=")</f>
        <v>#REF!</v>
      </c>
      <c r="BT68" t="e">
        <f>AND('BBP complete'!#REF!,"AAAAADu/9Uc=")</f>
        <v>#REF!</v>
      </c>
      <c r="BU68" t="e">
        <f>AND('BBP complete'!#REF!,"AAAAADu/9Ug=")</f>
        <v>#REF!</v>
      </c>
      <c r="BV68" t="e">
        <f>AND('BBP complete'!E907,"AAAAADu/9Uk=")</f>
        <v>#VALUE!</v>
      </c>
      <c r="BW68" t="e">
        <f>AND('BBP complete'!#REF!,"AAAAADu/9Uo=")</f>
        <v>#REF!</v>
      </c>
      <c r="BX68" t="e">
        <f>AND('BBP complete'!K907,"AAAAADu/9Us=")</f>
        <v>#VALUE!</v>
      </c>
      <c r="BY68" t="e">
        <f>AND('BBP complete'!L907,"AAAAADu/9Uw=")</f>
        <v>#VALUE!</v>
      </c>
      <c r="BZ68" t="e">
        <f>AND('BBP complete'!#REF!,"AAAAADu/9U0=")</f>
        <v>#REF!</v>
      </c>
      <c r="CA68" t="e">
        <f>AND('BBP complete'!#REF!,"AAAAADu/9U4=")</f>
        <v>#REF!</v>
      </c>
      <c r="CB68" t="e">
        <f>AND('BBP complete'!#REF!,"AAAAADu/9U8=")</f>
        <v>#REF!</v>
      </c>
      <c r="CC68" t="e">
        <f>AND('BBP complete'!D908,"AAAAADu/9VA=")</f>
        <v>#VALUE!</v>
      </c>
      <c r="CD68" t="e">
        <f>AND('BBP complete'!F908,"AAAAADu/9VE=")</f>
        <v>#VALUE!</v>
      </c>
      <c r="CE68" t="e">
        <f>AND('BBP complete'!G908,"AAAAADu/9VI=")</f>
        <v>#VALUE!</v>
      </c>
      <c r="CF68" t="e">
        <f>AND('BBP complete'!H908,"AAAAADu/9VM=")</f>
        <v>#VALUE!</v>
      </c>
      <c r="CG68" t="e">
        <f>AND('BBP complete'!I908,"AAAAADu/9VQ=")</f>
        <v>#VALUE!</v>
      </c>
      <c r="CH68" s="60" t="e">
        <v>#VALUE!</v>
      </c>
      <c r="CI68" t="e">
        <f>AND('BBP complete'!A908,"AAAAADu/9VY=")</f>
        <v>#VALUE!</v>
      </c>
      <c r="CJ68" t="e">
        <f>AND('BBP complete'!#REF!,"AAAAADu/9Vc=")</f>
        <v>#REF!</v>
      </c>
      <c r="CK68" t="e">
        <f>AND('BBP complete'!#REF!,"AAAAADu/9Vg=")</f>
        <v>#REF!</v>
      </c>
      <c r="CL68" t="e">
        <f>AND('BBP complete'!#REF!,"AAAAADu/9Vk=")</f>
        <v>#REF!</v>
      </c>
      <c r="CM68" t="e">
        <f>AND('BBP complete'!#REF!,"AAAAADu/9Vo=")</f>
        <v>#REF!</v>
      </c>
      <c r="CN68" t="e">
        <f>AND('BBP complete'!#REF!,"AAAAADu/9Vs=")</f>
        <v>#REF!</v>
      </c>
      <c r="CO68" t="e">
        <f>AND('BBP complete'!E908,"AAAAADu/9Vw=")</f>
        <v>#VALUE!</v>
      </c>
      <c r="CP68" t="e">
        <f>AND('BBP complete'!#REF!,"AAAAADu/9V0=")</f>
        <v>#REF!</v>
      </c>
      <c r="CQ68" t="e">
        <f>AND('BBP complete'!K908,"AAAAADu/9V4=")</f>
        <v>#VALUE!</v>
      </c>
      <c r="CR68" t="e">
        <f>AND('BBP complete'!L908,"AAAAADu/9V8=")</f>
        <v>#VALUE!</v>
      </c>
      <c r="CS68" t="e">
        <f>AND('BBP complete'!#REF!,"AAAAADu/9WA=")</f>
        <v>#REF!</v>
      </c>
      <c r="CT68" t="e">
        <f>AND('BBP complete'!#REF!,"AAAAADu/9WE=")</f>
        <v>#REF!</v>
      </c>
      <c r="CU68" t="e">
        <f>AND('BBP complete'!#REF!,"AAAAADu/9WI=")</f>
        <v>#REF!</v>
      </c>
      <c r="CV68" t="e">
        <f>AND('BBP complete'!D909,"AAAAADu/9WM=")</f>
        <v>#VALUE!</v>
      </c>
      <c r="CW68" t="e">
        <f>AND('BBP complete'!F909,"AAAAADu/9WQ=")</f>
        <v>#VALUE!</v>
      </c>
      <c r="CX68" t="e">
        <f>AND('BBP complete'!G909,"AAAAADu/9WU=")</f>
        <v>#VALUE!</v>
      </c>
      <c r="CY68" t="e">
        <f>AND('BBP complete'!H909,"AAAAADu/9WY=")</f>
        <v>#VALUE!</v>
      </c>
      <c r="CZ68" t="e">
        <f>AND('BBP complete'!I909,"AAAAADu/9Wc=")</f>
        <v>#VALUE!</v>
      </c>
      <c r="DA68" s="60" t="e">
        <v>#VALUE!</v>
      </c>
      <c r="DB68" t="e">
        <f>AND('BBP complete'!A909,"AAAAADu/9Wk=")</f>
        <v>#VALUE!</v>
      </c>
      <c r="DC68" t="e">
        <f>AND('BBP complete'!#REF!,"AAAAADu/9Wo=")</f>
        <v>#REF!</v>
      </c>
      <c r="DD68" t="e">
        <f>AND('BBP complete'!#REF!,"AAAAADu/9Ws=")</f>
        <v>#REF!</v>
      </c>
      <c r="DE68" t="e">
        <f>AND('BBP complete'!#REF!,"AAAAADu/9Ww=")</f>
        <v>#REF!</v>
      </c>
      <c r="DF68" t="e">
        <f>AND('BBP complete'!#REF!,"AAAAADu/9W0=")</f>
        <v>#REF!</v>
      </c>
      <c r="DG68" t="e">
        <f>AND('BBP complete'!#REF!,"AAAAADu/9W4=")</f>
        <v>#REF!</v>
      </c>
      <c r="DH68" t="e">
        <f>AND('BBP complete'!E909,"AAAAADu/9W8=")</f>
        <v>#VALUE!</v>
      </c>
      <c r="DI68" t="e">
        <f>AND('BBP complete'!#REF!,"AAAAADu/9XA=")</f>
        <v>#REF!</v>
      </c>
      <c r="DJ68" t="e">
        <f>AND('BBP complete'!K909,"AAAAADu/9XE=")</f>
        <v>#VALUE!</v>
      </c>
      <c r="DK68" t="e">
        <f>AND('BBP complete'!L909,"AAAAADu/9XI=")</f>
        <v>#VALUE!</v>
      </c>
      <c r="DL68" t="e">
        <f>AND('BBP complete'!#REF!,"AAAAADu/9XM=")</f>
        <v>#REF!</v>
      </c>
      <c r="DM68" t="e">
        <f>AND('BBP complete'!#REF!,"AAAAADu/9XQ=")</f>
        <v>#REF!</v>
      </c>
      <c r="DN68" t="e">
        <f>AND('BBP complete'!#REF!,"AAAAADu/9XU=")</f>
        <v>#REF!</v>
      </c>
      <c r="DO68" t="e">
        <f>AND('BBP complete'!D910,"AAAAADu/9XY=")</f>
        <v>#VALUE!</v>
      </c>
      <c r="DP68" t="e">
        <f>AND('BBP complete'!F910,"AAAAADu/9Xc=")</f>
        <v>#VALUE!</v>
      </c>
      <c r="DQ68" t="e">
        <f>AND('BBP complete'!G910,"AAAAADu/9Xg=")</f>
        <v>#VALUE!</v>
      </c>
      <c r="DR68" t="e">
        <f>AND('BBP complete'!H910,"AAAAADu/9Xk=")</f>
        <v>#VALUE!</v>
      </c>
      <c r="DS68" t="e">
        <f>AND('BBP complete'!I910,"AAAAADu/9Xo=")</f>
        <v>#VALUE!</v>
      </c>
      <c r="DT68" s="60" t="e">
        <v>#VALUE!</v>
      </c>
      <c r="DU68" t="e">
        <f>AND('BBP complete'!A910,"AAAAADu/9Xw=")</f>
        <v>#VALUE!</v>
      </c>
      <c r="DV68" t="e">
        <f>AND('BBP complete'!#REF!,"AAAAADu/9X0=")</f>
        <v>#REF!</v>
      </c>
      <c r="DW68" t="e">
        <f>AND('BBP complete'!#REF!,"AAAAADu/9X4=")</f>
        <v>#REF!</v>
      </c>
      <c r="DX68" t="e">
        <f>AND('BBP complete'!#REF!,"AAAAADu/9X8=")</f>
        <v>#REF!</v>
      </c>
      <c r="DY68" t="e">
        <f>AND('BBP complete'!#REF!,"AAAAADu/9YA=")</f>
        <v>#REF!</v>
      </c>
      <c r="DZ68" t="e">
        <f>AND('BBP complete'!#REF!,"AAAAADu/9YE=")</f>
        <v>#REF!</v>
      </c>
      <c r="EA68" t="e">
        <f>AND('BBP complete'!E910,"AAAAADu/9YI=")</f>
        <v>#VALUE!</v>
      </c>
      <c r="EB68" t="e">
        <f>AND('BBP complete'!#REF!,"AAAAADu/9YM=")</f>
        <v>#REF!</v>
      </c>
      <c r="EC68" t="e">
        <f>AND('BBP complete'!K910,"AAAAADu/9YQ=")</f>
        <v>#VALUE!</v>
      </c>
      <c r="ED68" t="e">
        <f>AND('BBP complete'!L910,"AAAAADu/9YU=")</f>
        <v>#VALUE!</v>
      </c>
      <c r="EE68" t="e">
        <f>AND('BBP complete'!#REF!,"AAAAADu/9YY=")</f>
        <v>#REF!</v>
      </c>
      <c r="EF68" t="e">
        <f>AND('BBP complete'!#REF!,"AAAAADu/9Yc=")</f>
        <v>#REF!</v>
      </c>
      <c r="EG68" t="e">
        <f>AND('BBP complete'!#REF!,"AAAAADu/9Yg=")</f>
        <v>#REF!</v>
      </c>
      <c r="EH68" t="e">
        <f>AND('BBP complete'!D911,"AAAAADu/9Yk=")</f>
        <v>#VALUE!</v>
      </c>
      <c r="EI68" t="e">
        <f>AND('BBP complete'!F911,"AAAAADu/9Yo=")</f>
        <v>#VALUE!</v>
      </c>
      <c r="EJ68" t="e">
        <f>AND('BBP complete'!G911,"AAAAADu/9Ys=")</f>
        <v>#VALUE!</v>
      </c>
      <c r="EK68" t="e">
        <f>AND('BBP complete'!H911,"AAAAADu/9Yw=")</f>
        <v>#VALUE!</v>
      </c>
      <c r="EL68" t="e">
        <f>AND('BBP complete'!I911,"AAAAADu/9Y0=")</f>
        <v>#VALUE!</v>
      </c>
      <c r="EM68" s="60" t="e">
        <v>#VALUE!</v>
      </c>
      <c r="EN68" t="e">
        <f>AND('BBP complete'!A911,"AAAAADu/9Y8=")</f>
        <v>#VALUE!</v>
      </c>
      <c r="EO68" t="e">
        <f>AND('BBP complete'!#REF!,"AAAAADu/9ZA=")</f>
        <v>#REF!</v>
      </c>
      <c r="EP68" t="e">
        <f>AND('BBP complete'!#REF!,"AAAAADu/9ZE=")</f>
        <v>#REF!</v>
      </c>
      <c r="EQ68" t="e">
        <f>AND('BBP complete'!#REF!,"AAAAADu/9ZI=")</f>
        <v>#REF!</v>
      </c>
      <c r="ER68" t="e">
        <f>AND('BBP complete'!#REF!,"AAAAADu/9ZM=")</f>
        <v>#REF!</v>
      </c>
      <c r="ES68" t="e">
        <f>AND('BBP complete'!#REF!,"AAAAADu/9ZQ=")</f>
        <v>#REF!</v>
      </c>
      <c r="ET68" t="e">
        <f>AND('BBP complete'!E911,"AAAAADu/9ZU=")</f>
        <v>#VALUE!</v>
      </c>
      <c r="EU68" t="e">
        <f>AND('BBP complete'!#REF!,"AAAAADu/9ZY=")</f>
        <v>#REF!</v>
      </c>
      <c r="EV68" t="e">
        <f>AND('BBP complete'!K911,"AAAAADu/9Zc=")</f>
        <v>#VALUE!</v>
      </c>
      <c r="EW68" t="e">
        <f>AND('BBP complete'!L911,"AAAAADu/9Zg=")</f>
        <v>#VALUE!</v>
      </c>
      <c r="EX68" t="e">
        <f>AND('BBP complete'!#REF!,"AAAAADu/9Zk=")</f>
        <v>#REF!</v>
      </c>
      <c r="EY68" t="e">
        <f>AND('BBP complete'!#REF!,"AAAAADu/9Zo=")</f>
        <v>#REF!</v>
      </c>
      <c r="EZ68" t="e">
        <f>AND('BBP complete'!#REF!,"AAAAADu/9Zs=")</f>
        <v>#REF!</v>
      </c>
      <c r="FA68" t="e">
        <f>AND('BBP complete'!D912,"AAAAADu/9Zw=")</f>
        <v>#VALUE!</v>
      </c>
      <c r="FB68" t="e">
        <f>AND('BBP complete'!F912,"AAAAADu/9Z0=")</f>
        <v>#VALUE!</v>
      </c>
      <c r="FC68" t="e">
        <f>AND('BBP complete'!G912,"AAAAADu/9Z4=")</f>
        <v>#VALUE!</v>
      </c>
      <c r="FD68" t="e">
        <f>AND('BBP complete'!H912,"AAAAADu/9Z8=")</f>
        <v>#VALUE!</v>
      </c>
      <c r="FE68" t="e">
        <f>AND('BBP complete'!I912,"AAAAADu/9aA=")</f>
        <v>#VALUE!</v>
      </c>
      <c r="FF68" s="60" t="e">
        <v>#VALUE!</v>
      </c>
      <c r="FG68" t="e">
        <f>AND('BBP complete'!A912,"AAAAADu/9aI=")</f>
        <v>#VALUE!</v>
      </c>
      <c r="FH68" t="e">
        <f>AND('BBP complete'!#REF!,"AAAAADu/9aM=")</f>
        <v>#REF!</v>
      </c>
      <c r="FI68" t="e">
        <f>AND('BBP complete'!#REF!,"AAAAADu/9aQ=")</f>
        <v>#REF!</v>
      </c>
      <c r="FJ68" t="e">
        <f>AND('BBP complete'!#REF!,"AAAAADu/9aU=")</f>
        <v>#REF!</v>
      </c>
      <c r="FK68" t="e">
        <f>AND('BBP complete'!#REF!,"AAAAADu/9aY=")</f>
        <v>#REF!</v>
      </c>
      <c r="FL68" t="e">
        <f>AND('BBP complete'!#REF!,"AAAAADu/9ac=")</f>
        <v>#REF!</v>
      </c>
      <c r="FM68" t="e">
        <f>AND('BBP complete'!E912,"AAAAADu/9ag=")</f>
        <v>#VALUE!</v>
      </c>
      <c r="FN68" t="e">
        <f>AND('BBP complete'!#REF!,"AAAAADu/9ak=")</f>
        <v>#REF!</v>
      </c>
      <c r="FO68" t="e">
        <f>AND('BBP complete'!K912,"AAAAADu/9ao=")</f>
        <v>#VALUE!</v>
      </c>
      <c r="FP68" t="e">
        <f>AND('BBP complete'!L912,"AAAAADu/9as=")</f>
        <v>#VALUE!</v>
      </c>
      <c r="FQ68" t="e">
        <f>AND('BBP complete'!#REF!,"AAAAADu/9aw=")</f>
        <v>#REF!</v>
      </c>
      <c r="FR68" t="e">
        <f>AND('BBP complete'!#REF!,"AAAAADu/9a0=")</f>
        <v>#REF!</v>
      </c>
      <c r="FS68" t="e">
        <f>AND('BBP complete'!#REF!,"AAAAADu/9a4=")</f>
        <v>#REF!</v>
      </c>
      <c r="FT68" t="e">
        <f>AND('BBP complete'!D913,"AAAAADu/9a8=")</f>
        <v>#VALUE!</v>
      </c>
      <c r="FU68" t="e">
        <f>AND('BBP complete'!F913,"AAAAADu/9bA=")</f>
        <v>#VALUE!</v>
      </c>
      <c r="FV68" t="e">
        <f>AND('BBP complete'!G913,"AAAAADu/9bE=")</f>
        <v>#VALUE!</v>
      </c>
      <c r="FW68" t="e">
        <f>AND('BBP complete'!H913,"AAAAADu/9bI=")</f>
        <v>#VALUE!</v>
      </c>
      <c r="FX68" t="e">
        <f>AND('BBP complete'!I913,"AAAAADu/9bM=")</f>
        <v>#VALUE!</v>
      </c>
      <c r="FY68" s="60" t="e">
        <v>#VALUE!</v>
      </c>
      <c r="FZ68" t="e">
        <f>AND('BBP complete'!A913,"AAAAADu/9bU=")</f>
        <v>#VALUE!</v>
      </c>
      <c r="GA68" t="e">
        <f>AND('BBP complete'!#REF!,"AAAAADu/9bY=")</f>
        <v>#REF!</v>
      </c>
      <c r="GB68" t="e">
        <f>AND('BBP complete'!#REF!,"AAAAADu/9bc=")</f>
        <v>#REF!</v>
      </c>
      <c r="GC68" t="e">
        <f>AND('BBP complete'!#REF!,"AAAAADu/9bg=")</f>
        <v>#REF!</v>
      </c>
      <c r="GD68" t="e">
        <f>AND('BBP complete'!#REF!,"AAAAADu/9bk=")</f>
        <v>#REF!</v>
      </c>
      <c r="GE68" t="e">
        <f>AND('BBP complete'!#REF!,"AAAAADu/9bo=")</f>
        <v>#REF!</v>
      </c>
      <c r="GF68" t="e">
        <f>AND('BBP complete'!E913,"AAAAADu/9bs=")</f>
        <v>#VALUE!</v>
      </c>
      <c r="GG68" t="e">
        <f>AND('BBP complete'!#REF!,"AAAAADu/9bw=")</f>
        <v>#REF!</v>
      </c>
      <c r="GH68" t="e">
        <f>AND('BBP complete'!K913,"AAAAADu/9b0=")</f>
        <v>#VALUE!</v>
      </c>
      <c r="GI68" t="e">
        <f>AND('BBP complete'!L913,"AAAAADu/9b4=")</f>
        <v>#VALUE!</v>
      </c>
      <c r="GJ68" t="e">
        <f>AND('BBP complete'!#REF!,"AAAAADu/9b8=")</f>
        <v>#REF!</v>
      </c>
      <c r="GK68" t="e">
        <f>AND('BBP complete'!#REF!,"AAAAADu/9cA=")</f>
        <v>#REF!</v>
      </c>
      <c r="GL68" t="e">
        <f>AND('BBP complete'!#REF!,"AAAAADu/9cE=")</f>
        <v>#REF!</v>
      </c>
      <c r="GM68" t="e">
        <f>AND('BBP complete'!D914,"AAAAADu/9cI=")</f>
        <v>#VALUE!</v>
      </c>
      <c r="GN68" t="e">
        <f>AND('BBP complete'!F914,"AAAAADu/9cM=")</f>
        <v>#VALUE!</v>
      </c>
      <c r="GO68" t="e">
        <f>AND('BBP complete'!G914,"AAAAADu/9cQ=")</f>
        <v>#VALUE!</v>
      </c>
      <c r="GP68" t="e">
        <f>AND('BBP complete'!H914,"AAAAADu/9cU=")</f>
        <v>#VALUE!</v>
      </c>
      <c r="GQ68" t="e">
        <f>AND('BBP complete'!I914,"AAAAADu/9cY=")</f>
        <v>#VALUE!</v>
      </c>
      <c r="GR68" s="60" t="e">
        <v>#VALUE!</v>
      </c>
      <c r="GS68" t="e">
        <f>AND('BBP complete'!A914,"AAAAADu/9cg=")</f>
        <v>#VALUE!</v>
      </c>
      <c r="GT68" t="e">
        <f>AND('BBP complete'!#REF!,"AAAAADu/9ck=")</f>
        <v>#REF!</v>
      </c>
      <c r="GU68" t="e">
        <f>AND('BBP complete'!#REF!,"AAAAADu/9co=")</f>
        <v>#REF!</v>
      </c>
      <c r="GV68" t="e">
        <f>AND('BBP complete'!#REF!,"AAAAADu/9cs=")</f>
        <v>#REF!</v>
      </c>
      <c r="GW68" t="e">
        <f>AND('BBP complete'!#REF!,"AAAAADu/9cw=")</f>
        <v>#REF!</v>
      </c>
      <c r="GX68" t="e">
        <f>AND('BBP complete'!#REF!,"AAAAADu/9c0=")</f>
        <v>#REF!</v>
      </c>
      <c r="GY68" t="e">
        <f>AND('BBP complete'!E914,"AAAAADu/9c4=")</f>
        <v>#VALUE!</v>
      </c>
      <c r="GZ68" t="e">
        <f>AND('BBP complete'!#REF!,"AAAAADu/9c8=")</f>
        <v>#REF!</v>
      </c>
      <c r="HA68" t="e">
        <f>AND('BBP complete'!K914,"AAAAADu/9dA=")</f>
        <v>#VALUE!</v>
      </c>
      <c r="HB68" t="e">
        <f>AND('BBP complete'!L914,"AAAAADu/9dE=")</f>
        <v>#VALUE!</v>
      </c>
      <c r="HC68" t="e">
        <f>AND('BBP complete'!#REF!,"AAAAADu/9dI=")</f>
        <v>#REF!</v>
      </c>
      <c r="HD68" t="e">
        <f>AND('BBP complete'!#REF!,"AAAAADu/9dM=")</f>
        <v>#REF!</v>
      </c>
      <c r="HE68" t="e">
        <f>AND('BBP complete'!#REF!,"AAAAADu/9dQ=")</f>
        <v>#REF!</v>
      </c>
      <c r="HF68" t="e">
        <f>AND('BBP complete'!D915,"AAAAADu/9dU=")</f>
        <v>#VALUE!</v>
      </c>
      <c r="HG68" t="e">
        <f>AND('BBP complete'!F915,"AAAAADu/9dY=")</f>
        <v>#VALUE!</v>
      </c>
      <c r="HH68" t="e">
        <f>AND('BBP complete'!G915,"AAAAADu/9dc=")</f>
        <v>#VALUE!</v>
      </c>
      <c r="HI68" t="e">
        <f>AND('BBP complete'!H915,"AAAAADu/9dg=")</f>
        <v>#VALUE!</v>
      </c>
      <c r="HJ68" t="e">
        <f>AND('BBP complete'!I915,"AAAAADu/9dk=")</f>
        <v>#VALUE!</v>
      </c>
      <c r="HK68" s="60" t="e">
        <v>#VALUE!</v>
      </c>
      <c r="HL68" t="e">
        <f>AND('BBP complete'!A915,"AAAAADu/9ds=")</f>
        <v>#VALUE!</v>
      </c>
      <c r="HM68" t="e">
        <f>AND('BBP complete'!#REF!,"AAAAADu/9dw=")</f>
        <v>#REF!</v>
      </c>
      <c r="HN68" t="e">
        <f>AND('BBP complete'!#REF!,"AAAAADu/9d0=")</f>
        <v>#REF!</v>
      </c>
      <c r="HO68" t="e">
        <f>AND('BBP complete'!#REF!,"AAAAADu/9d4=")</f>
        <v>#REF!</v>
      </c>
      <c r="HP68" t="e">
        <f>AND('BBP complete'!#REF!,"AAAAADu/9d8=")</f>
        <v>#REF!</v>
      </c>
      <c r="HQ68" t="e">
        <f>AND('BBP complete'!#REF!,"AAAAADu/9eA=")</f>
        <v>#REF!</v>
      </c>
      <c r="HR68" t="e">
        <f>AND('BBP complete'!E915,"AAAAADu/9eE=")</f>
        <v>#VALUE!</v>
      </c>
      <c r="HS68" t="e">
        <f>AND('BBP complete'!#REF!,"AAAAADu/9eI=")</f>
        <v>#REF!</v>
      </c>
      <c r="HT68" t="e">
        <f>AND('BBP complete'!K915,"AAAAADu/9eM=")</f>
        <v>#VALUE!</v>
      </c>
      <c r="HU68" t="e">
        <f>AND('BBP complete'!L915,"AAAAADu/9eQ=")</f>
        <v>#VALUE!</v>
      </c>
      <c r="HV68" t="e">
        <f>AND('BBP complete'!#REF!,"AAAAADu/9eU=")</f>
        <v>#REF!</v>
      </c>
      <c r="HW68" t="e">
        <f>AND('BBP complete'!#REF!,"AAAAADu/9eY=")</f>
        <v>#REF!</v>
      </c>
      <c r="HX68" t="e">
        <f>AND('BBP complete'!#REF!,"AAAAADu/9ec=")</f>
        <v>#REF!</v>
      </c>
      <c r="HY68" t="e">
        <f>AND('BBP complete'!D916,"AAAAADu/9eg=")</f>
        <v>#VALUE!</v>
      </c>
      <c r="HZ68" t="e">
        <f>AND('BBP complete'!F916,"AAAAADu/9ek=")</f>
        <v>#VALUE!</v>
      </c>
      <c r="IA68" t="e">
        <f>AND('BBP complete'!G916,"AAAAADu/9eo=")</f>
        <v>#VALUE!</v>
      </c>
      <c r="IB68" t="e">
        <f>AND('BBP complete'!H916,"AAAAADu/9es=")</f>
        <v>#VALUE!</v>
      </c>
      <c r="IC68" t="e">
        <f>AND('BBP complete'!I916,"AAAAADu/9ew=")</f>
        <v>#VALUE!</v>
      </c>
      <c r="ID68" s="60" t="e">
        <v>#VALUE!</v>
      </c>
      <c r="IE68" t="e">
        <f>AND('BBP complete'!A916,"AAAAADu/9e4=")</f>
        <v>#VALUE!</v>
      </c>
      <c r="IF68" t="e">
        <f>AND('BBP complete'!#REF!,"AAAAADu/9e8=")</f>
        <v>#REF!</v>
      </c>
      <c r="IG68" t="e">
        <f>AND('BBP complete'!#REF!,"AAAAADu/9fA=")</f>
        <v>#REF!</v>
      </c>
      <c r="IH68" t="e">
        <f>AND('BBP complete'!#REF!,"AAAAADu/9fE=")</f>
        <v>#REF!</v>
      </c>
      <c r="II68" t="e">
        <f>AND('BBP complete'!#REF!,"AAAAADu/9fI=")</f>
        <v>#REF!</v>
      </c>
      <c r="IJ68" t="e">
        <f>AND('BBP complete'!#REF!,"AAAAADu/9fM=")</f>
        <v>#REF!</v>
      </c>
      <c r="IK68" t="e">
        <f>AND('BBP complete'!E916,"AAAAADu/9fQ=")</f>
        <v>#VALUE!</v>
      </c>
      <c r="IL68" t="e">
        <f>AND('BBP complete'!#REF!,"AAAAADu/9fU=")</f>
        <v>#REF!</v>
      </c>
      <c r="IM68" t="e">
        <f>AND('BBP complete'!K916,"AAAAADu/9fY=")</f>
        <v>#VALUE!</v>
      </c>
      <c r="IN68" t="e">
        <f>AND('BBP complete'!L916,"AAAAADu/9fc=")</f>
        <v>#VALUE!</v>
      </c>
      <c r="IO68" t="e">
        <f>AND('BBP complete'!#REF!,"AAAAADu/9fg=")</f>
        <v>#REF!</v>
      </c>
      <c r="IP68" t="e">
        <f>AND('BBP complete'!#REF!,"AAAAADu/9fk=")</f>
        <v>#REF!</v>
      </c>
      <c r="IQ68" t="e">
        <f>AND('BBP complete'!#REF!,"AAAAADu/9fo=")</f>
        <v>#REF!</v>
      </c>
      <c r="IR68" t="e">
        <f>AND('BBP complete'!D917,"AAAAADu/9fs=")</f>
        <v>#VALUE!</v>
      </c>
      <c r="IS68" t="e">
        <f>AND('BBP complete'!F917,"AAAAADu/9fw=")</f>
        <v>#VALUE!</v>
      </c>
      <c r="IT68" t="e">
        <f>AND('BBP complete'!G917,"AAAAADu/9f0=")</f>
        <v>#VALUE!</v>
      </c>
      <c r="IU68" t="e">
        <f>AND('BBP complete'!H917,"AAAAADu/9f4=")</f>
        <v>#VALUE!</v>
      </c>
      <c r="IV68" t="e">
        <f>AND('BBP complete'!I917,"AAAAADu/9f8=")</f>
        <v>#VALUE!</v>
      </c>
    </row>
    <row r="69" spans="1:256" ht="15" customHeight="1" x14ac:dyDescent="0.25">
      <c r="A69" s="60" t="e">
        <v>#VALUE!</v>
      </c>
      <c r="B69" t="e">
        <f>AND('BBP complete'!A917,"AAAAAF/20wE=")</f>
        <v>#VALUE!</v>
      </c>
      <c r="C69" t="e">
        <f>AND('BBP complete'!#REF!,"AAAAAF/20wI=")</f>
        <v>#REF!</v>
      </c>
      <c r="D69" t="e">
        <f>AND('BBP complete'!#REF!,"AAAAAF/20wM=")</f>
        <v>#REF!</v>
      </c>
      <c r="E69" t="e">
        <f>AND('BBP complete'!#REF!,"AAAAAF/20wQ=")</f>
        <v>#REF!</v>
      </c>
      <c r="F69" t="e">
        <f>AND('BBP complete'!#REF!,"AAAAAF/20wU=")</f>
        <v>#REF!</v>
      </c>
      <c r="G69" t="e">
        <f>AND('BBP complete'!#REF!,"AAAAAF/20wY=")</f>
        <v>#REF!</v>
      </c>
      <c r="H69" t="e">
        <f>AND('BBP complete'!E917,"AAAAAF/20wc=")</f>
        <v>#VALUE!</v>
      </c>
      <c r="I69" t="e">
        <f>AND('BBP complete'!#REF!,"AAAAAF/20wg=")</f>
        <v>#REF!</v>
      </c>
      <c r="J69" t="e">
        <f>AND('BBP complete'!K917,"AAAAAF/20wk=")</f>
        <v>#VALUE!</v>
      </c>
      <c r="K69" t="e">
        <f>AND('BBP complete'!L917,"AAAAAF/20wo=")</f>
        <v>#VALUE!</v>
      </c>
      <c r="L69" t="e">
        <f>AND('BBP complete'!#REF!,"AAAAAF/20ws=")</f>
        <v>#REF!</v>
      </c>
      <c r="M69" t="e">
        <f>AND('BBP complete'!#REF!,"AAAAAF/20ww=")</f>
        <v>#REF!</v>
      </c>
      <c r="N69" t="e">
        <f>AND('BBP complete'!#REF!,"AAAAAF/20w0=")</f>
        <v>#REF!</v>
      </c>
      <c r="O69" t="e">
        <f>AND('BBP complete'!D918,"AAAAAF/20w4=")</f>
        <v>#VALUE!</v>
      </c>
      <c r="P69" t="e">
        <f>AND('BBP complete'!F918,"AAAAAF/20w8=")</f>
        <v>#VALUE!</v>
      </c>
      <c r="Q69" t="e">
        <f>AND('BBP complete'!G918,"AAAAAF/20xA=")</f>
        <v>#VALUE!</v>
      </c>
      <c r="R69" t="e">
        <f>AND('BBP complete'!H918,"AAAAAF/20xE=")</f>
        <v>#VALUE!</v>
      </c>
      <c r="S69" t="e">
        <f>AND('BBP complete'!I918,"AAAAAF/20xI=")</f>
        <v>#VALUE!</v>
      </c>
      <c r="T69" s="60" t="e">
        <v>#VALUE!</v>
      </c>
      <c r="U69" t="e">
        <f>AND('BBP complete'!A918,"AAAAAF/20xQ=")</f>
        <v>#VALUE!</v>
      </c>
      <c r="V69" t="e">
        <f>AND('BBP complete'!B918,"AAAAAF/20xU=")</f>
        <v>#VALUE!</v>
      </c>
      <c r="W69" t="e">
        <f>AND('BBP complete'!C918,"AAAAAF/20xY=")</f>
        <v>#VALUE!</v>
      </c>
      <c r="X69" t="e">
        <f>AND('BBP complete'!#REF!,"AAAAAF/20xc=")</f>
        <v>#REF!</v>
      </c>
      <c r="Y69" t="e">
        <f>AND('BBP complete'!#REF!,"AAAAAF/20xg=")</f>
        <v>#REF!</v>
      </c>
      <c r="Z69" t="e">
        <f>AND('BBP complete'!#REF!,"AAAAAF/20xk=")</f>
        <v>#REF!</v>
      </c>
      <c r="AA69" t="e">
        <f>AND('BBP complete'!E918,"AAAAAF/20xo=")</f>
        <v>#VALUE!</v>
      </c>
      <c r="AB69" t="e">
        <f>AND('BBP complete'!#REF!,"AAAAAF/20xs=")</f>
        <v>#REF!</v>
      </c>
      <c r="AC69" t="e">
        <f>AND('BBP complete'!K918,"AAAAAF/20xw=")</f>
        <v>#VALUE!</v>
      </c>
      <c r="AD69" t="e">
        <f>AND('BBP complete'!L918,"AAAAAF/20x0=")</f>
        <v>#VALUE!</v>
      </c>
      <c r="AE69" t="e">
        <f>AND('BBP complete'!#REF!,"AAAAAF/20x4=")</f>
        <v>#REF!</v>
      </c>
      <c r="AF69" t="e">
        <f>AND('BBP complete'!#REF!,"AAAAAF/20x8=")</f>
        <v>#REF!</v>
      </c>
      <c r="AG69" t="e">
        <f>AND('BBP complete'!#REF!,"AAAAAF/20yA=")</f>
        <v>#REF!</v>
      </c>
      <c r="AH69" t="e">
        <f>AND('BBP complete'!D919,"AAAAAF/20yE=")</f>
        <v>#VALUE!</v>
      </c>
      <c r="AI69" t="e">
        <f>AND('BBP complete'!F919,"AAAAAF/20yI=")</f>
        <v>#VALUE!</v>
      </c>
      <c r="AJ69" t="e">
        <f>AND('BBP complete'!G919,"AAAAAF/20yM=")</f>
        <v>#VALUE!</v>
      </c>
      <c r="AK69" t="e">
        <f>AND('BBP complete'!H919,"AAAAAF/20yQ=")</f>
        <v>#VALUE!</v>
      </c>
      <c r="AL69" t="e">
        <f>AND('BBP complete'!I919,"AAAAAF/20yU=")</f>
        <v>#VALUE!</v>
      </c>
      <c r="AM69" s="60" t="e">
        <v>#VALUE!</v>
      </c>
      <c r="AN69" t="e">
        <f>AND('BBP complete'!A919,"AAAAAF/20yc=")</f>
        <v>#VALUE!</v>
      </c>
      <c r="AO69" t="e">
        <f>AND('BBP complete'!#REF!,"AAAAAF/20yg=")</f>
        <v>#REF!</v>
      </c>
      <c r="AP69" t="e">
        <f>AND('BBP complete'!#REF!,"AAAAAF/20yk=")</f>
        <v>#REF!</v>
      </c>
      <c r="AQ69" t="e">
        <f>AND('BBP complete'!#REF!,"AAAAAF/20yo=")</f>
        <v>#REF!</v>
      </c>
      <c r="AR69" t="e">
        <f>AND('BBP complete'!#REF!,"AAAAAF/20ys=")</f>
        <v>#REF!</v>
      </c>
      <c r="AS69" t="e">
        <f>AND('BBP complete'!#REF!,"AAAAAF/20yw=")</f>
        <v>#REF!</v>
      </c>
      <c r="AT69" t="e">
        <f>AND('BBP complete'!E919,"AAAAAF/20y0=")</f>
        <v>#VALUE!</v>
      </c>
      <c r="AU69" t="e">
        <f>AND('BBP complete'!#REF!,"AAAAAF/20y4=")</f>
        <v>#REF!</v>
      </c>
      <c r="AV69" t="e">
        <f>AND('BBP complete'!K919,"AAAAAF/20y8=")</f>
        <v>#VALUE!</v>
      </c>
      <c r="AW69" t="e">
        <f>AND('BBP complete'!L919,"AAAAAF/20zA=")</f>
        <v>#VALUE!</v>
      </c>
      <c r="AX69" t="e">
        <f>AND('BBP complete'!#REF!,"AAAAAF/20zE=")</f>
        <v>#REF!</v>
      </c>
      <c r="AY69" t="e">
        <f>AND('BBP complete'!#REF!,"AAAAAF/20zI=")</f>
        <v>#REF!</v>
      </c>
      <c r="AZ69" t="e">
        <f>AND('BBP complete'!#REF!,"AAAAAF/20zM=")</f>
        <v>#REF!</v>
      </c>
      <c r="BA69" t="e">
        <f>AND('BBP complete'!D920,"AAAAAF/20zQ=")</f>
        <v>#VALUE!</v>
      </c>
      <c r="BB69" t="e">
        <f>AND('BBP complete'!F920,"AAAAAF/20zU=")</f>
        <v>#VALUE!</v>
      </c>
      <c r="BC69" t="e">
        <f>AND('BBP complete'!G920,"AAAAAF/20zY=")</f>
        <v>#VALUE!</v>
      </c>
      <c r="BD69" t="e">
        <f>AND('BBP complete'!H920,"AAAAAF/20zc=")</f>
        <v>#VALUE!</v>
      </c>
      <c r="BE69" t="e">
        <f>AND('BBP complete'!I920,"AAAAAF/20zg=")</f>
        <v>#VALUE!</v>
      </c>
      <c r="BF69" s="60" t="e">
        <v>#VALUE!</v>
      </c>
      <c r="BG69" t="e">
        <f>AND('BBP complete'!A920,"AAAAAF/20zo=")</f>
        <v>#VALUE!</v>
      </c>
      <c r="BH69" t="e">
        <f>AND('BBP complete'!#REF!,"AAAAAF/20zs=")</f>
        <v>#REF!</v>
      </c>
      <c r="BI69" t="e">
        <f>AND('BBP complete'!#REF!,"AAAAAF/20zw=")</f>
        <v>#REF!</v>
      </c>
      <c r="BJ69" t="e">
        <f>AND('BBP complete'!#REF!,"AAAAAF/20z0=")</f>
        <v>#REF!</v>
      </c>
      <c r="BK69" t="e">
        <f>AND('BBP complete'!#REF!,"AAAAAF/20z4=")</f>
        <v>#REF!</v>
      </c>
      <c r="BL69" t="e">
        <f>AND('BBP complete'!#REF!,"AAAAAF/20z8=")</f>
        <v>#REF!</v>
      </c>
      <c r="BM69" t="e">
        <f>AND('BBP complete'!E920,"AAAAAF/200A=")</f>
        <v>#VALUE!</v>
      </c>
      <c r="BN69" t="e">
        <f>AND('BBP complete'!#REF!,"AAAAAF/200E=")</f>
        <v>#REF!</v>
      </c>
      <c r="BO69" t="e">
        <f>AND('BBP complete'!K920,"AAAAAF/200I=")</f>
        <v>#VALUE!</v>
      </c>
      <c r="BP69" t="e">
        <f>AND('BBP complete'!L920,"AAAAAF/200M=")</f>
        <v>#VALUE!</v>
      </c>
      <c r="BQ69" t="e">
        <f>AND('BBP complete'!#REF!,"AAAAAF/200Q=")</f>
        <v>#REF!</v>
      </c>
      <c r="BR69" t="e">
        <f>AND('BBP complete'!#REF!,"AAAAAF/200U=")</f>
        <v>#REF!</v>
      </c>
      <c r="BS69" t="e">
        <f>AND('BBP complete'!#REF!,"AAAAAF/200Y=")</f>
        <v>#REF!</v>
      </c>
      <c r="BT69" t="e">
        <f>AND('BBP complete'!D921,"AAAAAF/200c=")</f>
        <v>#VALUE!</v>
      </c>
      <c r="BU69" t="e">
        <f>AND('BBP complete'!F921,"AAAAAF/200g=")</f>
        <v>#VALUE!</v>
      </c>
      <c r="BV69" t="e">
        <f>AND('BBP complete'!G921,"AAAAAF/200k=")</f>
        <v>#VALUE!</v>
      </c>
      <c r="BW69" t="e">
        <f>AND('BBP complete'!H921,"AAAAAF/200o=")</f>
        <v>#VALUE!</v>
      </c>
      <c r="BX69" t="e">
        <f>AND('BBP complete'!I921,"AAAAAF/200s=")</f>
        <v>#VALUE!</v>
      </c>
      <c r="BY69" s="60" t="e">
        <v>#VALUE!</v>
      </c>
      <c r="BZ69" t="e">
        <f>AND('BBP complete'!A921,"AAAAAF/2000=")</f>
        <v>#VALUE!</v>
      </c>
      <c r="CA69" t="e">
        <f>AND('BBP complete'!#REF!,"AAAAAF/2004=")</f>
        <v>#REF!</v>
      </c>
      <c r="CB69" t="e">
        <f>AND('BBP complete'!#REF!,"AAAAAF/2008=")</f>
        <v>#REF!</v>
      </c>
      <c r="CC69" t="e">
        <f>AND('BBP complete'!#REF!,"AAAAAF/201A=")</f>
        <v>#REF!</v>
      </c>
      <c r="CD69" t="e">
        <f>AND('BBP complete'!#REF!,"AAAAAF/201E=")</f>
        <v>#REF!</v>
      </c>
      <c r="CE69" t="e">
        <f>AND('BBP complete'!#REF!,"AAAAAF/201I=")</f>
        <v>#REF!</v>
      </c>
      <c r="CF69" t="e">
        <f>AND('BBP complete'!E921,"AAAAAF/201M=")</f>
        <v>#VALUE!</v>
      </c>
      <c r="CG69" t="e">
        <f>AND('BBP complete'!#REF!,"AAAAAF/201Q=")</f>
        <v>#REF!</v>
      </c>
      <c r="CH69" t="e">
        <f>AND('BBP complete'!K921,"AAAAAF/201U=")</f>
        <v>#VALUE!</v>
      </c>
      <c r="CI69" t="e">
        <f>AND('BBP complete'!L921,"AAAAAF/201Y=")</f>
        <v>#VALUE!</v>
      </c>
      <c r="CJ69" t="e">
        <f>AND('BBP complete'!#REF!,"AAAAAF/201c=")</f>
        <v>#REF!</v>
      </c>
      <c r="CK69" t="e">
        <f>AND('BBP complete'!#REF!,"AAAAAF/201g=")</f>
        <v>#REF!</v>
      </c>
      <c r="CL69" t="e">
        <f>AND('BBP complete'!#REF!,"AAAAAF/201k=")</f>
        <v>#REF!</v>
      </c>
      <c r="CM69" t="e">
        <f>AND('BBP complete'!D922,"AAAAAF/201o=")</f>
        <v>#VALUE!</v>
      </c>
      <c r="CN69" t="e">
        <f>AND('BBP complete'!F922,"AAAAAF/201s=")</f>
        <v>#VALUE!</v>
      </c>
      <c r="CO69" t="e">
        <f>AND('BBP complete'!G922,"AAAAAF/201w=")</f>
        <v>#VALUE!</v>
      </c>
      <c r="CP69" t="e">
        <f>AND('BBP complete'!H922,"AAAAAF/2010=")</f>
        <v>#VALUE!</v>
      </c>
      <c r="CQ69" t="e">
        <f>AND('BBP complete'!I922,"AAAAAF/2014=")</f>
        <v>#VALUE!</v>
      </c>
      <c r="CR69" s="60" t="e">
        <v>#VALUE!</v>
      </c>
      <c r="CS69" t="e">
        <f>AND('BBP complete'!A922,"AAAAAF/202A=")</f>
        <v>#VALUE!</v>
      </c>
      <c r="CT69" t="e">
        <f>AND('BBP complete'!#REF!,"AAAAAF/202E=")</f>
        <v>#REF!</v>
      </c>
      <c r="CU69" t="e">
        <f>AND('BBP complete'!#REF!,"AAAAAF/202I=")</f>
        <v>#REF!</v>
      </c>
      <c r="CV69" t="e">
        <f>AND('BBP complete'!#REF!,"AAAAAF/202M=")</f>
        <v>#REF!</v>
      </c>
      <c r="CW69" t="e">
        <f>AND('BBP complete'!#REF!,"AAAAAF/202Q=")</f>
        <v>#REF!</v>
      </c>
      <c r="CX69" t="e">
        <f>AND('BBP complete'!#REF!,"AAAAAF/202U=")</f>
        <v>#REF!</v>
      </c>
      <c r="CY69" t="e">
        <f>AND('BBP complete'!E922,"AAAAAF/202Y=")</f>
        <v>#VALUE!</v>
      </c>
      <c r="CZ69" t="e">
        <f>AND('BBP complete'!#REF!,"AAAAAF/202c=")</f>
        <v>#REF!</v>
      </c>
      <c r="DA69" t="e">
        <f>AND('BBP complete'!K922,"AAAAAF/202g=")</f>
        <v>#VALUE!</v>
      </c>
      <c r="DB69" t="e">
        <f>AND('BBP complete'!L922,"AAAAAF/202k=")</f>
        <v>#VALUE!</v>
      </c>
      <c r="DC69" t="e">
        <f>AND('BBP complete'!#REF!,"AAAAAF/202o=")</f>
        <v>#REF!</v>
      </c>
      <c r="DD69" t="e">
        <f>AND('BBP complete'!#REF!,"AAAAAF/202s=")</f>
        <v>#REF!</v>
      </c>
      <c r="DE69" t="e">
        <f>AND('BBP complete'!#REF!,"AAAAAF/202w=")</f>
        <v>#REF!</v>
      </c>
      <c r="DF69" t="e">
        <f>AND('BBP complete'!D923,"AAAAAF/2020=")</f>
        <v>#VALUE!</v>
      </c>
      <c r="DG69" t="e">
        <f>AND('BBP complete'!F923,"AAAAAF/2024=")</f>
        <v>#VALUE!</v>
      </c>
      <c r="DH69" t="e">
        <f>AND('BBP complete'!G923,"AAAAAF/2028=")</f>
        <v>#VALUE!</v>
      </c>
      <c r="DI69" t="e">
        <f>AND('BBP complete'!H923,"AAAAAF/203A=")</f>
        <v>#VALUE!</v>
      </c>
      <c r="DJ69" t="e">
        <f>AND('BBP complete'!I923,"AAAAAF/203E=")</f>
        <v>#VALUE!</v>
      </c>
      <c r="DK69" s="60" t="e">
        <v>#VALUE!</v>
      </c>
      <c r="DL69" t="e">
        <f>AND('BBP complete'!A923,"AAAAAF/203M=")</f>
        <v>#VALUE!</v>
      </c>
      <c r="DM69" t="e">
        <f>AND('BBP complete'!#REF!,"AAAAAF/203Q=")</f>
        <v>#REF!</v>
      </c>
      <c r="DN69" t="e">
        <f>AND('BBP complete'!#REF!,"AAAAAF/203U=")</f>
        <v>#REF!</v>
      </c>
      <c r="DO69" t="e">
        <f>AND('BBP complete'!#REF!,"AAAAAF/203Y=")</f>
        <v>#REF!</v>
      </c>
      <c r="DP69" t="e">
        <f>AND('BBP complete'!#REF!,"AAAAAF/203c=")</f>
        <v>#REF!</v>
      </c>
      <c r="DQ69" t="e">
        <f>AND('BBP complete'!#REF!,"AAAAAF/203g=")</f>
        <v>#REF!</v>
      </c>
      <c r="DR69" t="e">
        <f>AND('BBP complete'!E923,"AAAAAF/203k=")</f>
        <v>#VALUE!</v>
      </c>
      <c r="DS69" t="e">
        <f>AND('BBP complete'!#REF!,"AAAAAF/203o=")</f>
        <v>#REF!</v>
      </c>
      <c r="DT69" t="e">
        <f>AND('BBP complete'!K923,"AAAAAF/203s=")</f>
        <v>#VALUE!</v>
      </c>
      <c r="DU69" t="e">
        <f>AND('BBP complete'!L923,"AAAAAF/203w=")</f>
        <v>#VALUE!</v>
      </c>
      <c r="DV69" t="e">
        <f>AND('BBP complete'!#REF!,"AAAAAF/2030=")</f>
        <v>#REF!</v>
      </c>
      <c r="DW69" t="e">
        <f>AND('BBP complete'!#REF!,"AAAAAF/2034=")</f>
        <v>#REF!</v>
      </c>
      <c r="DX69" t="e">
        <f>AND('BBP complete'!#REF!,"AAAAAF/2038=")</f>
        <v>#REF!</v>
      </c>
      <c r="DY69" t="e">
        <f>AND('BBP complete'!D924,"AAAAAF/204A=")</f>
        <v>#VALUE!</v>
      </c>
      <c r="DZ69" t="e">
        <f>AND('BBP complete'!F924,"AAAAAF/204E=")</f>
        <v>#VALUE!</v>
      </c>
      <c r="EA69" t="e">
        <f>AND('BBP complete'!G924,"AAAAAF/204I=")</f>
        <v>#VALUE!</v>
      </c>
      <c r="EB69" t="e">
        <f>AND('BBP complete'!H924,"AAAAAF/204M=")</f>
        <v>#VALUE!</v>
      </c>
      <c r="EC69" t="e">
        <f>AND('BBP complete'!I924,"AAAAAF/204Q=")</f>
        <v>#VALUE!</v>
      </c>
      <c r="ED69" s="60" t="e">
        <v>#VALUE!</v>
      </c>
      <c r="EE69" t="e">
        <f>AND('BBP complete'!A924,"AAAAAF/204Y=")</f>
        <v>#VALUE!</v>
      </c>
      <c r="EF69" t="e">
        <f>AND('BBP complete'!#REF!,"AAAAAF/204c=")</f>
        <v>#REF!</v>
      </c>
      <c r="EG69" t="e">
        <f>AND('BBP complete'!#REF!,"AAAAAF/204g=")</f>
        <v>#REF!</v>
      </c>
      <c r="EH69" t="e">
        <f>AND('BBP complete'!#REF!,"AAAAAF/204k=")</f>
        <v>#REF!</v>
      </c>
      <c r="EI69" t="e">
        <f>AND('BBP complete'!#REF!,"AAAAAF/204o=")</f>
        <v>#REF!</v>
      </c>
      <c r="EJ69" t="e">
        <f>AND('BBP complete'!#REF!,"AAAAAF/204s=")</f>
        <v>#REF!</v>
      </c>
      <c r="EK69" t="e">
        <f>AND('BBP complete'!E924,"AAAAAF/204w=")</f>
        <v>#VALUE!</v>
      </c>
      <c r="EL69" t="e">
        <f>AND('BBP complete'!#REF!,"AAAAAF/2040=")</f>
        <v>#REF!</v>
      </c>
      <c r="EM69" t="e">
        <f>AND('BBP complete'!K924,"AAAAAF/2044=")</f>
        <v>#VALUE!</v>
      </c>
      <c r="EN69" t="e">
        <f>AND('BBP complete'!L924,"AAAAAF/2048=")</f>
        <v>#VALUE!</v>
      </c>
      <c r="EO69" t="e">
        <f>AND('BBP complete'!#REF!,"AAAAAF/205A=")</f>
        <v>#REF!</v>
      </c>
      <c r="EP69" t="e">
        <f>AND('BBP complete'!#REF!,"AAAAAF/205E=")</f>
        <v>#REF!</v>
      </c>
      <c r="EQ69" t="e">
        <f>AND('BBP complete'!#REF!,"AAAAAF/205I=")</f>
        <v>#REF!</v>
      </c>
      <c r="ER69" t="e">
        <f>AND('BBP complete'!D925,"AAAAAF/205M=")</f>
        <v>#VALUE!</v>
      </c>
      <c r="ES69" t="e">
        <f>AND('BBP complete'!F925,"AAAAAF/205Q=")</f>
        <v>#VALUE!</v>
      </c>
      <c r="ET69" t="e">
        <f>AND('BBP complete'!G925,"AAAAAF/205U=")</f>
        <v>#VALUE!</v>
      </c>
      <c r="EU69" t="e">
        <f>AND('BBP complete'!H925,"AAAAAF/205Y=")</f>
        <v>#VALUE!</v>
      </c>
      <c r="EV69" t="e">
        <f>AND('BBP complete'!I925,"AAAAAF/205c=")</f>
        <v>#VALUE!</v>
      </c>
      <c r="EW69" s="60" t="e">
        <v>#VALUE!</v>
      </c>
      <c r="EX69" t="e">
        <f>AND('BBP complete'!A925,"AAAAAF/205k=")</f>
        <v>#VALUE!</v>
      </c>
      <c r="EY69" t="e">
        <f>AND('BBP complete'!#REF!,"AAAAAF/205o=")</f>
        <v>#REF!</v>
      </c>
      <c r="EZ69" t="e">
        <f>AND('BBP complete'!#REF!,"AAAAAF/205s=")</f>
        <v>#REF!</v>
      </c>
      <c r="FA69" t="e">
        <f>AND('BBP complete'!#REF!,"AAAAAF/205w=")</f>
        <v>#REF!</v>
      </c>
      <c r="FB69" t="e">
        <f>AND('BBP complete'!#REF!,"AAAAAF/2050=")</f>
        <v>#REF!</v>
      </c>
      <c r="FC69" t="e">
        <f>AND('BBP complete'!#REF!,"AAAAAF/2054=")</f>
        <v>#REF!</v>
      </c>
      <c r="FD69" t="e">
        <f>AND('BBP complete'!E925,"AAAAAF/2058=")</f>
        <v>#VALUE!</v>
      </c>
      <c r="FE69" t="e">
        <f>AND('BBP complete'!#REF!,"AAAAAF/206A=")</f>
        <v>#REF!</v>
      </c>
      <c r="FF69" t="e">
        <f>AND('BBP complete'!K925,"AAAAAF/206E=")</f>
        <v>#VALUE!</v>
      </c>
      <c r="FG69" t="e">
        <f>AND('BBP complete'!L925,"AAAAAF/206I=")</f>
        <v>#VALUE!</v>
      </c>
      <c r="FH69" t="e">
        <f>AND('BBP complete'!#REF!,"AAAAAF/206M=")</f>
        <v>#REF!</v>
      </c>
      <c r="FI69" t="e">
        <f>AND('BBP complete'!#REF!,"AAAAAF/206Q=")</f>
        <v>#REF!</v>
      </c>
      <c r="FJ69" t="e">
        <f>AND('BBP complete'!#REF!,"AAAAAF/206U=")</f>
        <v>#REF!</v>
      </c>
      <c r="FK69" t="e">
        <f>AND('BBP complete'!D926,"AAAAAF/206Y=")</f>
        <v>#VALUE!</v>
      </c>
      <c r="FL69" t="e">
        <f>AND('BBP complete'!F926,"AAAAAF/206c=")</f>
        <v>#VALUE!</v>
      </c>
      <c r="FM69" t="e">
        <f>AND('BBP complete'!G926,"AAAAAF/206g=")</f>
        <v>#VALUE!</v>
      </c>
      <c r="FN69" t="e">
        <f>AND('BBP complete'!H926,"AAAAAF/206k=")</f>
        <v>#VALUE!</v>
      </c>
      <c r="FO69" t="e">
        <f>AND('BBP complete'!I926,"AAAAAF/206o=")</f>
        <v>#VALUE!</v>
      </c>
      <c r="FP69" s="60" t="e">
        <v>#VALUE!</v>
      </c>
      <c r="FQ69" t="e">
        <f>AND('BBP complete'!A926,"AAAAAF/206w=")</f>
        <v>#VALUE!</v>
      </c>
      <c r="FR69" t="e">
        <f>AND('BBP complete'!#REF!,"AAAAAF/2060=")</f>
        <v>#REF!</v>
      </c>
      <c r="FS69" t="e">
        <f>AND('BBP complete'!#REF!,"AAAAAF/2064=")</f>
        <v>#REF!</v>
      </c>
      <c r="FT69" t="e">
        <f>AND('BBP complete'!#REF!,"AAAAAF/2068=")</f>
        <v>#REF!</v>
      </c>
      <c r="FU69" t="e">
        <f>AND('BBP complete'!#REF!,"AAAAAF/207A=")</f>
        <v>#REF!</v>
      </c>
      <c r="FV69" t="e">
        <f>AND('BBP complete'!#REF!,"AAAAAF/207E=")</f>
        <v>#REF!</v>
      </c>
      <c r="FW69" t="e">
        <f>AND('BBP complete'!E926,"AAAAAF/207I=")</f>
        <v>#VALUE!</v>
      </c>
      <c r="FX69" t="e">
        <f>AND('BBP complete'!#REF!,"AAAAAF/207M=")</f>
        <v>#REF!</v>
      </c>
      <c r="FY69" t="e">
        <f>AND('BBP complete'!K926,"AAAAAF/207Q=")</f>
        <v>#VALUE!</v>
      </c>
      <c r="FZ69" t="e">
        <f>AND('BBP complete'!L926,"AAAAAF/207U=")</f>
        <v>#VALUE!</v>
      </c>
      <c r="GA69" t="e">
        <f>AND('BBP complete'!#REF!,"AAAAAF/207Y=")</f>
        <v>#REF!</v>
      </c>
      <c r="GB69" t="e">
        <f>AND('BBP complete'!#REF!,"AAAAAF/207c=")</f>
        <v>#REF!</v>
      </c>
      <c r="GC69" t="e">
        <f>AND('BBP complete'!#REF!,"AAAAAF/207g=")</f>
        <v>#REF!</v>
      </c>
      <c r="GD69" t="e">
        <f>AND('BBP complete'!D927,"AAAAAF/207k=")</f>
        <v>#VALUE!</v>
      </c>
      <c r="GE69" t="e">
        <f>AND('BBP complete'!F927,"AAAAAF/207o=")</f>
        <v>#VALUE!</v>
      </c>
      <c r="GF69" t="e">
        <f>AND('BBP complete'!G927,"AAAAAF/207s=")</f>
        <v>#VALUE!</v>
      </c>
      <c r="GG69" t="e">
        <f>AND('BBP complete'!H927,"AAAAAF/207w=")</f>
        <v>#VALUE!</v>
      </c>
      <c r="GH69" t="e">
        <f>AND('BBP complete'!I927,"AAAAAF/2070=")</f>
        <v>#VALUE!</v>
      </c>
      <c r="GI69" s="60" t="e">
        <v>#VALUE!</v>
      </c>
      <c r="GJ69" t="e">
        <f>AND('BBP complete'!A927,"AAAAAF/2078=")</f>
        <v>#VALUE!</v>
      </c>
      <c r="GK69" t="e">
        <f>AND('BBP complete'!#REF!,"AAAAAF/208A=")</f>
        <v>#REF!</v>
      </c>
      <c r="GL69" t="e">
        <f>AND('BBP complete'!#REF!,"AAAAAF/208E=")</f>
        <v>#REF!</v>
      </c>
      <c r="GM69" t="e">
        <f>AND('BBP complete'!#REF!,"AAAAAF/208I=")</f>
        <v>#REF!</v>
      </c>
      <c r="GN69" t="e">
        <f>AND('BBP complete'!#REF!,"AAAAAF/208M=")</f>
        <v>#REF!</v>
      </c>
      <c r="GO69" t="e">
        <f>AND('BBP complete'!#REF!,"AAAAAF/208Q=")</f>
        <v>#REF!</v>
      </c>
      <c r="GP69" t="e">
        <f>AND('BBP complete'!E927,"AAAAAF/208U=")</f>
        <v>#VALUE!</v>
      </c>
      <c r="GQ69" t="e">
        <f>AND('BBP complete'!#REF!,"AAAAAF/208Y=")</f>
        <v>#REF!</v>
      </c>
      <c r="GR69" t="e">
        <f>AND('BBP complete'!K927,"AAAAAF/208c=")</f>
        <v>#VALUE!</v>
      </c>
      <c r="GS69" t="e">
        <f>AND('BBP complete'!L927,"AAAAAF/208g=")</f>
        <v>#VALUE!</v>
      </c>
      <c r="GT69" t="e">
        <f>AND('BBP complete'!#REF!,"AAAAAF/208k=")</f>
        <v>#REF!</v>
      </c>
      <c r="GU69" t="e">
        <f>AND('BBP complete'!#REF!,"AAAAAF/208o=")</f>
        <v>#REF!</v>
      </c>
      <c r="GV69" t="e">
        <f>AND('BBP complete'!#REF!,"AAAAAF/208s=")</f>
        <v>#REF!</v>
      </c>
      <c r="GW69" t="e">
        <f>AND('BBP complete'!D928,"AAAAAF/208w=")</f>
        <v>#VALUE!</v>
      </c>
      <c r="GX69" t="e">
        <f>AND('BBP complete'!F928,"AAAAAF/2080=")</f>
        <v>#VALUE!</v>
      </c>
      <c r="GY69" t="e">
        <f>AND('BBP complete'!G928,"AAAAAF/2084=")</f>
        <v>#VALUE!</v>
      </c>
      <c r="GZ69" t="e">
        <f>AND('BBP complete'!H928,"AAAAAF/2088=")</f>
        <v>#VALUE!</v>
      </c>
      <c r="HA69" t="e">
        <f>AND('BBP complete'!I928,"AAAAAF/209A=")</f>
        <v>#VALUE!</v>
      </c>
      <c r="HB69" s="60" t="e">
        <v>#VALUE!</v>
      </c>
      <c r="HC69" t="e">
        <f>AND('BBP complete'!A928,"AAAAAF/209I=")</f>
        <v>#VALUE!</v>
      </c>
      <c r="HD69" t="e">
        <f>AND('BBP complete'!#REF!,"AAAAAF/209M=")</f>
        <v>#REF!</v>
      </c>
      <c r="HE69" t="e">
        <f>AND('BBP complete'!#REF!,"AAAAAF/209Q=")</f>
        <v>#REF!</v>
      </c>
      <c r="HF69" t="e">
        <f>AND('BBP complete'!#REF!,"AAAAAF/209U=")</f>
        <v>#REF!</v>
      </c>
      <c r="HG69" t="e">
        <f>AND('BBP complete'!#REF!,"AAAAAF/209Y=")</f>
        <v>#REF!</v>
      </c>
      <c r="HH69" t="e">
        <f>AND('BBP complete'!#REF!,"AAAAAF/209c=")</f>
        <v>#REF!</v>
      </c>
      <c r="HI69" t="e">
        <f>AND('BBP complete'!E928,"AAAAAF/209g=")</f>
        <v>#VALUE!</v>
      </c>
      <c r="HJ69" t="e">
        <f>AND('BBP complete'!#REF!,"AAAAAF/209k=")</f>
        <v>#REF!</v>
      </c>
      <c r="HK69" t="e">
        <f>AND('BBP complete'!K928,"AAAAAF/209o=")</f>
        <v>#VALUE!</v>
      </c>
      <c r="HL69" t="e">
        <f>AND('BBP complete'!L928,"AAAAAF/209s=")</f>
        <v>#VALUE!</v>
      </c>
      <c r="HM69" t="e">
        <f>AND('BBP complete'!#REF!,"AAAAAF/209w=")</f>
        <v>#REF!</v>
      </c>
      <c r="HN69" t="e">
        <f>AND('BBP complete'!#REF!,"AAAAAF/2090=")</f>
        <v>#REF!</v>
      </c>
      <c r="HO69" t="e">
        <f>AND('BBP complete'!#REF!,"AAAAAF/2094=")</f>
        <v>#REF!</v>
      </c>
      <c r="HP69" t="e">
        <f>AND('BBP complete'!D929,"AAAAAF/2098=")</f>
        <v>#VALUE!</v>
      </c>
      <c r="HQ69" t="e">
        <f>AND('BBP complete'!F929,"AAAAAF/20+A=")</f>
        <v>#VALUE!</v>
      </c>
      <c r="HR69" t="e">
        <f>AND('BBP complete'!G929,"AAAAAF/20+E=")</f>
        <v>#VALUE!</v>
      </c>
      <c r="HS69" t="e">
        <f>AND('BBP complete'!H929,"AAAAAF/20+I=")</f>
        <v>#VALUE!</v>
      </c>
      <c r="HT69" t="e">
        <f>AND('BBP complete'!I929,"AAAAAF/20+M=")</f>
        <v>#VALUE!</v>
      </c>
      <c r="HU69" s="60" t="e">
        <v>#VALUE!</v>
      </c>
      <c r="HV69" t="e">
        <f>AND('BBP complete'!A929,"AAAAAF/20+U=")</f>
        <v>#VALUE!</v>
      </c>
      <c r="HW69" t="e">
        <f>AND('BBP complete'!#REF!,"AAAAAF/20+Y=")</f>
        <v>#REF!</v>
      </c>
      <c r="HX69" t="e">
        <f>AND('BBP complete'!#REF!,"AAAAAF/20+c=")</f>
        <v>#REF!</v>
      </c>
      <c r="HY69" t="e">
        <f>AND('BBP complete'!#REF!,"AAAAAF/20+g=")</f>
        <v>#REF!</v>
      </c>
      <c r="HZ69" t="e">
        <f>AND('BBP complete'!#REF!,"AAAAAF/20+k=")</f>
        <v>#REF!</v>
      </c>
      <c r="IA69" t="e">
        <f>AND('BBP complete'!#REF!,"AAAAAF/20+o=")</f>
        <v>#REF!</v>
      </c>
      <c r="IB69" t="e">
        <f>AND('BBP complete'!E929,"AAAAAF/20+s=")</f>
        <v>#VALUE!</v>
      </c>
      <c r="IC69" t="e">
        <f>AND('BBP complete'!#REF!,"AAAAAF/20+w=")</f>
        <v>#REF!</v>
      </c>
      <c r="ID69" t="e">
        <f>AND('BBP complete'!K929,"AAAAAF/20+0=")</f>
        <v>#VALUE!</v>
      </c>
      <c r="IE69" t="e">
        <f>AND('BBP complete'!L929,"AAAAAF/20+4=")</f>
        <v>#VALUE!</v>
      </c>
      <c r="IF69" t="e">
        <f>AND('BBP complete'!#REF!,"AAAAAF/20+8=")</f>
        <v>#REF!</v>
      </c>
      <c r="IG69" t="e">
        <f>AND('BBP complete'!#REF!,"AAAAAF/20/A=")</f>
        <v>#REF!</v>
      </c>
      <c r="IH69" t="e">
        <f>AND('BBP complete'!#REF!,"AAAAAF/20/E=")</f>
        <v>#REF!</v>
      </c>
      <c r="II69" t="e">
        <f>AND('BBP complete'!D930,"AAAAAF/20/I=")</f>
        <v>#VALUE!</v>
      </c>
      <c r="IJ69" t="e">
        <f>AND('BBP complete'!F930,"AAAAAF/20/M=")</f>
        <v>#VALUE!</v>
      </c>
      <c r="IK69" t="e">
        <f>AND('BBP complete'!G930,"AAAAAF/20/Q=")</f>
        <v>#VALUE!</v>
      </c>
      <c r="IL69" t="e">
        <f>AND('BBP complete'!H930,"AAAAAF/20/U=")</f>
        <v>#VALUE!</v>
      </c>
      <c r="IM69" t="e">
        <f>AND('BBP complete'!I930,"AAAAAF/20/Y=")</f>
        <v>#VALUE!</v>
      </c>
      <c r="IN69" s="60" t="e">
        <v>#VALUE!</v>
      </c>
      <c r="IO69" t="e">
        <f>AND('BBP complete'!A930,"AAAAAF/20/g=")</f>
        <v>#VALUE!</v>
      </c>
      <c r="IP69" t="e">
        <f>AND('BBP complete'!#REF!,"AAAAAF/20/k=")</f>
        <v>#REF!</v>
      </c>
      <c r="IQ69" t="e">
        <f>AND('BBP complete'!#REF!,"AAAAAF/20/o=")</f>
        <v>#REF!</v>
      </c>
      <c r="IR69" t="e">
        <f>AND('BBP complete'!#REF!,"AAAAAF/20/s=")</f>
        <v>#REF!</v>
      </c>
      <c r="IS69" t="e">
        <f>AND('BBP complete'!#REF!,"AAAAAF/20/w=")</f>
        <v>#REF!</v>
      </c>
      <c r="IT69" t="e">
        <f>AND('BBP complete'!#REF!,"AAAAAF/20/0=")</f>
        <v>#REF!</v>
      </c>
      <c r="IU69" t="e">
        <f>AND('BBP complete'!E930,"AAAAAF/20/4=")</f>
        <v>#VALUE!</v>
      </c>
      <c r="IV69" t="e">
        <f>AND('BBP complete'!#REF!,"AAAAAF/20/8=")</f>
        <v>#REF!</v>
      </c>
    </row>
    <row r="70" spans="1:256" ht="15" customHeight="1" x14ac:dyDescent="0.25">
      <c r="A70" t="e">
        <f>AND('BBP complete'!K930,"AAAAAH9/pwA=")</f>
        <v>#VALUE!</v>
      </c>
      <c r="B70" t="e">
        <f>AND('BBP complete'!L930,"AAAAAH9/pwE=")</f>
        <v>#VALUE!</v>
      </c>
      <c r="C70" t="e">
        <f>AND('BBP complete'!#REF!,"AAAAAH9/pwI=")</f>
        <v>#REF!</v>
      </c>
      <c r="D70" t="e">
        <f>AND('BBP complete'!#REF!,"AAAAAH9/pwM=")</f>
        <v>#REF!</v>
      </c>
      <c r="E70" t="e">
        <f>AND('BBP complete'!#REF!,"AAAAAH9/pwQ=")</f>
        <v>#REF!</v>
      </c>
      <c r="F70" t="e">
        <f>AND('BBP complete'!D931,"AAAAAH9/pwU=")</f>
        <v>#VALUE!</v>
      </c>
      <c r="G70" t="e">
        <f>AND('BBP complete'!F931,"AAAAAH9/pwY=")</f>
        <v>#VALUE!</v>
      </c>
      <c r="H70" t="e">
        <f>AND('BBP complete'!G931,"AAAAAH9/pwc=")</f>
        <v>#VALUE!</v>
      </c>
      <c r="I70" t="e">
        <f>AND('BBP complete'!H931,"AAAAAH9/pwg=")</f>
        <v>#VALUE!</v>
      </c>
      <c r="J70" t="e">
        <f>AND('BBP complete'!I931,"AAAAAH9/pwk=")</f>
        <v>#VALUE!</v>
      </c>
      <c r="K70" s="60" t="e">
        <v>#VALUE!</v>
      </c>
      <c r="L70" t="e">
        <f>AND('BBP complete'!A931,"AAAAAH9/pws=")</f>
        <v>#VALUE!</v>
      </c>
      <c r="M70" t="e">
        <f>AND('BBP complete'!#REF!,"AAAAAH9/pww=")</f>
        <v>#REF!</v>
      </c>
      <c r="N70" t="e">
        <f>AND('BBP complete'!#REF!,"AAAAAH9/pw0=")</f>
        <v>#REF!</v>
      </c>
      <c r="O70" t="e">
        <f>AND('BBP complete'!#REF!,"AAAAAH9/pw4=")</f>
        <v>#REF!</v>
      </c>
      <c r="P70" t="e">
        <f>AND('BBP complete'!#REF!,"AAAAAH9/pw8=")</f>
        <v>#REF!</v>
      </c>
      <c r="Q70" t="e">
        <f>AND('BBP complete'!#REF!,"AAAAAH9/pxA=")</f>
        <v>#REF!</v>
      </c>
      <c r="R70" t="e">
        <f>AND('BBP complete'!E931,"AAAAAH9/pxE=")</f>
        <v>#VALUE!</v>
      </c>
      <c r="S70" t="e">
        <f>AND('BBP complete'!#REF!,"AAAAAH9/pxI=")</f>
        <v>#REF!</v>
      </c>
      <c r="T70" t="e">
        <f>AND('BBP complete'!K931,"AAAAAH9/pxM=")</f>
        <v>#VALUE!</v>
      </c>
      <c r="U70" t="e">
        <f>AND('BBP complete'!L931,"AAAAAH9/pxQ=")</f>
        <v>#VALUE!</v>
      </c>
      <c r="V70" t="e">
        <f>AND('BBP complete'!#REF!,"AAAAAH9/pxU=")</f>
        <v>#REF!</v>
      </c>
      <c r="W70" t="e">
        <f>AND('BBP complete'!#REF!,"AAAAAH9/pxY=")</f>
        <v>#REF!</v>
      </c>
      <c r="X70" t="e">
        <f>AND('BBP complete'!#REF!,"AAAAAH9/pxc=")</f>
        <v>#REF!</v>
      </c>
      <c r="Y70" t="e">
        <f>AND('BBP complete'!D932,"AAAAAH9/pxg=")</f>
        <v>#VALUE!</v>
      </c>
      <c r="Z70" t="e">
        <f>AND('BBP complete'!F932,"AAAAAH9/pxk=")</f>
        <v>#VALUE!</v>
      </c>
      <c r="AA70" t="e">
        <f>AND('BBP complete'!G932,"AAAAAH9/pxo=")</f>
        <v>#VALUE!</v>
      </c>
      <c r="AB70" t="e">
        <f>AND('BBP complete'!H932,"AAAAAH9/pxs=")</f>
        <v>#VALUE!</v>
      </c>
      <c r="AC70" t="e">
        <f>AND('BBP complete'!I932,"AAAAAH9/pxw=")</f>
        <v>#VALUE!</v>
      </c>
      <c r="AD70" s="60" t="e">
        <v>#VALUE!</v>
      </c>
      <c r="AE70" t="e">
        <f>AND('BBP complete'!A932,"AAAAAH9/px4=")</f>
        <v>#VALUE!</v>
      </c>
      <c r="AF70" t="e">
        <f>AND('BBP complete'!#REF!,"AAAAAH9/px8=")</f>
        <v>#REF!</v>
      </c>
      <c r="AG70" t="e">
        <f>AND('BBP complete'!#REF!,"AAAAAH9/pyA=")</f>
        <v>#REF!</v>
      </c>
      <c r="AH70" t="e">
        <f>AND('BBP complete'!#REF!,"AAAAAH9/pyE=")</f>
        <v>#REF!</v>
      </c>
      <c r="AI70" t="e">
        <f>AND('BBP complete'!#REF!,"AAAAAH9/pyI=")</f>
        <v>#REF!</v>
      </c>
      <c r="AJ70" t="e">
        <f>AND('BBP complete'!#REF!,"AAAAAH9/pyM=")</f>
        <v>#REF!</v>
      </c>
      <c r="AK70" t="e">
        <f>AND('BBP complete'!E932,"AAAAAH9/pyQ=")</f>
        <v>#VALUE!</v>
      </c>
      <c r="AL70" t="e">
        <f>AND('BBP complete'!#REF!,"AAAAAH9/pyU=")</f>
        <v>#REF!</v>
      </c>
      <c r="AM70" t="e">
        <f>AND('BBP complete'!K932,"AAAAAH9/pyY=")</f>
        <v>#VALUE!</v>
      </c>
      <c r="AN70" t="e">
        <f>AND('BBP complete'!L932,"AAAAAH9/pyc=")</f>
        <v>#VALUE!</v>
      </c>
      <c r="AO70" t="e">
        <f>AND('BBP complete'!#REF!,"AAAAAH9/pyg=")</f>
        <v>#REF!</v>
      </c>
      <c r="AP70" t="e">
        <f>AND('BBP complete'!#REF!,"AAAAAH9/pyk=")</f>
        <v>#REF!</v>
      </c>
      <c r="AQ70" t="e">
        <f>AND('BBP complete'!#REF!,"AAAAAH9/pyo=")</f>
        <v>#REF!</v>
      </c>
      <c r="AR70" t="e">
        <f>AND('BBP complete'!D933,"AAAAAH9/pys=")</f>
        <v>#VALUE!</v>
      </c>
      <c r="AS70" t="e">
        <f>AND('BBP complete'!F933,"AAAAAH9/pyw=")</f>
        <v>#VALUE!</v>
      </c>
      <c r="AT70" t="e">
        <f>AND('BBP complete'!G933,"AAAAAH9/py0=")</f>
        <v>#VALUE!</v>
      </c>
      <c r="AU70" t="e">
        <f>AND('BBP complete'!H933,"AAAAAH9/py4=")</f>
        <v>#VALUE!</v>
      </c>
      <c r="AV70" t="e">
        <f>AND('BBP complete'!I933,"AAAAAH9/py8=")</f>
        <v>#VALUE!</v>
      </c>
      <c r="AW70" s="60" t="e">
        <v>#VALUE!</v>
      </c>
      <c r="AX70" t="e">
        <f>AND('BBP complete'!A933,"AAAAAH9/pzE=")</f>
        <v>#VALUE!</v>
      </c>
      <c r="AY70" t="e">
        <f>AND('BBP complete'!#REF!,"AAAAAH9/pzI=")</f>
        <v>#REF!</v>
      </c>
      <c r="AZ70" t="e">
        <f>AND('BBP complete'!#REF!,"AAAAAH9/pzM=")</f>
        <v>#REF!</v>
      </c>
      <c r="BA70" t="e">
        <f>AND('BBP complete'!#REF!,"AAAAAH9/pzQ=")</f>
        <v>#REF!</v>
      </c>
      <c r="BB70" t="e">
        <f>AND('BBP complete'!#REF!,"AAAAAH9/pzU=")</f>
        <v>#REF!</v>
      </c>
      <c r="BC70" t="e">
        <f>AND('BBP complete'!#REF!,"AAAAAH9/pzY=")</f>
        <v>#REF!</v>
      </c>
      <c r="BD70" t="e">
        <f>AND('BBP complete'!E933,"AAAAAH9/pzc=")</f>
        <v>#VALUE!</v>
      </c>
      <c r="BE70" t="e">
        <f>AND('BBP complete'!#REF!,"AAAAAH9/pzg=")</f>
        <v>#REF!</v>
      </c>
      <c r="BF70" t="e">
        <f>AND('BBP complete'!K933,"AAAAAH9/pzk=")</f>
        <v>#VALUE!</v>
      </c>
      <c r="BG70" t="e">
        <f>AND('BBP complete'!L933,"AAAAAH9/pzo=")</f>
        <v>#VALUE!</v>
      </c>
      <c r="BH70" t="e">
        <f>AND('BBP complete'!#REF!,"AAAAAH9/pzs=")</f>
        <v>#REF!</v>
      </c>
      <c r="BI70" t="e">
        <f>AND('BBP complete'!#REF!,"AAAAAH9/pzw=")</f>
        <v>#REF!</v>
      </c>
      <c r="BJ70" t="e">
        <f>AND('BBP complete'!#REF!,"AAAAAH9/pz0=")</f>
        <v>#REF!</v>
      </c>
      <c r="BK70" t="e">
        <f>AND('BBP complete'!D934,"AAAAAH9/pz4=")</f>
        <v>#VALUE!</v>
      </c>
      <c r="BL70" t="e">
        <f>AND('BBP complete'!F934,"AAAAAH9/pz8=")</f>
        <v>#VALUE!</v>
      </c>
      <c r="BM70" t="e">
        <f>AND('BBP complete'!G934,"AAAAAH9/p0A=")</f>
        <v>#VALUE!</v>
      </c>
      <c r="BN70" t="e">
        <f>AND('BBP complete'!H934,"AAAAAH9/p0E=")</f>
        <v>#VALUE!</v>
      </c>
      <c r="BO70" t="e">
        <f>AND('BBP complete'!I934,"AAAAAH9/p0I=")</f>
        <v>#VALUE!</v>
      </c>
      <c r="BP70" s="60" t="e">
        <v>#VALUE!</v>
      </c>
      <c r="BQ70" t="e">
        <f>AND('BBP complete'!A934,"AAAAAH9/p0Q=")</f>
        <v>#VALUE!</v>
      </c>
      <c r="BR70" t="e">
        <f>AND('BBP complete'!#REF!,"AAAAAH9/p0U=")</f>
        <v>#REF!</v>
      </c>
      <c r="BS70" t="e">
        <f>AND('BBP complete'!#REF!,"AAAAAH9/p0Y=")</f>
        <v>#REF!</v>
      </c>
      <c r="BT70" t="e">
        <f>AND('BBP complete'!#REF!,"AAAAAH9/p0c=")</f>
        <v>#REF!</v>
      </c>
      <c r="BU70" t="e">
        <f>AND('BBP complete'!#REF!,"AAAAAH9/p0g=")</f>
        <v>#REF!</v>
      </c>
      <c r="BV70" t="e">
        <f>AND('BBP complete'!#REF!,"AAAAAH9/p0k=")</f>
        <v>#REF!</v>
      </c>
      <c r="BW70" t="e">
        <f>AND('BBP complete'!E934,"AAAAAH9/p0o=")</f>
        <v>#VALUE!</v>
      </c>
      <c r="BX70" t="e">
        <f>AND('BBP complete'!#REF!,"AAAAAH9/p0s=")</f>
        <v>#REF!</v>
      </c>
      <c r="BY70" t="e">
        <f>AND('BBP complete'!K934,"AAAAAH9/p0w=")</f>
        <v>#VALUE!</v>
      </c>
      <c r="BZ70" t="e">
        <f>AND('BBP complete'!L934,"AAAAAH9/p00=")</f>
        <v>#VALUE!</v>
      </c>
      <c r="CA70" t="e">
        <f>AND('BBP complete'!#REF!,"AAAAAH9/p04=")</f>
        <v>#REF!</v>
      </c>
      <c r="CB70" t="e">
        <f>AND('BBP complete'!#REF!,"AAAAAH9/p08=")</f>
        <v>#REF!</v>
      </c>
      <c r="CC70" t="e">
        <f>AND('BBP complete'!#REF!,"AAAAAH9/p1A=")</f>
        <v>#REF!</v>
      </c>
      <c r="CD70" t="e">
        <f>AND('BBP complete'!D935,"AAAAAH9/p1E=")</f>
        <v>#VALUE!</v>
      </c>
      <c r="CE70" t="e">
        <f>AND('BBP complete'!F935,"AAAAAH9/p1I=")</f>
        <v>#VALUE!</v>
      </c>
      <c r="CF70" t="e">
        <f>AND('BBP complete'!G935,"AAAAAH9/p1M=")</f>
        <v>#VALUE!</v>
      </c>
      <c r="CG70" t="e">
        <f>AND('BBP complete'!H935,"AAAAAH9/p1Q=")</f>
        <v>#VALUE!</v>
      </c>
      <c r="CH70" t="e">
        <f>AND('BBP complete'!I935,"AAAAAH9/p1U=")</f>
        <v>#VALUE!</v>
      </c>
      <c r="CI70" s="60" t="e">
        <v>#VALUE!</v>
      </c>
      <c r="CJ70" t="e">
        <f>AND('BBP complete'!A935,"AAAAAH9/p1c=")</f>
        <v>#VALUE!</v>
      </c>
      <c r="CK70" t="e">
        <f>AND('BBP complete'!#REF!,"AAAAAH9/p1g=")</f>
        <v>#REF!</v>
      </c>
      <c r="CL70" t="e">
        <f>AND('BBP complete'!#REF!,"AAAAAH9/p1k=")</f>
        <v>#REF!</v>
      </c>
      <c r="CM70" t="e">
        <f>AND('BBP complete'!#REF!,"AAAAAH9/p1o=")</f>
        <v>#REF!</v>
      </c>
      <c r="CN70" t="e">
        <f>AND('BBP complete'!#REF!,"AAAAAH9/p1s=")</f>
        <v>#REF!</v>
      </c>
      <c r="CO70" t="e">
        <f>AND('BBP complete'!#REF!,"AAAAAH9/p1w=")</f>
        <v>#REF!</v>
      </c>
      <c r="CP70" t="e">
        <f>AND('BBP complete'!E935,"AAAAAH9/p10=")</f>
        <v>#VALUE!</v>
      </c>
      <c r="CQ70" t="e">
        <f>AND('BBP complete'!#REF!,"AAAAAH9/p14=")</f>
        <v>#REF!</v>
      </c>
      <c r="CR70" t="e">
        <f>AND('BBP complete'!K935,"AAAAAH9/p18=")</f>
        <v>#VALUE!</v>
      </c>
      <c r="CS70" t="e">
        <f>AND('BBP complete'!L935,"AAAAAH9/p2A=")</f>
        <v>#VALUE!</v>
      </c>
      <c r="CT70" t="e">
        <f>AND('BBP complete'!#REF!,"AAAAAH9/p2E=")</f>
        <v>#REF!</v>
      </c>
      <c r="CU70" t="e">
        <f>AND('BBP complete'!#REF!,"AAAAAH9/p2I=")</f>
        <v>#REF!</v>
      </c>
      <c r="CV70" t="e">
        <f>AND('BBP complete'!#REF!,"AAAAAH9/p2M=")</f>
        <v>#REF!</v>
      </c>
      <c r="CW70" t="e">
        <f>AND('BBP complete'!D936,"AAAAAH9/p2Q=")</f>
        <v>#VALUE!</v>
      </c>
      <c r="CX70" t="e">
        <f>AND('BBP complete'!F936,"AAAAAH9/p2U=")</f>
        <v>#VALUE!</v>
      </c>
      <c r="CY70" t="e">
        <f>AND('BBP complete'!G936,"AAAAAH9/p2Y=")</f>
        <v>#VALUE!</v>
      </c>
      <c r="CZ70" t="e">
        <f>AND('BBP complete'!H936,"AAAAAH9/p2c=")</f>
        <v>#VALUE!</v>
      </c>
      <c r="DA70" t="e">
        <f>AND('BBP complete'!I936,"AAAAAH9/p2g=")</f>
        <v>#VALUE!</v>
      </c>
      <c r="DB70" s="60" t="e">
        <v>#VALUE!</v>
      </c>
      <c r="DC70" t="e">
        <f>AND('BBP complete'!A936,"AAAAAH9/p2o=")</f>
        <v>#VALUE!</v>
      </c>
      <c r="DD70" t="e">
        <f>AND('BBP complete'!#REF!,"AAAAAH9/p2s=")</f>
        <v>#REF!</v>
      </c>
      <c r="DE70" t="e">
        <f>AND('BBP complete'!#REF!,"AAAAAH9/p2w=")</f>
        <v>#REF!</v>
      </c>
      <c r="DF70" t="e">
        <f>AND('BBP complete'!#REF!,"AAAAAH9/p20=")</f>
        <v>#REF!</v>
      </c>
      <c r="DG70" t="e">
        <f>AND('BBP complete'!#REF!,"AAAAAH9/p24=")</f>
        <v>#REF!</v>
      </c>
      <c r="DH70" t="e">
        <f>AND('BBP complete'!#REF!,"AAAAAH9/p28=")</f>
        <v>#REF!</v>
      </c>
      <c r="DI70" t="e">
        <f>AND('BBP complete'!E936,"AAAAAH9/p3A=")</f>
        <v>#VALUE!</v>
      </c>
      <c r="DJ70" t="e">
        <f>AND('BBP complete'!#REF!,"AAAAAH9/p3E=")</f>
        <v>#REF!</v>
      </c>
      <c r="DK70" t="e">
        <f>AND('BBP complete'!K936,"AAAAAH9/p3I=")</f>
        <v>#VALUE!</v>
      </c>
      <c r="DL70" t="e">
        <f>AND('BBP complete'!L936,"AAAAAH9/p3M=")</f>
        <v>#VALUE!</v>
      </c>
      <c r="DM70" t="e">
        <f>AND('BBP complete'!#REF!,"AAAAAH9/p3Q=")</f>
        <v>#REF!</v>
      </c>
      <c r="DN70" t="e">
        <f>AND('BBP complete'!#REF!,"AAAAAH9/p3U=")</f>
        <v>#REF!</v>
      </c>
      <c r="DO70" t="e">
        <f>AND('BBP complete'!#REF!,"AAAAAH9/p3Y=")</f>
        <v>#REF!</v>
      </c>
      <c r="DP70" t="e">
        <f>AND('BBP complete'!D937,"AAAAAH9/p3c=")</f>
        <v>#VALUE!</v>
      </c>
      <c r="DQ70" t="e">
        <f>AND('BBP complete'!F937,"AAAAAH9/p3g=")</f>
        <v>#VALUE!</v>
      </c>
      <c r="DR70" t="e">
        <f>AND('BBP complete'!G937,"AAAAAH9/p3k=")</f>
        <v>#VALUE!</v>
      </c>
      <c r="DS70" t="e">
        <f>AND('BBP complete'!H937,"AAAAAH9/p3o=")</f>
        <v>#VALUE!</v>
      </c>
      <c r="DT70" t="e">
        <f>AND('BBP complete'!I937,"AAAAAH9/p3s=")</f>
        <v>#VALUE!</v>
      </c>
      <c r="DU70" s="60" t="e">
        <v>#VALUE!</v>
      </c>
      <c r="DV70" t="e">
        <f>AND('BBP complete'!A937,"AAAAAH9/p30=")</f>
        <v>#VALUE!</v>
      </c>
      <c r="DW70" t="e">
        <f>AND('BBP complete'!#REF!,"AAAAAH9/p34=")</f>
        <v>#REF!</v>
      </c>
      <c r="DX70" t="e">
        <f>AND('BBP complete'!#REF!,"AAAAAH9/p38=")</f>
        <v>#REF!</v>
      </c>
      <c r="DY70" t="e">
        <f>AND('BBP complete'!#REF!,"AAAAAH9/p4A=")</f>
        <v>#REF!</v>
      </c>
      <c r="DZ70" t="e">
        <f>AND('BBP complete'!#REF!,"AAAAAH9/p4E=")</f>
        <v>#REF!</v>
      </c>
      <c r="EA70" t="e">
        <f>AND('BBP complete'!#REF!,"AAAAAH9/p4I=")</f>
        <v>#REF!</v>
      </c>
      <c r="EB70" t="e">
        <f>AND('BBP complete'!E937,"AAAAAH9/p4M=")</f>
        <v>#VALUE!</v>
      </c>
      <c r="EC70" t="e">
        <f>AND('BBP complete'!#REF!,"AAAAAH9/p4Q=")</f>
        <v>#REF!</v>
      </c>
      <c r="ED70" t="e">
        <f>AND('BBP complete'!K937,"AAAAAH9/p4U=")</f>
        <v>#VALUE!</v>
      </c>
      <c r="EE70" t="e">
        <f>AND('BBP complete'!L937,"AAAAAH9/p4Y=")</f>
        <v>#VALUE!</v>
      </c>
      <c r="EF70" t="e">
        <f>AND('BBP complete'!#REF!,"AAAAAH9/p4c=")</f>
        <v>#REF!</v>
      </c>
      <c r="EG70" t="e">
        <f>AND('BBP complete'!#REF!,"AAAAAH9/p4g=")</f>
        <v>#REF!</v>
      </c>
      <c r="EH70" t="e">
        <f>AND('BBP complete'!#REF!,"AAAAAH9/p4k=")</f>
        <v>#REF!</v>
      </c>
      <c r="EI70" t="e">
        <f>AND('BBP complete'!D938,"AAAAAH9/p4o=")</f>
        <v>#VALUE!</v>
      </c>
      <c r="EJ70" t="e">
        <f>AND('BBP complete'!F938,"AAAAAH9/p4s=")</f>
        <v>#VALUE!</v>
      </c>
      <c r="EK70" t="e">
        <f>AND('BBP complete'!G938,"AAAAAH9/p4w=")</f>
        <v>#VALUE!</v>
      </c>
      <c r="EL70" t="e">
        <f>AND('BBP complete'!H938,"AAAAAH9/p40=")</f>
        <v>#VALUE!</v>
      </c>
      <c r="EM70" t="e">
        <f>AND('BBP complete'!I938,"AAAAAH9/p44=")</f>
        <v>#VALUE!</v>
      </c>
      <c r="EN70" s="60" t="e">
        <v>#VALUE!</v>
      </c>
      <c r="EO70" t="e">
        <f>AND('BBP complete'!A938,"AAAAAH9/p5A=")</f>
        <v>#VALUE!</v>
      </c>
      <c r="EP70" t="e">
        <f>AND('BBP complete'!#REF!,"AAAAAH9/p5E=")</f>
        <v>#REF!</v>
      </c>
      <c r="EQ70" t="e">
        <f>AND('BBP complete'!#REF!,"AAAAAH9/p5I=")</f>
        <v>#REF!</v>
      </c>
      <c r="ER70" t="e">
        <f>AND('BBP complete'!#REF!,"AAAAAH9/p5M=")</f>
        <v>#REF!</v>
      </c>
      <c r="ES70" t="e">
        <f>AND('BBP complete'!#REF!,"AAAAAH9/p5Q=")</f>
        <v>#REF!</v>
      </c>
      <c r="ET70" t="e">
        <f>AND('BBP complete'!#REF!,"AAAAAH9/p5U=")</f>
        <v>#REF!</v>
      </c>
      <c r="EU70" t="e">
        <f>AND('BBP complete'!E938,"AAAAAH9/p5Y=")</f>
        <v>#VALUE!</v>
      </c>
      <c r="EV70" t="e">
        <f>AND('BBP complete'!#REF!,"AAAAAH9/p5c=")</f>
        <v>#REF!</v>
      </c>
      <c r="EW70" t="e">
        <f>AND('BBP complete'!K938,"AAAAAH9/p5g=")</f>
        <v>#VALUE!</v>
      </c>
      <c r="EX70" t="e">
        <f>AND('BBP complete'!L938,"AAAAAH9/p5k=")</f>
        <v>#VALUE!</v>
      </c>
      <c r="EY70" t="e">
        <f>AND('BBP complete'!#REF!,"AAAAAH9/p5o=")</f>
        <v>#REF!</v>
      </c>
      <c r="EZ70" t="e">
        <f>AND('BBP complete'!#REF!,"AAAAAH9/p5s=")</f>
        <v>#REF!</v>
      </c>
      <c r="FA70" t="e">
        <f>AND('BBP complete'!#REF!,"AAAAAH9/p5w=")</f>
        <v>#REF!</v>
      </c>
      <c r="FB70" t="e">
        <f>AND('BBP complete'!D939,"AAAAAH9/p50=")</f>
        <v>#VALUE!</v>
      </c>
      <c r="FC70" t="e">
        <f>AND('BBP complete'!F939,"AAAAAH9/p54=")</f>
        <v>#VALUE!</v>
      </c>
      <c r="FD70" t="e">
        <f>AND('BBP complete'!G939,"AAAAAH9/p58=")</f>
        <v>#VALUE!</v>
      </c>
      <c r="FE70" t="e">
        <f>AND('BBP complete'!H939,"AAAAAH9/p6A=")</f>
        <v>#VALUE!</v>
      </c>
      <c r="FF70" t="e">
        <f>AND('BBP complete'!I939,"AAAAAH9/p6E=")</f>
        <v>#VALUE!</v>
      </c>
      <c r="FG70" s="60" t="e">
        <v>#VALUE!</v>
      </c>
      <c r="FH70" t="e">
        <f>AND('BBP complete'!A939,"AAAAAH9/p6M=")</f>
        <v>#VALUE!</v>
      </c>
      <c r="FI70" t="e">
        <f>AND('BBP complete'!#REF!,"AAAAAH9/p6Q=")</f>
        <v>#REF!</v>
      </c>
      <c r="FJ70" t="e">
        <f>AND('BBP complete'!#REF!,"AAAAAH9/p6U=")</f>
        <v>#REF!</v>
      </c>
      <c r="FK70" t="e">
        <f>AND('BBP complete'!#REF!,"AAAAAH9/p6Y=")</f>
        <v>#REF!</v>
      </c>
      <c r="FL70" t="e">
        <f>AND('BBP complete'!#REF!,"AAAAAH9/p6c=")</f>
        <v>#REF!</v>
      </c>
      <c r="FM70" t="e">
        <f>AND('BBP complete'!#REF!,"AAAAAH9/p6g=")</f>
        <v>#REF!</v>
      </c>
      <c r="FN70" t="e">
        <f>AND('BBP complete'!E939,"AAAAAH9/p6k=")</f>
        <v>#VALUE!</v>
      </c>
      <c r="FO70" t="e">
        <f>AND('BBP complete'!#REF!,"AAAAAH9/p6o=")</f>
        <v>#REF!</v>
      </c>
      <c r="FP70" t="e">
        <f>AND('BBP complete'!K939,"AAAAAH9/p6s=")</f>
        <v>#VALUE!</v>
      </c>
      <c r="FQ70" t="e">
        <f>AND('BBP complete'!L939,"AAAAAH9/p6w=")</f>
        <v>#VALUE!</v>
      </c>
      <c r="FR70" t="e">
        <f>AND('BBP complete'!#REF!,"AAAAAH9/p60=")</f>
        <v>#REF!</v>
      </c>
      <c r="FS70" t="e">
        <f>AND('BBP complete'!#REF!,"AAAAAH9/p64=")</f>
        <v>#REF!</v>
      </c>
      <c r="FT70" t="e">
        <f>AND('BBP complete'!#REF!,"AAAAAH9/p68=")</f>
        <v>#REF!</v>
      </c>
      <c r="FU70" t="e">
        <f>AND('BBP complete'!D940,"AAAAAH9/p7A=")</f>
        <v>#VALUE!</v>
      </c>
      <c r="FV70" t="e">
        <f>AND('BBP complete'!F940,"AAAAAH9/p7E=")</f>
        <v>#VALUE!</v>
      </c>
      <c r="FW70" t="e">
        <f>AND('BBP complete'!G940,"AAAAAH9/p7I=")</f>
        <v>#VALUE!</v>
      </c>
      <c r="FX70" t="e">
        <f>AND('BBP complete'!H940,"AAAAAH9/p7M=")</f>
        <v>#VALUE!</v>
      </c>
      <c r="FY70" t="e">
        <f>AND('BBP complete'!I940,"AAAAAH9/p7Q=")</f>
        <v>#VALUE!</v>
      </c>
      <c r="FZ70" s="60" t="e">
        <v>#VALUE!</v>
      </c>
      <c r="GA70" t="e">
        <f>AND('BBP complete'!A940,"AAAAAH9/p7Y=")</f>
        <v>#VALUE!</v>
      </c>
      <c r="GB70" t="e">
        <f>AND('BBP complete'!#REF!,"AAAAAH9/p7c=")</f>
        <v>#REF!</v>
      </c>
      <c r="GC70" t="e">
        <f>AND('BBP complete'!#REF!,"AAAAAH9/p7g=")</f>
        <v>#REF!</v>
      </c>
      <c r="GD70" t="e">
        <f>AND('BBP complete'!#REF!,"AAAAAH9/p7k=")</f>
        <v>#REF!</v>
      </c>
      <c r="GE70" t="e">
        <f>AND('BBP complete'!#REF!,"AAAAAH9/p7o=")</f>
        <v>#REF!</v>
      </c>
      <c r="GF70" t="e">
        <f>AND('BBP complete'!#REF!,"AAAAAH9/p7s=")</f>
        <v>#REF!</v>
      </c>
      <c r="GG70" t="e">
        <f>AND('BBP complete'!E940,"AAAAAH9/p7w=")</f>
        <v>#VALUE!</v>
      </c>
      <c r="GH70" t="e">
        <f>AND('BBP complete'!#REF!,"AAAAAH9/p70=")</f>
        <v>#REF!</v>
      </c>
      <c r="GI70" t="e">
        <f>AND('BBP complete'!K940,"AAAAAH9/p74=")</f>
        <v>#VALUE!</v>
      </c>
      <c r="GJ70" t="e">
        <f>AND('BBP complete'!L940,"AAAAAH9/p78=")</f>
        <v>#VALUE!</v>
      </c>
      <c r="GK70" t="e">
        <f>AND('BBP complete'!#REF!,"AAAAAH9/p8A=")</f>
        <v>#REF!</v>
      </c>
      <c r="GL70" t="e">
        <f>AND('BBP complete'!#REF!,"AAAAAH9/p8E=")</f>
        <v>#REF!</v>
      </c>
      <c r="GM70" t="e">
        <f>AND('BBP complete'!#REF!,"AAAAAH9/p8I=")</f>
        <v>#REF!</v>
      </c>
      <c r="GN70" t="e">
        <f>AND('BBP complete'!D941,"AAAAAH9/p8M=")</f>
        <v>#VALUE!</v>
      </c>
      <c r="GO70" t="e">
        <f>AND('BBP complete'!F941,"AAAAAH9/p8Q=")</f>
        <v>#VALUE!</v>
      </c>
      <c r="GP70" t="e">
        <f>AND('BBP complete'!G941,"AAAAAH9/p8U=")</f>
        <v>#VALUE!</v>
      </c>
      <c r="GQ70" t="e">
        <f>AND('BBP complete'!H941,"AAAAAH9/p8Y=")</f>
        <v>#VALUE!</v>
      </c>
      <c r="GR70" t="e">
        <f>AND('BBP complete'!I941,"AAAAAH9/p8c=")</f>
        <v>#VALUE!</v>
      </c>
      <c r="GS70" s="60" t="e">
        <v>#VALUE!</v>
      </c>
      <c r="GT70" t="e">
        <f>AND('BBP complete'!A941,"AAAAAH9/p8k=")</f>
        <v>#VALUE!</v>
      </c>
      <c r="GU70" t="e">
        <f>AND('BBP complete'!#REF!,"AAAAAH9/p8o=")</f>
        <v>#REF!</v>
      </c>
      <c r="GV70" t="e">
        <f>AND('BBP complete'!#REF!,"AAAAAH9/p8s=")</f>
        <v>#REF!</v>
      </c>
      <c r="GW70" t="e">
        <f>AND('BBP complete'!#REF!,"AAAAAH9/p8w=")</f>
        <v>#REF!</v>
      </c>
      <c r="GX70" t="e">
        <f>AND('BBP complete'!#REF!,"AAAAAH9/p80=")</f>
        <v>#REF!</v>
      </c>
      <c r="GY70" t="e">
        <f>AND('BBP complete'!#REF!,"AAAAAH9/p84=")</f>
        <v>#REF!</v>
      </c>
      <c r="GZ70" t="e">
        <f>AND('BBP complete'!E941,"AAAAAH9/p88=")</f>
        <v>#VALUE!</v>
      </c>
      <c r="HA70" t="e">
        <f>AND('BBP complete'!#REF!,"AAAAAH9/p9A=")</f>
        <v>#REF!</v>
      </c>
      <c r="HB70" t="e">
        <f>AND('BBP complete'!K941,"AAAAAH9/p9E=")</f>
        <v>#VALUE!</v>
      </c>
      <c r="HC70" t="e">
        <f>AND('BBP complete'!L941,"AAAAAH9/p9I=")</f>
        <v>#VALUE!</v>
      </c>
      <c r="HD70" t="e">
        <f>AND('BBP complete'!#REF!,"AAAAAH9/p9M=")</f>
        <v>#REF!</v>
      </c>
      <c r="HE70" t="e">
        <f>AND('BBP complete'!#REF!,"AAAAAH9/p9Q=")</f>
        <v>#REF!</v>
      </c>
      <c r="HF70" t="e">
        <f>AND('BBP complete'!#REF!,"AAAAAH9/p9U=")</f>
        <v>#REF!</v>
      </c>
      <c r="HG70" t="e">
        <f>AND('BBP complete'!D942,"AAAAAH9/p9Y=")</f>
        <v>#VALUE!</v>
      </c>
      <c r="HH70" t="e">
        <f>AND('BBP complete'!F942,"AAAAAH9/p9c=")</f>
        <v>#VALUE!</v>
      </c>
      <c r="HI70" t="e">
        <f>AND('BBP complete'!G942,"AAAAAH9/p9g=")</f>
        <v>#VALUE!</v>
      </c>
      <c r="HJ70" t="e">
        <f>AND('BBP complete'!H942,"AAAAAH9/p9k=")</f>
        <v>#VALUE!</v>
      </c>
      <c r="HK70" t="e">
        <f>AND('BBP complete'!I942,"AAAAAH9/p9o=")</f>
        <v>#VALUE!</v>
      </c>
      <c r="HL70" s="60" t="e">
        <v>#VALUE!</v>
      </c>
      <c r="HM70" t="e">
        <f>AND('BBP complete'!A942,"AAAAAH9/p9w=")</f>
        <v>#VALUE!</v>
      </c>
      <c r="HN70" t="e">
        <f>AND('BBP complete'!#REF!,"AAAAAH9/p90=")</f>
        <v>#REF!</v>
      </c>
      <c r="HO70" t="e">
        <f>AND('BBP complete'!#REF!,"AAAAAH9/p94=")</f>
        <v>#REF!</v>
      </c>
      <c r="HP70" t="e">
        <f>AND('BBP complete'!#REF!,"AAAAAH9/p98=")</f>
        <v>#REF!</v>
      </c>
      <c r="HQ70" t="e">
        <f>AND('BBP complete'!#REF!,"AAAAAH9/p+A=")</f>
        <v>#REF!</v>
      </c>
      <c r="HR70" t="e">
        <f>AND('BBP complete'!#REF!,"AAAAAH9/p+E=")</f>
        <v>#REF!</v>
      </c>
      <c r="HS70" t="e">
        <f>AND('BBP complete'!E942,"AAAAAH9/p+I=")</f>
        <v>#VALUE!</v>
      </c>
      <c r="HT70" t="e">
        <f>AND('BBP complete'!#REF!,"AAAAAH9/p+M=")</f>
        <v>#REF!</v>
      </c>
      <c r="HU70" t="e">
        <f>AND('BBP complete'!K942,"AAAAAH9/p+Q=")</f>
        <v>#VALUE!</v>
      </c>
      <c r="HV70" t="e">
        <f>AND('BBP complete'!L942,"AAAAAH9/p+U=")</f>
        <v>#VALUE!</v>
      </c>
      <c r="HW70" t="e">
        <f>AND('BBP complete'!#REF!,"AAAAAH9/p+Y=")</f>
        <v>#REF!</v>
      </c>
      <c r="HX70" t="e">
        <f>AND('BBP complete'!#REF!,"AAAAAH9/p+c=")</f>
        <v>#REF!</v>
      </c>
      <c r="HY70" t="e">
        <f>AND('BBP complete'!#REF!,"AAAAAH9/p+g=")</f>
        <v>#REF!</v>
      </c>
      <c r="HZ70" t="e">
        <f>AND('BBP complete'!D943,"AAAAAH9/p+k=")</f>
        <v>#VALUE!</v>
      </c>
      <c r="IA70" t="e">
        <f>AND('BBP complete'!F943,"AAAAAH9/p+o=")</f>
        <v>#VALUE!</v>
      </c>
      <c r="IB70" t="e">
        <f>AND('BBP complete'!G943,"AAAAAH9/p+s=")</f>
        <v>#VALUE!</v>
      </c>
      <c r="IC70" t="e">
        <f>AND('BBP complete'!H943,"AAAAAH9/p+w=")</f>
        <v>#VALUE!</v>
      </c>
      <c r="ID70" t="e">
        <f>AND('BBP complete'!I943,"AAAAAH9/p+0=")</f>
        <v>#VALUE!</v>
      </c>
      <c r="IE70" s="60" t="e">
        <v>#VALUE!</v>
      </c>
      <c r="IF70" t="e">
        <f>AND('BBP complete'!A943,"AAAAAH9/p+8=")</f>
        <v>#VALUE!</v>
      </c>
      <c r="IG70" t="e">
        <f>AND('BBP complete'!#REF!,"AAAAAH9/p/A=")</f>
        <v>#REF!</v>
      </c>
      <c r="IH70" t="e">
        <f>AND('BBP complete'!#REF!,"AAAAAH9/p/E=")</f>
        <v>#REF!</v>
      </c>
      <c r="II70" t="e">
        <f>AND('BBP complete'!#REF!,"AAAAAH9/p/I=")</f>
        <v>#REF!</v>
      </c>
      <c r="IJ70" t="e">
        <f>AND('BBP complete'!#REF!,"AAAAAH9/p/M=")</f>
        <v>#REF!</v>
      </c>
      <c r="IK70" t="e">
        <f>AND('BBP complete'!#REF!,"AAAAAH9/p/Q=")</f>
        <v>#REF!</v>
      </c>
      <c r="IL70" t="e">
        <f>AND('BBP complete'!E943,"AAAAAH9/p/U=")</f>
        <v>#VALUE!</v>
      </c>
      <c r="IM70" t="e">
        <f>AND('BBP complete'!#REF!,"AAAAAH9/p/Y=")</f>
        <v>#REF!</v>
      </c>
      <c r="IN70" t="e">
        <f>AND('BBP complete'!K943,"AAAAAH9/p/c=")</f>
        <v>#VALUE!</v>
      </c>
      <c r="IO70" t="e">
        <f>AND('BBP complete'!L943,"AAAAAH9/p/g=")</f>
        <v>#VALUE!</v>
      </c>
      <c r="IP70" t="e">
        <f>AND('BBP complete'!#REF!,"AAAAAH9/p/k=")</f>
        <v>#REF!</v>
      </c>
      <c r="IQ70" t="e">
        <f>AND('BBP complete'!#REF!,"AAAAAH9/p/o=")</f>
        <v>#REF!</v>
      </c>
      <c r="IR70" t="e">
        <f>AND('BBP complete'!#REF!,"AAAAAH9/p/s=")</f>
        <v>#REF!</v>
      </c>
      <c r="IS70" t="e">
        <f>AND('BBP complete'!D944,"AAAAAH9/p/w=")</f>
        <v>#VALUE!</v>
      </c>
      <c r="IT70" t="e">
        <f>AND('BBP complete'!F944,"AAAAAH9/p/0=")</f>
        <v>#VALUE!</v>
      </c>
      <c r="IU70" t="e">
        <f>AND('BBP complete'!G944,"AAAAAH9/p/4=")</f>
        <v>#VALUE!</v>
      </c>
      <c r="IV70" t="e">
        <f>AND('BBP complete'!H944,"AAAAAH9/p/8=")</f>
        <v>#VALUE!</v>
      </c>
    </row>
    <row r="71" spans="1:256" ht="15" customHeight="1" x14ac:dyDescent="0.25">
      <c r="A71" t="e">
        <f>AND('BBP complete'!I944,"AAAAADd19wA=")</f>
        <v>#VALUE!</v>
      </c>
      <c r="B71" s="60" t="e">
        <v>#VALUE!</v>
      </c>
      <c r="C71" t="e">
        <f>AND('BBP complete'!A944,"AAAAADd19wI=")</f>
        <v>#VALUE!</v>
      </c>
      <c r="D71" t="e">
        <f>AND('BBP complete'!#REF!,"AAAAADd19wM=")</f>
        <v>#REF!</v>
      </c>
      <c r="E71" t="e">
        <f>AND('BBP complete'!#REF!,"AAAAADd19wQ=")</f>
        <v>#REF!</v>
      </c>
      <c r="F71" t="e">
        <f>AND('BBP complete'!#REF!,"AAAAADd19wU=")</f>
        <v>#REF!</v>
      </c>
      <c r="G71" t="e">
        <f>AND('BBP complete'!#REF!,"AAAAADd19wY=")</f>
        <v>#REF!</v>
      </c>
      <c r="H71" t="e">
        <f>AND('BBP complete'!#REF!,"AAAAADd19wc=")</f>
        <v>#REF!</v>
      </c>
      <c r="I71" t="e">
        <f>AND('BBP complete'!E944,"AAAAADd19wg=")</f>
        <v>#VALUE!</v>
      </c>
      <c r="J71" t="e">
        <f>AND('BBP complete'!#REF!,"AAAAADd19wk=")</f>
        <v>#REF!</v>
      </c>
      <c r="K71" t="e">
        <f>AND('BBP complete'!K944,"AAAAADd19wo=")</f>
        <v>#VALUE!</v>
      </c>
      <c r="L71" t="e">
        <f>AND('BBP complete'!L944,"AAAAADd19ws=")</f>
        <v>#VALUE!</v>
      </c>
      <c r="M71" t="e">
        <f>AND('BBP complete'!#REF!,"AAAAADd19ww=")</f>
        <v>#REF!</v>
      </c>
      <c r="N71" t="e">
        <f>AND('BBP complete'!#REF!,"AAAAADd19w0=")</f>
        <v>#REF!</v>
      </c>
      <c r="O71" t="e">
        <f>AND('BBP complete'!#REF!,"AAAAADd19w4=")</f>
        <v>#REF!</v>
      </c>
      <c r="P71" t="e">
        <f>AND('BBP complete'!D945,"AAAAADd19w8=")</f>
        <v>#VALUE!</v>
      </c>
      <c r="Q71" t="e">
        <f>AND('BBP complete'!F945,"AAAAADd19xA=")</f>
        <v>#VALUE!</v>
      </c>
      <c r="R71" t="e">
        <f>AND('BBP complete'!G945,"AAAAADd19xE=")</f>
        <v>#VALUE!</v>
      </c>
      <c r="S71" t="e">
        <f>AND('BBP complete'!H945,"AAAAADd19xI=")</f>
        <v>#VALUE!</v>
      </c>
      <c r="T71" t="e">
        <f>AND('BBP complete'!I945,"AAAAADd19xM=")</f>
        <v>#VALUE!</v>
      </c>
      <c r="U71" s="60" t="e">
        <v>#VALUE!</v>
      </c>
      <c r="V71" t="e">
        <f>AND('BBP complete'!A945,"AAAAADd19xU=")</f>
        <v>#VALUE!</v>
      </c>
      <c r="W71" t="e">
        <f>AND('BBP complete'!#REF!,"AAAAADd19xY=")</f>
        <v>#REF!</v>
      </c>
      <c r="X71" t="e">
        <f>AND('BBP complete'!#REF!,"AAAAADd19xc=")</f>
        <v>#REF!</v>
      </c>
      <c r="Y71" t="e">
        <f>AND('BBP complete'!#REF!,"AAAAADd19xg=")</f>
        <v>#REF!</v>
      </c>
      <c r="Z71" t="e">
        <f>AND('BBP complete'!#REF!,"AAAAADd19xk=")</f>
        <v>#REF!</v>
      </c>
      <c r="AA71" t="e">
        <f>AND('BBP complete'!#REF!,"AAAAADd19xo=")</f>
        <v>#REF!</v>
      </c>
      <c r="AB71" t="e">
        <f>AND('BBP complete'!E945,"AAAAADd19xs=")</f>
        <v>#VALUE!</v>
      </c>
      <c r="AC71" t="e">
        <f>AND('BBP complete'!#REF!,"AAAAADd19xw=")</f>
        <v>#REF!</v>
      </c>
      <c r="AD71" t="e">
        <f>AND('BBP complete'!K945,"AAAAADd19x0=")</f>
        <v>#VALUE!</v>
      </c>
      <c r="AE71" t="e">
        <f>AND('BBP complete'!L945,"AAAAADd19x4=")</f>
        <v>#VALUE!</v>
      </c>
      <c r="AF71" t="e">
        <f>AND('BBP complete'!#REF!,"AAAAADd19x8=")</f>
        <v>#REF!</v>
      </c>
      <c r="AG71" t="e">
        <f>AND('BBP complete'!#REF!,"AAAAADd19yA=")</f>
        <v>#REF!</v>
      </c>
      <c r="AH71" t="e">
        <f>AND('BBP complete'!#REF!,"AAAAADd19yE=")</f>
        <v>#REF!</v>
      </c>
      <c r="AI71" t="e">
        <f>AND('BBP complete'!D946,"AAAAADd19yI=")</f>
        <v>#VALUE!</v>
      </c>
      <c r="AJ71" t="e">
        <f>AND('BBP complete'!F946,"AAAAADd19yM=")</f>
        <v>#VALUE!</v>
      </c>
      <c r="AK71" t="e">
        <f>AND('BBP complete'!G946,"AAAAADd19yQ=")</f>
        <v>#VALUE!</v>
      </c>
      <c r="AL71" t="e">
        <f>AND('BBP complete'!H946,"AAAAADd19yU=")</f>
        <v>#VALUE!</v>
      </c>
      <c r="AM71" t="e">
        <f>AND('BBP complete'!I946,"AAAAADd19yY=")</f>
        <v>#VALUE!</v>
      </c>
      <c r="AN71" s="60" t="e">
        <v>#VALUE!</v>
      </c>
      <c r="AO71" t="e">
        <f>AND('BBP complete'!A946,"AAAAADd19yg=")</f>
        <v>#VALUE!</v>
      </c>
      <c r="AP71" t="e">
        <f>AND('BBP complete'!#REF!,"AAAAADd19yk=")</f>
        <v>#REF!</v>
      </c>
      <c r="AQ71" t="e">
        <f>AND('BBP complete'!#REF!,"AAAAADd19yo=")</f>
        <v>#REF!</v>
      </c>
      <c r="AR71" t="e">
        <f>AND('BBP complete'!#REF!,"AAAAADd19ys=")</f>
        <v>#REF!</v>
      </c>
      <c r="AS71" t="e">
        <f>AND('BBP complete'!#REF!,"AAAAADd19yw=")</f>
        <v>#REF!</v>
      </c>
      <c r="AT71" t="e">
        <f>AND('BBP complete'!#REF!,"AAAAADd19y0=")</f>
        <v>#REF!</v>
      </c>
      <c r="AU71" t="e">
        <f>AND('BBP complete'!E946,"AAAAADd19y4=")</f>
        <v>#VALUE!</v>
      </c>
      <c r="AV71" t="e">
        <f>AND('BBP complete'!#REF!,"AAAAADd19y8=")</f>
        <v>#REF!</v>
      </c>
      <c r="AW71" t="e">
        <f>AND('BBP complete'!K946,"AAAAADd19zA=")</f>
        <v>#VALUE!</v>
      </c>
      <c r="AX71" t="e">
        <f>AND('BBP complete'!L946,"AAAAADd19zE=")</f>
        <v>#VALUE!</v>
      </c>
      <c r="AY71" t="e">
        <f>AND('BBP complete'!#REF!,"AAAAADd19zI=")</f>
        <v>#REF!</v>
      </c>
      <c r="AZ71" t="e">
        <f>AND('BBP complete'!#REF!,"AAAAADd19zM=")</f>
        <v>#REF!</v>
      </c>
      <c r="BA71" t="e">
        <f>AND('BBP complete'!#REF!,"AAAAADd19zQ=")</f>
        <v>#REF!</v>
      </c>
      <c r="BB71" t="e">
        <f>AND('BBP complete'!D947,"AAAAADd19zU=")</f>
        <v>#VALUE!</v>
      </c>
      <c r="BC71" t="e">
        <f>AND('BBP complete'!F947,"AAAAADd19zY=")</f>
        <v>#VALUE!</v>
      </c>
      <c r="BD71" t="e">
        <f>AND('BBP complete'!G947,"AAAAADd19zc=")</f>
        <v>#VALUE!</v>
      </c>
      <c r="BE71" t="e">
        <f>AND('BBP complete'!H947,"AAAAADd19zg=")</f>
        <v>#VALUE!</v>
      </c>
      <c r="BF71" t="e">
        <f>AND('BBP complete'!I947,"AAAAADd19zk=")</f>
        <v>#VALUE!</v>
      </c>
      <c r="BG71" s="60" t="e">
        <v>#VALUE!</v>
      </c>
      <c r="BH71" t="e">
        <f>AND('BBP complete'!A947,"AAAAADd19zs=")</f>
        <v>#VALUE!</v>
      </c>
      <c r="BI71" t="e">
        <f>AND('BBP complete'!#REF!,"AAAAADd19zw=")</f>
        <v>#REF!</v>
      </c>
      <c r="BJ71" t="e">
        <f>AND('BBP complete'!#REF!,"AAAAADd19z0=")</f>
        <v>#REF!</v>
      </c>
      <c r="BK71" t="e">
        <f>AND('BBP complete'!#REF!,"AAAAADd19z4=")</f>
        <v>#REF!</v>
      </c>
      <c r="BL71" t="e">
        <f>AND('BBP complete'!#REF!,"AAAAADd19z8=")</f>
        <v>#REF!</v>
      </c>
      <c r="BM71" t="e">
        <f>AND('BBP complete'!#REF!,"AAAAADd190A=")</f>
        <v>#REF!</v>
      </c>
      <c r="BN71" t="e">
        <f>AND('BBP complete'!E947,"AAAAADd190E=")</f>
        <v>#VALUE!</v>
      </c>
      <c r="BO71" t="e">
        <f>AND('BBP complete'!#REF!,"AAAAADd190I=")</f>
        <v>#REF!</v>
      </c>
      <c r="BP71" t="e">
        <f>AND('BBP complete'!K947,"AAAAADd190M=")</f>
        <v>#VALUE!</v>
      </c>
      <c r="BQ71" t="e">
        <f>AND('BBP complete'!L947,"AAAAADd190Q=")</f>
        <v>#VALUE!</v>
      </c>
      <c r="BR71" t="e">
        <f>AND('BBP complete'!#REF!,"AAAAADd190U=")</f>
        <v>#REF!</v>
      </c>
      <c r="BS71" t="e">
        <f>AND('BBP complete'!#REF!,"AAAAADd190Y=")</f>
        <v>#REF!</v>
      </c>
      <c r="BT71" t="e">
        <f>AND('BBP complete'!#REF!,"AAAAADd190c=")</f>
        <v>#REF!</v>
      </c>
      <c r="BU71" t="e">
        <f>AND('BBP complete'!D948,"AAAAADd190g=")</f>
        <v>#VALUE!</v>
      </c>
      <c r="BV71" t="e">
        <f>AND('BBP complete'!F948,"AAAAADd190k=")</f>
        <v>#VALUE!</v>
      </c>
      <c r="BW71" t="e">
        <f>AND('BBP complete'!G948,"AAAAADd190o=")</f>
        <v>#VALUE!</v>
      </c>
      <c r="BX71" t="e">
        <f>AND('BBP complete'!H948,"AAAAADd190s=")</f>
        <v>#VALUE!</v>
      </c>
      <c r="BY71" t="e">
        <f>AND('BBP complete'!I948,"AAAAADd190w=")</f>
        <v>#VALUE!</v>
      </c>
      <c r="BZ71" s="60" t="e">
        <v>#VALUE!</v>
      </c>
      <c r="CA71" t="e">
        <f>AND('BBP complete'!A948,"AAAAADd1904=")</f>
        <v>#VALUE!</v>
      </c>
      <c r="CB71" t="e">
        <f>AND('BBP complete'!#REF!,"AAAAADd1908=")</f>
        <v>#REF!</v>
      </c>
      <c r="CC71" t="e">
        <f>AND('BBP complete'!#REF!,"AAAAADd191A=")</f>
        <v>#REF!</v>
      </c>
      <c r="CD71" t="e">
        <f>AND('BBP complete'!#REF!,"AAAAADd191E=")</f>
        <v>#REF!</v>
      </c>
      <c r="CE71" t="e">
        <f>AND('BBP complete'!#REF!,"AAAAADd191I=")</f>
        <v>#REF!</v>
      </c>
      <c r="CF71" t="e">
        <f>AND('BBP complete'!#REF!,"AAAAADd191M=")</f>
        <v>#REF!</v>
      </c>
      <c r="CG71" t="e">
        <f>AND('BBP complete'!E948,"AAAAADd191Q=")</f>
        <v>#VALUE!</v>
      </c>
      <c r="CH71" t="e">
        <f>AND('BBP complete'!#REF!,"AAAAADd191U=")</f>
        <v>#REF!</v>
      </c>
      <c r="CI71" t="e">
        <f>AND('BBP complete'!K948,"AAAAADd191Y=")</f>
        <v>#VALUE!</v>
      </c>
      <c r="CJ71" t="e">
        <f>AND('BBP complete'!L948,"AAAAADd191c=")</f>
        <v>#VALUE!</v>
      </c>
      <c r="CK71" t="e">
        <f>AND('BBP complete'!#REF!,"AAAAADd191g=")</f>
        <v>#REF!</v>
      </c>
      <c r="CL71" t="e">
        <f>AND('BBP complete'!#REF!,"AAAAADd191k=")</f>
        <v>#REF!</v>
      </c>
      <c r="CM71" t="e">
        <f>AND('BBP complete'!#REF!,"AAAAADd191o=")</f>
        <v>#REF!</v>
      </c>
      <c r="CN71" t="e">
        <f>AND('BBP complete'!D949,"AAAAADd191s=")</f>
        <v>#VALUE!</v>
      </c>
      <c r="CO71" t="e">
        <f>AND('BBP complete'!F949,"AAAAADd191w=")</f>
        <v>#VALUE!</v>
      </c>
      <c r="CP71" t="e">
        <f>AND('BBP complete'!G949,"AAAAADd1910=")</f>
        <v>#VALUE!</v>
      </c>
      <c r="CQ71" t="e">
        <f>AND('BBP complete'!H949,"AAAAADd1914=")</f>
        <v>#VALUE!</v>
      </c>
      <c r="CR71" t="e">
        <f>AND('BBP complete'!I949,"AAAAADd1918=")</f>
        <v>#VALUE!</v>
      </c>
      <c r="CS71" s="60" t="e">
        <v>#VALUE!</v>
      </c>
      <c r="CT71" t="e">
        <f>AND('BBP complete'!A949,"AAAAADd192E=")</f>
        <v>#VALUE!</v>
      </c>
      <c r="CU71" t="e">
        <f>AND('BBP complete'!#REF!,"AAAAADd192I=")</f>
        <v>#REF!</v>
      </c>
      <c r="CV71" t="e">
        <f>AND('BBP complete'!#REF!,"AAAAADd192M=")</f>
        <v>#REF!</v>
      </c>
      <c r="CW71" t="e">
        <f>AND('BBP complete'!#REF!,"AAAAADd192Q=")</f>
        <v>#REF!</v>
      </c>
      <c r="CX71" t="e">
        <f>AND('BBP complete'!#REF!,"AAAAADd192U=")</f>
        <v>#REF!</v>
      </c>
      <c r="CY71" t="e">
        <f>AND('BBP complete'!#REF!,"AAAAADd192Y=")</f>
        <v>#REF!</v>
      </c>
      <c r="CZ71" t="e">
        <f>AND('BBP complete'!E949,"AAAAADd192c=")</f>
        <v>#VALUE!</v>
      </c>
      <c r="DA71" t="e">
        <f>AND('BBP complete'!#REF!,"AAAAADd192g=")</f>
        <v>#REF!</v>
      </c>
      <c r="DB71" t="e">
        <f>AND('BBP complete'!K949,"AAAAADd192k=")</f>
        <v>#VALUE!</v>
      </c>
      <c r="DC71" t="e">
        <f>AND('BBP complete'!L949,"AAAAADd192o=")</f>
        <v>#VALUE!</v>
      </c>
      <c r="DD71" t="e">
        <f>AND('BBP complete'!#REF!,"AAAAADd192s=")</f>
        <v>#REF!</v>
      </c>
      <c r="DE71" t="e">
        <f>AND('BBP complete'!#REF!,"AAAAADd192w=")</f>
        <v>#REF!</v>
      </c>
      <c r="DF71" t="e">
        <f>AND('BBP complete'!#REF!,"AAAAADd1920=")</f>
        <v>#REF!</v>
      </c>
      <c r="DG71" t="e">
        <f>AND('BBP complete'!D950,"AAAAADd1924=")</f>
        <v>#VALUE!</v>
      </c>
      <c r="DH71" t="e">
        <f>AND('BBP complete'!F950,"AAAAADd1928=")</f>
        <v>#VALUE!</v>
      </c>
      <c r="DI71" t="e">
        <f>AND('BBP complete'!G950,"AAAAADd193A=")</f>
        <v>#VALUE!</v>
      </c>
      <c r="DJ71" t="e">
        <f>AND('BBP complete'!H950,"AAAAADd193E=")</f>
        <v>#VALUE!</v>
      </c>
      <c r="DK71" t="e">
        <f>AND('BBP complete'!I950,"AAAAADd193I=")</f>
        <v>#VALUE!</v>
      </c>
      <c r="DL71" s="60" t="e">
        <v>#VALUE!</v>
      </c>
      <c r="DM71" t="e">
        <f>AND('BBP complete'!A950,"AAAAADd193Q=")</f>
        <v>#VALUE!</v>
      </c>
      <c r="DN71" t="e">
        <f>AND('BBP complete'!#REF!,"AAAAADd193U=")</f>
        <v>#REF!</v>
      </c>
      <c r="DO71" t="e">
        <f>AND('BBP complete'!#REF!,"AAAAADd193Y=")</f>
        <v>#REF!</v>
      </c>
      <c r="DP71" t="e">
        <f>AND('BBP complete'!#REF!,"AAAAADd193c=")</f>
        <v>#REF!</v>
      </c>
      <c r="DQ71" t="e">
        <f>AND('BBP complete'!#REF!,"AAAAADd193g=")</f>
        <v>#REF!</v>
      </c>
      <c r="DR71" t="e">
        <f>AND('BBP complete'!#REF!,"AAAAADd193k=")</f>
        <v>#REF!</v>
      </c>
      <c r="DS71" t="e">
        <f>AND('BBP complete'!E950,"AAAAADd193o=")</f>
        <v>#VALUE!</v>
      </c>
      <c r="DT71" t="e">
        <f>AND('BBP complete'!#REF!,"AAAAADd193s=")</f>
        <v>#REF!</v>
      </c>
      <c r="DU71" t="e">
        <f>AND('BBP complete'!K950,"AAAAADd193w=")</f>
        <v>#VALUE!</v>
      </c>
      <c r="DV71" t="e">
        <f>AND('BBP complete'!L950,"AAAAADd1930=")</f>
        <v>#VALUE!</v>
      </c>
      <c r="DW71" t="e">
        <f>AND('BBP complete'!#REF!,"AAAAADd1934=")</f>
        <v>#REF!</v>
      </c>
      <c r="DX71" t="e">
        <f>AND('BBP complete'!#REF!,"AAAAADd1938=")</f>
        <v>#REF!</v>
      </c>
      <c r="DY71" t="e">
        <f>AND('BBP complete'!#REF!,"AAAAADd194A=")</f>
        <v>#REF!</v>
      </c>
      <c r="DZ71" t="e">
        <f>AND('BBP complete'!D951,"AAAAADd194E=")</f>
        <v>#VALUE!</v>
      </c>
      <c r="EA71" t="e">
        <f>AND('BBP complete'!F951,"AAAAADd194I=")</f>
        <v>#VALUE!</v>
      </c>
      <c r="EB71" t="e">
        <f>AND('BBP complete'!G951,"AAAAADd194M=")</f>
        <v>#VALUE!</v>
      </c>
      <c r="EC71" t="e">
        <f>AND('BBP complete'!H951,"AAAAADd194Q=")</f>
        <v>#VALUE!</v>
      </c>
      <c r="ED71" t="e">
        <f>AND('BBP complete'!I951,"AAAAADd194U=")</f>
        <v>#VALUE!</v>
      </c>
      <c r="EE71" s="60" t="e">
        <v>#VALUE!</v>
      </c>
      <c r="EF71" t="e">
        <f>AND('BBP complete'!A951,"AAAAADd194c=")</f>
        <v>#VALUE!</v>
      </c>
      <c r="EG71" t="e">
        <f>AND('BBP complete'!#REF!,"AAAAADd194g=")</f>
        <v>#REF!</v>
      </c>
      <c r="EH71" t="e">
        <f>AND('BBP complete'!#REF!,"AAAAADd194k=")</f>
        <v>#REF!</v>
      </c>
      <c r="EI71" t="e">
        <f>AND('BBP complete'!#REF!,"AAAAADd194o=")</f>
        <v>#REF!</v>
      </c>
      <c r="EJ71" t="e">
        <f>AND('BBP complete'!#REF!,"AAAAADd194s=")</f>
        <v>#REF!</v>
      </c>
      <c r="EK71" t="e">
        <f>AND('BBP complete'!#REF!,"AAAAADd194w=")</f>
        <v>#REF!</v>
      </c>
      <c r="EL71" t="e">
        <f>AND('BBP complete'!E951,"AAAAADd1940=")</f>
        <v>#VALUE!</v>
      </c>
      <c r="EM71" t="e">
        <f>AND('BBP complete'!#REF!,"AAAAADd1944=")</f>
        <v>#REF!</v>
      </c>
      <c r="EN71" t="e">
        <f>AND('BBP complete'!K951,"AAAAADd1948=")</f>
        <v>#VALUE!</v>
      </c>
      <c r="EO71" t="e">
        <f>AND('BBP complete'!L951,"AAAAADd195A=")</f>
        <v>#VALUE!</v>
      </c>
      <c r="EP71" t="e">
        <f>AND('BBP complete'!#REF!,"AAAAADd195E=")</f>
        <v>#REF!</v>
      </c>
      <c r="EQ71" t="e">
        <f>AND('BBP complete'!#REF!,"AAAAADd195I=")</f>
        <v>#REF!</v>
      </c>
      <c r="ER71" t="e">
        <f>AND('BBP complete'!#REF!,"AAAAADd195M=")</f>
        <v>#REF!</v>
      </c>
      <c r="ES71" t="e">
        <f>AND('BBP complete'!D952,"AAAAADd195Q=")</f>
        <v>#VALUE!</v>
      </c>
      <c r="ET71" t="e">
        <f>AND('BBP complete'!F952,"AAAAADd195U=")</f>
        <v>#VALUE!</v>
      </c>
      <c r="EU71" t="e">
        <f>AND('BBP complete'!G952,"AAAAADd195Y=")</f>
        <v>#VALUE!</v>
      </c>
      <c r="EV71" t="e">
        <f>AND('BBP complete'!H952,"AAAAADd195c=")</f>
        <v>#VALUE!</v>
      </c>
      <c r="EW71" t="e">
        <f>AND('BBP complete'!I952,"AAAAADd195g=")</f>
        <v>#VALUE!</v>
      </c>
      <c r="EX71" s="60" t="e">
        <v>#VALUE!</v>
      </c>
      <c r="EY71" t="e">
        <f>AND('BBP complete'!A952,"AAAAADd195o=")</f>
        <v>#VALUE!</v>
      </c>
      <c r="EZ71" t="e">
        <f>AND('BBP complete'!#REF!,"AAAAADd195s=")</f>
        <v>#REF!</v>
      </c>
      <c r="FA71" t="e">
        <f>AND('BBP complete'!#REF!,"AAAAADd195w=")</f>
        <v>#REF!</v>
      </c>
      <c r="FB71" t="e">
        <f>AND('BBP complete'!#REF!,"AAAAADd1950=")</f>
        <v>#REF!</v>
      </c>
      <c r="FC71" t="e">
        <f>AND('BBP complete'!#REF!,"AAAAADd1954=")</f>
        <v>#REF!</v>
      </c>
      <c r="FD71" t="e">
        <f>AND('BBP complete'!#REF!,"AAAAADd1958=")</f>
        <v>#REF!</v>
      </c>
      <c r="FE71" t="e">
        <f>AND('BBP complete'!E952,"AAAAADd196A=")</f>
        <v>#VALUE!</v>
      </c>
      <c r="FF71" t="e">
        <f>AND('BBP complete'!#REF!,"AAAAADd196E=")</f>
        <v>#REF!</v>
      </c>
      <c r="FG71" t="e">
        <f>AND('BBP complete'!K952,"AAAAADd196I=")</f>
        <v>#VALUE!</v>
      </c>
      <c r="FH71" t="e">
        <f>AND('BBP complete'!L952,"AAAAADd196M=")</f>
        <v>#VALUE!</v>
      </c>
      <c r="FI71" t="e">
        <f>AND('BBP complete'!#REF!,"AAAAADd196Q=")</f>
        <v>#REF!</v>
      </c>
      <c r="FJ71" t="e">
        <f>AND('BBP complete'!#REF!,"AAAAADd196U=")</f>
        <v>#REF!</v>
      </c>
      <c r="FK71" t="e">
        <f>AND('BBP complete'!#REF!,"AAAAADd196Y=")</f>
        <v>#REF!</v>
      </c>
      <c r="FL71" t="e">
        <f>AND('BBP complete'!D953,"AAAAADd196c=")</f>
        <v>#VALUE!</v>
      </c>
      <c r="FM71" t="e">
        <f>AND('BBP complete'!F953,"AAAAADd196g=")</f>
        <v>#VALUE!</v>
      </c>
      <c r="FN71" t="e">
        <f>AND('BBP complete'!G953,"AAAAADd196k=")</f>
        <v>#VALUE!</v>
      </c>
      <c r="FO71" t="e">
        <f>AND('BBP complete'!H953,"AAAAADd196o=")</f>
        <v>#VALUE!</v>
      </c>
      <c r="FP71" t="e">
        <f>AND('BBP complete'!I953,"AAAAADd196s=")</f>
        <v>#VALUE!</v>
      </c>
      <c r="FQ71" s="60" t="e">
        <v>#VALUE!</v>
      </c>
      <c r="FR71" t="e">
        <f>AND('BBP complete'!A953,"AAAAADd1960=")</f>
        <v>#VALUE!</v>
      </c>
      <c r="FS71" t="e">
        <f>AND('BBP complete'!#REF!,"AAAAADd1964=")</f>
        <v>#REF!</v>
      </c>
      <c r="FT71" t="e">
        <f>AND('BBP complete'!#REF!,"AAAAADd1968=")</f>
        <v>#REF!</v>
      </c>
      <c r="FU71" t="e">
        <f>AND('BBP complete'!#REF!,"AAAAADd197A=")</f>
        <v>#REF!</v>
      </c>
      <c r="FV71" t="e">
        <f>AND('BBP complete'!#REF!,"AAAAADd197E=")</f>
        <v>#REF!</v>
      </c>
      <c r="FW71" t="e">
        <f>AND('BBP complete'!#REF!,"AAAAADd197I=")</f>
        <v>#REF!</v>
      </c>
      <c r="FX71" t="e">
        <f>AND('BBP complete'!E953,"AAAAADd197M=")</f>
        <v>#VALUE!</v>
      </c>
      <c r="FY71" t="e">
        <f>AND('BBP complete'!#REF!,"AAAAADd197Q=")</f>
        <v>#REF!</v>
      </c>
      <c r="FZ71" t="e">
        <f>AND('BBP complete'!K953,"AAAAADd197U=")</f>
        <v>#VALUE!</v>
      </c>
      <c r="GA71" t="e">
        <f>AND('BBP complete'!L953,"AAAAADd197Y=")</f>
        <v>#VALUE!</v>
      </c>
      <c r="GB71" t="e">
        <f>AND('BBP complete'!#REF!,"AAAAADd197c=")</f>
        <v>#REF!</v>
      </c>
      <c r="GC71" t="e">
        <f>AND('BBP complete'!#REF!,"AAAAADd197g=")</f>
        <v>#REF!</v>
      </c>
      <c r="GD71" t="e">
        <f>AND('BBP complete'!#REF!,"AAAAADd197k=")</f>
        <v>#REF!</v>
      </c>
      <c r="GE71" t="e">
        <f>AND('BBP complete'!D954,"AAAAADd197o=")</f>
        <v>#VALUE!</v>
      </c>
      <c r="GF71" t="e">
        <f>AND('BBP complete'!F954,"AAAAADd197s=")</f>
        <v>#VALUE!</v>
      </c>
      <c r="GG71" t="e">
        <f>AND('BBP complete'!G954,"AAAAADd197w=")</f>
        <v>#VALUE!</v>
      </c>
      <c r="GH71" t="e">
        <f>AND('BBP complete'!H954,"AAAAADd1970=")</f>
        <v>#VALUE!</v>
      </c>
      <c r="GI71" t="e">
        <f>AND('BBP complete'!I954,"AAAAADd1974=")</f>
        <v>#VALUE!</v>
      </c>
      <c r="GJ71" s="60" t="e">
        <v>#VALUE!</v>
      </c>
      <c r="GK71" t="e">
        <f>AND('BBP complete'!A954,"AAAAADd198A=")</f>
        <v>#VALUE!</v>
      </c>
      <c r="GL71" t="e">
        <f>AND('BBP complete'!#REF!,"AAAAADd198E=")</f>
        <v>#REF!</v>
      </c>
      <c r="GM71" t="e">
        <f>AND('BBP complete'!#REF!,"AAAAADd198I=")</f>
        <v>#REF!</v>
      </c>
      <c r="GN71" t="e">
        <f>AND('BBP complete'!#REF!,"AAAAADd198M=")</f>
        <v>#REF!</v>
      </c>
      <c r="GO71" t="e">
        <f>AND('BBP complete'!#REF!,"AAAAADd198Q=")</f>
        <v>#REF!</v>
      </c>
      <c r="GP71" t="e">
        <f>AND('BBP complete'!#REF!,"AAAAADd198U=")</f>
        <v>#REF!</v>
      </c>
      <c r="GQ71" t="e">
        <f>AND('BBP complete'!E954,"AAAAADd198Y=")</f>
        <v>#VALUE!</v>
      </c>
      <c r="GR71" t="e">
        <f>AND('BBP complete'!#REF!,"AAAAADd198c=")</f>
        <v>#REF!</v>
      </c>
      <c r="GS71" t="e">
        <f>AND('BBP complete'!K954,"AAAAADd198g=")</f>
        <v>#VALUE!</v>
      </c>
      <c r="GT71" t="e">
        <f>AND('BBP complete'!L954,"AAAAADd198k=")</f>
        <v>#VALUE!</v>
      </c>
      <c r="GU71" t="e">
        <f>AND('BBP complete'!#REF!,"AAAAADd198o=")</f>
        <v>#REF!</v>
      </c>
      <c r="GV71" t="e">
        <f>AND('BBP complete'!#REF!,"AAAAADd198s=")</f>
        <v>#REF!</v>
      </c>
      <c r="GW71" t="e">
        <f>AND('BBP complete'!#REF!,"AAAAADd198w=")</f>
        <v>#REF!</v>
      </c>
      <c r="GX71" t="e">
        <f>AND('BBP complete'!D955,"AAAAADd1980=")</f>
        <v>#VALUE!</v>
      </c>
      <c r="GY71" t="e">
        <f>AND('BBP complete'!F955,"AAAAADd1984=")</f>
        <v>#VALUE!</v>
      </c>
      <c r="GZ71" t="e">
        <f>AND('BBP complete'!G955,"AAAAADd1988=")</f>
        <v>#VALUE!</v>
      </c>
      <c r="HA71" t="e">
        <f>AND('BBP complete'!H955,"AAAAADd199A=")</f>
        <v>#VALUE!</v>
      </c>
      <c r="HB71" t="e">
        <f>AND('BBP complete'!I955,"AAAAADd199E=")</f>
        <v>#VALUE!</v>
      </c>
      <c r="HC71" s="60" t="e">
        <v>#VALUE!</v>
      </c>
      <c r="HD71" t="e">
        <f>AND('BBP complete'!A955,"AAAAADd199M=")</f>
        <v>#VALUE!</v>
      </c>
      <c r="HE71" t="e">
        <f>AND('BBP complete'!#REF!,"AAAAADd199Q=")</f>
        <v>#REF!</v>
      </c>
      <c r="HF71" t="e">
        <f>AND('BBP complete'!#REF!,"AAAAADd199U=")</f>
        <v>#REF!</v>
      </c>
      <c r="HG71" t="e">
        <f>AND('BBP complete'!#REF!,"AAAAADd199Y=")</f>
        <v>#REF!</v>
      </c>
      <c r="HH71" t="e">
        <f>AND('BBP complete'!#REF!,"AAAAADd199c=")</f>
        <v>#REF!</v>
      </c>
      <c r="HI71" t="e">
        <f>AND('BBP complete'!#REF!,"AAAAADd199g=")</f>
        <v>#REF!</v>
      </c>
      <c r="HJ71" t="e">
        <f>AND('BBP complete'!E955,"AAAAADd199k=")</f>
        <v>#VALUE!</v>
      </c>
      <c r="HK71" t="e">
        <f>AND('BBP complete'!#REF!,"AAAAADd199o=")</f>
        <v>#REF!</v>
      </c>
      <c r="HL71" t="e">
        <f>AND('BBP complete'!K955,"AAAAADd199s=")</f>
        <v>#VALUE!</v>
      </c>
      <c r="HM71" t="e">
        <f>AND('BBP complete'!L955,"AAAAADd199w=")</f>
        <v>#VALUE!</v>
      </c>
      <c r="HN71" t="e">
        <f>AND('BBP complete'!#REF!,"AAAAADd1990=")</f>
        <v>#REF!</v>
      </c>
      <c r="HO71" t="e">
        <f>AND('BBP complete'!#REF!,"AAAAADd1994=")</f>
        <v>#REF!</v>
      </c>
      <c r="HP71" t="e">
        <f>AND('BBP complete'!#REF!,"AAAAADd1998=")</f>
        <v>#REF!</v>
      </c>
      <c r="HQ71" t="e">
        <f>AND('BBP complete'!D956,"AAAAADd19+A=")</f>
        <v>#VALUE!</v>
      </c>
      <c r="HR71" t="e">
        <f>AND('BBP complete'!F956,"AAAAADd19+E=")</f>
        <v>#VALUE!</v>
      </c>
      <c r="HS71" t="e">
        <f>AND('BBP complete'!G956,"AAAAADd19+I=")</f>
        <v>#VALUE!</v>
      </c>
      <c r="HT71" t="e">
        <f>AND('BBP complete'!H956,"AAAAADd19+M=")</f>
        <v>#VALUE!</v>
      </c>
      <c r="HU71" t="e">
        <f>AND('BBP complete'!I956,"AAAAADd19+Q=")</f>
        <v>#VALUE!</v>
      </c>
      <c r="HV71" s="60" t="e">
        <v>#VALUE!</v>
      </c>
      <c r="HW71" t="e">
        <f>AND('BBP complete'!A956,"AAAAADd19+Y=")</f>
        <v>#VALUE!</v>
      </c>
      <c r="HX71" t="e">
        <f>AND('BBP complete'!#REF!,"AAAAADd19+c=")</f>
        <v>#REF!</v>
      </c>
      <c r="HY71" t="e">
        <f>AND('BBP complete'!#REF!,"AAAAADd19+g=")</f>
        <v>#REF!</v>
      </c>
      <c r="HZ71" t="e">
        <f>AND('BBP complete'!#REF!,"AAAAADd19+k=")</f>
        <v>#REF!</v>
      </c>
      <c r="IA71" t="e">
        <f>AND('BBP complete'!#REF!,"AAAAADd19+o=")</f>
        <v>#REF!</v>
      </c>
      <c r="IB71" t="e">
        <f>AND('BBP complete'!#REF!,"AAAAADd19+s=")</f>
        <v>#REF!</v>
      </c>
      <c r="IC71" t="e">
        <f>AND('BBP complete'!E956,"AAAAADd19+w=")</f>
        <v>#VALUE!</v>
      </c>
      <c r="ID71" t="e">
        <f>AND('BBP complete'!#REF!,"AAAAADd19+0=")</f>
        <v>#REF!</v>
      </c>
      <c r="IE71" t="e">
        <f>AND('BBP complete'!K956,"AAAAADd19+4=")</f>
        <v>#VALUE!</v>
      </c>
      <c r="IF71" t="e">
        <f>AND('BBP complete'!L956,"AAAAADd19+8=")</f>
        <v>#VALUE!</v>
      </c>
      <c r="IG71" t="e">
        <f>AND('BBP complete'!#REF!,"AAAAADd19/A=")</f>
        <v>#REF!</v>
      </c>
      <c r="IH71" t="e">
        <f>AND('BBP complete'!#REF!,"AAAAADd19/E=")</f>
        <v>#REF!</v>
      </c>
      <c r="II71" t="e">
        <f>AND('BBP complete'!#REF!,"AAAAADd19/I=")</f>
        <v>#REF!</v>
      </c>
      <c r="IJ71" t="e">
        <f>AND('BBP complete'!D957,"AAAAADd19/M=")</f>
        <v>#VALUE!</v>
      </c>
      <c r="IK71" t="e">
        <f>AND('BBP complete'!F957,"AAAAADd19/Q=")</f>
        <v>#VALUE!</v>
      </c>
      <c r="IL71" t="e">
        <f>AND('BBP complete'!G957,"AAAAADd19/U=")</f>
        <v>#VALUE!</v>
      </c>
      <c r="IM71" t="e">
        <f>AND('BBP complete'!H957,"AAAAADd19/Y=")</f>
        <v>#VALUE!</v>
      </c>
      <c r="IN71" t="e">
        <f>AND('BBP complete'!I957,"AAAAADd19/c=")</f>
        <v>#VALUE!</v>
      </c>
      <c r="IO71" s="60" t="e">
        <v>#VALUE!</v>
      </c>
      <c r="IP71" t="e">
        <f>AND('BBP complete'!A957,"AAAAADd19/k=")</f>
        <v>#VALUE!</v>
      </c>
      <c r="IQ71" t="e">
        <f>AND('BBP complete'!#REF!,"AAAAADd19/o=")</f>
        <v>#REF!</v>
      </c>
      <c r="IR71" t="e">
        <f>AND('BBP complete'!#REF!,"AAAAADd19/s=")</f>
        <v>#REF!</v>
      </c>
      <c r="IS71" t="e">
        <f>AND('BBP complete'!#REF!,"AAAAADd19/w=")</f>
        <v>#REF!</v>
      </c>
      <c r="IT71" t="e">
        <f>AND('BBP complete'!#REF!,"AAAAADd19/0=")</f>
        <v>#REF!</v>
      </c>
      <c r="IU71" t="e">
        <f>AND('BBP complete'!#REF!,"AAAAADd19/4=")</f>
        <v>#REF!</v>
      </c>
      <c r="IV71" t="e">
        <f>AND('BBP complete'!E957,"AAAAADd19/8=")</f>
        <v>#VALUE!</v>
      </c>
    </row>
    <row r="72" spans="1:256" ht="15" customHeight="1" x14ac:dyDescent="0.25">
      <c r="A72" t="e">
        <f>AND('BBP complete'!#REF!,"AAAAAE74/wA=")</f>
        <v>#REF!</v>
      </c>
      <c r="B72" t="e">
        <f>AND('BBP complete'!K957,"AAAAAE74/wE=")</f>
        <v>#VALUE!</v>
      </c>
      <c r="C72" t="e">
        <f>AND('BBP complete'!L957,"AAAAAE74/wI=")</f>
        <v>#VALUE!</v>
      </c>
      <c r="D72" t="e">
        <f>AND('BBP complete'!#REF!,"AAAAAE74/wM=")</f>
        <v>#REF!</v>
      </c>
      <c r="E72" t="e">
        <f>AND('BBP complete'!#REF!,"AAAAAE74/wQ=")</f>
        <v>#REF!</v>
      </c>
      <c r="F72" t="e">
        <f>AND('BBP complete'!#REF!,"AAAAAE74/wU=")</f>
        <v>#REF!</v>
      </c>
      <c r="G72" t="e">
        <f>AND('BBP complete'!D958,"AAAAAE74/wY=")</f>
        <v>#VALUE!</v>
      </c>
      <c r="H72" t="e">
        <f>AND('BBP complete'!F958,"AAAAAE74/wc=")</f>
        <v>#VALUE!</v>
      </c>
      <c r="I72" t="e">
        <f>AND('BBP complete'!G958,"AAAAAE74/wg=")</f>
        <v>#VALUE!</v>
      </c>
      <c r="J72" t="e">
        <f>AND('BBP complete'!H958,"AAAAAE74/wk=")</f>
        <v>#VALUE!</v>
      </c>
      <c r="K72" t="e">
        <f>AND('BBP complete'!I958,"AAAAAE74/wo=")</f>
        <v>#VALUE!</v>
      </c>
      <c r="L72" s="60" t="e">
        <v>#VALUE!</v>
      </c>
      <c r="M72" t="e">
        <f>AND('BBP complete'!A958,"AAAAAE74/ww=")</f>
        <v>#VALUE!</v>
      </c>
      <c r="N72" t="e">
        <f>AND('BBP complete'!#REF!,"AAAAAE74/w0=")</f>
        <v>#REF!</v>
      </c>
      <c r="O72" t="e">
        <f>AND('BBP complete'!#REF!,"AAAAAE74/w4=")</f>
        <v>#REF!</v>
      </c>
      <c r="P72" t="e">
        <f>AND('BBP complete'!#REF!,"AAAAAE74/w8=")</f>
        <v>#REF!</v>
      </c>
      <c r="Q72" t="e">
        <f>AND('BBP complete'!#REF!,"AAAAAE74/xA=")</f>
        <v>#REF!</v>
      </c>
      <c r="R72" t="e">
        <f>AND('BBP complete'!#REF!,"AAAAAE74/xE=")</f>
        <v>#REF!</v>
      </c>
      <c r="S72" t="e">
        <f>AND('BBP complete'!E958,"AAAAAE74/xI=")</f>
        <v>#VALUE!</v>
      </c>
      <c r="T72" t="e">
        <f>AND('BBP complete'!#REF!,"AAAAAE74/xM=")</f>
        <v>#REF!</v>
      </c>
      <c r="U72" t="e">
        <f>AND('BBP complete'!K958,"AAAAAE74/xQ=")</f>
        <v>#VALUE!</v>
      </c>
      <c r="V72" t="e">
        <f>AND('BBP complete'!L958,"AAAAAE74/xU=")</f>
        <v>#VALUE!</v>
      </c>
      <c r="W72" t="e">
        <f>AND('BBP complete'!#REF!,"AAAAAE74/xY=")</f>
        <v>#REF!</v>
      </c>
      <c r="X72" t="e">
        <f>AND('BBP complete'!#REF!,"AAAAAE74/xc=")</f>
        <v>#REF!</v>
      </c>
      <c r="Y72" t="e">
        <f>AND('BBP complete'!#REF!,"AAAAAE74/xg=")</f>
        <v>#REF!</v>
      </c>
      <c r="Z72" t="e">
        <f>AND('BBP complete'!D959,"AAAAAE74/xk=")</f>
        <v>#VALUE!</v>
      </c>
      <c r="AA72" t="e">
        <f>AND('BBP complete'!F959,"AAAAAE74/xo=")</f>
        <v>#VALUE!</v>
      </c>
      <c r="AB72" t="e">
        <f>AND('BBP complete'!G959,"AAAAAE74/xs=")</f>
        <v>#VALUE!</v>
      </c>
      <c r="AC72" t="e">
        <f>AND('BBP complete'!H959,"AAAAAE74/xw=")</f>
        <v>#VALUE!</v>
      </c>
      <c r="AD72" t="e">
        <f>AND('BBP complete'!I959,"AAAAAE74/x0=")</f>
        <v>#VALUE!</v>
      </c>
      <c r="AE72" s="60" t="e">
        <v>#VALUE!</v>
      </c>
      <c r="AF72" t="e">
        <f>AND('BBP complete'!A959,"AAAAAE74/x8=")</f>
        <v>#VALUE!</v>
      </c>
      <c r="AG72" t="e">
        <f>AND('BBP complete'!#REF!,"AAAAAE74/yA=")</f>
        <v>#REF!</v>
      </c>
      <c r="AH72" t="e">
        <f>AND('BBP complete'!#REF!,"AAAAAE74/yE=")</f>
        <v>#REF!</v>
      </c>
      <c r="AI72" t="e">
        <f>AND('BBP complete'!#REF!,"AAAAAE74/yI=")</f>
        <v>#REF!</v>
      </c>
      <c r="AJ72" t="e">
        <f>AND('BBP complete'!#REF!,"AAAAAE74/yM=")</f>
        <v>#REF!</v>
      </c>
      <c r="AK72" t="e">
        <f>AND('BBP complete'!#REF!,"AAAAAE74/yQ=")</f>
        <v>#REF!</v>
      </c>
      <c r="AL72" t="e">
        <f>AND('BBP complete'!E959,"AAAAAE74/yU=")</f>
        <v>#VALUE!</v>
      </c>
      <c r="AM72" t="e">
        <f>AND('BBP complete'!#REF!,"AAAAAE74/yY=")</f>
        <v>#REF!</v>
      </c>
      <c r="AN72" t="e">
        <f>AND('BBP complete'!K959,"AAAAAE74/yc=")</f>
        <v>#VALUE!</v>
      </c>
      <c r="AO72" t="e">
        <f>AND('BBP complete'!L959,"AAAAAE74/yg=")</f>
        <v>#VALUE!</v>
      </c>
      <c r="AP72" t="e">
        <f>AND('BBP complete'!#REF!,"AAAAAE74/yk=")</f>
        <v>#REF!</v>
      </c>
      <c r="AQ72" t="e">
        <f>AND('BBP complete'!#REF!,"AAAAAE74/yo=")</f>
        <v>#REF!</v>
      </c>
      <c r="AR72" t="e">
        <f>AND('BBP complete'!#REF!,"AAAAAE74/ys=")</f>
        <v>#REF!</v>
      </c>
      <c r="AS72" t="e">
        <f>AND('BBP complete'!D960,"AAAAAE74/yw=")</f>
        <v>#VALUE!</v>
      </c>
      <c r="AT72" t="e">
        <f>AND('BBP complete'!F960,"AAAAAE74/y0=")</f>
        <v>#VALUE!</v>
      </c>
      <c r="AU72" t="e">
        <f>AND('BBP complete'!G960,"AAAAAE74/y4=")</f>
        <v>#VALUE!</v>
      </c>
      <c r="AV72" t="e">
        <f>AND('BBP complete'!H960,"AAAAAE74/y8=")</f>
        <v>#VALUE!</v>
      </c>
      <c r="AW72" t="e">
        <f>AND('BBP complete'!I960,"AAAAAE74/zA=")</f>
        <v>#VALUE!</v>
      </c>
      <c r="AX72" s="60" t="e">
        <v>#VALUE!</v>
      </c>
      <c r="AY72" t="e">
        <f>AND('BBP complete'!A960,"AAAAAE74/zI=")</f>
        <v>#VALUE!</v>
      </c>
      <c r="AZ72" t="e">
        <f>AND('BBP complete'!#REF!,"AAAAAE74/zM=")</f>
        <v>#REF!</v>
      </c>
      <c r="BA72" t="e">
        <f>AND('BBP complete'!#REF!,"AAAAAE74/zQ=")</f>
        <v>#REF!</v>
      </c>
      <c r="BB72" t="e">
        <f>AND('BBP complete'!#REF!,"AAAAAE74/zU=")</f>
        <v>#REF!</v>
      </c>
      <c r="BC72" t="e">
        <f>AND('BBP complete'!#REF!,"AAAAAE74/zY=")</f>
        <v>#REF!</v>
      </c>
      <c r="BD72" t="e">
        <f>AND('BBP complete'!#REF!,"AAAAAE74/zc=")</f>
        <v>#REF!</v>
      </c>
      <c r="BE72" t="e">
        <f>AND('BBP complete'!E960,"AAAAAE74/zg=")</f>
        <v>#VALUE!</v>
      </c>
      <c r="BF72" t="e">
        <f>AND('BBP complete'!#REF!,"AAAAAE74/zk=")</f>
        <v>#REF!</v>
      </c>
      <c r="BG72" t="e">
        <f>AND('BBP complete'!K960,"AAAAAE74/zo=")</f>
        <v>#VALUE!</v>
      </c>
      <c r="BH72" t="e">
        <f>AND('BBP complete'!L960,"AAAAAE74/zs=")</f>
        <v>#VALUE!</v>
      </c>
      <c r="BI72" t="e">
        <f>AND('BBP complete'!#REF!,"AAAAAE74/zw=")</f>
        <v>#REF!</v>
      </c>
      <c r="BJ72" t="e">
        <f>AND('BBP complete'!#REF!,"AAAAAE74/z0=")</f>
        <v>#REF!</v>
      </c>
      <c r="BK72" t="e">
        <f>AND('BBP complete'!#REF!,"AAAAAE74/z4=")</f>
        <v>#REF!</v>
      </c>
      <c r="BL72" t="e">
        <f>AND('BBP complete'!D961,"AAAAAE74/z8=")</f>
        <v>#VALUE!</v>
      </c>
      <c r="BM72" t="e">
        <f>AND('BBP complete'!F961,"AAAAAE74/0A=")</f>
        <v>#VALUE!</v>
      </c>
      <c r="BN72" t="e">
        <f>AND('BBP complete'!G961,"AAAAAE74/0E=")</f>
        <v>#VALUE!</v>
      </c>
      <c r="BO72" t="e">
        <f>AND('BBP complete'!H961,"AAAAAE74/0I=")</f>
        <v>#VALUE!</v>
      </c>
      <c r="BP72" t="e">
        <f>AND('BBP complete'!I961,"AAAAAE74/0M=")</f>
        <v>#VALUE!</v>
      </c>
      <c r="BQ72" s="60" t="e">
        <v>#VALUE!</v>
      </c>
      <c r="BR72" t="e">
        <f>AND('BBP complete'!A961,"AAAAAE74/0U=")</f>
        <v>#VALUE!</v>
      </c>
      <c r="BS72" t="e">
        <f>AND('BBP complete'!#REF!,"AAAAAE74/0Y=")</f>
        <v>#REF!</v>
      </c>
      <c r="BT72" t="e">
        <f>AND('BBP complete'!#REF!,"AAAAAE74/0c=")</f>
        <v>#REF!</v>
      </c>
      <c r="BU72" t="e">
        <f>AND('BBP complete'!#REF!,"AAAAAE74/0g=")</f>
        <v>#REF!</v>
      </c>
      <c r="BV72" t="e">
        <f>AND('BBP complete'!#REF!,"AAAAAE74/0k=")</f>
        <v>#REF!</v>
      </c>
      <c r="BW72" t="e">
        <f>AND('BBP complete'!#REF!,"AAAAAE74/0o=")</f>
        <v>#REF!</v>
      </c>
      <c r="BX72" t="e">
        <f>AND('BBP complete'!E961,"AAAAAE74/0s=")</f>
        <v>#VALUE!</v>
      </c>
      <c r="BY72" t="e">
        <f>AND('BBP complete'!#REF!,"AAAAAE74/0w=")</f>
        <v>#REF!</v>
      </c>
      <c r="BZ72" t="e">
        <f>AND('BBP complete'!K961,"AAAAAE74/00=")</f>
        <v>#VALUE!</v>
      </c>
      <c r="CA72" t="e">
        <f>AND('BBP complete'!L961,"AAAAAE74/04=")</f>
        <v>#VALUE!</v>
      </c>
      <c r="CB72" t="e">
        <f>AND('BBP complete'!#REF!,"AAAAAE74/08=")</f>
        <v>#REF!</v>
      </c>
      <c r="CC72" t="e">
        <f>AND('BBP complete'!#REF!,"AAAAAE74/1A=")</f>
        <v>#REF!</v>
      </c>
      <c r="CD72" t="e">
        <f>AND('BBP complete'!#REF!,"AAAAAE74/1E=")</f>
        <v>#REF!</v>
      </c>
      <c r="CE72" t="e">
        <f>AND('BBP complete'!D962,"AAAAAE74/1I=")</f>
        <v>#VALUE!</v>
      </c>
      <c r="CF72" t="e">
        <f>AND('BBP complete'!F962,"AAAAAE74/1M=")</f>
        <v>#VALUE!</v>
      </c>
      <c r="CG72" t="e">
        <f>AND('BBP complete'!G962,"AAAAAE74/1Q=")</f>
        <v>#VALUE!</v>
      </c>
      <c r="CH72" t="e">
        <f>AND('BBP complete'!H962,"AAAAAE74/1U=")</f>
        <v>#VALUE!</v>
      </c>
      <c r="CI72" t="e">
        <f>AND('BBP complete'!I962,"AAAAAE74/1Y=")</f>
        <v>#VALUE!</v>
      </c>
      <c r="CJ72" s="60" t="e">
        <v>#VALUE!</v>
      </c>
      <c r="CK72" t="e">
        <f>AND('BBP complete'!A962,"AAAAAE74/1g=")</f>
        <v>#VALUE!</v>
      </c>
      <c r="CL72" t="e">
        <f>AND('BBP complete'!#REF!,"AAAAAE74/1k=")</f>
        <v>#REF!</v>
      </c>
      <c r="CM72" t="e">
        <f>AND('BBP complete'!#REF!,"AAAAAE74/1o=")</f>
        <v>#REF!</v>
      </c>
      <c r="CN72" t="e">
        <f>AND('BBP complete'!#REF!,"AAAAAE74/1s=")</f>
        <v>#REF!</v>
      </c>
      <c r="CO72" t="e">
        <f>AND('BBP complete'!#REF!,"AAAAAE74/1w=")</f>
        <v>#REF!</v>
      </c>
      <c r="CP72" t="e">
        <f>AND('BBP complete'!#REF!,"AAAAAE74/10=")</f>
        <v>#REF!</v>
      </c>
      <c r="CQ72" t="e">
        <f>AND('BBP complete'!E962,"AAAAAE74/14=")</f>
        <v>#VALUE!</v>
      </c>
      <c r="CR72" t="e">
        <f>AND('BBP complete'!#REF!,"AAAAAE74/18=")</f>
        <v>#REF!</v>
      </c>
      <c r="CS72" t="e">
        <f>AND('BBP complete'!K962,"AAAAAE74/2A=")</f>
        <v>#VALUE!</v>
      </c>
      <c r="CT72" t="e">
        <f>AND('BBP complete'!L962,"AAAAAE74/2E=")</f>
        <v>#VALUE!</v>
      </c>
      <c r="CU72" t="e">
        <f>AND('BBP complete'!#REF!,"AAAAAE74/2I=")</f>
        <v>#REF!</v>
      </c>
      <c r="CV72" t="e">
        <f>AND('BBP complete'!#REF!,"AAAAAE74/2M=")</f>
        <v>#REF!</v>
      </c>
      <c r="CW72" t="e">
        <f>AND('BBP complete'!#REF!,"AAAAAE74/2Q=")</f>
        <v>#REF!</v>
      </c>
      <c r="CX72" t="e">
        <f>AND('BBP complete'!D963,"AAAAAE74/2U=")</f>
        <v>#VALUE!</v>
      </c>
      <c r="CY72" t="e">
        <f>AND('BBP complete'!F963,"AAAAAE74/2Y=")</f>
        <v>#VALUE!</v>
      </c>
      <c r="CZ72" t="e">
        <f>AND('BBP complete'!G963,"AAAAAE74/2c=")</f>
        <v>#VALUE!</v>
      </c>
      <c r="DA72" t="e">
        <f>AND('BBP complete'!H963,"AAAAAE74/2g=")</f>
        <v>#VALUE!</v>
      </c>
      <c r="DB72" t="e">
        <f>AND('BBP complete'!I963,"AAAAAE74/2k=")</f>
        <v>#VALUE!</v>
      </c>
      <c r="DC72" s="60" t="e">
        <v>#VALUE!</v>
      </c>
      <c r="DD72" t="e">
        <f>AND('BBP complete'!A963,"AAAAAE74/2s=")</f>
        <v>#VALUE!</v>
      </c>
      <c r="DE72" t="e">
        <f>AND('BBP complete'!#REF!,"AAAAAE74/2w=")</f>
        <v>#REF!</v>
      </c>
      <c r="DF72" t="e">
        <f>AND('BBP complete'!#REF!,"AAAAAE74/20=")</f>
        <v>#REF!</v>
      </c>
      <c r="DG72" t="e">
        <f>AND('BBP complete'!#REF!,"AAAAAE74/24=")</f>
        <v>#REF!</v>
      </c>
      <c r="DH72" t="e">
        <f>AND('BBP complete'!#REF!,"AAAAAE74/28=")</f>
        <v>#REF!</v>
      </c>
      <c r="DI72" t="e">
        <f>AND('BBP complete'!#REF!,"AAAAAE74/3A=")</f>
        <v>#REF!</v>
      </c>
      <c r="DJ72" t="e">
        <f>AND('BBP complete'!E963,"AAAAAE74/3E=")</f>
        <v>#VALUE!</v>
      </c>
      <c r="DK72" t="e">
        <f>AND('BBP complete'!#REF!,"AAAAAE74/3I=")</f>
        <v>#REF!</v>
      </c>
      <c r="DL72" t="e">
        <f>AND('BBP complete'!K963,"AAAAAE74/3M=")</f>
        <v>#VALUE!</v>
      </c>
      <c r="DM72" t="e">
        <f>AND('BBP complete'!L963,"AAAAAE74/3Q=")</f>
        <v>#VALUE!</v>
      </c>
      <c r="DN72" t="e">
        <f>AND('BBP complete'!#REF!,"AAAAAE74/3U=")</f>
        <v>#REF!</v>
      </c>
      <c r="DO72" t="e">
        <f>AND('BBP complete'!#REF!,"AAAAAE74/3Y=")</f>
        <v>#REF!</v>
      </c>
      <c r="DP72" t="e">
        <f>AND('BBP complete'!#REF!,"AAAAAE74/3c=")</f>
        <v>#REF!</v>
      </c>
      <c r="DQ72" t="e">
        <f>AND('BBP complete'!D964,"AAAAAE74/3g=")</f>
        <v>#VALUE!</v>
      </c>
      <c r="DR72" t="e">
        <f>AND('BBP complete'!F964,"AAAAAE74/3k=")</f>
        <v>#VALUE!</v>
      </c>
      <c r="DS72" t="e">
        <f>AND('BBP complete'!G964,"AAAAAE74/3o=")</f>
        <v>#VALUE!</v>
      </c>
      <c r="DT72" t="e">
        <f>AND('BBP complete'!H964,"AAAAAE74/3s=")</f>
        <v>#VALUE!</v>
      </c>
      <c r="DU72" t="e">
        <f>AND('BBP complete'!I964,"AAAAAE74/3w=")</f>
        <v>#VALUE!</v>
      </c>
      <c r="DV72" s="60" t="e">
        <v>#VALUE!</v>
      </c>
      <c r="DW72" t="e">
        <f>AND('BBP complete'!A964,"AAAAAE74/34=")</f>
        <v>#VALUE!</v>
      </c>
      <c r="DX72" t="e">
        <f>AND('BBP complete'!#REF!,"AAAAAE74/38=")</f>
        <v>#REF!</v>
      </c>
      <c r="DY72" t="e">
        <f>AND('BBP complete'!#REF!,"AAAAAE74/4A=")</f>
        <v>#REF!</v>
      </c>
      <c r="DZ72" t="e">
        <f>AND('BBP complete'!#REF!,"AAAAAE74/4E=")</f>
        <v>#REF!</v>
      </c>
      <c r="EA72" t="e">
        <f>AND('BBP complete'!#REF!,"AAAAAE74/4I=")</f>
        <v>#REF!</v>
      </c>
      <c r="EB72" t="e">
        <f>AND('BBP complete'!#REF!,"AAAAAE74/4M=")</f>
        <v>#REF!</v>
      </c>
      <c r="EC72" t="e">
        <f>AND('BBP complete'!E964,"AAAAAE74/4Q=")</f>
        <v>#VALUE!</v>
      </c>
      <c r="ED72" t="e">
        <f>AND('BBP complete'!#REF!,"AAAAAE74/4U=")</f>
        <v>#REF!</v>
      </c>
      <c r="EE72" t="e">
        <f>AND('BBP complete'!K964,"AAAAAE74/4Y=")</f>
        <v>#VALUE!</v>
      </c>
      <c r="EF72" t="e">
        <f>AND('BBP complete'!L964,"AAAAAE74/4c=")</f>
        <v>#VALUE!</v>
      </c>
      <c r="EG72" t="e">
        <f>AND('BBP complete'!#REF!,"AAAAAE74/4g=")</f>
        <v>#REF!</v>
      </c>
      <c r="EH72" t="e">
        <f>AND('BBP complete'!#REF!,"AAAAAE74/4k=")</f>
        <v>#REF!</v>
      </c>
      <c r="EI72" t="e">
        <f>AND('BBP complete'!#REF!,"AAAAAE74/4o=")</f>
        <v>#REF!</v>
      </c>
      <c r="EJ72" t="e">
        <f>AND('BBP complete'!D965,"AAAAAE74/4s=")</f>
        <v>#VALUE!</v>
      </c>
      <c r="EK72" t="e">
        <f>AND('BBP complete'!F965,"AAAAAE74/4w=")</f>
        <v>#VALUE!</v>
      </c>
      <c r="EL72" t="e">
        <f>AND('BBP complete'!G965,"AAAAAE74/40=")</f>
        <v>#VALUE!</v>
      </c>
      <c r="EM72" t="e">
        <f>AND('BBP complete'!H965,"AAAAAE74/44=")</f>
        <v>#VALUE!</v>
      </c>
      <c r="EN72" t="e">
        <f>AND('BBP complete'!I965,"AAAAAE74/48=")</f>
        <v>#VALUE!</v>
      </c>
      <c r="EO72" s="60" t="e">
        <v>#VALUE!</v>
      </c>
      <c r="EP72" t="e">
        <f>AND('BBP complete'!A965,"AAAAAE74/5E=")</f>
        <v>#VALUE!</v>
      </c>
      <c r="EQ72" t="e">
        <f>AND('BBP complete'!#REF!,"AAAAAE74/5I=")</f>
        <v>#REF!</v>
      </c>
      <c r="ER72" t="e">
        <f>AND('BBP complete'!#REF!,"AAAAAE74/5M=")</f>
        <v>#REF!</v>
      </c>
      <c r="ES72" t="e">
        <f>AND('BBP complete'!#REF!,"AAAAAE74/5Q=")</f>
        <v>#REF!</v>
      </c>
      <c r="ET72" t="e">
        <f>AND('BBP complete'!#REF!,"AAAAAE74/5U=")</f>
        <v>#REF!</v>
      </c>
      <c r="EU72" t="e">
        <f>AND('BBP complete'!#REF!,"AAAAAE74/5Y=")</f>
        <v>#REF!</v>
      </c>
      <c r="EV72" t="e">
        <f>AND('BBP complete'!E965,"AAAAAE74/5c=")</f>
        <v>#VALUE!</v>
      </c>
      <c r="EW72" t="e">
        <f>AND('BBP complete'!#REF!,"AAAAAE74/5g=")</f>
        <v>#REF!</v>
      </c>
      <c r="EX72" t="e">
        <f>AND('BBP complete'!K965,"AAAAAE74/5k=")</f>
        <v>#VALUE!</v>
      </c>
      <c r="EY72" t="e">
        <f>AND('BBP complete'!L965,"AAAAAE74/5o=")</f>
        <v>#VALUE!</v>
      </c>
      <c r="EZ72" t="e">
        <f>AND('BBP complete'!#REF!,"AAAAAE74/5s=")</f>
        <v>#REF!</v>
      </c>
      <c r="FA72" t="e">
        <f>AND('BBP complete'!#REF!,"AAAAAE74/5w=")</f>
        <v>#REF!</v>
      </c>
      <c r="FB72" t="e">
        <f>AND('BBP complete'!#REF!,"AAAAAE74/50=")</f>
        <v>#REF!</v>
      </c>
      <c r="FC72" t="e">
        <f>AND('BBP complete'!D966,"AAAAAE74/54=")</f>
        <v>#VALUE!</v>
      </c>
      <c r="FD72" t="e">
        <f>AND('BBP complete'!F966,"AAAAAE74/58=")</f>
        <v>#VALUE!</v>
      </c>
      <c r="FE72" t="e">
        <f>AND('BBP complete'!G966,"AAAAAE74/6A=")</f>
        <v>#VALUE!</v>
      </c>
      <c r="FF72" t="e">
        <f>AND('BBP complete'!H966,"AAAAAE74/6E=")</f>
        <v>#VALUE!</v>
      </c>
      <c r="FG72" t="e">
        <f>AND('BBP complete'!I966,"AAAAAE74/6I=")</f>
        <v>#VALUE!</v>
      </c>
      <c r="FH72" s="60" t="e">
        <v>#VALUE!</v>
      </c>
      <c r="FI72" t="e">
        <f>AND('BBP complete'!A966,"AAAAAE74/6Q=")</f>
        <v>#VALUE!</v>
      </c>
      <c r="FJ72" t="e">
        <f>AND('BBP complete'!#REF!,"AAAAAE74/6U=")</f>
        <v>#REF!</v>
      </c>
      <c r="FK72" t="e">
        <f>AND('BBP complete'!#REF!,"AAAAAE74/6Y=")</f>
        <v>#REF!</v>
      </c>
      <c r="FL72" t="e">
        <f>AND('BBP complete'!#REF!,"AAAAAE74/6c=")</f>
        <v>#REF!</v>
      </c>
      <c r="FM72" t="e">
        <f>AND('BBP complete'!#REF!,"AAAAAE74/6g=")</f>
        <v>#REF!</v>
      </c>
      <c r="FN72" t="e">
        <f>AND('BBP complete'!#REF!,"AAAAAE74/6k=")</f>
        <v>#REF!</v>
      </c>
      <c r="FO72" t="e">
        <f>AND('BBP complete'!E966,"AAAAAE74/6o=")</f>
        <v>#VALUE!</v>
      </c>
      <c r="FP72" t="e">
        <f>AND('BBP complete'!#REF!,"AAAAAE74/6s=")</f>
        <v>#REF!</v>
      </c>
      <c r="FQ72" t="e">
        <f>AND('BBP complete'!K966,"AAAAAE74/6w=")</f>
        <v>#VALUE!</v>
      </c>
      <c r="FR72" t="e">
        <f>AND('BBP complete'!L966,"AAAAAE74/60=")</f>
        <v>#VALUE!</v>
      </c>
      <c r="FS72" t="e">
        <f>AND('BBP complete'!#REF!,"AAAAAE74/64=")</f>
        <v>#REF!</v>
      </c>
      <c r="FT72" t="e">
        <f>AND('BBP complete'!#REF!,"AAAAAE74/68=")</f>
        <v>#REF!</v>
      </c>
      <c r="FU72" t="e">
        <f>AND('BBP complete'!#REF!,"AAAAAE74/7A=")</f>
        <v>#REF!</v>
      </c>
      <c r="FV72" t="e">
        <f>AND('BBP complete'!D967,"AAAAAE74/7E=")</f>
        <v>#VALUE!</v>
      </c>
      <c r="FW72" t="e">
        <f>AND('BBP complete'!F967,"AAAAAE74/7I=")</f>
        <v>#VALUE!</v>
      </c>
      <c r="FX72" t="e">
        <f>AND('BBP complete'!G967,"AAAAAE74/7M=")</f>
        <v>#VALUE!</v>
      </c>
      <c r="FY72" t="e">
        <f>AND('BBP complete'!H967,"AAAAAE74/7Q=")</f>
        <v>#VALUE!</v>
      </c>
      <c r="FZ72" t="e">
        <f>AND('BBP complete'!I967,"AAAAAE74/7U=")</f>
        <v>#VALUE!</v>
      </c>
      <c r="GA72" s="60" t="e">
        <v>#VALUE!</v>
      </c>
      <c r="GB72" t="e">
        <f>AND('BBP complete'!A967,"AAAAAE74/7c=")</f>
        <v>#VALUE!</v>
      </c>
      <c r="GC72" t="e">
        <f>AND('BBP complete'!#REF!,"AAAAAE74/7g=")</f>
        <v>#REF!</v>
      </c>
      <c r="GD72" t="e">
        <f>AND('BBP complete'!#REF!,"AAAAAE74/7k=")</f>
        <v>#REF!</v>
      </c>
      <c r="GE72" t="e">
        <f>AND('BBP complete'!#REF!,"AAAAAE74/7o=")</f>
        <v>#REF!</v>
      </c>
      <c r="GF72" t="e">
        <f>AND('BBP complete'!#REF!,"AAAAAE74/7s=")</f>
        <v>#REF!</v>
      </c>
      <c r="GG72" t="e">
        <f>AND('BBP complete'!#REF!,"AAAAAE74/7w=")</f>
        <v>#REF!</v>
      </c>
      <c r="GH72" t="e">
        <f>AND('BBP complete'!E967,"AAAAAE74/70=")</f>
        <v>#VALUE!</v>
      </c>
      <c r="GI72" t="e">
        <f>AND('BBP complete'!#REF!,"AAAAAE74/74=")</f>
        <v>#REF!</v>
      </c>
      <c r="GJ72" t="e">
        <f>AND('BBP complete'!K967,"AAAAAE74/78=")</f>
        <v>#VALUE!</v>
      </c>
      <c r="GK72" t="e">
        <f>AND('BBP complete'!L967,"AAAAAE74/8A=")</f>
        <v>#VALUE!</v>
      </c>
      <c r="GL72" t="e">
        <f>AND('BBP complete'!#REF!,"AAAAAE74/8E=")</f>
        <v>#REF!</v>
      </c>
      <c r="GM72" t="e">
        <f>AND('BBP complete'!#REF!,"AAAAAE74/8I=")</f>
        <v>#REF!</v>
      </c>
      <c r="GN72" t="e">
        <f>AND('BBP complete'!#REF!,"AAAAAE74/8M=")</f>
        <v>#REF!</v>
      </c>
      <c r="GO72" t="e">
        <f>AND('BBP complete'!D968,"AAAAAE74/8Q=")</f>
        <v>#VALUE!</v>
      </c>
      <c r="GP72" t="e">
        <f>AND('BBP complete'!F968,"AAAAAE74/8U=")</f>
        <v>#VALUE!</v>
      </c>
      <c r="GQ72" t="e">
        <f>AND('BBP complete'!G968,"AAAAAE74/8Y=")</f>
        <v>#VALUE!</v>
      </c>
      <c r="GR72" t="e">
        <f>AND('BBP complete'!H968,"AAAAAE74/8c=")</f>
        <v>#VALUE!</v>
      </c>
      <c r="GS72" t="e">
        <f>AND('BBP complete'!I968,"AAAAAE74/8g=")</f>
        <v>#VALUE!</v>
      </c>
      <c r="GT72" s="60" t="e">
        <v>#VALUE!</v>
      </c>
      <c r="GU72" t="e">
        <f>AND('BBP complete'!A968,"AAAAAE74/8o=")</f>
        <v>#VALUE!</v>
      </c>
      <c r="GV72" t="e">
        <f>AND('BBP complete'!#REF!,"AAAAAE74/8s=")</f>
        <v>#REF!</v>
      </c>
      <c r="GW72" t="e">
        <f>AND('BBP complete'!#REF!,"AAAAAE74/8w=")</f>
        <v>#REF!</v>
      </c>
      <c r="GX72" t="e">
        <f>AND('BBP complete'!#REF!,"AAAAAE74/80=")</f>
        <v>#REF!</v>
      </c>
      <c r="GY72" t="e">
        <f>AND('BBP complete'!#REF!,"AAAAAE74/84=")</f>
        <v>#REF!</v>
      </c>
      <c r="GZ72" t="e">
        <f>AND('BBP complete'!#REF!,"AAAAAE74/88=")</f>
        <v>#REF!</v>
      </c>
      <c r="HA72" t="e">
        <f>AND('BBP complete'!E968,"AAAAAE74/9A=")</f>
        <v>#VALUE!</v>
      </c>
      <c r="HB72" t="e">
        <f>AND('BBP complete'!#REF!,"AAAAAE74/9E=")</f>
        <v>#REF!</v>
      </c>
      <c r="HC72" t="e">
        <f>AND('BBP complete'!K968,"AAAAAE74/9I=")</f>
        <v>#VALUE!</v>
      </c>
      <c r="HD72" t="e">
        <f>AND('BBP complete'!L968,"AAAAAE74/9M=")</f>
        <v>#VALUE!</v>
      </c>
      <c r="HE72" t="e">
        <f>AND('BBP complete'!#REF!,"AAAAAE74/9Q=")</f>
        <v>#REF!</v>
      </c>
      <c r="HF72" t="e">
        <f>AND('BBP complete'!#REF!,"AAAAAE74/9U=")</f>
        <v>#REF!</v>
      </c>
      <c r="HG72" t="e">
        <f>AND('BBP complete'!#REF!,"AAAAAE74/9Y=")</f>
        <v>#REF!</v>
      </c>
      <c r="HH72" t="e">
        <f>AND('BBP complete'!D969,"AAAAAE74/9c=")</f>
        <v>#VALUE!</v>
      </c>
      <c r="HI72" t="e">
        <f>AND('BBP complete'!F969,"AAAAAE74/9g=")</f>
        <v>#VALUE!</v>
      </c>
      <c r="HJ72" t="e">
        <f>AND('BBP complete'!G969,"AAAAAE74/9k=")</f>
        <v>#VALUE!</v>
      </c>
      <c r="HK72" t="e">
        <f>AND('BBP complete'!H969,"AAAAAE74/9o=")</f>
        <v>#VALUE!</v>
      </c>
      <c r="HL72" t="e">
        <f>AND('BBP complete'!I969,"AAAAAE74/9s=")</f>
        <v>#VALUE!</v>
      </c>
      <c r="HM72" s="60" t="e">
        <v>#VALUE!</v>
      </c>
      <c r="HN72" t="e">
        <f>AND('BBP complete'!A969,"AAAAAE74/90=")</f>
        <v>#VALUE!</v>
      </c>
      <c r="HO72" t="e">
        <f>AND('BBP complete'!#REF!,"AAAAAE74/94=")</f>
        <v>#REF!</v>
      </c>
      <c r="HP72" t="e">
        <f>AND('BBP complete'!#REF!,"AAAAAE74/98=")</f>
        <v>#REF!</v>
      </c>
      <c r="HQ72" t="e">
        <f>AND('BBP complete'!#REF!,"AAAAAE74/+A=")</f>
        <v>#REF!</v>
      </c>
      <c r="HR72" t="e">
        <f>AND('BBP complete'!#REF!,"AAAAAE74/+E=")</f>
        <v>#REF!</v>
      </c>
      <c r="HS72" t="e">
        <f>AND('BBP complete'!#REF!,"AAAAAE74/+I=")</f>
        <v>#REF!</v>
      </c>
      <c r="HT72" t="e">
        <f>AND('BBP complete'!E969,"AAAAAE74/+M=")</f>
        <v>#VALUE!</v>
      </c>
      <c r="HU72" t="e">
        <f>AND('BBP complete'!#REF!,"AAAAAE74/+Q=")</f>
        <v>#REF!</v>
      </c>
      <c r="HV72" t="e">
        <f>AND('BBP complete'!K969,"AAAAAE74/+U=")</f>
        <v>#VALUE!</v>
      </c>
      <c r="HW72" t="e">
        <f>AND('BBP complete'!L969,"AAAAAE74/+Y=")</f>
        <v>#VALUE!</v>
      </c>
      <c r="HX72" t="e">
        <f>AND('BBP complete'!#REF!,"AAAAAE74/+c=")</f>
        <v>#REF!</v>
      </c>
      <c r="HY72" t="e">
        <f>AND('BBP complete'!#REF!,"AAAAAE74/+g=")</f>
        <v>#REF!</v>
      </c>
      <c r="HZ72" t="e">
        <f>AND('BBP complete'!#REF!,"AAAAAE74/+k=")</f>
        <v>#REF!</v>
      </c>
      <c r="IA72" t="e">
        <f>AND('BBP complete'!D970,"AAAAAE74/+o=")</f>
        <v>#VALUE!</v>
      </c>
      <c r="IB72" t="e">
        <f>AND('BBP complete'!F970,"AAAAAE74/+s=")</f>
        <v>#VALUE!</v>
      </c>
      <c r="IC72" t="e">
        <f>AND('BBP complete'!G970,"AAAAAE74/+w=")</f>
        <v>#VALUE!</v>
      </c>
      <c r="ID72" t="e">
        <f>AND('BBP complete'!H970,"AAAAAE74/+0=")</f>
        <v>#VALUE!</v>
      </c>
      <c r="IE72" t="e">
        <f>AND('BBP complete'!I970,"AAAAAE74/+4=")</f>
        <v>#VALUE!</v>
      </c>
      <c r="IF72" s="60" t="e">
        <v>#VALUE!</v>
      </c>
      <c r="IG72" t="e">
        <f>AND('BBP complete'!A970,"AAAAAE74//A=")</f>
        <v>#VALUE!</v>
      </c>
      <c r="IH72" t="e">
        <f>AND('BBP complete'!#REF!,"AAAAAE74//E=")</f>
        <v>#REF!</v>
      </c>
      <c r="II72" t="e">
        <f>AND('BBP complete'!#REF!,"AAAAAE74//I=")</f>
        <v>#REF!</v>
      </c>
      <c r="IJ72" t="e">
        <f>AND('BBP complete'!#REF!,"AAAAAE74//M=")</f>
        <v>#REF!</v>
      </c>
      <c r="IK72" t="e">
        <f>AND('BBP complete'!#REF!,"AAAAAE74//Q=")</f>
        <v>#REF!</v>
      </c>
      <c r="IL72" t="e">
        <f>AND('BBP complete'!#REF!,"AAAAAE74//U=")</f>
        <v>#REF!</v>
      </c>
      <c r="IM72" t="e">
        <f>AND('BBP complete'!E970,"AAAAAE74//Y=")</f>
        <v>#VALUE!</v>
      </c>
      <c r="IN72" t="e">
        <f>AND('BBP complete'!#REF!,"AAAAAE74//c=")</f>
        <v>#REF!</v>
      </c>
      <c r="IO72" t="e">
        <f>AND('BBP complete'!K970,"AAAAAE74//g=")</f>
        <v>#VALUE!</v>
      </c>
      <c r="IP72" t="e">
        <f>AND('BBP complete'!L970,"AAAAAE74//k=")</f>
        <v>#VALUE!</v>
      </c>
      <c r="IQ72" t="e">
        <f>AND('BBP complete'!#REF!,"AAAAAE74//o=")</f>
        <v>#REF!</v>
      </c>
      <c r="IR72" t="e">
        <f>AND('BBP complete'!#REF!,"AAAAAE74//s=")</f>
        <v>#REF!</v>
      </c>
      <c r="IS72" t="e">
        <f>AND('BBP complete'!#REF!,"AAAAAE74//w=")</f>
        <v>#REF!</v>
      </c>
      <c r="IT72" t="e">
        <f>AND('BBP complete'!D971,"AAAAAE74//0=")</f>
        <v>#VALUE!</v>
      </c>
      <c r="IU72" t="e">
        <f>AND('BBP complete'!F971,"AAAAAE74//4=")</f>
        <v>#VALUE!</v>
      </c>
      <c r="IV72" t="e">
        <f>AND('BBP complete'!G971,"AAAAAE74//8=")</f>
        <v>#VALUE!</v>
      </c>
    </row>
    <row r="73" spans="1:256" ht="15" customHeight="1" x14ac:dyDescent="0.25">
      <c r="A73" t="e">
        <f>AND('BBP complete'!H971,"AAAAAF/3lgA=")</f>
        <v>#VALUE!</v>
      </c>
      <c r="B73" t="e">
        <f>AND('BBP complete'!I971,"AAAAAF/3lgE=")</f>
        <v>#VALUE!</v>
      </c>
      <c r="C73" s="60" t="e">
        <v>#VALUE!</v>
      </c>
      <c r="D73" t="e">
        <f>AND('BBP complete'!A971,"AAAAAF/3lgM=")</f>
        <v>#VALUE!</v>
      </c>
      <c r="E73" t="e">
        <f>AND('BBP complete'!#REF!,"AAAAAF/3lgQ=")</f>
        <v>#REF!</v>
      </c>
      <c r="F73" t="e">
        <f>AND('BBP complete'!#REF!,"AAAAAF/3lgU=")</f>
        <v>#REF!</v>
      </c>
      <c r="G73" t="e">
        <f>AND('BBP complete'!#REF!,"AAAAAF/3lgY=")</f>
        <v>#REF!</v>
      </c>
      <c r="H73" t="e">
        <f>AND('BBP complete'!#REF!,"AAAAAF/3lgc=")</f>
        <v>#REF!</v>
      </c>
      <c r="I73" t="e">
        <f>AND('BBP complete'!#REF!,"AAAAAF/3lgg=")</f>
        <v>#REF!</v>
      </c>
      <c r="J73" t="e">
        <f>AND('BBP complete'!E971,"AAAAAF/3lgk=")</f>
        <v>#VALUE!</v>
      </c>
      <c r="K73" t="e">
        <f>AND('BBP complete'!#REF!,"AAAAAF/3lgo=")</f>
        <v>#REF!</v>
      </c>
      <c r="L73" t="e">
        <f>AND('BBP complete'!K971,"AAAAAF/3lgs=")</f>
        <v>#VALUE!</v>
      </c>
      <c r="M73" t="e">
        <f>AND('BBP complete'!L971,"AAAAAF/3lgw=")</f>
        <v>#VALUE!</v>
      </c>
      <c r="N73" t="e">
        <f>AND('BBP complete'!#REF!,"AAAAAF/3lg0=")</f>
        <v>#REF!</v>
      </c>
      <c r="O73" t="e">
        <f>AND('BBP complete'!#REF!,"AAAAAF/3lg4=")</f>
        <v>#REF!</v>
      </c>
      <c r="P73" t="e">
        <f>AND('BBP complete'!#REF!,"AAAAAF/3lg8=")</f>
        <v>#REF!</v>
      </c>
      <c r="Q73" t="e">
        <f>AND('BBP complete'!D972,"AAAAAF/3lhA=")</f>
        <v>#VALUE!</v>
      </c>
      <c r="R73" t="e">
        <f>AND('BBP complete'!F972,"AAAAAF/3lhE=")</f>
        <v>#VALUE!</v>
      </c>
      <c r="S73" t="e">
        <f>AND('BBP complete'!G972,"AAAAAF/3lhI=")</f>
        <v>#VALUE!</v>
      </c>
      <c r="T73" t="e">
        <f>AND('BBP complete'!H972,"AAAAAF/3lhM=")</f>
        <v>#VALUE!</v>
      </c>
      <c r="U73" t="e">
        <f>AND('BBP complete'!I972,"AAAAAF/3lhQ=")</f>
        <v>#VALUE!</v>
      </c>
      <c r="V73" s="60" t="e">
        <v>#VALUE!</v>
      </c>
      <c r="W73" t="e">
        <f>AND('BBP complete'!A972,"AAAAAF/3lhY=")</f>
        <v>#VALUE!</v>
      </c>
      <c r="X73" t="e">
        <f>AND('BBP complete'!#REF!,"AAAAAF/3lhc=")</f>
        <v>#REF!</v>
      </c>
      <c r="Y73" t="e">
        <f>AND('BBP complete'!#REF!,"AAAAAF/3lhg=")</f>
        <v>#REF!</v>
      </c>
      <c r="Z73" t="e">
        <f>AND('BBP complete'!#REF!,"AAAAAF/3lhk=")</f>
        <v>#REF!</v>
      </c>
      <c r="AA73" t="e">
        <f>AND('BBP complete'!#REF!,"AAAAAF/3lho=")</f>
        <v>#REF!</v>
      </c>
      <c r="AB73" t="e">
        <f>AND('BBP complete'!#REF!,"AAAAAF/3lhs=")</f>
        <v>#REF!</v>
      </c>
      <c r="AC73" t="e">
        <f>AND('BBP complete'!E972,"AAAAAF/3lhw=")</f>
        <v>#VALUE!</v>
      </c>
      <c r="AD73" t="e">
        <f>AND('BBP complete'!#REF!,"AAAAAF/3lh0=")</f>
        <v>#REF!</v>
      </c>
      <c r="AE73" t="e">
        <f>AND('BBP complete'!K972,"AAAAAF/3lh4=")</f>
        <v>#VALUE!</v>
      </c>
      <c r="AF73" t="e">
        <f>AND('BBP complete'!L972,"AAAAAF/3lh8=")</f>
        <v>#VALUE!</v>
      </c>
      <c r="AG73" t="e">
        <f>AND('BBP complete'!#REF!,"AAAAAF/3liA=")</f>
        <v>#REF!</v>
      </c>
      <c r="AH73" t="e">
        <f>AND('BBP complete'!#REF!,"AAAAAF/3liE=")</f>
        <v>#REF!</v>
      </c>
      <c r="AI73" t="e">
        <f>AND('BBP complete'!#REF!,"AAAAAF/3liI=")</f>
        <v>#REF!</v>
      </c>
      <c r="AJ73" t="e">
        <f>AND('BBP complete'!D973,"AAAAAF/3liM=")</f>
        <v>#VALUE!</v>
      </c>
      <c r="AK73" t="e">
        <f>AND('BBP complete'!F973,"AAAAAF/3liQ=")</f>
        <v>#VALUE!</v>
      </c>
      <c r="AL73" t="e">
        <f>AND('BBP complete'!G973,"AAAAAF/3liU=")</f>
        <v>#VALUE!</v>
      </c>
      <c r="AM73" t="e">
        <f>AND('BBP complete'!H973,"AAAAAF/3liY=")</f>
        <v>#VALUE!</v>
      </c>
      <c r="AN73" t="e">
        <f>AND('BBP complete'!I973,"AAAAAF/3lic=")</f>
        <v>#VALUE!</v>
      </c>
      <c r="AO73" s="60" t="e">
        <v>#VALUE!</v>
      </c>
      <c r="AP73" t="e">
        <f>AND('BBP complete'!A973,"AAAAAF/3lik=")</f>
        <v>#VALUE!</v>
      </c>
      <c r="AQ73" t="e">
        <f>AND('BBP complete'!#REF!,"AAAAAF/3lio=")</f>
        <v>#REF!</v>
      </c>
      <c r="AR73" t="e">
        <f>AND('BBP complete'!#REF!,"AAAAAF/3lis=")</f>
        <v>#REF!</v>
      </c>
      <c r="AS73" t="e">
        <f>AND('BBP complete'!#REF!,"AAAAAF/3liw=")</f>
        <v>#REF!</v>
      </c>
      <c r="AT73" t="e">
        <f>AND('BBP complete'!#REF!,"AAAAAF/3li0=")</f>
        <v>#REF!</v>
      </c>
      <c r="AU73" t="e">
        <f>AND('BBP complete'!#REF!,"AAAAAF/3li4=")</f>
        <v>#REF!</v>
      </c>
      <c r="AV73" t="e">
        <f>AND('BBP complete'!E973,"AAAAAF/3li8=")</f>
        <v>#VALUE!</v>
      </c>
      <c r="AW73" t="e">
        <f>AND('BBP complete'!#REF!,"AAAAAF/3ljA=")</f>
        <v>#REF!</v>
      </c>
      <c r="AX73" t="e">
        <f>AND('BBP complete'!K973,"AAAAAF/3ljE=")</f>
        <v>#VALUE!</v>
      </c>
      <c r="AY73" t="e">
        <f>AND('BBP complete'!L973,"AAAAAF/3ljI=")</f>
        <v>#VALUE!</v>
      </c>
      <c r="AZ73" t="e">
        <f>AND('BBP complete'!#REF!,"AAAAAF/3ljM=")</f>
        <v>#REF!</v>
      </c>
      <c r="BA73" t="e">
        <f>AND('BBP complete'!#REF!,"AAAAAF/3ljQ=")</f>
        <v>#REF!</v>
      </c>
      <c r="BB73" t="e">
        <f>AND('BBP complete'!#REF!,"AAAAAF/3ljU=")</f>
        <v>#REF!</v>
      </c>
      <c r="BC73" t="e">
        <f>AND('BBP complete'!D974,"AAAAAF/3ljY=")</f>
        <v>#VALUE!</v>
      </c>
      <c r="BD73" t="e">
        <f>AND('BBP complete'!F974,"AAAAAF/3ljc=")</f>
        <v>#VALUE!</v>
      </c>
      <c r="BE73" t="e">
        <f>AND('BBP complete'!G974,"AAAAAF/3ljg=")</f>
        <v>#VALUE!</v>
      </c>
      <c r="BF73" t="e">
        <f>AND('BBP complete'!H974,"AAAAAF/3ljk=")</f>
        <v>#VALUE!</v>
      </c>
      <c r="BG73" t="e">
        <f>AND('BBP complete'!I974,"AAAAAF/3ljo=")</f>
        <v>#VALUE!</v>
      </c>
      <c r="BH73" s="60" t="e">
        <v>#VALUE!</v>
      </c>
      <c r="BI73" t="e">
        <f>AND('BBP complete'!A974,"AAAAAF/3ljw=")</f>
        <v>#VALUE!</v>
      </c>
      <c r="BJ73" t="e">
        <f>AND('BBP complete'!#REF!,"AAAAAF/3lj0=")</f>
        <v>#REF!</v>
      </c>
      <c r="BK73" t="e">
        <f>AND('BBP complete'!#REF!,"AAAAAF/3lj4=")</f>
        <v>#REF!</v>
      </c>
      <c r="BL73" t="e">
        <f>AND('BBP complete'!#REF!,"AAAAAF/3lj8=")</f>
        <v>#REF!</v>
      </c>
      <c r="BM73" t="e">
        <f>AND('BBP complete'!#REF!,"AAAAAF/3lkA=")</f>
        <v>#REF!</v>
      </c>
      <c r="BN73" t="e">
        <f>AND('BBP complete'!#REF!,"AAAAAF/3lkE=")</f>
        <v>#REF!</v>
      </c>
      <c r="BO73" t="e">
        <f>AND('BBP complete'!E974,"AAAAAF/3lkI=")</f>
        <v>#VALUE!</v>
      </c>
      <c r="BP73" t="e">
        <f>AND('BBP complete'!#REF!,"AAAAAF/3lkM=")</f>
        <v>#REF!</v>
      </c>
      <c r="BQ73" t="e">
        <f>AND('BBP complete'!K974,"AAAAAF/3lkQ=")</f>
        <v>#VALUE!</v>
      </c>
      <c r="BR73" t="e">
        <f>AND('BBP complete'!L974,"AAAAAF/3lkU=")</f>
        <v>#VALUE!</v>
      </c>
      <c r="BS73" t="e">
        <f>AND('BBP complete'!#REF!,"AAAAAF/3lkY=")</f>
        <v>#REF!</v>
      </c>
      <c r="BT73" t="e">
        <f>AND('BBP complete'!#REF!,"AAAAAF/3lkc=")</f>
        <v>#REF!</v>
      </c>
      <c r="BU73" t="e">
        <f>AND('BBP complete'!#REF!,"AAAAAF/3lkg=")</f>
        <v>#REF!</v>
      </c>
      <c r="BV73" t="e">
        <f>AND('BBP complete'!D975,"AAAAAF/3lkk=")</f>
        <v>#VALUE!</v>
      </c>
      <c r="BW73" t="e">
        <f>AND('BBP complete'!F975,"AAAAAF/3lko=")</f>
        <v>#VALUE!</v>
      </c>
      <c r="BX73" t="e">
        <f>AND('BBP complete'!G975,"AAAAAF/3lks=")</f>
        <v>#VALUE!</v>
      </c>
      <c r="BY73" t="e">
        <f>AND('BBP complete'!H975,"AAAAAF/3lkw=")</f>
        <v>#VALUE!</v>
      </c>
      <c r="BZ73" t="e">
        <f>AND('BBP complete'!I975,"AAAAAF/3lk0=")</f>
        <v>#VALUE!</v>
      </c>
      <c r="CA73" s="60" t="e">
        <v>#VALUE!</v>
      </c>
      <c r="CB73" t="e">
        <f>AND('BBP complete'!A975,"AAAAAF/3lk8=")</f>
        <v>#VALUE!</v>
      </c>
      <c r="CC73" t="e">
        <f>AND('BBP complete'!#REF!,"AAAAAF/3llA=")</f>
        <v>#REF!</v>
      </c>
      <c r="CD73" t="e">
        <f>AND('BBP complete'!#REF!,"AAAAAF/3llE=")</f>
        <v>#REF!</v>
      </c>
      <c r="CE73" t="e">
        <f>AND('BBP complete'!#REF!,"AAAAAF/3llI=")</f>
        <v>#REF!</v>
      </c>
      <c r="CF73" t="e">
        <f>AND('BBP complete'!#REF!,"AAAAAF/3llM=")</f>
        <v>#REF!</v>
      </c>
      <c r="CG73" t="e">
        <f>AND('BBP complete'!#REF!,"AAAAAF/3llQ=")</f>
        <v>#REF!</v>
      </c>
      <c r="CH73" t="e">
        <f>AND('BBP complete'!E975,"AAAAAF/3llU=")</f>
        <v>#VALUE!</v>
      </c>
      <c r="CI73" t="e">
        <f>AND('BBP complete'!#REF!,"AAAAAF/3llY=")</f>
        <v>#REF!</v>
      </c>
      <c r="CJ73" t="e">
        <f>AND('BBP complete'!K975,"AAAAAF/3llc=")</f>
        <v>#VALUE!</v>
      </c>
      <c r="CK73" t="e">
        <f>AND('BBP complete'!L975,"AAAAAF/3llg=")</f>
        <v>#VALUE!</v>
      </c>
      <c r="CL73" t="e">
        <f>AND('BBP complete'!#REF!,"AAAAAF/3llk=")</f>
        <v>#REF!</v>
      </c>
      <c r="CM73" t="e">
        <f>AND('BBP complete'!#REF!,"AAAAAF/3llo=")</f>
        <v>#REF!</v>
      </c>
      <c r="CN73" t="e">
        <f>AND('BBP complete'!#REF!,"AAAAAF/3lls=")</f>
        <v>#REF!</v>
      </c>
      <c r="CO73" t="e">
        <f>AND('BBP complete'!D976,"AAAAAF/3llw=")</f>
        <v>#VALUE!</v>
      </c>
      <c r="CP73" t="e">
        <f>AND('BBP complete'!F976,"AAAAAF/3ll0=")</f>
        <v>#VALUE!</v>
      </c>
      <c r="CQ73" t="e">
        <f>AND('BBP complete'!G976,"AAAAAF/3ll4=")</f>
        <v>#VALUE!</v>
      </c>
      <c r="CR73" t="e">
        <f>AND('BBP complete'!H976,"AAAAAF/3ll8=")</f>
        <v>#VALUE!</v>
      </c>
      <c r="CS73" t="e">
        <f>AND('BBP complete'!I976,"AAAAAF/3lmA=")</f>
        <v>#VALUE!</v>
      </c>
      <c r="CT73" s="60" t="e">
        <v>#VALUE!</v>
      </c>
      <c r="CU73" t="e">
        <f>AND('BBP complete'!A976,"AAAAAF/3lmI=")</f>
        <v>#VALUE!</v>
      </c>
      <c r="CV73" t="e">
        <f>AND('BBP complete'!#REF!,"AAAAAF/3lmM=")</f>
        <v>#REF!</v>
      </c>
      <c r="CW73" t="e">
        <f>AND('BBP complete'!#REF!,"AAAAAF/3lmQ=")</f>
        <v>#REF!</v>
      </c>
      <c r="CX73" t="e">
        <f>AND('BBP complete'!#REF!,"AAAAAF/3lmU=")</f>
        <v>#REF!</v>
      </c>
      <c r="CY73" t="e">
        <f>AND('BBP complete'!#REF!,"AAAAAF/3lmY=")</f>
        <v>#REF!</v>
      </c>
      <c r="CZ73" t="e">
        <f>AND('BBP complete'!#REF!,"AAAAAF/3lmc=")</f>
        <v>#REF!</v>
      </c>
      <c r="DA73" t="e">
        <f>AND('BBP complete'!E976,"AAAAAF/3lmg=")</f>
        <v>#VALUE!</v>
      </c>
      <c r="DB73" t="e">
        <f>AND('BBP complete'!#REF!,"AAAAAF/3lmk=")</f>
        <v>#REF!</v>
      </c>
      <c r="DC73" t="e">
        <f>AND('BBP complete'!K976,"AAAAAF/3lmo=")</f>
        <v>#VALUE!</v>
      </c>
      <c r="DD73" t="e">
        <f>AND('BBP complete'!L976,"AAAAAF/3lms=")</f>
        <v>#VALUE!</v>
      </c>
      <c r="DE73" t="e">
        <f>AND('BBP complete'!#REF!,"AAAAAF/3lmw=")</f>
        <v>#REF!</v>
      </c>
      <c r="DF73" t="e">
        <f>AND('BBP complete'!#REF!,"AAAAAF/3lm0=")</f>
        <v>#REF!</v>
      </c>
      <c r="DG73" t="e">
        <f>AND('BBP complete'!#REF!,"AAAAAF/3lm4=")</f>
        <v>#REF!</v>
      </c>
      <c r="DH73" t="e">
        <f>AND('BBP complete'!D977,"AAAAAF/3lm8=")</f>
        <v>#VALUE!</v>
      </c>
      <c r="DI73" t="e">
        <f>AND('BBP complete'!F977,"AAAAAF/3lnA=")</f>
        <v>#VALUE!</v>
      </c>
      <c r="DJ73" t="e">
        <f>AND('BBP complete'!G977,"AAAAAF/3lnE=")</f>
        <v>#VALUE!</v>
      </c>
      <c r="DK73" t="e">
        <f>AND('BBP complete'!H977,"AAAAAF/3lnI=")</f>
        <v>#VALUE!</v>
      </c>
      <c r="DL73" t="e">
        <f>AND('BBP complete'!I977,"AAAAAF/3lnM=")</f>
        <v>#VALUE!</v>
      </c>
      <c r="DM73" s="60" t="e">
        <v>#VALUE!</v>
      </c>
      <c r="DN73" t="e">
        <f>AND('BBP complete'!A977,"AAAAAF/3lnU=")</f>
        <v>#VALUE!</v>
      </c>
      <c r="DO73" t="e">
        <f>AND('BBP complete'!#REF!,"AAAAAF/3lnY=")</f>
        <v>#REF!</v>
      </c>
      <c r="DP73" t="e">
        <f>AND('BBP complete'!#REF!,"AAAAAF/3lnc=")</f>
        <v>#REF!</v>
      </c>
      <c r="DQ73" t="e">
        <f>AND('BBP complete'!#REF!,"AAAAAF/3lng=")</f>
        <v>#REF!</v>
      </c>
      <c r="DR73" t="e">
        <f>AND('BBP complete'!#REF!,"AAAAAF/3lnk=")</f>
        <v>#REF!</v>
      </c>
      <c r="DS73" t="e">
        <f>AND('BBP complete'!#REF!,"AAAAAF/3lno=")</f>
        <v>#REF!</v>
      </c>
      <c r="DT73" t="e">
        <f>AND('BBP complete'!E977,"AAAAAF/3lns=")</f>
        <v>#VALUE!</v>
      </c>
      <c r="DU73" t="e">
        <f>AND('BBP complete'!#REF!,"AAAAAF/3lnw=")</f>
        <v>#REF!</v>
      </c>
      <c r="DV73" t="e">
        <f>AND('BBP complete'!K977,"AAAAAF/3ln0=")</f>
        <v>#VALUE!</v>
      </c>
      <c r="DW73" t="e">
        <f>AND('BBP complete'!L977,"AAAAAF/3ln4=")</f>
        <v>#VALUE!</v>
      </c>
      <c r="DX73" t="e">
        <f>AND('BBP complete'!#REF!,"AAAAAF/3ln8=")</f>
        <v>#REF!</v>
      </c>
      <c r="DY73" t="e">
        <f>AND('BBP complete'!#REF!,"AAAAAF/3loA=")</f>
        <v>#REF!</v>
      </c>
      <c r="DZ73" t="e">
        <f>AND('BBP complete'!#REF!,"AAAAAF/3loE=")</f>
        <v>#REF!</v>
      </c>
      <c r="EA73" t="e">
        <f>AND('BBP complete'!D978,"AAAAAF/3loI=")</f>
        <v>#VALUE!</v>
      </c>
      <c r="EB73" t="e">
        <f>AND('BBP complete'!F978,"AAAAAF/3loM=")</f>
        <v>#VALUE!</v>
      </c>
      <c r="EC73" t="e">
        <f>AND('BBP complete'!G978,"AAAAAF/3loQ=")</f>
        <v>#VALUE!</v>
      </c>
      <c r="ED73" t="e">
        <f>AND('BBP complete'!H978,"AAAAAF/3loU=")</f>
        <v>#VALUE!</v>
      </c>
      <c r="EE73" t="e">
        <f>AND('BBP complete'!I978,"AAAAAF/3loY=")</f>
        <v>#VALUE!</v>
      </c>
      <c r="EF73" s="60" t="e">
        <v>#VALUE!</v>
      </c>
      <c r="EG73" t="e">
        <f>AND('BBP complete'!A978,"AAAAAF/3log=")</f>
        <v>#VALUE!</v>
      </c>
      <c r="EH73" t="e">
        <f>AND('BBP complete'!#REF!,"AAAAAF/3lok=")</f>
        <v>#REF!</v>
      </c>
      <c r="EI73" t="e">
        <f>AND('BBP complete'!#REF!,"AAAAAF/3loo=")</f>
        <v>#REF!</v>
      </c>
      <c r="EJ73" t="e">
        <f>AND('BBP complete'!#REF!,"AAAAAF/3los=")</f>
        <v>#REF!</v>
      </c>
      <c r="EK73" t="e">
        <f>AND('BBP complete'!#REF!,"AAAAAF/3low=")</f>
        <v>#REF!</v>
      </c>
      <c r="EL73" t="e">
        <f>AND('BBP complete'!#REF!,"AAAAAF/3lo0=")</f>
        <v>#REF!</v>
      </c>
      <c r="EM73" t="e">
        <f>AND('BBP complete'!E978,"AAAAAF/3lo4=")</f>
        <v>#VALUE!</v>
      </c>
      <c r="EN73" t="e">
        <f>AND('BBP complete'!#REF!,"AAAAAF/3lo8=")</f>
        <v>#REF!</v>
      </c>
      <c r="EO73" t="e">
        <f>AND('BBP complete'!K978,"AAAAAF/3lpA=")</f>
        <v>#VALUE!</v>
      </c>
      <c r="EP73" t="e">
        <f>AND('BBP complete'!L978,"AAAAAF/3lpE=")</f>
        <v>#VALUE!</v>
      </c>
      <c r="EQ73" t="e">
        <f>AND('BBP complete'!#REF!,"AAAAAF/3lpI=")</f>
        <v>#REF!</v>
      </c>
      <c r="ER73" t="e">
        <f>AND('BBP complete'!#REF!,"AAAAAF/3lpM=")</f>
        <v>#REF!</v>
      </c>
      <c r="ES73" t="e">
        <f>AND('BBP complete'!#REF!,"AAAAAF/3lpQ=")</f>
        <v>#REF!</v>
      </c>
      <c r="ET73" t="e">
        <f>AND('BBP complete'!D979,"AAAAAF/3lpU=")</f>
        <v>#VALUE!</v>
      </c>
      <c r="EU73" t="e">
        <f>AND('BBP complete'!F979,"AAAAAF/3lpY=")</f>
        <v>#VALUE!</v>
      </c>
      <c r="EV73" t="e">
        <f>AND('BBP complete'!G979,"AAAAAF/3lpc=")</f>
        <v>#VALUE!</v>
      </c>
      <c r="EW73" t="e">
        <f>AND('BBP complete'!H979,"AAAAAF/3lpg=")</f>
        <v>#VALUE!</v>
      </c>
      <c r="EX73" t="e">
        <f>AND('BBP complete'!I979,"AAAAAF/3lpk=")</f>
        <v>#VALUE!</v>
      </c>
      <c r="EY73" s="60" t="e">
        <v>#VALUE!</v>
      </c>
      <c r="EZ73" t="e">
        <f>AND('BBP complete'!A979,"AAAAAF/3lps=")</f>
        <v>#VALUE!</v>
      </c>
      <c r="FA73" t="e">
        <f>AND('BBP complete'!#REF!,"AAAAAF/3lpw=")</f>
        <v>#REF!</v>
      </c>
      <c r="FB73" t="e">
        <f>AND('BBP complete'!#REF!,"AAAAAF/3lp0=")</f>
        <v>#REF!</v>
      </c>
      <c r="FC73" t="e">
        <f>AND('BBP complete'!#REF!,"AAAAAF/3lp4=")</f>
        <v>#REF!</v>
      </c>
      <c r="FD73" t="e">
        <f>AND('BBP complete'!#REF!,"AAAAAF/3lp8=")</f>
        <v>#REF!</v>
      </c>
      <c r="FE73" t="e">
        <f>AND('BBP complete'!#REF!,"AAAAAF/3lqA=")</f>
        <v>#REF!</v>
      </c>
      <c r="FF73" t="e">
        <f>AND('BBP complete'!E979,"AAAAAF/3lqE=")</f>
        <v>#VALUE!</v>
      </c>
      <c r="FG73" t="e">
        <f>AND('BBP complete'!#REF!,"AAAAAF/3lqI=")</f>
        <v>#REF!</v>
      </c>
      <c r="FH73" t="e">
        <f>AND('BBP complete'!K979,"AAAAAF/3lqM=")</f>
        <v>#VALUE!</v>
      </c>
      <c r="FI73" t="e">
        <f>AND('BBP complete'!L979,"AAAAAF/3lqQ=")</f>
        <v>#VALUE!</v>
      </c>
      <c r="FJ73" t="e">
        <f>AND('BBP complete'!#REF!,"AAAAAF/3lqU=")</f>
        <v>#REF!</v>
      </c>
      <c r="FK73" t="e">
        <f>AND('BBP complete'!#REF!,"AAAAAF/3lqY=")</f>
        <v>#REF!</v>
      </c>
      <c r="FL73" t="e">
        <f>AND('BBP complete'!#REF!,"AAAAAF/3lqc=")</f>
        <v>#REF!</v>
      </c>
      <c r="FM73" t="e">
        <f>AND('BBP complete'!D980,"AAAAAF/3lqg=")</f>
        <v>#VALUE!</v>
      </c>
      <c r="FN73" t="e">
        <f>AND('BBP complete'!F980,"AAAAAF/3lqk=")</f>
        <v>#VALUE!</v>
      </c>
      <c r="FO73" t="e">
        <f>AND('BBP complete'!G980,"AAAAAF/3lqo=")</f>
        <v>#VALUE!</v>
      </c>
      <c r="FP73" t="e">
        <f>AND('BBP complete'!H980,"AAAAAF/3lqs=")</f>
        <v>#VALUE!</v>
      </c>
      <c r="FQ73" t="e">
        <f>AND('BBP complete'!I980,"AAAAAF/3lqw=")</f>
        <v>#VALUE!</v>
      </c>
      <c r="FR73" s="60" t="e">
        <v>#VALUE!</v>
      </c>
      <c r="FS73" t="e">
        <f>AND('BBP complete'!A980,"AAAAAF/3lq4=")</f>
        <v>#VALUE!</v>
      </c>
      <c r="FT73" t="e">
        <f>AND('BBP complete'!#REF!,"AAAAAF/3lq8=")</f>
        <v>#REF!</v>
      </c>
      <c r="FU73" t="e">
        <f>AND('BBP complete'!#REF!,"AAAAAF/3lrA=")</f>
        <v>#REF!</v>
      </c>
      <c r="FV73" t="e">
        <f>AND('BBP complete'!#REF!,"AAAAAF/3lrE=")</f>
        <v>#REF!</v>
      </c>
      <c r="FW73" t="e">
        <f>AND('BBP complete'!#REF!,"AAAAAF/3lrI=")</f>
        <v>#REF!</v>
      </c>
      <c r="FX73" t="e">
        <f>AND('BBP complete'!#REF!,"AAAAAF/3lrM=")</f>
        <v>#REF!</v>
      </c>
      <c r="FY73" t="e">
        <f>AND('BBP complete'!E980,"AAAAAF/3lrQ=")</f>
        <v>#VALUE!</v>
      </c>
      <c r="FZ73" t="e">
        <f>AND('BBP complete'!#REF!,"AAAAAF/3lrU=")</f>
        <v>#REF!</v>
      </c>
      <c r="GA73" t="e">
        <f>AND('BBP complete'!K980,"AAAAAF/3lrY=")</f>
        <v>#VALUE!</v>
      </c>
      <c r="GB73" t="e">
        <f>AND('BBP complete'!L980,"AAAAAF/3lrc=")</f>
        <v>#VALUE!</v>
      </c>
      <c r="GC73" t="e">
        <f>AND('BBP complete'!#REF!,"AAAAAF/3lrg=")</f>
        <v>#REF!</v>
      </c>
      <c r="GD73" t="e">
        <f>AND('BBP complete'!#REF!,"AAAAAF/3lrk=")</f>
        <v>#REF!</v>
      </c>
      <c r="GE73" t="e">
        <f>AND('BBP complete'!#REF!,"AAAAAF/3lro=")</f>
        <v>#REF!</v>
      </c>
      <c r="GF73" t="e">
        <f>AND('BBP complete'!D981,"AAAAAF/3lrs=")</f>
        <v>#VALUE!</v>
      </c>
      <c r="GG73" t="e">
        <f>AND('BBP complete'!F981,"AAAAAF/3lrw=")</f>
        <v>#VALUE!</v>
      </c>
      <c r="GH73" t="e">
        <f>AND('BBP complete'!G981,"AAAAAF/3lr0=")</f>
        <v>#VALUE!</v>
      </c>
      <c r="GI73" t="e">
        <f>AND('BBP complete'!H981,"AAAAAF/3lr4=")</f>
        <v>#VALUE!</v>
      </c>
      <c r="GJ73" t="e">
        <f>AND('BBP complete'!I981,"AAAAAF/3lr8=")</f>
        <v>#VALUE!</v>
      </c>
      <c r="GK73" s="60" t="e">
        <v>#VALUE!</v>
      </c>
      <c r="GL73" t="e">
        <f>AND('BBP complete'!A981,"AAAAAF/3lsE=")</f>
        <v>#VALUE!</v>
      </c>
      <c r="GM73" t="e">
        <f>AND('BBP complete'!#REF!,"AAAAAF/3lsI=")</f>
        <v>#REF!</v>
      </c>
      <c r="GN73" t="e">
        <f>AND('BBP complete'!#REF!,"AAAAAF/3lsM=")</f>
        <v>#REF!</v>
      </c>
      <c r="GO73" t="e">
        <f>AND('BBP complete'!#REF!,"AAAAAF/3lsQ=")</f>
        <v>#REF!</v>
      </c>
      <c r="GP73" t="e">
        <f>AND('BBP complete'!#REF!,"AAAAAF/3lsU=")</f>
        <v>#REF!</v>
      </c>
      <c r="GQ73" t="e">
        <f>AND('BBP complete'!#REF!,"AAAAAF/3lsY=")</f>
        <v>#REF!</v>
      </c>
      <c r="GR73" t="e">
        <f>AND('BBP complete'!E981,"AAAAAF/3lsc=")</f>
        <v>#VALUE!</v>
      </c>
      <c r="GS73" t="e">
        <f>AND('BBP complete'!#REF!,"AAAAAF/3lsg=")</f>
        <v>#REF!</v>
      </c>
      <c r="GT73" t="e">
        <f>AND('BBP complete'!K981,"AAAAAF/3lsk=")</f>
        <v>#VALUE!</v>
      </c>
      <c r="GU73" t="e">
        <f>AND('BBP complete'!L981,"AAAAAF/3lso=")</f>
        <v>#VALUE!</v>
      </c>
      <c r="GV73" t="e">
        <f>AND('BBP complete'!#REF!,"AAAAAF/3lss=")</f>
        <v>#REF!</v>
      </c>
      <c r="GW73" t="e">
        <f>AND('BBP complete'!#REF!,"AAAAAF/3lsw=")</f>
        <v>#REF!</v>
      </c>
      <c r="GX73" t="e">
        <f>AND('BBP complete'!#REF!,"AAAAAF/3ls0=")</f>
        <v>#REF!</v>
      </c>
      <c r="GY73" t="e">
        <f>AND('BBP complete'!D982,"AAAAAF/3ls4=")</f>
        <v>#VALUE!</v>
      </c>
      <c r="GZ73" t="e">
        <f>AND('BBP complete'!F982,"AAAAAF/3ls8=")</f>
        <v>#VALUE!</v>
      </c>
      <c r="HA73" t="e">
        <f>AND('BBP complete'!G982,"AAAAAF/3ltA=")</f>
        <v>#VALUE!</v>
      </c>
      <c r="HB73" t="e">
        <f>AND('BBP complete'!H982,"AAAAAF/3ltE=")</f>
        <v>#VALUE!</v>
      </c>
      <c r="HC73" t="e">
        <f>AND('BBP complete'!I982,"AAAAAF/3ltI=")</f>
        <v>#VALUE!</v>
      </c>
      <c r="HD73" s="60" t="e">
        <v>#VALUE!</v>
      </c>
      <c r="HE73" t="e">
        <f>AND('BBP complete'!A982,"AAAAAF/3ltQ=")</f>
        <v>#VALUE!</v>
      </c>
      <c r="HF73" t="e">
        <f>AND('BBP complete'!#REF!,"AAAAAF/3ltU=")</f>
        <v>#REF!</v>
      </c>
      <c r="HG73" t="e">
        <f>AND('BBP complete'!#REF!,"AAAAAF/3ltY=")</f>
        <v>#REF!</v>
      </c>
      <c r="HH73" t="e">
        <f>AND('BBP complete'!#REF!,"AAAAAF/3ltc=")</f>
        <v>#REF!</v>
      </c>
      <c r="HI73" t="e">
        <f>AND('BBP complete'!#REF!,"AAAAAF/3ltg=")</f>
        <v>#REF!</v>
      </c>
      <c r="HJ73" t="e">
        <f>AND('BBP complete'!#REF!,"AAAAAF/3ltk=")</f>
        <v>#REF!</v>
      </c>
      <c r="HK73" t="e">
        <f>AND('BBP complete'!E982,"AAAAAF/3lto=")</f>
        <v>#VALUE!</v>
      </c>
      <c r="HL73" t="e">
        <f>AND('BBP complete'!#REF!,"AAAAAF/3lts=")</f>
        <v>#REF!</v>
      </c>
      <c r="HM73" t="e">
        <f>AND('BBP complete'!K982,"AAAAAF/3ltw=")</f>
        <v>#VALUE!</v>
      </c>
      <c r="HN73" t="e">
        <f>AND('BBP complete'!L982,"AAAAAF/3lt0=")</f>
        <v>#VALUE!</v>
      </c>
      <c r="HO73" t="e">
        <f>AND('BBP complete'!#REF!,"AAAAAF/3lt4=")</f>
        <v>#REF!</v>
      </c>
      <c r="HP73" t="e">
        <f>AND('BBP complete'!#REF!,"AAAAAF/3lt8=")</f>
        <v>#REF!</v>
      </c>
      <c r="HQ73" t="e">
        <f>AND('BBP complete'!#REF!,"AAAAAF/3luA=")</f>
        <v>#REF!</v>
      </c>
      <c r="HR73" t="e">
        <f>AND('BBP complete'!D983,"AAAAAF/3luE=")</f>
        <v>#VALUE!</v>
      </c>
      <c r="HS73" t="e">
        <f>AND('BBP complete'!F983,"AAAAAF/3luI=")</f>
        <v>#VALUE!</v>
      </c>
      <c r="HT73" t="e">
        <f>AND('BBP complete'!G983,"AAAAAF/3luM=")</f>
        <v>#VALUE!</v>
      </c>
      <c r="HU73" t="e">
        <f>AND('BBP complete'!H983,"AAAAAF/3luQ=")</f>
        <v>#VALUE!</v>
      </c>
      <c r="HV73" t="e">
        <f>AND('BBP complete'!I983,"AAAAAF/3luU=")</f>
        <v>#VALUE!</v>
      </c>
      <c r="HW73" s="60" t="e">
        <v>#VALUE!</v>
      </c>
      <c r="HX73" t="e">
        <f>AND('BBP complete'!A983,"AAAAAF/3luc=")</f>
        <v>#VALUE!</v>
      </c>
      <c r="HY73" t="e">
        <f>AND('BBP complete'!#REF!,"AAAAAF/3lug=")</f>
        <v>#REF!</v>
      </c>
      <c r="HZ73" t="e">
        <f>AND('BBP complete'!#REF!,"AAAAAF/3luk=")</f>
        <v>#REF!</v>
      </c>
      <c r="IA73" t="e">
        <f>AND('BBP complete'!#REF!,"AAAAAF/3luo=")</f>
        <v>#REF!</v>
      </c>
      <c r="IB73" t="e">
        <f>AND('BBP complete'!#REF!,"AAAAAF/3lus=")</f>
        <v>#REF!</v>
      </c>
      <c r="IC73" t="e">
        <f>AND('BBP complete'!#REF!,"AAAAAF/3luw=")</f>
        <v>#REF!</v>
      </c>
      <c r="ID73" t="e">
        <f>AND('BBP complete'!E983,"AAAAAF/3lu0=")</f>
        <v>#VALUE!</v>
      </c>
      <c r="IE73" t="e">
        <f>AND('BBP complete'!#REF!,"AAAAAF/3lu4=")</f>
        <v>#REF!</v>
      </c>
      <c r="IF73" t="e">
        <f>AND('BBP complete'!K983,"AAAAAF/3lu8=")</f>
        <v>#VALUE!</v>
      </c>
      <c r="IG73" t="e">
        <f>AND('BBP complete'!L983,"AAAAAF/3lvA=")</f>
        <v>#VALUE!</v>
      </c>
      <c r="IH73" t="e">
        <f>AND('BBP complete'!#REF!,"AAAAAF/3lvE=")</f>
        <v>#REF!</v>
      </c>
      <c r="II73" t="e">
        <f>AND('BBP complete'!#REF!,"AAAAAF/3lvI=")</f>
        <v>#REF!</v>
      </c>
      <c r="IJ73" t="e">
        <f>AND('BBP complete'!#REF!,"AAAAAF/3lvM=")</f>
        <v>#REF!</v>
      </c>
      <c r="IK73" t="e">
        <f>AND('BBP complete'!D984,"AAAAAF/3lvQ=")</f>
        <v>#VALUE!</v>
      </c>
      <c r="IL73" t="e">
        <f>AND('BBP complete'!F984,"AAAAAF/3lvU=")</f>
        <v>#VALUE!</v>
      </c>
      <c r="IM73" t="e">
        <f>AND('BBP complete'!G984,"AAAAAF/3lvY=")</f>
        <v>#VALUE!</v>
      </c>
      <c r="IN73" t="e">
        <f>AND('BBP complete'!H984,"AAAAAF/3lvc=")</f>
        <v>#VALUE!</v>
      </c>
      <c r="IO73" t="e">
        <f>AND('BBP complete'!I984,"AAAAAF/3lvg=")</f>
        <v>#VALUE!</v>
      </c>
      <c r="IP73" s="60" t="e">
        <v>#VALUE!</v>
      </c>
      <c r="IQ73" t="e">
        <f>AND('BBP complete'!A984,"AAAAAF/3lvo=")</f>
        <v>#VALUE!</v>
      </c>
      <c r="IR73" t="e">
        <f>AND('BBP complete'!#REF!,"AAAAAF/3lvs=")</f>
        <v>#REF!</v>
      </c>
      <c r="IS73" t="e">
        <f>AND('BBP complete'!#REF!,"AAAAAF/3lvw=")</f>
        <v>#REF!</v>
      </c>
      <c r="IT73" t="e">
        <f>AND('BBP complete'!#REF!,"AAAAAF/3lv0=")</f>
        <v>#REF!</v>
      </c>
      <c r="IU73" t="e">
        <f>AND('BBP complete'!#REF!,"AAAAAF/3lv4=")</f>
        <v>#REF!</v>
      </c>
      <c r="IV73" t="e">
        <f>AND('BBP complete'!#REF!,"AAAAAF/3lv8=")</f>
        <v>#REF!</v>
      </c>
    </row>
    <row r="74" spans="1:256" ht="15" customHeight="1" x14ac:dyDescent="0.25">
      <c r="A74" t="e">
        <f>AND('BBP complete'!E984,"AAAAAFt3PQA=")</f>
        <v>#VALUE!</v>
      </c>
      <c r="B74" t="e">
        <f>AND('BBP complete'!#REF!,"AAAAAFt3PQE=")</f>
        <v>#REF!</v>
      </c>
      <c r="C74" t="e">
        <f>AND('BBP complete'!K984,"AAAAAFt3PQI=")</f>
        <v>#VALUE!</v>
      </c>
      <c r="D74" t="e">
        <f>AND('BBP complete'!L984,"AAAAAFt3PQM=")</f>
        <v>#VALUE!</v>
      </c>
      <c r="E74" t="e">
        <f>AND('BBP complete'!#REF!,"AAAAAFt3PQQ=")</f>
        <v>#REF!</v>
      </c>
      <c r="F74" t="e">
        <f>AND('BBP complete'!#REF!,"AAAAAFt3PQU=")</f>
        <v>#REF!</v>
      </c>
      <c r="G74" t="e">
        <f>AND('BBP complete'!#REF!,"AAAAAFt3PQY=")</f>
        <v>#REF!</v>
      </c>
      <c r="H74" t="e">
        <f>AND('BBP complete'!D985,"AAAAAFt3PQc=")</f>
        <v>#VALUE!</v>
      </c>
      <c r="I74" t="e">
        <f>AND('BBP complete'!F985,"AAAAAFt3PQg=")</f>
        <v>#VALUE!</v>
      </c>
      <c r="J74" t="e">
        <f>AND('BBP complete'!G985,"AAAAAFt3PQk=")</f>
        <v>#VALUE!</v>
      </c>
      <c r="K74" t="e">
        <f>AND('BBP complete'!H985,"AAAAAFt3PQo=")</f>
        <v>#VALUE!</v>
      </c>
      <c r="L74" t="e">
        <f>AND('BBP complete'!I985,"AAAAAFt3PQs=")</f>
        <v>#VALUE!</v>
      </c>
      <c r="M74" s="60" t="e">
        <v>#VALUE!</v>
      </c>
      <c r="N74" t="e">
        <f>AND('BBP complete'!A985,"AAAAAFt3PQ0=")</f>
        <v>#VALUE!</v>
      </c>
      <c r="O74" t="e">
        <f>AND('BBP complete'!#REF!,"AAAAAFt3PQ4=")</f>
        <v>#REF!</v>
      </c>
      <c r="P74" t="e">
        <f>AND('BBP complete'!#REF!,"AAAAAFt3PQ8=")</f>
        <v>#REF!</v>
      </c>
      <c r="Q74" t="e">
        <f>AND('BBP complete'!#REF!,"AAAAAFt3PRA=")</f>
        <v>#REF!</v>
      </c>
      <c r="R74" t="e">
        <f>AND('BBP complete'!#REF!,"AAAAAFt3PRE=")</f>
        <v>#REF!</v>
      </c>
      <c r="S74" t="e">
        <f>AND('BBP complete'!#REF!,"AAAAAFt3PRI=")</f>
        <v>#REF!</v>
      </c>
      <c r="T74" t="e">
        <f>AND('BBP complete'!E985,"AAAAAFt3PRM=")</f>
        <v>#VALUE!</v>
      </c>
      <c r="U74" t="e">
        <f>AND('BBP complete'!#REF!,"AAAAAFt3PRQ=")</f>
        <v>#REF!</v>
      </c>
      <c r="V74" t="e">
        <f>AND('BBP complete'!K985,"AAAAAFt3PRU=")</f>
        <v>#VALUE!</v>
      </c>
      <c r="W74" t="e">
        <f>AND('BBP complete'!L985,"AAAAAFt3PRY=")</f>
        <v>#VALUE!</v>
      </c>
      <c r="X74" t="e">
        <f>AND('BBP complete'!#REF!,"AAAAAFt3PRc=")</f>
        <v>#REF!</v>
      </c>
      <c r="Y74" t="e">
        <f>AND('BBP complete'!#REF!,"AAAAAFt3PRg=")</f>
        <v>#REF!</v>
      </c>
      <c r="Z74" t="e">
        <f>AND('BBP complete'!#REF!,"AAAAAFt3PRk=")</f>
        <v>#REF!</v>
      </c>
      <c r="AA74" t="e">
        <f>AND('BBP complete'!D986,"AAAAAFt3PRo=")</f>
        <v>#VALUE!</v>
      </c>
      <c r="AB74" t="e">
        <f>AND('BBP complete'!F986,"AAAAAFt3PRs=")</f>
        <v>#VALUE!</v>
      </c>
      <c r="AC74" t="e">
        <f>AND('BBP complete'!G986,"AAAAAFt3PRw=")</f>
        <v>#VALUE!</v>
      </c>
      <c r="AD74" t="e">
        <f>AND('BBP complete'!H986,"AAAAAFt3PR0=")</f>
        <v>#VALUE!</v>
      </c>
      <c r="AE74" t="e">
        <f>AND('BBP complete'!I986,"AAAAAFt3PR4=")</f>
        <v>#VALUE!</v>
      </c>
      <c r="AF74" s="60" t="e">
        <v>#VALUE!</v>
      </c>
      <c r="AG74" t="e">
        <f>AND('BBP complete'!A986,"AAAAAFt3PSA=")</f>
        <v>#VALUE!</v>
      </c>
      <c r="AH74" t="e">
        <f>AND('BBP complete'!#REF!,"AAAAAFt3PSE=")</f>
        <v>#REF!</v>
      </c>
      <c r="AI74" t="e">
        <f>AND('BBP complete'!#REF!,"AAAAAFt3PSI=")</f>
        <v>#REF!</v>
      </c>
      <c r="AJ74" t="e">
        <f>AND('BBP complete'!#REF!,"AAAAAFt3PSM=")</f>
        <v>#REF!</v>
      </c>
      <c r="AK74" t="e">
        <f>AND('BBP complete'!#REF!,"AAAAAFt3PSQ=")</f>
        <v>#REF!</v>
      </c>
      <c r="AL74" t="e">
        <f>AND('BBP complete'!#REF!,"AAAAAFt3PSU=")</f>
        <v>#REF!</v>
      </c>
      <c r="AM74" t="e">
        <f>AND('BBP complete'!E986,"AAAAAFt3PSY=")</f>
        <v>#VALUE!</v>
      </c>
      <c r="AN74" t="e">
        <f>AND('BBP complete'!#REF!,"AAAAAFt3PSc=")</f>
        <v>#REF!</v>
      </c>
      <c r="AO74" t="e">
        <f>AND('BBP complete'!K986,"AAAAAFt3PSg=")</f>
        <v>#VALUE!</v>
      </c>
      <c r="AP74" t="e">
        <f>AND('BBP complete'!L986,"AAAAAFt3PSk=")</f>
        <v>#VALUE!</v>
      </c>
      <c r="AQ74" t="e">
        <f>AND('BBP complete'!#REF!,"AAAAAFt3PSo=")</f>
        <v>#REF!</v>
      </c>
      <c r="AR74" t="e">
        <f>AND('BBP complete'!#REF!,"AAAAAFt3PSs=")</f>
        <v>#REF!</v>
      </c>
      <c r="AS74" t="e">
        <f>AND('BBP complete'!#REF!,"AAAAAFt3PSw=")</f>
        <v>#REF!</v>
      </c>
      <c r="AT74" t="e">
        <f>AND('BBP complete'!D987,"AAAAAFt3PS0=")</f>
        <v>#VALUE!</v>
      </c>
      <c r="AU74" t="e">
        <f>AND('BBP complete'!F987,"AAAAAFt3PS4=")</f>
        <v>#VALUE!</v>
      </c>
      <c r="AV74" t="e">
        <f>AND('BBP complete'!G987,"AAAAAFt3PS8=")</f>
        <v>#VALUE!</v>
      </c>
      <c r="AW74" t="e">
        <f>AND('BBP complete'!H987,"AAAAAFt3PTA=")</f>
        <v>#VALUE!</v>
      </c>
      <c r="AX74" t="e">
        <f>AND('BBP complete'!I987,"AAAAAFt3PTE=")</f>
        <v>#VALUE!</v>
      </c>
      <c r="AY74" s="60" t="e">
        <v>#VALUE!</v>
      </c>
      <c r="AZ74" t="e">
        <f>AND('BBP complete'!A987,"AAAAAFt3PTM=")</f>
        <v>#VALUE!</v>
      </c>
      <c r="BA74" t="e">
        <f>AND('BBP complete'!#REF!,"AAAAAFt3PTQ=")</f>
        <v>#REF!</v>
      </c>
      <c r="BB74" t="e">
        <f>AND('BBP complete'!#REF!,"AAAAAFt3PTU=")</f>
        <v>#REF!</v>
      </c>
      <c r="BC74" t="e">
        <f>AND('BBP complete'!#REF!,"AAAAAFt3PTY=")</f>
        <v>#REF!</v>
      </c>
      <c r="BD74" t="e">
        <f>AND('BBP complete'!#REF!,"AAAAAFt3PTc=")</f>
        <v>#REF!</v>
      </c>
      <c r="BE74" t="e">
        <f>AND('BBP complete'!#REF!,"AAAAAFt3PTg=")</f>
        <v>#REF!</v>
      </c>
      <c r="BF74" t="e">
        <f>AND('BBP complete'!E987,"AAAAAFt3PTk=")</f>
        <v>#VALUE!</v>
      </c>
      <c r="BG74" t="e">
        <f>AND('BBP complete'!#REF!,"AAAAAFt3PTo=")</f>
        <v>#REF!</v>
      </c>
      <c r="BH74" t="e">
        <f>AND('BBP complete'!K987,"AAAAAFt3PTs=")</f>
        <v>#VALUE!</v>
      </c>
      <c r="BI74" t="e">
        <f>AND('BBP complete'!L987,"AAAAAFt3PTw=")</f>
        <v>#VALUE!</v>
      </c>
      <c r="BJ74" t="e">
        <f>AND('BBP complete'!#REF!,"AAAAAFt3PT0=")</f>
        <v>#REF!</v>
      </c>
      <c r="BK74" t="e">
        <f>AND('BBP complete'!#REF!,"AAAAAFt3PT4=")</f>
        <v>#REF!</v>
      </c>
      <c r="BL74" t="e">
        <f>AND('BBP complete'!#REF!,"AAAAAFt3PT8=")</f>
        <v>#REF!</v>
      </c>
      <c r="BM74" t="e">
        <f>AND('BBP complete'!D988,"AAAAAFt3PUA=")</f>
        <v>#VALUE!</v>
      </c>
      <c r="BN74" t="e">
        <f>AND('BBP complete'!F988,"AAAAAFt3PUE=")</f>
        <v>#VALUE!</v>
      </c>
      <c r="BO74" t="e">
        <f>AND('BBP complete'!G988,"AAAAAFt3PUI=")</f>
        <v>#VALUE!</v>
      </c>
      <c r="BP74" t="e">
        <f>AND('BBP complete'!H988,"AAAAAFt3PUM=")</f>
        <v>#VALUE!</v>
      </c>
      <c r="BQ74" t="e">
        <f>AND('BBP complete'!I988,"AAAAAFt3PUQ=")</f>
        <v>#VALUE!</v>
      </c>
      <c r="BR74" s="60" t="e">
        <v>#VALUE!</v>
      </c>
      <c r="BS74" t="e">
        <f>AND('BBP complete'!A988,"AAAAAFt3PUY=")</f>
        <v>#VALUE!</v>
      </c>
      <c r="BT74" t="e">
        <f>AND('BBP complete'!#REF!,"AAAAAFt3PUc=")</f>
        <v>#REF!</v>
      </c>
      <c r="BU74" t="e">
        <f>AND('BBP complete'!#REF!,"AAAAAFt3PUg=")</f>
        <v>#REF!</v>
      </c>
      <c r="BV74" t="e">
        <f>AND('BBP complete'!#REF!,"AAAAAFt3PUk=")</f>
        <v>#REF!</v>
      </c>
      <c r="BW74" t="e">
        <f>AND('BBP complete'!#REF!,"AAAAAFt3PUo=")</f>
        <v>#REF!</v>
      </c>
      <c r="BX74" t="e">
        <f>AND('BBP complete'!#REF!,"AAAAAFt3PUs=")</f>
        <v>#REF!</v>
      </c>
      <c r="BY74" t="e">
        <f>AND('BBP complete'!E988,"AAAAAFt3PUw=")</f>
        <v>#VALUE!</v>
      </c>
      <c r="BZ74" t="e">
        <f>AND('BBP complete'!#REF!,"AAAAAFt3PU0=")</f>
        <v>#REF!</v>
      </c>
      <c r="CA74" t="e">
        <f>AND('BBP complete'!K988,"AAAAAFt3PU4=")</f>
        <v>#VALUE!</v>
      </c>
      <c r="CB74" t="e">
        <f>AND('BBP complete'!L988,"AAAAAFt3PU8=")</f>
        <v>#VALUE!</v>
      </c>
      <c r="CC74" t="e">
        <f>AND('BBP complete'!#REF!,"AAAAAFt3PVA=")</f>
        <v>#REF!</v>
      </c>
      <c r="CD74" t="e">
        <f>AND('BBP complete'!#REF!,"AAAAAFt3PVE=")</f>
        <v>#REF!</v>
      </c>
      <c r="CE74" t="e">
        <f>AND('BBP complete'!#REF!,"AAAAAFt3PVI=")</f>
        <v>#REF!</v>
      </c>
      <c r="CF74" t="e">
        <f>AND('BBP complete'!D989,"AAAAAFt3PVM=")</f>
        <v>#VALUE!</v>
      </c>
      <c r="CG74" t="e">
        <f>AND('BBP complete'!F989,"AAAAAFt3PVQ=")</f>
        <v>#VALUE!</v>
      </c>
      <c r="CH74" t="e">
        <f>AND('BBP complete'!G989,"AAAAAFt3PVU=")</f>
        <v>#VALUE!</v>
      </c>
      <c r="CI74" t="e">
        <f>AND('BBP complete'!H989,"AAAAAFt3PVY=")</f>
        <v>#VALUE!</v>
      </c>
      <c r="CJ74" t="e">
        <f>AND('BBP complete'!I989,"AAAAAFt3PVc=")</f>
        <v>#VALUE!</v>
      </c>
      <c r="CK74" s="60" t="e">
        <v>#VALUE!</v>
      </c>
      <c r="CL74" t="e">
        <f>AND('BBP complete'!A989,"AAAAAFt3PVk=")</f>
        <v>#VALUE!</v>
      </c>
      <c r="CM74" t="e">
        <f>AND('BBP complete'!#REF!,"AAAAAFt3PVo=")</f>
        <v>#REF!</v>
      </c>
      <c r="CN74" t="e">
        <f>AND('BBP complete'!#REF!,"AAAAAFt3PVs=")</f>
        <v>#REF!</v>
      </c>
      <c r="CO74" t="e">
        <f>AND('BBP complete'!#REF!,"AAAAAFt3PVw=")</f>
        <v>#REF!</v>
      </c>
      <c r="CP74" t="e">
        <f>AND('BBP complete'!#REF!,"AAAAAFt3PV0=")</f>
        <v>#REF!</v>
      </c>
      <c r="CQ74" t="e">
        <f>AND('BBP complete'!#REF!,"AAAAAFt3PV4=")</f>
        <v>#REF!</v>
      </c>
      <c r="CR74" t="e">
        <f>AND('BBP complete'!E989,"AAAAAFt3PV8=")</f>
        <v>#VALUE!</v>
      </c>
      <c r="CS74" t="e">
        <f>AND('BBP complete'!#REF!,"AAAAAFt3PWA=")</f>
        <v>#REF!</v>
      </c>
      <c r="CT74" t="e">
        <f>AND('BBP complete'!K989,"AAAAAFt3PWE=")</f>
        <v>#VALUE!</v>
      </c>
      <c r="CU74" t="e">
        <f>AND('BBP complete'!L989,"AAAAAFt3PWI=")</f>
        <v>#VALUE!</v>
      </c>
      <c r="CV74" t="e">
        <f>AND('BBP complete'!#REF!,"AAAAAFt3PWM=")</f>
        <v>#REF!</v>
      </c>
      <c r="CW74" t="e">
        <f>AND('BBP complete'!#REF!,"AAAAAFt3PWQ=")</f>
        <v>#REF!</v>
      </c>
      <c r="CX74" t="e">
        <f>AND('BBP complete'!#REF!,"AAAAAFt3PWU=")</f>
        <v>#REF!</v>
      </c>
      <c r="CY74" t="e">
        <f>AND('BBP complete'!D990,"AAAAAFt3PWY=")</f>
        <v>#VALUE!</v>
      </c>
      <c r="CZ74" t="e">
        <f>AND('BBP complete'!F990,"AAAAAFt3PWc=")</f>
        <v>#VALUE!</v>
      </c>
      <c r="DA74" t="e">
        <f>AND('BBP complete'!G990,"AAAAAFt3PWg=")</f>
        <v>#VALUE!</v>
      </c>
      <c r="DB74" t="e">
        <f>AND('BBP complete'!H990,"AAAAAFt3PWk=")</f>
        <v>#VALUE!</v>
      </c>
      <c r="DC74" t="e">
        <f>AND('BBP complete'!I990,"AAAAAFt3PWo=")</f>
        <v>#VALUE!</v>
      </c>
      <c r="DD74" s="60" t="e">
        <v>#VALUE!</v>
      </c>
      <c r="DE74" t="e">
        <f>AND('BBP complete'!A990,"AAAAAFt3PWw=")</f>
        <v>#VALUE!</v>
      </c>
      <c r="DF74" t="e">
        <f>AND('BBP complete'!#REF!,"AAAAAFt3PW0=")</f>
        <v>#REF!</v>
      </c>
      <c r="DG74" t="e">
        <f>AND('BBP complete'!#REF!,"AAAAAFt3PW4=")</f>
        <v>#REF!</v>
      </c>
      <c r="DH74" t="e">
        <f>AND('BBP complete'!#REF!,"AAAAAFt3PW8=")</f>
        <v>#REF!</v>
      </c>
      <c r="DI74" t="e">
        <f>AND('BBP complete'!#REF!,"AAAAAFt3PXA=")</f>
        <v>#REF!</v>
      </c>
      <c r="DJ74" t="e">
        <f>AND('BBP complete'!#REF!,"AAAAAFt3PXE=")</f>
        <v>#REF!</v>
      </c>
      <c r="DK74" t="e">
        <f>AND('BBP complete'!E990,"AAAAAFt3PXI=")</f>
        <v>#VALUE!</v>
      </c>
      <c r="DL74" t="e">
        <f>AND('BBP complete'!#REF!,"AAAAAFt3PXM=")</f>
        <v>#REF!</v>
      </c>
      <c r="DM74" t="e">
        <f>AND('BBP complete'!K990,"AAAAAFt3PXQ=")</f>
        <v>#VALUE!</v>
      </c>
      <c r="DN74" t="e">
        <f>AND('BBP complete'!L990,"AAAAAFt3PXU=")</f>
        <v>#VALUE!</v>
      </c>
      <c r="DO74" t="e">
        <f>AND('BBP complete'!#REF!,"AAAAAFt3PXY=")</f>
        <v>#REF!</v>
      </c>
      <c r="DP74" t="e">
        <f>AND('BBP complete'!#REF!,"AAAAAFt3PXc=")</f>
        <v>#REF!</v>
      </c>
      <c r="DQ74" t="e">
        <f>AND('BBP complete'!#REF!,"AAAAAFt3PXg=")</f>
        <v>#REF!</v>
      </c>
      <c r="DR74" t="e">
        <f>AND('BBP complete'!D991,"AAAAAFt3PXk=")</f>
        <v>#VALUE!</v>
      </c>
      <c r="DS74" t="e">
        <f>AND('BBP complete'!F991,"AAAAAFt3PXo=")</f>
        <v>#VALUE!</v>
      </c>
      <c r="DT74" t="e">
        <f>AND('BBP complete'!G991,"AAAAAFt3PXs=")</f>
        <v>#VALUE!</v>
      </c>
      <c r="DU74" t="e">
        <f>AND('BBP complete'!H991,"AAAAAFt3PXw=")</f>
        <v>#VALUE!</v>
      </c>
      <c r="DV74" t="e">
        <f>AND('BBP complete'!I991,"AAAAAFt3PX0=")</f>
        <v>#VALUE!</v>
      </c>
      <c r="DW74" s="60" t="e">
        <v>#VALUE!</v>
      </c>
      <c r="DX74" t="e">
        <f>AND('BBP complete'!A991,"AAAAAFt3PX8=")</f>
        <v>#VALUE!</v>
      </c>
      <c r="DY74" t="e">
        <f>AND('BBP complete'!#REF!,"AAAAAFt3PYA=")</f>
        <v>#REF!</v>
      </c>
      <c r="DZ74" t="e">
        <f>AND('BBP complete'!#REF!,"AAAAAFt3PYE=")</f>
        <v>#REF!</v>
      </c>
      <c r="EA74" t="e">
        <f>AND('BBP complete'!#REF!,"AAAAAFt3PYI=")</f>
        <v>#REF!</v>
      </c>
      <c r="EB74" t="e">
        <f>AND('BBP complete'!#REF!,"AAAAAFt3PYM=")</f>
        <v>#REF!</v>
      </c>
      <c r="EC74" t="e">
        <f>AND('BBP complete'!#REF!,"AAAAAFt3PYQ=")</f>
        <v>#REF!</v>
      </c>
      <c r="ED74" t="e">
        <f>AND('BBP complete'!E991,"AAAAAFt3PYU=")</f>
        <v>#VALUE!</v>
      </c>
      <c r="EE74" t="e">
        <f>AND('BBP complete'!#REF!,"AAAAAFt3PYY=")</f>
        <v>#REF!</v>
      </c>
      <c r="EF74" t="e">
        <f>AND('BBP complete'!K991,"AAAAAFt3PYc=")</f>
        <v>#VALUE!</v>
      </c>
      <c r="EG74" t="e">
        <f>AND('BBP complete'!L991,"AAAAAFt3PYg=")</f>
        <v>#VALUE!</v>
      </c>
      <c r="EH74" t="e">
        <f>AND('BBP complete'!#REF!,"AAAAAFt3PYk=")</f>
        <v>#REF!</v>
      </c>
      <c r="EI74" t="e">
        <f>AND('BBP complete'!#REF!,"AAAAAFt3PYo=")</f>
        <v>#REF!</v>
      </c>
      <c r="EJ74" t="e">
        <f>AND('BBP complete'!#REF!,"AAAAAFt3PYs=")</f>
        <v>#REF!</v>
      </c>
      <c r="EK74" t="e">
        <f>AND('BBP complete'!D992,"AAAAAFt3PYw=")</f>
        <v>#VALUE!</v>
      </c>
      <c r="EL74" t="e">
        <f>AND('BBP complete'!F992,"AAAAAFt3PY0=")</f>
        <v>#VALUE!</v>
      </c>
      <c r="EM74" t="e">
        <f>AND('BBP complete'!G992,"AAAAAFt3PY4=")</f>
        <v>#VALUE!</v>
      </c>
      <c r="EN74" t="e">
        <f>AND('BBP complete'!H992,"AAAAAFt3PY8=")</f>
        <v>#VALUE!</v>
      </c>
      <c r="EO74" t="e">
        <f>AND('BBP complete'!I992,"AAAAAFt3PZA=")</f>
        <v>#VALUE!</v>
      </c>
      <c r="EP74" s="60" t="e">
        <v>#VALUE!</v>
      </c>
      <c r="EQ74" t="e">
        <f>AND('BBP complete'!A992,"AAAAAFt3PZI=")</f>
        <v>#VALUE!</v>
      </c>
      <c r="ER74" t="e">
        <f>AND('BBP complete'!#REF!,"AAAAAFt3PZM=")</f>
        <v>#REF!</v>
      </c>
      <c r="ES74" t="e">
        <f>AND('BBP complete'!#REF!,"AAAAAFt3PZQ=")</f>
        <v>#REF!</v>
      </c>
      <c r="ET74" t="e">
        <f>AND('BBP complete'!#REF!,"AAAAAFt3PZU=")</f>
        <v>#REF!</v>
      </c>
      <c r="EU74" t="e">
        <f>AND('BBP complete'!#REF!,"AAAAAFt3PZY=")</f>
        <v>#REF!</v>
      </c>
      <c r="EV74" t="e">
        <f>AND('BBP complete'!#REF!,"AAAAAFt3PZc=")</f>
        <v>#REF!</v>
      </c>
      <c r="EW74" t="e">
        <f>AND('BBP complete'!E992,"AAAAAFt3PZg=")</f>
        <v>#VALUE!</v>
      </c>
      <c r="EX74" t="e">
        <f>AND('BBP complete'!#REF!,"AAAAAFt3PZk=")</f>
        <v>#REF!</v>
      </c>
      <c r="EY74" t="e">
        <f>AND('BBP complete'!K992,"AAAAAFt3PZo=")</f>
        <v>#VALUE!</v>
      </c>
      <c r="EZ74" t="e">
        <f>AND('BBP complete'!L992,"AAAAAFt3PZs=")</f>
        <v>#VALUE!</v>
      </c>
      <c r="FA74" t="e">
        <f>AND('BBP complete'!#REF!,"AAAAAFt3PZw=")</f>
        <v>#REF!</v>
      </c>
      <c r="FB74" t="e">
        <f>AND('BBP complete'!#REF!,"AAAAAFt3PZ0=")</f>
        <v>#REF!</v>
      </c>
      <c r="FC74" t="e">
        <f>AND('BBP complete'!#REF!,"AAAAAFt3PZ4=")</f>
        <v>#REF!</v>
      </c>
      <c r="FD74" t="e">
        <f>AND('BBP complete'!D993,"AAAAAFt3PZ8=")</f>
        <v>#VALUE!</v>
      </c>
      <c r="FE74" t="e">
        <f>AND('BBP complete'!F993,"AAAAAFt3PaA=")</f>
        <v>#VALUE!</v>
      </c>
      <c r="FF74" t="e">
        <f>AND('BBP complete'!G993,"AAAAAFt3PaE=")</f>
        <v>#VALUE!</v>
      </c>
      <c r="FG74" t="e">
        <f>AND('BBP complete'!H993,"AAAAAFt3PaI=")</f>
        <v>#VALUE!</v>
      </c>
      <c r="FH74" t="e">
        <f>AND('BBP complete'!I993,"AAAAAFt3PaM=")</f>
        <v>#VALUE!</v>
      </c>
      <c r="FI74" s="60" t="e">
        <v>#VALUE!</v>
      </c>
      <c r="FJ74" t="e">
        <f>AND('BBP complete'!A993,"AAAAAFt3PaU=")</f>
        <v>#VALUE!</v>
      </c>
      <c r="FK74" t="e">
        <f>AND('BBP complete'!#REF!,"AAAAAFt3PaY=")</f>
        <v>#REF!</v>
      </c>
      <c r="FL74" t="e">
        <f>AND('BBP complete'!#REF!,"AAAAAFt3Pac=")</f>
        <v>#REF!</v>
      </c>
      <c r="FM74" t="e">
        <f>AND('BBP complete'!#REF!,"AAAAAFt3Pag=")</f>
        <v>#REF!</v>
      </c>
      <c r="FN74" t="e">
        <f>AND('BBP complete'!#REF!,"AAAAAFt3Pak=")</f>
        <v>#REF!</v>
      </c>
      <c r="FO74" t="e">
        <f>AND('BBP complete'!#REF!,"AAAAAFt3Pao=")</f>
        <v>#REF!</v>
      </c>
      <c r="FP74" t="e">
        <f>AND('BBP complete'!E993,"AAAAAFt3Pas=")</f>
        <v>#VALUE!</v>
      </c>
      <c r="FQ74" t="e">
        <f>AND('BBP complete'!#REF!,"AAAAAFt3Paw=")</f>
        <v>#REF!</v>
      </c>
      <c r="FR74" t="e">
        <f>AND('BBP complete'!K993,"AAAAAFt3Pa0=")</f>
        <v>#VALUE!</v>
      </c>
      <c r="FS74" t="e">
        <f>AND('BBP complete'!L993,"AAAAAFt3Pa4=")</f>
        <v>#VALUE!</v>
      </c>
      <c r="FT74" t="e">
        <f>AND('BBP complete'!#REF!,"AAAAAFt3Pa8=")</f>
        <v>#REF!</v>
      </c>
      <c r="FU74" t="e">
        <f>AND('BBP complete'!#REF!,"AAAAAFt3PbA=")</f>
        <v>#REF!</v>
      </c>
      <c r="FV74" t="e">
        <f>AND('BBP complete'!#REF!,"AAAAAFt3PbE=")</f>
        <v>#REF!</v>
      </c>
      <c r="FW74" t="e">
        <f>AND('BBP complete'!D994,"AAAAAFt3PbI=")</f>
        <v>#VALUE!</v>
      </c>
      <c r="FX74" t="e">
        <f>AND('BBP complete'!F994,"AAAAAFt3PbM=")</f>
        <v>#VALUE!</v>
      </c>
      <c r="FY74" t="e">
        <f>AND('BBP complete'!G994,"AAAAAFt3PbQ=")</f>
        <v>#VALUE!</v>
      </c>
      <c r="FZ74" t="e">
        <f>AND('BBP complete'!H994,"AAAAAFt3PbU=")</f>
        <v>#VALUE!</v>
      </c>
      <c r="GA74" t="e">
        <f>AND('BBP complete'!I994,"AAAAAFt3PbY=")</f>
        <v>#VALUE!</v>
      </c>
      <c r="GB74" s="60" t="e">
        <v>#VALUE!</v>
      </c>
      <c r="GC74" t="e">
        <f>AND('BBP complete'!A994,"AAAAAFt3Pbg=")</f>
        <v>#VALUE!</v>
      </c>
      <c r="GD74" t="e">
        <f>AND('BBP complete'!#REF!,"AAAAAFt3Pbk=")</f>
        <v>#REF!</v>
      </c>
      <c r="GE74" t="e">
        <f>AND('BBP complete'!#REF!,"AAAAAFt3Pbo=")</f>
        <v>#REF!</v>
      </c>
      <c r="GF74" t="e">
        <f>AND('BBP complete'!#REF!,"AAAAAFt3Pbs=")</f>
        <v>#REF!</v>
      </c>
      <c r="GG74" t="e">
        <f>AND('BBP complete'!#REF!,"AAAAAFt3Pbw=")</f>
        <v>#REF!</v>
      </c>
      <c r="GH74" t="e">
        <f>AND('BBP complete'!#REF!,"AAAAAFt3Pb0=")</f>
        <v>#REF!</v>
      </c>
      <c r="GI74" t="e">
        <f>AND('BBP complete'!E994,"AAAAAFt3Pb4=")</f>
        <v>#VALUE!</v>
      </c>
      <c r="GJ74" t="e">
        <f>AND('BBP complete'!#REF!,"AAAAAFt3Pb8=")</f>
        <v>#REF!</v>
      </c>
      <c r="GK74" t="e">
        <f>AND('BBP complete'!K994,"AAAAAFt3PcA=")</f>
        <v>#VALUE!</v>
      </c>
      <c r="GL74" t="e">
        <f>AND('BBP complete'!L994,"AAAAAFt3PcE=")</f>
        <v>#VALUE!</v>
      </c>
      <c r="GM74" t="e">
        <f>AND('BBP complete'!#REF!,"AAAAAFt3PcI=")</f>
        <v>#REF!</v>
      </c>
      <c r="GN74" t="e">
        <f>AND('BBP complete'!#REF!,"AAAAAFt3PcM=")</f>
        <v>#REF!</v>
      </c>
      <c r="GO74" t="e">
        <f>AND('BBP complete'!#REF!,"AAAAAFt3PcQ=")</f>
        <v>#REF!</v>
      </c>
      <c r="GP74" t="e">
        <f>AND('BBP complete'!D995,"AAAAAFt3PcU=")</f>
        <v>#VALUE!</v>
      </c>
      <c r="GQ74" t="e">
        <f>AND('BBP complete'!F995,"AAAAAFt3PcY=")</f>
        <v>#VALUE!</v>
      </c>
      <c r="GR74" t="e">
        <f>AND('BBP complete'!G995,"AAAAAFt3Pcc=")</f>
        <v>#VALUE!</v>
      </c>
      <c r="GS74" t="e">
        <f>AND('BBP complete'!H995,"AAAAAFt3Pcg=")</f>
        <v>#VALUE!</v>
      </c>
      <c r="GT74" t="e">
        <f>AND('BBP complete'!I995,"AAAAAFt3Pck=")</f>
        <v>#VALUE!</v>
      </c>
      <c r="GU74" s="60" t="e">
        <v>#VALUE!</v>
      </c>
      <c r="GV74" t="e">
        <f>AND('BBP complete'!A995,"AAAAAFt3Pcs=")</f>
        <v>#VALUE!</v>
      </c>
      <c r="GW74" t="e">
        <f>AND('BBP complete'!#REF!,"AAAAAFt3Pcw=")</f>
        <v>#REF!</v>
      </c>
      <c r="GX74" t="e">
        <f>AND('BBP complete'!#REF!,"AAAAAFt3Pc0=")</f>
        <v>#REF!</v>
      </c>
      <c r="GY74" t="e">
        <f>AND('BBP complete'!#REF!,"AAAAAFt3Pc4=")</f>
        <v>#REF!</v>
      </c>
      <c r="GZ74" t="e">
        <f>AND('BBP complete'!#REF!,"AAAAAFt3Pc8=")</f>
        <v>#REF!</v>
      </c>
      <c r="HA74" t="e">
        <f>AND('BBP complete'!#REF!,"AAAAAFt3PdA=")</f>
        <v>#REF!</v>
      </c>
      <c r="HB74" t="e">
        <f>AND('BBP complete'!E995,"AAAAAFt3PdE=")</f>
        <v>#VALUE!</v>
      </c>
      <c r="HC74" t="e">
        <f>AND('BBP complete'!#REF!,"AAAAAFt3PdI=")</f>
        <v>#REF!</v>
      </c>
      <c r="HD74" t="e">
        <f>AND('BBP complete'!K995,"AAAAAFt3PdM=")</f>
        <v>#VALUE!</v>
      </c>
      <c r="HE74" t="e">
        <f>AND('BBP complete'!L995,"AAAAAFt3PdQ=")</f>
        <v>#VALUE!</v>
      </c>
      <c r="HF74" t="e">
        <f>AND('BBP complete'!#REF!,"AAAAAFt3PdU=")</f>
        <v>#REF!</v>
      </c>
      <c r="HG74" t="e">
        <f>AND('BBP complete'!#REF!,"AAAAAFt3PdY=")</f>
        <v>#REF!</v>
      </c>
      <c r="HH74" t="e">
        <f>AND('BBP complete'!#REF!,"AAAAAFt3Pdc=")</f>
        <v>#REF!</v>
      </c>
      <c r="HI74" t="e">
        <f>AND('BBP complete'!D996,"AAAAAFt3Pdg=")</f>
        <v>#VALUE!</v>
      </c>
      <c r="HJ74" t="e">
        <f>AND('BBP complete'!F996,"AAAAAFt3Pdk=")</f>
        <v>#VALUE!</v>
      </c>
      <c r="HK74" t="e">
        <f>AND('BBP complete'!G996,"AAAAAFt3Pdo=")</f>
        <v>#VALUE!</v>
      </c>
      <c r="HL74" t="e">
        <f>AND('BBP complete'!H996,"AAAAAFt3Pds=")</f>
        <v>#VALUE!</v>
      </c>
      <c r="HM74" t="e">
        <f>AND('BBP complete'!I996,"AAAAAFt3Pdw=")</f>
        <v>#VALUE!</v>
      </c>
      <c r="HN74" s="60" t="e">
        <v>#VALUE!</v>
      </c>
      <c r="HO74" t="e">
        <f>AND('BBP complete'!A996,"AAAAAFt3Pd4=")</f>
        <v>#VALUE!</v>
      </c>
      <c r="HP74" t="e">
        <f>AND('BBP complete'!#REF!,"AAAAAFt3Pd8=")</f>
        <v>#REF!</v>
      </c>
      <c r="HQ74" t="e">
        <f>AND('BBP complete'!#REF!,"AAAAAFt3PeA=")</f>
        <v>#REF!</v>
      </c>
      <c r="HR74" t="e">
        <f>AND('BBP complete'!#REF!,"AAAAAFt3PeE=")</f>
        <v>#REF!</v>
      </c>
      <c r="HS74" t="e">
        <f>AND('BBP complete'!#REF!,"AAAAAFt3PeI=")</f>
        <v>#REF!</v>
      </c>
      <c r="HT74" t="e">
        <f>AND('BBP complete'!#REF!,"AAAAAFt3PeM=")</f>
        <v>#REF!</v>
      </c>
      <c r="HU74" t="e">
        <f>AND('BBP complete'!E996,"AAAAAFt3PeQ=")</f>
        <v>#VALUE!</v>
      </c>
      <c r="HV74" t="e">
        <f>AND('BBP complete'!#REF!,"AAAAAFt3PeU=")</f>
        <v>#REF!</v>
      </c>
      <c r="HW74" t="e">
        <f>AND('BBP complete'!K996,"AAAAAFt3PeY=")</f>
        <v>#VALUE!</v>
      </c>
      <c r="HX74" t="e">
        <f>AND('BBP complete'!L996,"AAAAAFt3Pec=")</f>
        <v>#VALUE!</v>
      </c>
      <c r="HY74" t="e">
        <f>AND('BBP complete'!#REF!,"AAAAAFt3Peg=")</f>
        <v>#REF!</v>
      </c>
      <c r="HZ74" t="e">
        <f>AND('BBP complete'!#REF!,"AAAAAFt3Pek=")</f>
        <v>#REF!</v>
      </c>
      <c r="IA74" t="e">
        <f>AND('BBP complete'!#REF!,"AAAAAFt3Peo=")</f>
        <v>#REF!</v>
      </c>
      <c r="IB74" t="e">
        <f>AND('BBP complete'!D997,"AAAAAFt3Pes=")</f>
        <v>#VALUE!</v>
      </c>
      <c r="IC74" t="e">
        <f>AND('BBP complete'!F997,"AAAAAFt3Pew=")</f>
        <v>#VALUE!</v>
      </c>
      <c r="ID74" t="e">
        <f>AND('BBP complete'!G997,"AAAAAFt3Pe0=")</f>
        <v>#VALUE!</v>
      </c>
      <c r="IE74" t="e">
        <f>AND('BBP complete'!H997,"AAAAAFt3Pe4=")</f>
        <v>#VALUE!</v>
      </c>
      <c r="IF74" t="e">
        <f>AND('BBP complete'!I997,"AAAAAFt3Pe8=")</f>
        <v>#VALUE!</v>
      </c>
      <c r="IG74" s="60" t="e">
        <v>#VALUE!</v>
      </c>
      <c r="IH74" t="e">
        <f>AND('BBP complete'!A997,"AAAAAFt3PfE=")</f>
        <v>#VALUE!</v>
      </c>
      <c r="II74" t="e">
        <f>AND('BBP complete'!#REF!,"AAAAAFt3PfI=")</f>
        <v>#REF!</v>
      </c>
      <c r="IJ74" t="e">
        <f>AND('BBP complete'!#REF!,"AAAAAFt3PfM=")</f>
        <v>#REF!</v>
      </c>
      <c r="IK74" t="e">
        <f>AND('BBP complete'!#REF!,"AAAAAFt3PfQ=")</f>
        <v>#REF!</v>
      </c>
      <c r="IL74" t="e">
        <f>AND('BBP complete'!#REF!,"AAAAAFt3PfU=")</f>
        <v>#REF!</v>
      </c>
      <c r="IM74" t="e">
        <f>AND('BBP complete'!#REF!,"AAAAAFt3PfY=")</f>
        <v>#REF!</v>
      </c>
      <c r="IN74" t="e">
        <f>AND('BBP complete'!E997,"AAAAAFt3Pfc=")</f>
        <v>#VALUE!</v>
      </c>
      <c r="IO74" t="e">
        <f>AND('BBP complete'!#REF!,"AAAAAFt3Pfg=")</f>
        <v>#REF!</v>
      </c>
      <c r="IP74" t="e">
        <f>AND('BBP complete'!K997,"AAAAAFt3Pfk=")</f>
        <v>#VALUE!</v>
      </c>
      <c r="IQ74" t="e">
        <f>AND('BBP complete'!L997,"AAAAAFt3Pfo=")</f>
        <v>#VALUE!</v>
      </c>
      <c r="IR74" t="e">
        <f>AND('BBP complete'!#REF!,"AAAAAFt3Pfs=")</f>
        <v>#REF!</v>
      </c>
      <c r="IS74" t="e">
        <f>AND('BBP complete'!#REF!,"AAAAAFt3Pfw=")</f>
        <v>#REF!</v>
      </c>
      <c r="IT74" t="e">
        <f>AND('BBP complete'!#REF!,"AAAAAFt3Pf0=")</f>
        <v>#REF!</v>
      </c>
      <c r="IU74" t="e">
        <f>AND('BBP complete'!D998,"AAAAAFt3Pf4=")</f>
        <v>#VALUE!</v>
      </c>
      <c r="IV74" t="e">
        <f>AND('BBP complete'!F998,"AAAAAFt3Pf8=")</f>
        <v>#VALUE!</v>
      </c>
    </row>
    <row r="75" spans="1:256" ht="15" customHeight="1" x14ac:dyDescent="0.25">
      <c r="A75" t="e">
        <f>AND('BBP complete'!G998,"AAAAAHn8/wA=")</f>
        <v>#VALUE!</v>
      </c>
      <c r="B75" t="e">
        <f>AND('BBP complete'!H998,"AAAAAHn8/wE=")</f>
        <v>#VALUE!</v>
      </c>
      <c r="C75" t="e">
        <f>AND('BBP complete'!I998,"AAAAAHn8/wI=")</f>
        <v>#VALUE!</v>
      </c>
      <c r="D75" s="60" t="e">
        <v>#VALUE!</v>
      </c>
      <c r="E75" t="e">
        <f>AND('BBP complete'!A998,"AAAAAHn8/wQ=")</f>
        <v>#VALUE!</v>
      </c>
      <c r="F75" t="e">
        <f>AND('BBP complete'!#REF!,"AAAAAHn8/wU=")</f>
        <v>#REF!</v>
      </c>
      <c r="G75" t="e">
        <f>AND('BBP complete'!#REF!,"AAAAAHn8/wY=")</f>
        <v>#REF!</v>
      </c>
      <c r="H75" t="e">
        <f>AND('BBP complete'!#REF!,"AAAAAHn8/wc=")</f>
        <v>#REF!</v>
      </c>
      <c r="I75" t="e">
        <f>AND('BBP complete'!#REF!,"AAAAAHn8/wg=")</f>
        <v>#REF!</v>
      </c>
      <c r="J75" t="e">
        <f>AND('BBP complete'!#REF!,"AAAAAHn8/wk=")</f>
        <v>#REF!</v>
      </c>
      <c r="K75" t="e">
        <f>AND('BBP complete'!E998,"AAAAAHn8/wo=")</f>
        <v>#VALUE!</v>
      </c>
      <c r="L75" t="e">
        <f>AND('BBP complete'!#REF!,"AAAAAHn8/ws=")</f>
        <v>#REF!</v>
      </c>
      <c r="M75" t="e">
        <f>AND('BBP complete'!K998,"AAAAAHn8/ww=")</f>
        <v>#VALUE!</v>
      </c>
      <c r="N75" t="e">
        <f>AND('BBP complete'!L998,"AAAAAHn8/w0=")</f>
        <v>#VALUE!</v>
      </c>
      <c r="O75" t="e">
        <f>AND('BBP complete'!#REF!,"AAAAAHn8/w4=")</f>
        <v>#REF!</v>
      </c>
      <c r="P75" t="e">
        <f>AND('BBP complete'!#REF!,"AAAAAHn8/w8=")</f>
        <v>#REF!</v>
      </c>
      <c r="Q75" t="e">
        <f>AND('BBP complete'!#REF!,"AAAAAHn8/xA=")</f>
        <v>#REF!</v>
      </c>
      <c r="R75" t="e">
        <f>AND('BBP complete'!D999,"AAAAAHn8/xE=")</f>
        <v>#VALUE!</v>
      </c>
      <c r="S75" t="e">
        <f>AND('BBP complete'!F999,"AAAAAHn8/xI=")</f>
        <v>#VALUE!</v>
      </c>
      <c r="T75" t="e">
        <f>AND('BBP complete'!G999,"AAAAAHn8/xM=")</f>
        <v>#VALUE!</v>
      </c>
      <c r="U75" t="e">
        <f>AND('BBP complete'!H999,"AAAAAHn8/xQ=")</f>
        <v>#VALUE!</v>
      </c>
      <c r="V75" t="e">
        <f>AND('BBP complete'!I999,"AAAAAHn8/xU=")</f>
        <v>#VALUE!</v>
      </c>
      <c r="W75" s="60" t="e">
        <v>#VALUE!</v>
      </c>
      <c r="X75" t="e">
        <f>AND('BBP complete'!A999,"AAAAAHn8/xc=")</f>
        <v>#VALUE!</v>
      </c>
      <c r="Y75" t="e">
        <f>AND('BBP complete'!#REF!,"AAAAAHn8/xg=")</f>
        <v>#REF!</v>
      </c>
      <c r="Z75" t="e">
        <f>AND('BBP complete'!#REF!,"AAAAAHn8/xk=")</f>
        <v>#REF!</v>
      </c>
      <c r="AA75" t="e">
        <f>AND('BBP complete'!#REF!,"AAAAAHn8/xo=")</f>
        <v>#REF!</v>
      </c>
      <c r="AB75" t="e">
        <f>AND('BBP complete'!#REF!,"AAAAAHn8/xs=")</f>
        <v>#REF!</v>
      </c>
      <c r="AC75" t="e">
        <f>AND('BBP complete'!#REF!,"AAAAAHn8/xw=")</f>
        <v>#REF!</v>
      </c>
      <c r="AD75" t="e">
        <f>AND('BBP complete'!E999,"AAAAAHn8/x0=")</f>
        <v>#VALUE!</v>
      </c>
      <c r="AE75" t="e">
        <f>AND('BBP complete'!#REF!,"AAAAAHn8/x4=")</f>
        <v>#REF!</v>
      </c>
      <c r="AF75" t="e">
        <f>AND('BBP complete'!K999,"AAAAAHn8/x8=")</f>
        <v>#VALUE!</v>
      </c>
      <c r="AG75" t="e">
        <f>AND('BBP complete'!L999,"AAAAAHn8/yA=")</f>
        <v>#VALUE!</v>
      </c>
      <c r="AH75" t="e">
        <f>AND('BBP complete'!#REF!,"AAAAAHn8/yE=")</f>
        <v>#REF!</v>
      </c>
      <c r="AI75" t="e">
        <f>AND('BBP complete'!#REF!,"AAAAAHn8/yI=")</f>
        <v>#REF!</v>
      </c>
      <c r="AJ75" t="e">
        <f>AND('BBP complete'!#REF!,"AAAAAHn8/yM=")</f>
        <v>#REF!</v>
      </c>
      <c r="AK75" t="e">
        <f>AND('BBP complete'!D1000,"AAAAAHn8/yQ=")</f>
        <v>#VALUE!</v>
      </c>
      <c r="AL75" t="e">
        <f>AND('BBP complete'!F1000,"AAAAAHn8/yU=")</f>
        <v>#VALUE!</v>
      </c>
      <c r="AM75" t="e">
        <f>AND('BBP complete'!G1000,"AAAAAHn8/yY=")</f>
        <v>#VALUE!</v>
      </c>
      <c r="AN75" t="e">
        <f>AND('BBP complete'!H1000,"AAAAAHn8/yc=")</f>
        <v>#VALUE!</v>
      </c>
      <c r="AO75" t="e">
        <f>AND('BBP complete'!I1000,"AAAAAHn8/yg=")</f>
        <v>#VALUE!</v>
      </c>
      <c r="AP75" s="60" t="e">
        <v>#VALUE!</v>
      </c>
      <c r="AQ75" t="e">
        <f>AND('BBP complete'!A1000,"AAAAAHn8/yo=")</f>
        <v>#VALUE!</v>
      </c>
      <c r="AR75" t="e">
        <f>AND('BBP complete'!#REF!,"AAAAAHn8/ys=")</f>
        <v>#REF!</v>
      </c>
      <c r="AS75" t="e">
        <f>AND('BBP complete'!#REF!,"AAAAAHn8/yw=")</f>
        <v>#REF!</v>
      </c>
      <c r="AT75" t="e">
        <f>AND('BBP complete'!#REF!,"AAAAAHn8/y0=")</f>
        <v>#REF!</v>
      </c>
      <c r="AU75" t="e">
        <f>AND('BBP complete'!#REF!,"AAAAAHn8/y4=")</f>
        <v>#REF!</v>
      </c>
      <c r="AV75" t="e">
        <f>AND('BBP complete'!#REF!,"AAAAAHn8/y8=")</f>
        <v>#REF!</v>
      </c>
      <c r="AW75" t="e">
        <f>AND('BBP complete'!E1000,"AAAAAHn8/zA=")</f>
        <v>#VALUE!</v>
      </c>
      <c r="AX75" t="e">
        <f>AND('BBP complete'!#REF!,"AAAAAHn8/zE=")</f>
        <v>#REF!</v>
      </c>
      <c r="AY75" t="e">
        <f>AND('BBP complete'!K1000,"AAAAAHn8/zI=")</f>
        <v>#VALUE!</v>
      </c>
      <c r="AZ75" t="e">
        <f>AND('BBP complete'!L1000,"AAAAAHn8/zM=")</f>
        <v>#VALUE!</v>
      </c>
      <c r="BA75" t="e">
        <f>AND('BBP complete'!#REF!,"AAAAAHn8/zQ=")</f>
        <v>#REF!</v>
      </c>
      <c r="BB75" t="e">
        <f>AND('BBP complete'!#REF!,"AAAAAHn8/zU=")</f>
        <v>#REF!</v>
      </c>
      <c r="BC75" t="e">
        <f>AND('BBP complete'!#REF!,"AAAAAHn8/zY=")</f>
        <v>#REF!</v>
      </c>
      <c r="BD75" t="e">
        <f>AND('BBP complete'!D1001,"AAAAAHn8/zc=")</f>
        <v>#VALUE!</v>
      </c>
      <c r="BE75" t="e">
        <f>AND('BBP complete'!F1001,"AAAAAHn8/zg=")</f>
        <v>#VALUE!</v>
      </c>
      <c r="BF75" t="e">
        <f>AND('BBP complete'!G1001,"AAAAAHn8/zk=")</f>
        <v>#VALUE!</v>
      </c>
      <c r="BG75" t="e">
        <f>AND('BBP complete'!H1001,"AAAAAHn8/zo=")</f>
        <v>#VALUE!</v>
      </c>
      <c r="BH75" t="e">
        <f>AND('BBP complete'!I1001,"AAAAAHn8/zs=")</f>
        <v>#VALUE!</v>
      </c>
      <c r="BI75" s="60" t="e">
        <v>#VALUE!</v>
      </c>
      <c r="BJ75" t="e">
        <f>AND('BBP complete'!A1001,"AAAAAHn8/z0=")</f>
        <v>#VALUE!</v>
      </c>
      <c r="BK75" t="e">
        <f>AND('BBP complete'!#REF!,"AAAAAHn8/z4=")</f>
        <v>#REF!</v>
      </c>
      <c r="BL75" t="e">
        <f>AND('BBP complete'!#REF!,"AAAAAHn8/z8=")</f>
        <v>#REF!</v>
      </c>
      <c r="BM75" t="e">
        <f>AND('BBP complete'!#REF!,"AAAAAHn8/0A=")</f>
        <v>#REF!</v>
      </c>
      <c r="BN75" t="e">
        <f>AND('BBP complete'!#REF!,"AAAAAHn8/0E=")</f>
        <v>#REF!</v>
      </c>
      <c r="BO75" t="e">
        <f>AND('BBP complete'!#REF!,"AAAAAHn8/0I=")</f>
        <v>#REF!</v>
      </c>
      <c r="BP75" t="e">
        <f>AND('BBP complete'!E1001,"AAAAAHn8/0M=")</f>
        <v>#VALUE!</v>
      </c>
      <c r="BQ75" t="e">
        <f>AND('BBP complete'!#REF!,"AAAAAHn8/0Q=")</f>
        <v>#REF!</v>
      </c>
      <c r="BR75" t="e">
        <f>AND('BBP complete'!K1001,"AAAAAHn8/0U=")</f>
        <v>#VALUE!</v>
      </c>
      <c r="BS75" t="e">
        <f>AND('BBP complete'!L1001,"AAAAAHn8/0Y=")</f>
        <v>#VALUE!</v>
      </c>
      <c r="BT75" t="e">
        <f>AND('BBP complete'!#REF!,"AAAAAHn8/0c=")</f>
        <v>#REF!</v>
      </c>
      <c r="BU75" t="e">
        <f>AND('BBP complete'!#REF!,"AAAAAHn8/0g=")</f>
        <v>#REF!</v>
      </c>
      <c r="BV75" t="e">
        <f>AND('BBP complete'!#REF!,"AAAAAHn8/0k=")</f>
        <v>#REF!</v>
      </c>
      <c r="BW75" t="e">
        <f>AND('BBP complete'!D1002,"AAAAAHn8/0o=")</f>
        <v>#VALUE!</v>
      </c>
      <c r="BX75" t="e">
        <f>AND('BBP complete'!F1002,"AAAAAHn8/0s=")</f>
        <v>#VALUE!</v>
      </c>
      <c r="BY75" t="e">
        <f>AND('BBP complete'!G1002,"AAAAAHn8/0w=")</f>
        <v>#VALUE!</v>
      </c>
      <c r="BZ75" t="e">
        <f>AND('BBP complete'!H1002,"AAAAAHn8/00=")</f>
        <v>#VALUE!</v>
      </c>
      <c r="CA75" t="e">
        <f>AND('BBP complete'!I1002,"AAAAAHn8/04=")</f>
        <v>#VALUE!</v>
      </c>
      <c r="CB75" s="60" t="e">
        <v>#VALUE!</v>
      </c>
      <c r="CC75" t="e">
        <f>AND('BBP complete'!A1002,"AAAAAHn8/1A=")</f>
        <v>#VALUE!</v>
      </c>
      <c r="CD75" t="e">
        <f>AND('BBP complete'!#REF!,"AAAAAHn8/1E=")</f>
        <v>#REF!</v>
      </c>
      <c r="CE75" t="e">
        <f>AND('BBP complete'!#REF!,"AAAAAHn8/1I=")</f>
        <v>#REF!</v>
      </c>
      <c r="CF75" t="e">
        <f>AND('BBP complete'!#REF!,"AAAAAHn8/1M=")</f>
        <v>#REF!</v>
      </c>
      <c r="CG75" t="e">
        <f>AND('BBP complete'!#REF!,"AAAAAHn8/1Q=")</f>
        <v>#REF!</v>
      </c>
      <c r="CH75" t="e">
        <f>AND('BBP complete'!#REF!,"AAAAAHn8/1U=")</f>
        <v>#REF!</v>
      </c>
      <c r="CI75" t="e">
        <f>AND('BBP complete'!E1002,"AAAAAHn8/1Y=")</f>
        <v>#VALUE!</v>
      </c>
      <c r="CJ75" t="e">
        <f>AND('BBP complete'!#REF!,"AAAAAHn8/1c=")</f>
        <v>#REF!</v>
      </c>
      <c r="CK75" t="e">
        <f>AND('BBP complete'!K1002,"AAAAAHn8/1g=")</f>
        <v>#VALUE!</v>
      </c>
      <c r="CL75" t="e">
        <f>AND('BBP complete'!L1002,"AAAAAHn8/1k=")</f>
        <v>#VALUE!</v>
      </c>
      <c r="CM75" t="e">
        <f>AND('BBP complete'!#REF!,"AAAAAHn8/1o=")</f>
        <v>#REF!</v>
      </c>
      <c r="CN75" t="e">
        <f>AND('BBP complete'!#REF!,"AAAAAHn8/1s=")</f>
        <v>#REF!</v>
      </c>
      <c r="CO75" t="e">
        <f>AND('BBP complete'!#REF!,"AAAAAHn8/1w=")</f>
        <v>#REF!</v>
      </c>
      <c r="CP75" t="e">
        <f>AND('BBP complete'!D1003,"AAAAAHn8/10=")</f>
        <v>#VALUE!</v>
      </c>
      <c r="CQ75" t="e">
        <f>AND('BBP complete'!F1003,"AAAAAHn8/14=")</f>
        <v>#VALUE!</v>
      </c>
      <c r="CR75" t="e">
        <f>AND('BBP complete'!G1003,"AAAAAHn8/18=")</f>
        <v>#VALUE!</v>
      </c>
      <c r="CS75" t="e">
        <f>AND('BBP complete'!H1003,"AAAAAHn8/2A=")</f>
        <v>#VALUE!</v>
      </c>
      <c r="CT75" t="e">
        <f>AND('BBP complete'!I1003,"AAAAAHn8/2E=")</f>
        <v>#VALUE!</v>
      </c>
      <c r="CU75" s="60" t="e">
        <v>#VALUE!</v>
      </c>
      <c r="CV75" t="e">
        <f>AND('BBP complete'!A1003,"AAAAAHn8/2M=")</f>
        <v>#VALUE!</v>
      </c>
      <c r="CW75" t="e">
        <f>AND('BBP complete'!#REF!,"AAAAAHn8/2Q=")</f>
        <v>#REF!</v>
      </c>
      <c r="CX75" t="e">
        <f>AND('BBP complete'!#REF!,"AAAAAHn8/2U=")</f>
        <v>#REF!</v>
      </c>
      <c r="CY75" t="e">
        <f>AND('BBP complete'!#REF!,"AAAAAHn8/2Y=")</f>
        <v>#REF!</v>
      </c>
      <c r="CZ75" t="e">
        <f>AND('BBP complete'!#REF!,"AAAAAHn8/2c=")</f>
        <v>#REF!</v>
      </c>
      <c r="DA75" t="e">
        <f>AND('BBP complete'!#REF!,"AAAAAHn8/2g=")</f>
        <v>#REF!</v>
      </c>
      <c r="DB75" t="e">
        <f>AND('BBP complete'!E1003,"AAAAAHn8/2k=")</f>
        <v>#VALUE!</v>
      </c>
      <c r="DC75" t="e">
        <f>AND('BBP complete'!#REF!,"AAAAAHn8/2o=")</f>
        <v>#REF!</v>
      </c>
      <c r="DD75" t="e">
        <f>AND('BBP complete'!K1003,"AAAAAHn8/2s=")</f>
        <v>#VALUE!</v>
      </c>
      <c r="DE75" t="e">
        <f>AND('BBP complete'!L1003,"AAAAAHn8/2w=")</f>
        <v>#VALUE!</v>
      </c>
      <c r="DF75" t="e">
        <f>AND('BBP complete'!#REF!,"AAAAAHn8/20=")</f>
        <v>#REF!</v>
      </c>
      <c r="DG75" t="e">
        <f>AND('BBP complete'!#REF!,"AAAAAHn8/24=")</f>
        <v>#REF!</v>
      </c>
      <c r="DH75" t="e">
        <f>AND('BBP complete'!#REF!,"AAAAAHn8/28=")</f>
        <v>#REF!</v>
      </c>
      <c r="DI75" t="e">
        <f>AND('BBP complete'!D1004,"AAAAAHn8/3A=")</f>
        <v>#VALUE!</v>
      </c>
      <c r="DJ75" t="e">
        <f>AND('BBP complete'!F1004,"AAAAAHn8/3E=")</f>
        <v>#VALUE!</v>
      </c>
      <c r="DK75" t="e">
        <f>AND('BBP complete'!G1004,"AAAAAHn8/3I=")</f>
        <v>#VALUE!</v>
      </c>
      <c r="DL75" t="e">
        <f>AND('BBP complete'!H1004,"AAAAAHn8/3M=")</f>
        <v>#VALUE!</v>
      </c>
      <c r="DM75" t="e">
        <f>AND('BBP complete'!I1004,"AAAAAHn8/3Q=")</f>
        <v>#VALUE!</v>
      </c>
      <c r="DN75" s="60" t="e">
        <v>#VALUE!</v>
      </c>
      <c r="DO75" t="e">
        <f>AND('BBP complete'!A1004,"AAAAAHn8/3Y=")</f>
        <v>#VALUE!</v>
      </c>
      <c r="DP75" t="e">
        <f>AND('BBP complete'!#REF!,"AAAAAHn8/3c=")</f>
        <v>#REF!</v>
      </c>
      <c r="DQ75" t="e">
        <f>AND('BBP complete'!#REF!,"AAAAAHn8/3g=")</f>
        <v>#REF!</v>
      </c>
      <c r="DR75" t="e">
        <f>AND('BBP complete'!#REF!,"AAAAAHn8/3k=")</f>
        <v>#REF!</v>
      </c>
      <c r="DS75" t="e">
        <f>AND('BBP complete'!#REF!,"AAAAAHn8/3o=")</f>
        <v>#REF!</v>
      </c>
      <c r="DT75" t="e">
        <f>AND('BBP complete'!#REF!,"AAAAAHn8/3s=")</f>
        <v>#REF!</v>
      </c>
      <c r="DU75" t="e">
        <f>AND('BBP complete'!E1004,"AAAAAHn8/3w=")</f>
        <v>#VALUE!</v>
      </c>
      <c r="DV75" t="e">
        <f>AND('BBP complete'!#REF!,"AAAAAHn8/30=")</f>
        <v>#REF!</v>
      </c>
      <c r="DW75" t="e">
        <f>AND('BBP complete'!K1004,"AAAAAHn8/34=")</f>
        <v>#VALUE!</v>
      </c>
      <c r="DX75" t="e">
        <f>AND('BBP complete'!L1004,"AAAAAHn8/38=")</f>
        <v>#VALUE!</v>
      </c>
      <c r="DY75" t="e">
        <f>AND('BBP complete'!#REF!,"AAAAAHn8/4A=")</f>
        <v>#REF!</v>
      </c>
      <c r="DZ75" t="e">
        <f>AND('BBP complete'!#REF!,"AAAAAHn8/4E=")</f>
        <v>#REF!</v>
      </c>
      <c r="EA75" t="e">
        <f>AND('BBP complete'!#REF!,"AAAAAHn8/4I=")</f>
        <v>#REF!</v>
      </c>
      <c r="EB75" t="e">
        <f>AND('BBP complete'!D1005,"AAAAAHn8/4M=")</f>
        <v>#VALUE!</v>
      </c>
      <c r="EC75" t="e">
        <f>AND('BBP complete'!F1005,"AAAAAHn8/4Q=")</f>
        <v>#VALUE!</v>
      </c>
      <c r="ED75" t="e">
        <f>AND('BBP complete'!G1005,"AAAAAHn8/4U=")</f>
        <v>#VALUE!</v>
      </c>
      <c r="EE75" t="e">
        <f>AND('BBP complete'!H1005,"AAAAAHn8/4Y=")</f>
        <v>#VALUE!</v>
      </c>
      <c r="EF75" t="e">
        <f>AND('BBP complete'!I1005,"AAAAAHn8/4c=")</f>
        <v>#VALUE!</v>
      </c>
      <c r="EG75" s="60" t="e">
        <v>#VALUE!</v>
      </c>
      <c r="EH75" t="e">
        <f>AND('BBP complete'!A1005,"AAAAAHn8/4k=")</f>
        <v>#VALUE!</v>
      </c>
      <c r="EI75" t="e">
        <f>AND('BBP complete'!#REF!,"AAAAAHn8/4o=")</f>
        <v>#REF!</v>
      </c>
      <c r="EJ75" t="e">
        <f>AND('BBP complete'!#REF!,"AAAAAHn8/4s=")</f>
        <v>#REF!</v>
      </c>
      <c r="EK75" t="e">
        <f>AND('BBP complete'!#REF!,"AAAAAHn8/4w=")</f>
        <v>#REF!</v>
      </c>
      <c r="EL75" t="e">
        <f>AND('BBP complete'!#REF!,"AAAAAHn8/40=")</f>
        <v>#REF!</v>
      </c>
      <c r="EM75" t="e">
        <f>AND('BBP complete'!#REF!,"AAAAAHn8/44=")</f>
        <v>#REF!</v>
      </c>
      <c r="EN75" t="e">
        <f>AND('BBP complete'!E1005,"AAAAAHn8/48=")</f>
        <v>#VALUE!</v>
      </c>
      <c r="EO75" t="e">
        <f>AND('BBP complete'!#REF!,"AAAAAHn8/5A=")</f>
        <v>#REF!</v>
      </c>
      <c r="EP75" t="e">
        <f>AND('BBP complete'!K1005,"AAAAAHn8/5E=")</f>
        <v>#VALUE!</v>
      </c>
      <c r="EQ75" t="e">
        <f>AND('BBP complete'!L1005,"AAAAAHn8/5I=")</f>
        <v>#VALUE!</v>
      </c>
      <c r="ER75" t="e">
        <f>AND('BBP complete'!#REF!,"AAAAAHn8/5M=")</f>
        <v>#REF!</v>
      </c>
      <c r="ES75" t="e">
        <f>AND('BBP complete'!#REF!,"AAAAAHn8/5Q=")</f>
        <v>#REF!</v>
      </c>
      <c r="ET75" t="e">
        <f>AND('BBP complete'!#REF!,"AAAAAHn8/5U=")</f>
        <v>#REF!</v>
      </c>
      <c r="EU75" t="e">
        <f>AND('BBP complete'!D1006,"AAAAAHn8/5Y=")</f>
        <v>#VALUE!</v>
      </c>
      <c r="EV75" t="e">
        <f>AND('BBP complete'!F1006,"AAAAAHn8/5c=")</f>
        <v>#VALUE!</v>
      </c>
      <c r="EW75" t="e">
        <f>AND('BBP complete'!G1006,"AAAAAHn8/5g=")</f>
        <v>#VALUE!</v>
      </c>
      <c r="EX75" t="e">
        <f>AND('BBP complete'!H1006,"AAAAAHn8/5k=")</f>
        <v>#VALUE!</v>
      </c>
      <c r="EY75" t="e">
        <f>AND('BBP complete'!I1006,"AAAAAHn8/5o=")</f>
        <v>#VALUE!</v>
      </c>
      <c r="EZ75" s="60" t="e">
        <v>#VALUE!</v>
      </c>
      <c r="FA75" t="e">
        <f>AND('BBP complete'!A1006,"AAAAAHn8/5w=")</f>
        <v>#VALUE!</v>
      </c>
      <c r="FB75" t="e">
        <f>AND('BBP complete'!#REF!,"AAAAAHn8/50=")</f>
        <v>#REF!</v>
      </c>
      <c r="FC75" t="e">
        <f>AND('BBP complete'!#REF!,"AAAAAHn8/54=")</f>
        <v>#REF!</v>
      </c>
      <c r="FD75" t="e">
        <f>AND('BBP complete'!#REF!,"AAAAAHn8/58=")</f>
        <v>#REF!</v>
      </c>
      <c r="FE75" t="e">
        <f>AND('BBP complete'!#REF!,"AAAAAHn8/6A=")</f>
        <v>#REF!</v>
      </c>
      <c r="FF75" t="e">
        <f>AND('BBP complete'!#REF!,"AAAAAHn8/6E=")</f>
        <v>#REF!</v>
      </c>
      <c r="FG75" t="e">
        <f>AND('BBP complete'!E1006,"AAAAAHn8/6I=")</f>
        <v>#VALUE!</v>
      </c>
      <c r="FH75" t="e">
        <f>AND('BBP complete'!#REF!,"AAAAAHn8/6M=")</f>
        <v>#REF!</v>
      </c>
      <c r="FI75" t="e">
        <f>AND('BBP complete'!K1006,"AAAAAHn8/6Q=")</f>
        <v>#VALUE!</v>
      </c>
      <c r="FJ75" t="e">
        <f>AND('BBP complete'!L1006,"AAAAAHn8/6U=")</f>
        <v>#VALUE!</v>
      </c>
      <c r="FK75" t="e">
        <f>AND('BBP complete'!#REF!,"AAAAAHn8/6Y=")</f>
        <v>#REF!</v>
      </c>
      <c r="FL75" t="e">
        <f>AND('BBP complete'!#REF!,"AAAAAHn8/6c=")</f>
        <v>#REF!</v>
      </c>
      <c r="FM75" t="e">
        <f>AND('BBP complete'!#REF!,"AAAAAHn8/6g=")</f>
        <v>#REF!</v>
      </c>
      <c r="FN75" t="e">
        <f>AND('BBP complete'!D1007,"AAAAAHn8/6k=")</f>
        <v>#VALUE!</v>
      </c>
      <c r="FO75" t="e">
        <f>AND('BBP complete'!F1007,"AAAAAHn8/6o=")</f>
        <v>#VALUE!</v>
      </c>
      <c r="FP75" t="e">
        <f>AND('BBP complete'!G1007,"AAAAAHn8/6s=")</f>
        <v>#VALUE!</v>
      </c>
      <c r="FQ75" t="e">
        <f>AND('BBP complete'!H1007,"AAAAAHn8/6w=")</f>
        <v>#VALUE!</v>
      </c>
      <c r="FR75" t="e">
        <f>AND('BBP complete'!I1007,"AAAAAHn8/60=")</f>
        <v>#VALUE!</v>
      </c>
      <c r="FS75" s="60" t="e">
        <v>#VALUE!</v>
      </c>
      <c r="FT75" t="e">
        <f>AND('BBP complete'!A1007,"AAAAAHn8/68=")</f>
        <v>#VALUE!</v>
      </c>
      <c r="FU75" t="e">
        <f>AND('BBP complete'!B1102,"AAAAAHn8/7A=")</f>
        <v>#VALUE!</v>
      </c>
      <c r="FV75" t="e">
        <f>AND('BBP complete'!C1102,"AAAAAHn8/7E=")</f>
        <v>#VALUE!</v>
      </c>
      <c r="FW75" t="e">
        <f>AND('BBP complete'!#REF!,"AAAAAHn8/7I=")</f>
        <v>#REF!</v>
      </c>
      <c r="FX75" t="e">
        <f>AND('BBP complete'!#REF!,"AAAAAHn8/7M=")</f>
        <v>#REF!</v>
      </c>
      <c r="FY75" t="e">
        <f>AND('BBP complete'!#REF!,"AAAAAHn8/7Q=")</f>
        <v>#REF!</v>
      </c>
      <c r="FZ75" t="e">
        <f>AND('BBP complete'!E1007,"AAAAAHn8/7U=")</f>
        <v>#VALUE!</v>
      </c>
      <c r="GA75" t="e">
        <f>AND('BBP complete'!#REF!,"AAAAAHn8/7Y=")</f>
        <v>#REF!</v>
      </c>
      <c r="GB75" t="e">
        <f>AND('BBP complete'!K1007,"AAAAAHn8/7c=")</f>
        <v>#VALUE!</v>
      </c>
      <c r="GC75" t="e">
        <f>AND('BBP complete'!L1007,"AAAAAHn8/7g=")</f>
        <v>#VALUE!</v>
      </c>
      <c r="GD75" t="e">
        <f>AND('BBP complete'!#REF!,"AAAAAHn8/7k=")</f>
        <v>#REF!</v>
      </c>
      <c r="GE75" t="e">
        <f>AND('BBP complete'!#REF!,"AAAAAHn8/7o=")</f>
        <v>#REF!</v>
      </c>
      <c r="GF75" t="e">
        <f>AND('BBP complete'!#REF!,"AAAAAHn8/7s=")</f>
        <v>#REF!</v>
      </c>
      <c r="GG75" t="e">
        <f>AND('BBP complete'!D1008,"AAAAAHn8/7w=")</f>
        <v>#VALUE!</v>
      </c>
      <c r="GH75" t="e">
        <f>AND('BBP complete'!F1008,"AAAAAHn8/70=")</f>
        <v>#VALUE!</v>
      </c>
      <c r="GI75" t="e">
        <f>AND('BBP complete'!G1008,"AAAAAHn8/74=")</f>
        <v>#VALUE!</v>
      </c>
      <c r="GJ75" t="e">
        <f>AND('BBP complete'!H1008,"AAAAAHn8/78=")</f>
        <v>#VALUE!</v>
      </c>
      <c r="GK75" t="e">
        <f>AND('BBP complete'!I1008,"AAAAAHn8/8A=")</f>
        <v>#VALUE!</v>
      </c>
      <c r="GL75" s="60" t="e">
        <v>#VALUE!</v>
      </c>
      <c r="GM75" t="e">
        <f>AND('BBP complete'!A1008,"AAAAAHn8/8I=")</f>
        <v>#VALUE!</v>
      </c>
      <c r="GN75" t="e">
        <f>AND('BBP complete'!B1103,"AAAAAHn8/8M=")</f>
        <v>#VALUE!</v>
      </c>
      <c r="GO75" t="e">
        <f>AND('BBP complete'!C1103,"AAAAAHn8/8Q=")</f>
        <v>#VALUE!</v>
      </c>
      <c r="GP75" t="e">
        <f>AND('BBP complete'!#REF!,"AAAAAHn8/8U=")</f>
        <v>#REF!</v>
      </c>
      <c r="GQ75" t="e">
        <f>AND('BBP complete'!#REF!,"AAAAAHn8/8Y=")</f>
        <v>#REF!</v>
      </c>
      <c r="GR75" t="e">
        <f>AND('BBP complete'!#REF!,"AAAAAHn8/8c=")</f>
        <v>#REF!</v>
      </c>
      <c r="GS75" t="e">
        <f>AND('BBP complete'!E1008,"AAAAAHn8/8g=")</f>
        <v>#VALUE!</v>
      </c>
      <c r="GT75" t="e">
        <f>AND('BBP complete'!#REF!,"AAAAAHn8/8k=")</f>
        <v>#REF!</v>
      </c>
      <c r="GU75" t="e">
        <f>AND('BBP complete'!K1008,"AAAAAHn8/8o=")</f>
        <v>#VALUE!</v>
      </c>
      <c r="GV75" t="e">
        <f>AND('BBP complete'!L1008,"AAAAAHn8/8s=")</f>
        <v>#VALUE!</v>
      </c>
      <c r="GW75" t="e">
        <f>AND('BBP complete'!#REF!,"AAAAAHn8/8w=")</f>
        <v>#REF!</v>
      </c>
      <c r="GX75" t="e">
        <f>AND('BBP complete'!#REF!,"AAAAAHn8/80=")</f>
        <v>#REF!</v>
      </c>
      <c r="GY75" t="e">
        <f>AND('BBP complete'!#REF!,"AAAAAHn8/84=")</f>
        <v>#REF!</v>
      </c>
      <c r="GZ75" t="e">
        <f>AND('BBP complete'!D1009,"AAAAAHn8/88=")</f>
        <v>#VALUE!</v>
      </c>
      <c r="HA75" t="e">
        <f>AND('BBP complete'!F1009,"AAAAAHn8/9A=")</f>
        <v>#VALUE!</v>
      </c>
      <c r="HB75" t="e">
        <f>AND('BBP complete'!G1009,"AAAAAHn8/9E=")</f>
        <v>#VALUE!</v>
      </c>
      <c r="HC75" t="e">
        <f>AND('BBP complete'!H1009,"AAAAAHn8/9I=")</f>
        <v>#VALUE!</v>
      </c>
      <c r="HD75" t="e">
        <f>AND('BBP complete'!I1009,"AAAAAHn8/9M=")</f>
        <v>#VALUE!</v>
      </c>
      <c r="HE75" s="60" t="e">
        <v>#VALUE!</v>
      </c>
      <c r="HF75" t="e">
        <f>AND('BBP complete'!A1009,"AAAAAHn8/9U=")</f>
        <v>#VALUE!</v>
      </c>
      <c r="HG75" t="e">
        <f>AND('BBP complete'!B1105,"AAAAAHn8/9Y=")</f>
        <v>#VALUE!</v>
      </c>
      <c r="HH75" t="e">
        <f>AND('BBP complete'!C1105,"AAAAAHn8/9c=")</f>
        <v>#VALUE!</v>
      </c>
      <c r="HI75" t="e">
        <f>AND('BBP complete'!#REF!,"AAAAAHn8/9g=")</f>
        <v>#REF!</v>
      </c>
      <c r="HJ75" t="e">
        <f>AND('BBP complete'!#REF!,"AAAAAHn8/9k=")</f>
        <v>#REF!</v>
      </c>
      <c r="HK75" t="e">
        <f>AND('BBP complete'!#REF!,"AAAAAHn8/9o=")</f>
        <v>#REF!</v>
      </c>
      <c r="HL75" t="e">
        <f>AND('BBP complete'!E1009,"AAAAAHn8/9s=")</f>
        <v>#VALUE!</v>
      </c>
      <c r="HM75" t="e">
        <f>AND('BBP complete'!#REF!,"AAAAAHn8/9w=")</f>
        <v>#REF!</v>
      </c>
      <c r="HN75" t="e">
        <f>AND('BBP complete'!K1009,"AAAAAHn8/90=")</f>
        <v>#VALUE!</v>
      </c>
      <c r="HO75" t="e">
        <f>AND('BBP complete'!L1009,"AAAAAHn8/94=")</f>
        <v>#VALUE!</v>
      </c>
      <c r="HP75" t="e">
        <f>AND('BBP complete'!#REF!,"AAAAAHn8/98=")</f>
        <v>#REF!</v>
      </c>
      <c r="HQ75" t="e">
        <f>AND('BBP complete'!#REF!,"AAAAAHn8/+A=")</f>
        <v>#REF!</v>
      </c>
      <c r="HR75" t="e">
        <f>AND('BBP complete'!#REF!,"AAAAAHn8/+E=")</f>
        <v>#REF!</v>
      </c>
      <c r="HS75" t="e">
        <f>AND('BBP complete'!D1010,"AAAAAHn8/+I=")</f>
        <v>#VALUE!</v>
      </c>
      <c r="HT75" t="e">
        <f>AND('BBP complete'!F1010,"AAAAAHn8/+M=")</f>
        <v>#VALUE!</v>
      </c>
      <c r="HU75" t="e">
        <f>AND('BBP complete'!G1010,"AAAAAHn8/+Q=")</f>
        <v>#VALUE!</v>
      </c>
      <c r="HV75" t="e">
        <f>AND('BBP complete'!H1010,"AAAAAHn8/+U=")</f>
        <v>#VALUE!</v>
      </c>
      <c r="HW75" t="e">
        <f>AND('BBP complete'!I1010,"AAAAAHn8/+Y=")</f>
        <v>#VALUE!</v>
      </c>
      <c r="HX75" s="60" t="e">
        <v>#VALUE!</v>
      </c>
      <c r="HY75" t="e">
        <f>AND('BBP complete'!A1010,"AAAAAHn8/+g=")</f>
        <v>#VALUE!</v>
      </c>
      <c r="HZ75" t="e">
        <f>AND('BBP complete'!B1106,"AAAAAHn8/+k=")</f>
        <v>#VALUE!</v>
      </c>
      <c r="IA75" t="e">
        <f>AND('BBP complete'!C1106,"AAAAAHn8/+o=")</f>
        <v>#VALUE!</v>
      </c>
      <c r="IB75" t="e">
        <f>AND('BBP complete'!#REF!,"AAAAAHn8/+s=")</f>
        <v>#REF!</v>
      </c>
      <c r="IC75" t="e">
        <f>AND('BBP complete'!#REF!,"AAAAAHn8/+w=")</f>
        <v>#REF!</v>
      </c>
      <c r="ID75" t="e">
        <f>AND('BBP complete'!#REF!,"AAAAAHn8/+0=")</f>
        <v>#REF!</v>
      </c>
      <c r="IE75" t="e">
        <f>AND('BBP complete'!E1010,"AAAAAHn8/+4=")</f>
        <v>#VALUE!</v>
      </c>
      <c r="IF75" t="e">
        <f>AND('BBP complete'!#REF!,"AAAAAHn8/+8=")</f>
        <v>#REF!</v>
      </c>
      <c r="IG75" t="e">
        <f>AND('BBP complete'!K1010,"AAAAAHn8//A=")</f>
        <v>#VALUE!</v>
      </c>
      <c r="IH75" t="e">
        <f>AND('BBP complete'!L1010,"AAAAAHn8//E=")</f>
        <v>#VALUE!</v>
      </c>
      <c r="II75" t="e">
        <f>AND('BBP complete'!#REF!,"AAAAAHn8//I=")</f>
        <v>#REF!</v>
      </c>
      <c r="IJ75" t="e">
        <f>AND('BBP complete'!#REF!,"AAAAAHn8//M=")</f>
        <v>#REF!</v>
      </c>
      <c r="IK75" t="e">
        <f>AND('BBP complete'!#REF!,"AAAAAHn8//Q=")</f>
        <v>#REF!</v>
      </c>
      <c r="IL75" t="e">
        <f>AND('BBP complete'!D1011,"AAAAAHn8//U=")</f>
        <v>#VALUE!</v>
      </c>
      <c r="IM75" t="e">
        <f>AND('BBP complete'!F1011,"AAAAAHn8//Y=")</f>
        <v>#VALUE!</v>
      </c>
      <c r="IN75" t="e">
        <f>AND('BBP complete'!G1011,"AAAAAHn8//c=")</f>
        <v>#VALUE!</v>
      </c>
      <c r="IO75" t="e">
        <f>AND('BBP complete'!H1011,"AAAAAHn8//g=")</f>
        <v>#VALUE!</v>
      </c>
      <c r="IP75" t="e">
        <f>AND('BBP complete'!I1011,"AAAAAHn8//k=")</f>
        <v>#VALUE!</v>
      </c>
      <c r="IQ75" s="60" t="e">
        <v>#VALUE!</v>
      </c>
      <c r="IR75" t="e">
        <f>AND('BBP complete'!A1011,"AAAAAHn8//s=")</f>
        <v>#VALUE!</v>
      </c>
      <c r="IS75" t="e">
        <f>AND('BBP complete'!B1107,"AAAAAHn8//w=")</f>
        <v>#VALUE!</v>
      </c>
      <c r="IT75" t="e">
        <f>AND('BBP complete'!C1107,"AAAAAHn8//0=")</f>
        <v>#VALUE!</v>
      </c>
      <c r="IU75" t="e">
        <f>AND('BBP complete'!#REF!,"AAAAAHn8//4=")</f>
        <v>#REF!</v>
      </c>
      <c r="IV75" t="e">
        <f>AND('BBP complete'!#REF!,"AAAAAHn8//8=")</f>
        <v>#REF!</v>
      </c>
    </row>
    <row r="76" spans="1:256" ht="15" customHeight="1" x14ac:dyDescent="0.25">
      <c r="A76" t="e">
        <f>AND('BBP complete'!#REF!,"AAAAAH7/TwA=")</f>
        <v>#REF!</v>
      </c>
      <c r="B76" t="e">
        <f>AND('BBP complete'!E1011,"AAAAAH7/TwE=")</f>
        <v>#VALUE!</v>
      </c>
      <c r="C76" t="e">
        <f>AND('BBP complete'!#REF!,"AAAAAH7/TwI=")</f>
        <v>#REF!</v>
      </c>
      <c r="D76" t="e">
        <f>AND('BBP complete'!K1011,"AAAAAH7/TwM=")</f>
        <v>#VALUE!</v>
      </c>
      <c r="E76" t="e">
        <f>AND('BBP complete'!L1011,"AAAAAH7/TwQ=")</f>
        <v>#VALUE!</v>
      </c>
      <c r="F76" t="e">
        <f>AND('BBP complete'!#REF!,"AAAAAH7/TwU=")</f>
        <v>#REF!</v>
      </c>
      <c r="G76" t="e">
        <f>AND('BBP complete'!#REF!,"AAAAAH7/TwY=")</f>
        <v>#REF!</v>
      </c>
      <c r="H76" t="e">
        <f>AND('BBP complete'!#REF!,"AAAAAH7/Twc=")</f>
        <v>#REF!</v>
      </c>
      <c r="I76" t="e">
        <f>AND('BBP complete'!D1012,"AAAAAH7/Twg=")</f>
        <v>#VALUE!</v>
      </c>
      <c r="J76" t="e">
        <f>AND('BBP complete'!F1012,"AAAAAH7/Twk=")</f>
        <v>#VALUE!</v>
      </c>
      <c r="K76" t="e">
        <f>AND('BBP complete'!G1012,"AAAAAH7/Two=")</f>
        <v>#VALUE!</v>
      </c>
      <c r="L76" t="e">
        <f>AND('BBP complete'!H1012,"AAAAAH7/Tws=")</f>
        <v>#VALUE!</v>
      </c>
      <c r="M76" t="e">
        <f>AND('BBP complete'!I1012,"AAAAAH7/Tww=")</f>
        <v>#VALUE!</v>
      </c>
      <c r="N76" s="60" t="e">
        <v>#VALUE!</v>
      </c>
      <c r="O76" t="e">
        <f>AND('BBP complete'!A1012,"AAAAAH7/Tw4=")</f>
        <v>#VALUE!</v>
      </c>
      <c r="P76" t="e">
        <f>AND('BBP complete'!#REF!,"AAAAAH7/Tw8=")</f>
        <v>#REF!</v>
      </c>
      <c r="Q76" t="e">
        <f>AND('BBP complete'!#REF!,"AAAAAH7/TxA=")</f>
        <v>#REF!</v>
      </c>
      <c r="R76" t="e">
        <f>AND('BBP complete'!#REF!,"AAAAAH7/TxE=")</f>
        <v>#REF!</v>
      </c>
      <c r="S76" t="e">
        <f>AND('BBP complete'!#REF!,"AAAAAH7/TxI=")</f>
        <v>#REF!</v>
      </c>
      <c r="T76" t="e">
        <f>AND('BBP complete'!#REF!,"AAAAAH7/TxM=")</f>
        <v>#REF!</v>
      </c>
      <c r="U76" t="e">
        <f>AND('BBP complete'!E1012,"AAAAAH7/TxQ=")</f>
        <v>#VALUE!</v>
      </c>
      <c r="V76" t="e">
        <f>AND('BBP complete'!#REF!,"AAAAAH7/TxU=")</f>
        <v>#REF!</v>
      </c>
      <c r="W76" t="e">
        <f>AND('BBP complete'!K1012,"AAAAAH7/TxY=")</f>
        <v>#VALUE!</v>
      </c>
      <c r="X76" t="e">
        <f>AND('BBP complete'!L1012,"AAAAAH7/Txc=")</f>
        <v>#VALUE!</v>
      </c>
      <c r="Y76" t="e">
        <f>AND('BBP complete'!#REF!,"AAAAAH7/Txg=")</f>
        <v>#REF!</v>
      </c>
      <c r="Z76" t="e">
        <f>AND('BBP complete'!#REF!,"AAAAAH7/Txk=")</f>
        <v>#REF!</v>
      </c>
      <c r="AA76" t="e">
        <f>AND('BBP complete'!#REF!,"AAAAAH7/Txo=")</f>
        <v>#REF!</v>
      </c>
      <c r="AB76" t="e">
        <f>AND('BBP complete'!D1013,"AAAAAH7/Txs=")</f>
        <v>#VALUE!</v>
      </c>
      <c r="AC76" t="e">
        <f>AND('BBP complete'!F1013,"AAAAAH7/Txw=")</f>
        <v>#VALUE!</v>
      </c>
      <c r="AD76" t="e">
        <f>AND('BBP complete'!G1013,"AAAAAH7/Tx0=")</f>
        <v>#VALUE!</v>
      </c>
      <c r="AE76" t="e">
        <f>AND('BBP complete'!H1013,"AAAAAH7/Tx4=")</f>
        <v>#VALUE!</v>
      </c>
      <c r="AF76" t="e">
        <f>AND('BBP complete'!I1013,"AAAAAH7/Tx8=")</f>
        <v>#VALUE!</v>
      </c>
      <c r="AG76" s="60" t="e">
        <v>#VALUE!</v>
      </c>
      <c r="AH76" t="e">
        <f>AND('BBP complete'!A1013,"AAAAAH7/TyE=")</f>
        <v>#VALUE!</v>
      </c>
      <c r="AI76" t="e">
        <f>AND('BBP complete'!#REF!,"AAAAAH7/TyI=")</f>
        <v>#REF!</v>
      </c>
      <c r="AJ76" t="e">
        <f>AND('BBP complete'!#REF!,"AAAAAH7/TyM=")</f>
        <v>#REF!</v>
      </c>
      <c r="AK76" t="e">
        <f>AND('BBP complete'!#REF!,"AAAAAH7/TyQ=")</f>
        <v>#REF!</v>
      </c>
      <c r="AL76" t="e">
        <f>AND('BBP complete'!#REF!,"AAAAAH7/TyU=")</f>
        <v>#REF!</v>
      </c>
      <c r="AM76" t="e">
        <f>AND('BBP complete'!#REF!,"AAAAAH7/TyY=")</f>
        <v>#REF!</v>
      </c>
      <c r="AN76" t="e">
        <f>AND('BBP complete'!E1013,"AAAAAH7/Tyc=")</f>
        <v>#VALUE!</v>
      </c>
      <c r="AO76" t="e">
        <f>AND('BBP complete'!#REF!,"AAAAAH7/Tyg=")</f>
        <v>#REF!</v>
      </c>
      <c r="AP76" t="e">
        <f>AND('BBP complete'!K1013,"AAAAAH7/Tyk=")</f>
        <v>#VALUE!</v>
      </c>
      <c r="AQ76" t="e">
        <f>AND('BBP complete'!L1013,"AAAAAH7/Tyo=")</f>
        <v>#VALUE!</v>
      </c>
      <c r="AR76" t="e">
        <f>AND('BBP complete'!#REF!,"AAAAAH7/Tys=")</f>
        <v>#REF!</v>
      </c>
      <c r="AS76" t="e">
        <f>AND('BBP complete'!#REF!,"AAAAAH7/Tyw=")</f>
        <v>#REF!</v>
      </c>
      <c r="AT76" t="e">
        <f>AND('BBP complete'!#REF!,"AAAAAH7/Ty0=")</f>
        <v>#REF!</v>
      </c>
      <c r="AU76" t="e">
        <f>AND('BBP complete'!D1014,"AAAAAH7/Ty4=")</f>
        <v>#VALUE!</v>
      </c>
      <c r="AV76" t="e">
        <f>AND('BBP complete'!F1014,"AAAAAH7/Ty8=")</f>
        <v>#VALUE!</v>
      </c>
      <c r="AW76" t="e">
        <f>AND('BBP complete'!G1014,"AAAAAH7/TzA=")</f>
        <v>#VALUE!</v>
      </c>
      <c r="AX76" t="e">
        <f>AND('BBP complete'!H1014,"AAAAAH7/TzE=")</f>
        <v>#VALUE!</v>
      </c>
      <c r="AY76" t="e">
        <f>AND('BBP complete'!I1014,"AAAAAH7/TzI=")</f>
        <v>#VALUE!</v>
      </c>
      <c r="AZ76" s="60" t="e">
        <v>#VALUE!</v>
      </c>
      <c r="BA76" t="e">
        <f>AND('BBP complete'!A1014,"AAAAAH7/TzQ=")</f>
        <v>#VALUE!</v>
      </c>
      <c r="BB76" t="e">
        <f>AND('BBP complete'!#REF!,"AAAAAH7/TzU=")</f>
        <v>#REF!</v>
      </c>
      <c r="BC76" t="e">
        <f>AND('BBP complete'!#REF!,"AAAAAH7/TzY=")</f>
        <v>#REF!</v>
      </c>
      <c r="BD76" t="e">
        <f>AND('BBP complete'!#REF!,"AAAAAH7/Tzc=")</f>
        <v>#REF!</v>
      </c>
      <c r="BE76" t="e">
        <f>AND('BBP complete'!#REF!,"AAAAAH7/Tzg=")</f>
        <v>#REF!</v>
      </c>
      <c r="BF76" t="e">
        <f>AND('BBP complete'!#REF!,"AAAAAH7/Tzk=")</f>
        <v>#REF!</v>
      </c>
      <c r="BG76" t="e">
        <f>AND('BBP complete'!E1014,"AAAAAH7/Tzo=")</f>
        <v>#VALUE!</v>
      </c>
      <c r="BH76" t="e">
        <f>AND('BBP complete'!#REF!,"AAAAAH7/Tzs=")</f>
        <v>#REF!</v>
      </c>
      <c r="BI76" t="e">
        <f>AND('BBP complete'!K1014,"AAAAAH7/Tzw=")</f>
        <v>#VALUE!</v>
      </c>
      <c r="BJ76" t="e">
        <f>AND('BBP complete'!L1014,"AAAAAH7/Tz0=")</f>
        <v>#VALUE!</v>
      </c>
      <c r="BK76" t="e">
        <f>AND('BBP complete'!#REF!,"AAAAAH7/Tz4=")</f>
        <v>#REF!</v>
      </c>
      <c r="BL76" t="e">
        <f>AND('BBP complete'!#REF!,"AAAAAH7/Tz8=")</f>
        <v>#REF!</v>
      </c>
      <c r="BM76" t="e">
        <f>AND('BBP complete'!#REF!,"AAAAAH7/T0A=")</f>
        <v>#REF!</v>
      </c>
      <c r="BN76" t="e">
        <f>AND('BBP complete'!D1015,"AAAAAH7/T0E=")</f>
        <v>#VALUE!</v>
      </c>
      <c r="BO76" t="e">
        <f>AND('BBP complete'!F1015,"AAAAAH7/T0I=")</f>
        <v>#VALUE!</v>
      </c>
      <c r="BP76" t="e">
        <f>AND('BBP complete'!G1015,"AAAAAH7/T0M=")</f>
        <v>#VALUE!</v>
      </c>
      <c r="BQ76" t="e">
        <f>AND('BBP complete'!H1015,"AAAAAH7/T0Q=")</f>
        <v>#VALUE!</v>
      </c>
      <c r="BR76" t="e">
        <f>AND('BBP complete'!I1015,"AAAAAH7/T0U=")</f>
        <v>#VALUE!</v>
      </c>
      <c r="BS76" s="60" t="e">
        <v>#VALUE!</v>
      </c>
      <c r="BT76" t="e">
        <f>AND('BBP complete'!A1015,"AAAAAH7/T0c=")</f>
        <v>#VALUE!</v>
      </c>
      <c r="BU76" t="e">
        <f>AND('BBP complete'!#REF!,"AAAAAH7/T0g=")</f>
        <v>#REF!</v>
      </c>
      <c r="BV76" t="e">
        <f>AND('BBP complete'!#REF!,"AAAAAH7/T0k=")</f>
        <v>#REF!</v>
      </c>
      <c r="BW76" t="e">
        <f>AND('BBP complete'!#REF!,"AAAAAH7/T0o=")</f>
        <v>#REF!</v>
      </c>
      <c r="BX76" t="e">
        <f>AND('BBP complete'!#REF!,"AAAAAH7/T0s=")</f>
        <v>#REF!</v>
      </c>
      <c r="BY76" t="e">
        <f>AND('BBP complete'!#REF!,"AAAAAH7/T0w=")</f>
        <v>#REF!</v>
      </c>
      <c r="BZ76" t="e">
        <f>AND('BBP complete'!E1015,"AAAAAH7/T00=")</f>
        <v>#VALUE!</v>
      </c>
      <c r="CA76" t="e">
        <f>AND('BBP complete'!#REF!,"AAAAAH7/T04=")</f>
        <v>#REF!</v>
      </c>
      <c r="CB76" t="e">
        <f>AND('BBP complete'!K1015,"AAAAAH7/T08=")</f>
        <v>#VALUE!</v>
      </c>
      <c r="CC76" t="e">
        <f>AND('BBP complete'!L1015,"AAAAAH7/T1A=")</f>
        <v>#VALUE!</v>
      </c>
      <c r="CD76" t="e">
        <f>AND('BBP complete'!#REF!,"AAAAAH7/T1E=")</f>
        <v>#REF!</v>
      </c>
      <c r="CE76" t="e">
        <f>AND('BBP complete'!#REF!,"AAAAAH7/T1I=")</f>
        <v>#REF!</v>
      </c>
      <c r="CF76" t="e">
        <f>AND('BBP complete'!#REF!,"AAAAAH7/T1M=")</f>
        <v>#REF!</v>
      </c>
      <c r="CG76" t="e">
        <f>AND('BBP complete'!D1016,"AAAAAH7/T1Q=")</f>
        <v>#VALUE!</v>
      </c>
      <c r="CH76" t="e">
        <f>AND('BBP complete'!F1016,"AAAAAH7/T1U=")</f>
        <v>#VALUE!</v>
      </c>
      <c r="CI76" t="e">
        <f>AND('BBP complete'!G1016,"AAAAAH7/T1Y=")</f>
        <v>#VALUE!</v>
      </c>
      <c r="CJ76" t="e">
        <f>AND('BBP complete'!H1016,"AAAAAH7/T1c=")</f>
        <v>#VALUE!</v>
      </c>
      <c r="CK76" t="e">
        <f>AND('BBP complete'!I1016,"AAAAAH7/T1g=")</f>
        <v>#VALUE!</v>
      </c>
      <c r="CL76" s="60" t="e">
        <v>#VALUE!</v>
      </c>
      <c r="CM76" t="e">
        <f>AND('BBP complete'!A1016,"AAAAAH7/T1o=")</f>
        <v>#VALUE!</v>
      </c>
      <c r="CN76" t="e">
        <f>AND('BBP complete'!#REF!,"AAAAAH7/T1s=")</f>
        <v>#REF!</v>
      </c>
      <c r="CO76" t="e">
        <f>AND('BBP complete'!#REF!,"AAAAAH7/T1w=")</f>
        <v>#REF!</v>
      </c>
      <c r="CP76" t="e">
        <f>AND('BBP complete'!#REF!,"AAAAAH7/T10=")</f>
        <v>#REF!</v>
      </c>
      <c r="CQ76" t="e">
        <f>AND('BBP complete'!#REF!,"AAAAAH7/T14=")</f>
        <v>#REF!</v>
      </c>
      <c r="CR76" t="e">
        <f>AND('BBP complete'!#REF!,"AAAAAH7/T18=")</f>
        <v>#REF!</v>
      </c>
      <c r="CS76" t="e">
        <f>AND('BBP complete'!E1016,"AAAAAH7/T2A=")</f>
        <v>#VALUE!</v>
      </c>
      <c r="CT76" t="e">
        <f>AND('BBP complete'!#REF!,"AAAAAH7/T2E=")</f>
        <v>#REF!</v>
      </c>
      <c r="CU76" t="e">
        <f>AND('BBP complete'!K1016,"AAAAAH7/T2I=")</f>
        <v>#VALUE!</v>
      </c>
      <c r="CV76" t="e">
        <f>AND('BBP complete'!L1016,"AAAAAH7/T2M=")</f>
        <v>#VALUE!</v>
      </c>
      <c r="CW76" t="e">
        <f>AND('BBP complete'!#REF!,"AAAAAH7/T2Q=")</f>
        <v>#REF!</v>
      </c>
      <c r="CX76" t="e">
        <f>AND('BBP complete'!#REF!,"AAAAAH7/T2U=")</f>
        <v>#REF!</v>
      </c>
      <c r="CY76" t="e">
        <f>AND('BBP complete'!#REF!,"AAAAAH7/T2Y=")</f>
        <v>#REF!</v>
      </c>
      <c r="CZ76" t="e">
        <f>AND('BBP complete'!D1017,"AAAAAH7/T2c=")</f>
        <v>#VALUE!</v>
      </c>
      <c r="DA76" t="e">
        <f>AND('BBP complete'!F1017,"AAAAAH7/T2g=")</f>
        <v>#VALUE!</v>
      </c>
      <c r="DB76" t="e">
        <f>AND('BBP complete'!G1017,"AAAAAH7/T2k=")</f>
        <v>#VALUE!</v>
      </c>
      <c r="DC76" t="e">
        <f>AND('BBP complete'!H1017,"AAAAAH7/T2o=")</f>
        <v>#VALUE!</v>
      </c>
      <c r="DD76" t="e">
        <f>AND('BBP complete'!I1017,"AAAAAH7/T2s=")</f>
        <v>#VALUE!</v>
      </c>
      <c r="DE76" s="60" t="e">
        <v>#VALUE!</v>
      </c>
      <c r="DF76" t="e">
        <f>AND('BBP complete'!A1017,"AAAAAH7/T20=")</f>
        <v>#VALUE!</v>
      </c>
      <c r="DG76" t="e">
        <f>AND('BBP complete'!#REF!,"AAAAAH7/T24=")</f>
        <v>#REF!</v>
      </c>
      <c r="DH76" t="e">
        <f>AND('BBP complete'!#REF!,"AAAAAH7/T28=")</f>
        <v>#REF!</v>
      </c>
      <c r="DI76" t="e">
        <f>AND('BBP complete'!#REF!,"AAAAAH7/T3A=")</f>
        <v>#REF!</v>
      </c>
      <c r="DJ76" t="e">
        <f>AND('BBP complete'!#REF!,"AAAAAH7/T3E=")</f>
        <v>#REF!</v>
      </c>
      <c r="DK76" t="e">
        <f>AND('BBP complete'!#REF!,"AAAAAH7/T3I=")</f>
        <v>#REF!</v>
      </c>
      <c r="DL76" t="e">
        <f>AND('BBP complete'!E1017,"AAAAAH7/T3M=")</f>
        <v>#VALUE!</v>
      </c>
      <c r="DM76" t="e">
        <f>AND('BBP complete'!#REF!,"AAAAAH7/T3Q=")</f>
        <v>#REF!</v>
      </c>
      <c r="DN76" t="e">
        <f>AND('BBP complete'!K1017,"AAAAAH7/T3U=")</f>
        <v>#VALUE!</v>
      </c>
      <c r="DO76" t="e">
        <f>AND('BBP complete'!L1017,"AAAAAH7/T3Y=")</f>
        <v>#VALUE!</v>
      </c>
      <c r="DP76" t="e">
        <f>AND('BBP complete'!#REF!,"AAAAAH7/T3c=")</f>
        <v>#REF!</v>
      </c>
      <c r="DQ76" t="e">
        <f>AND('BBP complete'!#REF!,"AAAAAH7/T3g=")</f>
        <v>#REF!</v>
      </c>
      <c r="DR76" t="e">
        <f>AND('BBP complete'!#REF!,"AAAAAH7/T3k=")</f>
        <v>#REF!</v>
      </c>
      <c r="DS76" t="e">
        <f>AND('BBP complete'!D1018,"AAAAAH7/T3o=")</f>
        <v>#VALUE!</v>
      </c>
      <c r="DT76" t="e">
        <f>AND('BBP complete'!F1018,"AAAAAH7/T3s=")</f>
        <v>#VALUE!</v>
      </c>
      <c r="DU76" t="e">
        <f>AND('BBP complete'!G1018,"AAAAAH7/T3w=")</f>
        <v>#VALUE!</v>
      </c>
      <c r="DV76" t="e">
        <f>AND('BBP complete'!H1018,"AAAAAH7/T30=")</f>
        <v>#VALUE!</v>
      </c>
      <c r="DW76" t="e">
        <f>AND('BBP complete'!I1018,"AAAAAH7/T34=")</f>
        <v>#VALUE!</v>
      </c>
      <c r="DX76" s="60" t="e">
        <v>#VALUE!</v>
      </c>
      <c r="DY76" t="e">
        <f>AND('BBP complete'!A1018,"AAAAAH7/T4A=")</f>
        <v>#VALUE!</v>
      </c>
      <c r="DZ76" t="e">
        <f>AND('BBP complete'!#REF!,"AAAAAH7/T4E=")</f>
        <v>#REF!</v>
      </c>
      <c r="EA76" t="e">
        <f>AND('BBP complete'!#REF!,"AAAAAH7/T4I=")</f>
        <v>#REF!</v>
      </c>
      <c r="EB76" t="e">
        <f>AND('BBP complete'!#REF!,"AAAAAH7/T4M=")</f>
        <v>#REF!</v>
      </c>
      <c r="EC76" t="e">
        <f>AND('BBP complete'!#REF!,"AAAAAH7/T4Q=")</f>
        <v>#REF!</v>
      </c>
      <c r="ED76" t="e">
        <f>AND('BBP complete'!#REF!,"AAAAAH7/T4U=")</f>
        <v>#REF!</v>
      </c>
      <c r="EE76" t="e">
        <f>AND('BBP complete'!E1018,"AAAAAH7/T4Y=")</f>
        <v>#VALUE!</v>
      </c>
      <c r="EF76" t="e">
        <f>AND('BBP complete'!#REF!,"AAAAAH7/T4c=")</f>
        <v>#REF!</v>
      </c>
      <c r="EG76" t="e">
        <f>AND('BBP complete'!K1018,"AAAAAH7/T4g=")</f>
        <v>#VALUE!</v>
      </c>
      <c r="EH76" t="e">
        <f>AND('BBP complete'!L1018,"AAAAAH7/T4k=")</f>
        <v>#VALUE!</v>
      </c>
      <c r="EI76" t="e">
        <f>AND('BBP complete'!#REF!,"AAAAAH7/T4o=")</f>
        <v>#REF!</v>
      </c>
      <c r="EJ76" t="e">
        <f>AND('BBP complete'!#REF!,"AAAAAH7/T4s=")</f>
        <v>#REF!</v>
      </c>
      <c r="EK76" t="e">
        <f>AND('BBP complete'!#REF!,"AAAAAH7/T4w=")</f>
        <v>#REF!</v>
      </c>
      <c r="EL76" t="e">
        <f>AND('BBP complete'!D1019,"AAAAAH7/T40=")</f>
        <v>#VALUE!</v>
      </c>
      <c r="EM76" t="e">
        <f>AND('BBP complete'!F1019,"AAAAAH7/T44=")</f>
        <v>#VALUE!</v>
      </c>
      <c r="EN76" t="e">
        <f>AND('BBP complete'!G1019,"AAAAAH7/T48=")</f>
        <v>#VALUE!</v>
      </c>
      <c r="EO76" t="e">
        <f>AND('BBP complete'!H1019,"AAAAAH7/T5A=")</f>
        <v>#VALUE!</v>
      </c>
      <c r="EP76" t="e">
        <f>AND('BBP complete'!I1019,"AAAAAH7/T5E=")</f>
        <v>#VALUE!</v>
      </c>
      <c r="EQ76" s="60" t="e">
        <v>#VALUE!</v>
      </c>
      <c r="ER76" t="e">
        <f>AND('BBP complete'!A1019,"AAAAAH7/T5M=")</f>
        <v>#VALUE!</v>
      </c>
      <c r="ES76" t="e">
        <f>AND('BBP complete'!#REF!,"AAAAAH7/T5Q=")</f>
        <v>#REF!</v>
      </c>
      <c r="ET76" t="e">
        <f>AND('BBP complete'!#REF!,"AAAAAH7/T5U=")</f>
        <v>#REF!</v>
      </c>
      <c r="EU76" t="e">
        <f>AND('BBP complete'!#REF!,"AAAAAH7/T5Y=")</f>
        <v>#REF!</v>
      </c>
      <c r="EV76" t="e">
        <f>AND('BBP complete'!#REF!,"AAAAAH7/T5c=")</f>
        <v>#REF!</v>
      </c>
      <c r="EW76" t="e">
        <f>AND('BBP complete'!#REF!,"AAAAAH7/T5g=")</f>
        <v>#REF!</v>
      </c>
      <c r="EX76" t="e">
        <f>AND('BBP complete'!E1019,"AAAAAH7/T5k=")</f>
        <v>#VALUE!</v>
      </c>
      <c r="EY76" t="e">
        <f>AND('BBP complete'!#REF!,"AAAAAH7/T5o=")</f>
        <v>#REF!</v>
      </c>
      <c r="EZ76" t="e">
        <f>AND('BBP complete'!K1019,"AAAAAH7/T5s=")</f>
        <v>#VALUE!</v>
      </c>
      <c r="FA76" t="e">
        <f>AND('BBP complete'!L1019,"AAAAAH7/T5w=")</f>
        <v>#VALUE!</v>
      </c>
      <c r="FB76" t="e">
        <f>AND('BBP complete'!#REF!,"AAAAAH7/T50=")</f>
        <v>#REF!</v>
      </c>
      <c r="FC76" t="e">
        <f>AND('BBP complete'!#REF!,"AAAAAH7/T54=")</f>
        <v>#REF!</v>
      </c>
      <c r="FD76" t="e">
        <f>AND('BBP complete'!#REF!,"AAAAAH7/T58=")</f>
        <v>#REF!</v>
      </c>
      <c r="FE76" t="e">
        <f>AND('BBP complete'!D1020,"AAAAAH7/T6A=")</f>
        <v>#VALUE!</v>
      </c>
      <c r="FF76" t="e">
        <f>AND('BBP complete'!F1020,"AAAAAH7/T6E=")</f>
        <v>#VALUE!</v>
      </c>
      <c r="FG76" t="e">
        <f>AND('BBP complete'!G1020,"AAAAAH7/T6I=")</f>
        <v>#VALUE!</v>
      </c>
      <c r="FH76" t="e">
        <f>AND('BBP complete'!H1020,"AAAAAH7/T6M=")</f>
        <v>#VALUE!</v>
      </c>
      <c r="FI76" t="e">
        <f>AND('BBP complete'!I1020,"AAAAAH7/T6Q=")</f>
        <v>#VALUE!</v>
      </c>
      <c r="FJ76" s="60" t="e">
        <v>#VALUE!</v>
      </c>
      <c r="FK76" t="e">
        <f>AND('BBP complete'!A1020,"AAAAAH7/T6Y=")</f>
        <v>#VALUE!</v>
      </c>
      <c r="FL76" t="e">
        <f>AND('BBP complete'!#REF!,"AAAAAH7/T6c=")</f>
        <v>#REF!</v>
      </c>
      <c r="FM76" t="e">
        <f>AND('BBP complete'!#REF!,"AAAAAH7/T6g=")</f>
        <v>#REF!</v>
      </c>
      <c r="FN76" t="e">
        <f>AND('BBP complete'!#REF!,"AAAAAH7/T6k=")</f>
        <v>#REF!</v>
      </c>
      <c r="FO76" t="e">
        <f>AND('BBP complete'!#REF!,"AAAAAH7/T6o=")</f>
        <v>#REF!</v>
      </c>
      <c r="FP76" t="e">
        <f>AND('BBP complete'!#REF!,"AAAAAH7/T6s=")</f>
        <v>#REF!</v>
      </c>
      <c r="FQ76" t="e">
        <f>AND('BBP complete'!E1020,"AAAAAH7/T6w=")</f>
        <v>#VALUE!</v>
      </c>
      <c r="FR76" t="e">
        <f>AND('BBP complete'!#REF!,"AAAAAH7/T60=")</f>
        <v>#REF!</v>
      </c>
      <c r="FS76" t="e">
        <f>AND('BBP complete'!K1020,"AAAAAH7/T64=")</f>
        <v>#VALUE!</v>
      </c>
      <c r="FT76" t="e">
        <f>AND('BBP complete'!L1020,"AAAAAH7/T68=")</f>
        <v>#VALUE!</v>
      </c>
      <c r="FU76" t="e">
        <f>AND('BBP complete'!#REF!,"AAAAAH7/T7A=")</f>
        <v>#REF!</v>
      </c>
      <c r="FV76" t="e">
        <f>AND('BBP complete'!#REF!,"AAAAAH7/T7E=")</f>
        <v>#REF!</v>
      </c>
      <c r="FW76" t="e">
        <f>AND('BBP complete'!#REF!,"AAAAAH7/T7I=")</f>
        <v>#REF!</v>
      </c>
      <c r="FX76" t="e">
        <f>AND('BBP complete'!D1021,"AAAAAH7/T7M=")</f>
        <v>#VALUE!</v>
      </c>
      <c r="FY76" t="e">
        <f>AND('BBP complete'!F1021,"AAAAAH7/T7Q=")</f>
        <v>#VALUE!</v>
      </c>
      <c r="FZ76" t="e">
        <f>AND('BBP complete'!G1021,"AAAAAH7/T7U=")</f>
        <v>#VALUE!</v>
      </c>
      <c r="GA76" t="e">
        <f>AND('BBP complete'!H1021,"AAAAAH7/T7Y=")</f>
        <v>#VALUE!</v>
      </c>
      <c r="GB76" t="e">
        <f>AND('BBP complete'!I1021,"AAAAAH7/T7c=")</f>
        <v>#VALUE!</v>
      </c>
      <c r="GC76" s="60" t="e">
        <v>#VALUE!</v>
      </c>
      <c r="GD76" t="e">
        <f>AND('BBP complete'!A1021,"AAAAAH7/T7k=")</f>
        <v>#VALUE!</v>
      </c>
      <c r="GE76" t="e">
        <f>AND('BBP complete'!#REF!,"AAAAAH7/T7o=")</f>
        <v>#REF!</v>
      </c>
      <c r="GF76" t="e">
        <f>AND('BBP complete'!#REF!,"AAAAAH7/T7s=")</f>
        <v>#REF!</v>
      </c>
      <c r="GG76" t="e">
        <f>AND('BBP complete'!#REF!,"AAAAAH7/T7w=")</f>
        <v>#REF!</v>
      </c>
      <c r="GH76" t="e">
        <f>AND('BBP complete'!#REF!,"AAAAAH7/T70=")</f>
        <v>#REF!</v>
      </c>
      <c r="GI76" t="e">
        <f>AND('BBP complete'!#REF!,"AAAAAH7/T74=")</f>
        <v>#REF!</v>
      </c>
      <c r="GJ76" t="e">
        <f>AND('BBP complete'!E1021,"AAAAAH7/T78=")</f>
        <v>#VALUE!</v>
      </c>
      <c r="GK76" t="e">
        <f>AND('BBP complete'!#REF!,"AAAAAH7/T8A=")</f>
        <v>#REF!</v>
      </c>
      <c r="GL76" t="e">
        <f>AND('BBP complete'!K1021,"AAAAAH7/T8E=")</f>
        <v>#VALUE!</v>
      </c>
      <c r="GM76" t="e">
        <f>AND('BBP complete'!L1021,"AAAAAH7/T8I=")</f>
        <v>#VALUE!</v>
      </c>
      <c r="GN76" t="e">
        <f>AND('BBP complete'!#REF!,"AAAAAH7/T8M=")</f>
        <v>#REF!</v>
      </c>
      <c r="GO76" t="e">
        <f>AND('BBP complete'!#REF!,"AAAAAH7/T8Q=")</f>
        <v>#REF!</v>
      </c>
      <c r="GP76" t="e">
        <f>AND('BBP complete'!#REF!,"AAAAAH7/T8U=")</f>
        <v>#REF!</v>
      </c>
      <c r="GQ76" t="e">
        <f>AND('BBP complete'!D1022,"AAAAAH7/T8Y=")</f>
        <v>#VALUE!</v>
      </c>
      <c r="GR76" t="e">
        <f>AND('BBP complete'!F1022,"AAAAAH7/T8c=")</f>
        <v>#VALUE!</v>
      </c>
      <c r="GS76" t="e">
        <f>AND('BBP complete'!G1022,"AAAAAH7/T8g=")</f>
        <v>#VALUE!</v>
      </c>
      <c r="GT76" t="e">
        <f>AND('BBP complete'!H1022,"AAAAAH7/T8k=")</f>
        <v>#VALUE!</v>
      </c>
      <c r="GU76" t="e">
        <f>AND('BBP complete'!I1022,"AAAAAH7/T8o=")</f>
        <v>#VALUE!</v>
      </c>
      <c r="GV76" s="60" t="e">
        <v>#VALUE!</v>
      </c>
      <c r="GW76" t="e">
        <f>AND('BBP complete'!A1022,"AAAAAH7/T8w=")</f>
        <v>#VALUE!</v>
      </c>
      <c r="GX76" t="e">
        <f>AND('BBP complete'!#REF!,"AAAAAH7/T80=")</f>
        <v>#REF!</v>
      </c>
      <c r="GY76" t="e">
        <f>AND('BBP complete'!#REF!,"AAAAAH7/T84=")</f>
        <v>#REF!</v>
      </c>
      <c r="GZ76" t="e">
        <f>AND('BBP complete'!#REF!,"AAAAAH7/T88=")</f>
        <v>#REF!</v>
      </c>
      <c r="HA76" t="e">
        <f>AND('BBP complete'!#REF!,"AAAAAH7/T9A=")</f>
        <v>#REF!</v>
      </c>
      <c r="HB76" t="e">
        <f>AND('BBP complete'!#REF!,"AAAAAH7/T9E=")</f>
        <v>#REF!</v>
      </c>
      <c r="HC76" t="e">
        <f>AND('BBP complete'!E1022,"AAAAAH7/T9I=")</f>
        <v>#VALUE!</v>
      </c>
      <c r="HD76" t="e">
        <f>AND('BBP complete'!#REF!,"AAAAAH7/T9M=")</f>
        <v>#REF!</v>
      </c>
      <c r="HE76" t="e">
        <f>AND('BBP complete'!K1022,"AAAAAH7/T9Q=")</f>
        <v>#VALUE!</v>
      </c>
      <c r="HF76" t="e">
        <f>AND('BBP complete'!L1022,"AAAAAH7/T9U=")</f>
        <v>#VALUE!</v>
      </c>
      <c r="HG76" t="e">
        <f>AND('BBP complete'!#REF!,"AAAAAH7/T9Y=")</f>
        <v>#REF!</v>
      </c>
      <c r="HH76" t="e">
        <f>AND('BBP complete'!#REF!,"AAAAAH7/T9c=")</f>
        <v>#REF!</v>
      </c>
      <c r="HI76" t="e">
        <f>AND('BBP complete'!#REF!,"AAAAAH7/T9g=")</f>
        <v>#REF!</v>
      </c>
      <c r="HJ76" t="e">
        <f>AND('BBP complete'!D1023,"AAAAAH7/T9k=")</f>
        <v>#VALUE!</v>
      </c>
      <c r="HK76" t="e">
        <f>AND('BBP complete'!F1023,"AAAAAH7/T9o=")</f>
        <v>#VALUE!</v>
      </c>
      <c r="HL76" t="e">
        <f>AND('BBP complete'!G1023,"AAAAAH7/T9s=")</f>
        <v>#VALUE!</v>
      </c>
      <c r="HM76" t="e">
        <f>AND('BBP complete'!H1023,"AAAAAH7/T9w=")</f>
        <v>#VALUE!</v>
      </c>
      <c r="HN76" t="e">
        <f>AND('BBP complete'!I1023,"AAAAAH7/T90=")</f>
        <v>#VALUE!</v>
      </c>
      <c r="HO76" s="60" t="e">
        <v>#VALUE!</v>
      </c>
      <c r="HP76" t="e">
        <f>AND('BBP complete'!A1023,"AAAAAH7/T98=")</f>
        <v>#VALUE!</v>
      </c>
      <c r="HQ76" t="e">
        <f>AND('BBP complete'!#REF!,"AAAAAH7/T+A=")</f>
        <v>#REF!</v>
      </c>
      <c r="HR76" t="e">
        <f>AND('BBP complete'!#REF!,"AAAAAH7/T+E=")</f>
        <v>#REF!</v>
      </c>
      <c r="HS76" t="e">
        <f>AND('BBP complete'!#REF!,"AAAAAH7/T+I=")</f>
        <v>#REF!</v>
      </c>
      <c r="HT76" t="e">
        <f>AND('BBP complete'!#REF!,"AAAAAH7/T+M=")</f>
        <v>#REF!</v>
      </c>
      <c r="HU76" t="e">
        <f>AND('BBP complete'!#REF!,"AAAAAH7/T+Q=")</f>
        <v>#REF!</v>
      </c>
      <c r="HV76" t="e">
        <f>AND('BBP complete'!E1023,"AAAAAH7/T+U=")</f>
        <v>#VALUE!</v>
      </c>
      <c r="HW76" t="e">
        <f>AND('BBP complete'!#REF!,"AAAAAH7/T+Y=")</f>
        <v>#REF!</v>
      </c>
      <c r="HX76" t="e">
        <f>AND('BBP complete'!K1023,"AAAAAH7/T+c=")</f>
        <v>#VALUE!</v>
      </c>
      <c r="HY76" t="e">
        <f>AND('BBP complete'!L1023,"AAAAAH7/T+g=")</f>
        <v>#VALUE!</v>
      </c>
      <c r="HZ76" t="e">
        <f>AND('BBP complete'!#REF!,"AAAAAH7/T+k=")</f>
        <v>#REF!</v>
      </c>
      <c r="IA76" t="e">
        <f>AND('BBP complete'!#REF!,"AAAAAH7/T+o=")</f>
        <v>#REF!</v>
      </c>
      <c r="IB76" t="e">
        <f>AND('BBP complete'!#REF!,"AAAAAH7/T+s=")</f>
        <v>#REF!</v>
      </c>
      <c r="IC76" t="e">
        <f>AND('BBP complete'!D1024,"AAAAAH7/T+w=")</f>
        <v>#VALUE!</v>
      </c>
      <c r="ID76" t="e">
        <f>AND('BBP complete'!F1024,"AAAAAH7/T+0=")</f>
        <v>#VALUE!</v>
      </c>
      <c r="IE76" t="e">
        <f>AND('BBP complete'!G1024,"AAAAAH7/T+4=")</f>
        <v>#VALUE!</v>
      </c>
      <c r="IF76" t="e">
        <f>AND('BBP complete'!H1024,"AAAAAH7/T+8=")</f>
        <v>#VALUE!</v>
      </c>
      <c r="IG76" t="e">
        <f>AND('BBP complete'!I1024,"AAAAAH7/T/A=")</f>
        <v>#VALUE!</v>
      </c>
      <c r="IH76" s="60" t="e">
        <v>#VALUE!</v>
      </c>
      <c r="II76" t="e">
        <f>AND('BBP complete'!A1024,"AAAAAH7/T/I=")</f>
        <v>#VALUE!</v>
      </c>
      <c r="IJ76" t="e">
        <f>AND('BBP complete'!#REF!,"AAAAAH7/T/M=")</f>
        <v>#REF!</v>
      </c>
      <c r="IK76" t="e">
        <f>AND('BBP complete'!#REF!,"AAAAAH7/T/Q=")</f>
        <v>#REF!</v>
      </c>
      <c r="IL76" t="e">
        <f>AND('BBP complete'!#REF!,"AAAAAH7/T/U=")</f>
        <v>#REF!</v>
      </c>
      <c r="IM76" t="e">
        <f>AND('BBP complete'!#REF!,"AAAAAH7/T/Y=")</f>
        <v>#REF!</v>
      </c>
      <c r="IN76" t="e">
        <f>AND('BBP complete'!#REF!,"AAAAAH7/T/c=")</f>
        <v>#REF!</v>
      </c>
      <c r="IO76" t="e">
        <f>AND('BBP complete'!E1024,"AAAAAH7/T/g=")</f>
        <v>#VALUE!</v>
      </c>
      <c r="IP76" t="e">
        <f>AND('BBP complete'!#REF!,"AAAAAH7/T/k=")</f>
        <v>#REF!</v>
      </c>
      <c r="IQ76" t="e">
        <f>AND('BBP complete'!K1024,"AAAAAH7/T/o=")</f>
        <v>#VALUE!</v>
      </c>
      <c r="IR76" t="e">
        <f>AND('BBP complete'!L1024,"AAAAAH7/T/s=")</f>
        <v>#VALUE!</v>
      </c>
      <c r="IS76" t="e">
        <f>AND('BBP complete'!#REF!,"AAAAAH7/T/w=")</f>
        <v>#REF!</v>
      </c>
      <c r="IT76" t="e">
        <f>AND('BBP complete'!#REF!,"AAAAAH7/T/0=")</f>
        <v>#REF!</v>
      </c>
      <c r="IU76" t="e">
        <f>AND('BBP complete'!#REF!,"AAAAAH7/T/4=")</f>
        <v>#REF!</v>
      </c>
      <c r="IV76" t="e">
        <f>AND('BBP complete'!D1025,"AAAAAH7/T/8=")</f>
        <v>#VALUE!</v>
      </c>
    </row>
    <row r="77" spans="1:256" ht="15" customHeight="1" x14ac:dyDescent="0.25">
      <c r="A77" t="e">
        <f>AND('BBP complete'!F1025,"AAAAAH1u9AA=")</f>
        <v>#VALUE!</v>
      </c>
      <c r="B77" t="e">
        <f>AND('BBP complete'!G1025,"AAAAAH1u9AE=")</f>
        <v>#VALUE!</v>
      </c>
      <c r="C77" t="e">
        <f>AND('BBP complete'!H1025,"AAAAAH1u9AI=")</f>
        <v>#VALUE!</v>
      </c>
      <c r="D77" t="e">
        <f>AND('BBP complete'!I1025,"AAAAAH1u9AM=")</f>
        <v>#VALUE!</v>
      </c>
      <c r="E77" s="60" t="e">
        <v>#VALUE!</v>
      </c>
      <c r="F77" t="e">
        <f>AND('BBP complete'!A1025,"AAAAAH1u9AU=")</f>
        <v>#VALUE!</v>
      </c>
      <c r="G77" t="e">
        <f>AND('BBP complete'!#REF!,"AAAAAH1u9AY=")</f>
        <v>#REF!</v>
      </c>
      <c r="H77" t="e">
        <f>AND('BBP complete'!#REF!,"AAAAAH1u9Ac=")</f>
        <v>#REF!</v>
      </c>
      <c r="I77" t="e">
        <f>AND('BBP complete'!#REF!,"AAAAAH1u9Ag=")</f>
        <v>#REF!</v>
      </c>
      <c r="J77" t="e">
        <f>AND('BBP complete'!#REF!,"AAAAAH1u9Ak=")</f>
        <v>#REF!</v>
      </c>
      <c r="K77" t="e">
        <f>AND('BBP complete'!#REF!,"AAAAAH1u9Ao=")</f>
        <v>#REF!</v>
      </c>
      <c r="L77" t="e">
        <f>AND('BBP complete'!E1025,"AAAAAH1u9As=")</f>
        <v>#VALUE!</v>
      </c>
      <c r="M77" t="e">
        <f>AND('BBP complete'!#REF!,"AAAAAH1u9Aw=")</f>
        <v>#REF!</v>
      </c>
      <c r="N77" t="e">
        <f>AND('BBP complete'!K1025,"AAAAAH1u9A0=")</f>
        <v>#VALUE!</v>
      </c>
      <c r="O77" t="e">
        <f>AND('BBP complete'!L1025,"AAAAAH1u9A4=")</f>
        <v>#VALUE!</v>
      </c>
      <c r="P77" t="e">
        <f>AND('BBP complete'!#REF!,"AAAAAH1u9A8=")</f>
        <v>#REF!</v>
      </c>
      <c r="Q77" t="e">
        <f>AND('BBP complete'!#REF!,"AAAAAH1u9BA=")</f>
        <v>#REF!</v>
      </c>
      <c r="R77" t="e">
        <f>AND('BBP complete'!#REF!,"AAAAAH1u9BE=")</f>
        <v>#REF!</v>
      </c>
      <c r="S77" t="e">
        <f>AND('BBP complete'!D1026,"AAAAAH1u9BI=")</f>
        <v>#VALUE!</v>
      </c>
      <c r="T77" t="e">
        <f>AND('BBP complete'!F1026,"AAAAAH1u9BM=")</f>
        <v>#VALUE!</v>
      </c>
      <c r="U77" t="e">
        <f>AND('BBP complete'!G1026,"AAAAAH1u9BQ=")</f>
        <v>#VALUE!</v>
      </c>
      <c r="V77" t="e">
        <f>AND('BBP complete'!H1026,"AAAAAH1u9BU=")</f>
        <v>#VALUE!</v>
      </c>
      <c r="W77" t="e">
        <f>AND('BBP complete'!I1026,"AAAAAH1u9BY=")</f>
        <v>#VALUE!</v>
      </c>
      <c r="X77" s="60" t="e">
        <v>#VALUE!</v>
      </c>
      <c r="Y77" t="e">
        <f>AND('BBP complete'!A1026,"AAAAAH1u9Bg=")</f>
        <v>#VALUE!</v>
      </c>
      <c r="Z77" t="e">
        <f>AND('BBP complete'!#REF!,"AAAAAH1u9Bk=")</f>
        <v>#REF!</v>
      </c>
      <c r="AA77" t="e">
        <f>AND('BBP complete'!#REF!,"AAAAAH1u9Bo=")</f>
        <v>#REF!</v>
      </c>
      <c r="AB77" t="e">
        <f>AND('BBP complete'!#REF!,"AAAAAH1u9Bs=")</f>
        <v>#REF!</v>
      </c>
      <c r="AC77" t="e">
        <f>AND('BBP complete'!#REF!,"AAAAAH1u9Bw=")</f>
        <v>#REF!</v>
      </c>
      <c r="AD77" t="e">
        <f>AND('BBP complete'!#REF!,"AAAAAH1u9B0=")</f>
        <v>#REF!</v>
      </c>
      <c r="AE77" t="e">
        <f>AND('BBP complete'!E1026,"AAAAAH1u9B4=")</f>
        <v>#VALUE!</v>
      </c>
      <c r="AF77" t="e">
        <f>AND('BBP complete'!#REF!,"AAAAAH1u9B8=")</f>
        <v>#REF!</v>
      </c>
      <c r="AG77" t="e">
        <f>AND('BBP complete'!K1026,"AAAAAH1u9CA=")</f>
        <v>#VALUE!</v>
      </c>
      <c r="AH77" t="e">
        <f>AND('BBP complete'!L1026,"AAAAAH1u9CE=")</f>
        <v>#VALUE!</v>
      </c>
      <c r="AI77" t="e">
        <f>AND('BBP complete'!#REF!,"AAAAAH1u9CI=")</f>
        <v>#REF!</v>
      </c>
      <c r="AJ77" t="e">
        <f>AND('BBP complete'!#REF!,"AAAAAH1u9CM=")</f>
        <v>#REF!</v>
      </c>
      <c r="AK77" t="e">
        <f>AND('BBP complete'!#REF!,"AAAAAH1u9CQ=")</f>
        <v>#REF!</v>
      </c>
      <c r="AL77" t="e">
        <f>AND('BBP complete'!D1027,"AAAAAH1u9CU=")</f>
        <v>#VALUE!</v>
      </c>
      <c r="AM77" t="e">
        <f>AND('BBP complete'!F1027,"AAAAAH1u9CY=")</f>
        <v>#VALUE!</v>
      </c>
      <c r="AN77" t="e">
        <f>AND('BBP complete'!G1027,"AAAAAH1u9Cc=")</f>
        <v>#VALUE!</v>
      </c>
      <c r="AO77" t="e">
        <f>AND('BBP complete'!H1027,"AAAAAH1u9Cg=")</f>
        <v>#VALUE!</v>
      </c>
      <c r="AP77" t="e">
        <f>AND('BBP complete'!I1027,"AAAAAH1u9Ck=")</f>
        <v>#VALUE!</v>
      </c>
      <c r="AQ77" s="60" t="e">
        <v>#VALUE!</v>
      </c>
      <c r="AR77" t="e">
        <f>AND('BBP complete'!A1027,"AAAAAH1u9Cs=")</f>
        <v>#VALUE!</v>
      </c>
      <c r="AS77" t="e">
        <f>AND('BBP complete'!#REF!,"AAAAAH1u9Cw=")</f>
        <v>#REF!</v>
      </c>
      <c r="AT77" t="e">
        <f>AND('BBP complete'!#REF!,"AAAAAH1u9C0=")</f>
        <v>#REF!</v>
      </c>
      <c r="AU77" t="e">
        <f>AND('BBP complete'!#REF!,"AAAAAH1u9C4=")</f>
        <v>#REF!</v>
      </c>
      <c r="AV77" t="e">
        <f>AND('BBP complete'!#REF!,"AAAAAH1u9C8=")</f>
        <v>#REF!</v>
      </c>
      <c r="AW77" t="e">
        <f>AND('BBP complete'!#REF!,"AAAAAH1u9DA=")</f>
        <v>#REF!</v>
      </c>
      <c r="AX77" t="e">
        <f>AND('BBP complete'!E1027,"AAAAAH1u9DE=")</f>
        <v>#VALUE!</v>
      </c>
      <c r="AY77" t="e">
        <f>AND('BBP complete'!#REF!,"AAAAAH1u9DI=")</f>
        <v>#REF!</v>
      </c>
      <c r="AZ77" t="e">
        <f>AND('BBP complete'!K1027,"AAAAAH1u9DM=")</f>
        <v>#VALUE!</v>
      </c>
      <c r="BA77" t="e">
        <f>AND('BBP complete'!L1027,"AAAAAH1u9DQ=")</f>
        <v>#VALUE!</v>
      </c>
      <c r="BB77" t="e">
        <f>AND('BBP complete'!#REF!,"AAAAAH1u9DU=")</f>
        <v>#REF!</v>
      </c>
      <c r="BC77" t="e">
        <f>AND('BBP complete'!#REF!,"AAAAAH1u9DY=")</f>
        <v>#REF!</v>
      </c>
      <c r="BD77" t="e">
        <f>AND('BBP complete'!#REF!,"AAAAAH1u9Dc=")</f>
        <v>#REF!</v>
      </c>
      <c r="BE77" t="e">
        <f>AND('BBP complete'!D1028,"AAAAAH1u9Dg=")</f>
        <v>#VALUE!</v>
      </c>
      <c r="BF77" t="e">
        <f>AND('BBP complete'!F1028,"AAAAAH1u9Dk=")</f>
        <v>#VALUE!</v>
      </c>
      <c r="BG77" t="e">
        <f>AND('BBP complete'!G1028,"AAAAAH1u9Do=")</f>
        <v>#VALUE!</v>
      </c>
      <c r="BH77" t="e">
        <f>AND('BBP complete'!H1028,"AAAAAH1u9Ds=")</f>
        <v>#VALUE!</v>
      </c>
      <c r="BI77" t="e">
        <f>AND('BBP complete'!I1028,"AAAAAH1u9Dw=")</f>
        <v>#VALUE!</v>
      </c>
      <c r="BJ77" s="60" t="e">
        <v>#VALUE!</v>
      </c>
      <c r="BK77" t="e">
        <f>AND('BBP complete'!A1028,"AAAAAH1u9D4=")</f>
        <v>#VALUE!</v>
      </c>
      <c r="BL77" t="e">
        <f>AND('BBP complete'!#REF!,"AAAAAH1u9D8=")</f>
        <v>#REF!</v>
      </c>
      <c r="BM77" t="e">
        <f>AND('BBP complete'!#REF!,"AAAAAH1u9EA=")</f>
        <v>#REF!</v>
      </c>
      <c r="BN77" t="e">
        <f>AND('BBP complete'!#REF!,"AAAAAH1u9EE=")</f>
        <v>#REF!</v>
      </c>
      <c r="BO77" t="e">
        <f>AND('BBP complete'!#REF!,"AAAAAH1u9EI=")</f>
        <v>#REF!</v>
      </c>
      <c r="BP77" t="e">
        <f>AND('BBP complete'!#REF!,"AAAAAH1u9EM=")</f>
        <v>#REF!</v>
      </c>
      <c r="BQ77" t="e">
        <f>AND('BBP complete'!E1028,"AAAAAH1u9EQ=")</f>
        <v>#VALUE!</v>
      </c>
      <c r="BR77" t="e">
        <f>AND('BBP complete'!#REF!,"AAAAAH1u9EU=")</f>
        <v>#REF!</v>
      </c>
      <c r="BS77" t="e">
        <f>AND('BBP complete'!K1028,"AAAAAH1u9EY=")</f>
        <v>#VALUE!</v>
      </c>
      <c r="BT77" t="e">
        <f>AND('BBP complete'!L1028,"AAAAAH1u9Ec=")</f>
        <v>#VALUE!</v>
      </c>
      <c r="BU77" t="e">
        <f>AND('BBP complete'!#REF!,"AAAAAH1u9Eg=")</f>
        <v>#REF!</v>
      </c>
      <c r="BV77" t="e">
        <f>AND('BBP complete'!#REF!,"AAAAAH1u9Ek=")</f>
        <v>#REF!</v>
      </c>
      <c r="BW77" t="e">
        <f>AND('BBP complete'!#REF!,"AAAAAH1u9Eo=")</f>
        <v>#REF!</v>
      </c>
      <c r="BX77" t="e">
        <f>AND('BBP complete'!D1029,"AAAAAH1u9Es=")</f>
        <v>#VALUE!</v>
      </c>
      <c r="BY77" t="e">
        <f>AND('BBP complete'!F1029,"AAAAAH1u9Ew=")</f>
        <v>#VALUE!</v>
      </c>
      <c r="BZ77" t="e">
        <f>AND('BBP complete'!G1029,"AAAAAH1u9E0=")</f>
        <v>#VALUE!</v>
      </c>
      <c r="CA77" t="e">
        <f>AND('BBP complete'!H1029,"AAAAAH1u9E4=")</f>
        <v>#VALUE!</v>
      </c>
      <c r="CB77" t="e">
        <f>AND('BBP complete'!I1029,"AAAAAH1u9E8=")</f>
        <v>#VALUE!</v>
      </c>
      <c r="CC77" s="60" t="e">
        <v>#VALUE!</v>
      </c>
      <c r="CD77" t="e">
        <f>AND('BBP complete'!A1029,"AAAAAH1u9FE=")</f>
        <v>#VALUE!</v>
      </c>
      <c r="CE77" t="e">
        <f>AND('BBP complete'!#REF!,"AAAAAH1u9FI=")</f>
        <v>#REF!</v>
      </c>
      <c r="CF77" t="e">
        <f>AND('BBP complete'!#REF!,"AAAAAH1u9FM=")</f>
        <v>#REF!</v>
      </c>
      <c r="CG77" t="e">
        <f>AND('BBP complete'!#REF!,"AAAAAH1u9FQ=")</f>
        <v>#REF!</v>
      </c>
      <c r="CH77" t="e">
        <f>AND('BBP complete'!#REF!,"AAAAAH1u9FU=")</f>
        <v>#REF!</v>
      </c>
      <c r="CI77" t="e">
        <f>AND('BBP complete'!#REF!,"AAAAAH1u9FY=")</f>
        <v>#REF!</v>
      </c>
      <c r="CJ77" t="e">
        <f>AND('BBP complete'!E1029,"AAAAAH1u9Fc=")</f>
        <v>#VALUE!</v>
      </c>
      <c r="CK77" t="e">
        <f>AND('BBP complete'!#REF!,"AAAAAH1u9Fg=")</f>
        <v>#REF!</v>
      </c>
      <c r="CL77" t="e">
        <f>AND('BBP complete'!K1029,"AAAAAH1u9Fk=")</f>
        <v>#VALUE!</v>
      </c>
      <c r="CM77" t="e">
        <f>AND('BBP complete'!L1029,"AAAAAH1u9Fo=")</f>
        <v>#VALUE!</v>
      </c>
      <c r="CN77" t="e">
        <f>AND('BBP complete'!#REF!,"AAAAAH1u9Fs=")</f>
        <v>#REF!</v>
      </c>
      <c r="CO77" t="e">
        <f>AND('BBP complete'!#REF!,"AAAAAH1u9Fw=")</f>
        <v>#REF!</v>
      </c>
      <c r="CP77" t="e">
        <f>AND('BBP complete'!#REF!,"AAAAAH1u9F0=")</f>
        <v>#REF!</v>
      </c>
      <c r="CQ77" t="e">
        <f>AND('BBP complete'!D1030,"AAAAAH1u9F4=")</f>
        <v>#VALUE!</v>
      </c>
      <c r="CR77" t="e">
        <f>AND('BBP complete'!F1030,"AAAAAH1u9F8=")</f>
        <v>#VALUE!</v>
      </c>
      <c r="CS77" t="e">
        <f>AND('BBP complete'!G1030,"AAAAAH1u9GA=")</f>
        <v>#VALUE!</v>
      </c>
      <c r="CT77" t="e">
        <f>AND('BBP complete'!H1030,"AAAAAH1u9GE=")</f>
        <v>#VALUE!</v>
      </c>
      <c r="CU77" t="e">
        <f>AND('BBP complete'!I1030,"AAAAAH1u9GI=")</f>
        <v>#VALUE!</v>
      </c>
      <c r="CV77" s="60" t="e">
        <v>#VALUE!</v>
      </c>
      <c r="CW77" t="e">
        <f>AND('BBP complete'!A1030,"AAAAAH1u9GQ=")</f>
        <v>#VALUE!</v>
      </c>
      <c r="CX77" t="e">
        <f>AND('BBP complete'!#REF!,"AAAAAH1u9GU=")</f>
        <v>#REF!</v>
      </c>
      <c r="CY77" t="e">
        <f>AND('BBP complete'!#REF!,"AAAAAH1u9GY=")</f>
        <v>#REF!</v>
      </c>
      <c r="CZ77" t="e">
        <f>AND('BBP complete'!#REF!,"AAAAAH1u9Gc=")</f>
        <v>#REF!</v>
      </c>
      <c r="DA77" t="e">
        <f>AND('BBP complete'!#REF!,"AAAAAH1u9Gg=")</f>
        <v>#REF!</v>
      </c>
      <c r="DB77" t="e">
        <f>AND('BBP complete'!#REF!,"AAAAAH1u9Gk=")</f>
        <v>#REF!</v>
      </c>
      <c r="DC77" t="e">
        <f>AND('BBP complete'!E1030,"AAAAAH1u9Go=")</f>
        <v>#VALUE!</v>
      </c>
      <c r="DD77" t="e">
        <f>AND('BBP complete'!#REF!,"AAAAAH1u9Gs=")</f>
        <v>#REF!</v>
      </c>
      <c r="DE77" t="e">
        <f>AND('BBP complete'!K1030,"AAAAAH1u9Gw=")</f>
        <v>#VALUE!</v>
      </c>
      <c r="DF77" t="e">
        <f>AND('BBP complete'!L1030,"AAAAAH1u9G0=")</f>
        <v>#VALUE!</v>
      </c>
      <c r="DG77" t="e">
        <f>AND('BBP complete'!#REF!,"AAAAAH1u9G4=")</f>
        <v>#REF!</v>
      </c>
      <c r="DH77" t="e">
        <f>AND('BBP complete'!#REF!,"AAAAAH1u9G8=")</f>
        <v>#REF!</v>
      </c>
      <c r="DI77" t="e">
        <f>AND('BBP complete'!#REF!,"AAAAAH1u9HA=")</f>
        <v>#REF!</v>
      </c>
      <c r="DJ77" t="e">
        <f>AND('BBP complete'!D1031,"AAAAAH1u9HE=")</f>
        <v>#VALUE!</v>
      </c>
      <c r="DK77" t="e">
        <f>AND('BBP complete'!F1031,"AAAAAH1u9HI=")</f>
        <v>#VALUE!</v>
      </c>
      <c r="DL77" t="e">
        <f>AND('BBP complete'!G1031,"AAAAAH1u9HM=")</f>
        <v>#VALUE!</v>
      </c>
      <c r="DM77" t="e">
        <f>AND('BBP complete'!H1031,"AAAAAH1u9HQ=")</f>
        <v>#VALUE!</v>
      </c>
      <c r="DN77" t="e">
        <f>AND('BBP complete'!I1031,"AAAAAH1u9HU=")</f>
        <v>#VALUE!</v>
      </c>
      <c r="DO77" s="60" t="e">
        <v>#VALUE!</v>
      </c>
      <c r="DP77" t="e">
        <f>AND('BBP complete'!A1031,"AAAAAH1u9Hc=")</f>
        <v>#VALUE!</v>
      </c>
      <c r="DQ77" t="e">
        <f>AND('BBP complete'!#REF!,"AAAAAH1u9Hg=")</f>
        <v>#REF!</v>
      </c>
      <c r="DR77" t="e">
        <f>AND('BBP complete'!#REF!,"AAAAAH1u9Hk=")</f>
        <v>#REF!</v>
      </c>
      <c r="DS77" t="e">
        <f>AND('BBP complete'!#REF!,"AAAAAH1u9Ho=")</f>
        <v>#REF!</v>
      </c>
      <c r="DT77" t="e">
        <f>AND('BBP complete'!#REF!,"AAAAAH1u9Hs=")</f>
        <v>#REF!</v>
      </c>
      <c r="DU77" t="e">
        <f>AND('BBP complete'!#REF!,"AAAAAH1u9Hw=")</f>
        <v>#REF!</v>
      </c>
      <c r="DV77" t="e">
        <f>AND('BBP complete'!E1031,"AAAAAH1u9H0=")</f>
        <v>#VALUE!</v>
      </c>
      <c r="DW77" t="e">
        <f>AND('BBP complete'!#REF!,"AAAAAH1u9H4=")</f>
        <v>#REF!</v>
      </c>
      <c r="DX77" t="e">
        <f>AND('BBP complete'!K1031,"AAAAAH1u9H8=")</f>
        <v>#VALUE!</v>
      </c>
      <c r="DY77" t="e">
        <f>AND('BBP complete'!L1032,"AAAAAH1u9IA=")</f>
        <v>#VALUE!</v>
      </c>
      <c r="DZ77" t="e">
        <f>AND('BBP complete'!#REF!,"AAAAAH1u9IE=")</f>
        <v>#REF!</v>
      </c>
      <c r="EA77" t="e">
        <f>AND('BBP complete'!#REF!,"AAAAAH1u9II=")</f>
        <v>#REF!</v>
      </c>
      <c r="EB77" t="e">
        <f>AND('BBP complete'!#REF!,"AAAAAH1u9IM=")</f>
        <v>#REF!</v>
      </c>
      <c r="EC77" t="e">
        <f>AND('BBP complete'!D1033,"AAAAAH1u9IQ=")</f>
        <v>#VALUE!</v>
      </c>
      <c r="ED77" t="e">
        <f>AND('BBP complete'!F1033,"AAAAAH1u9IU=")</f>
        <v>#VALUE!</v>
      </c>
      <c r="EE77" t="e">
        <f>AND('BBP complete'!G1033,"AAAAAH1u9IY=")</f>
        <v>#VALUE!</v>
      </c>
      <c r="EF77" t="e">
        <f>AND('BBP complete'!H1033,"AAAAAH1u9Ic=")</f>
        <v>#VALUE!</v>
      </c>
      <c r="EG77" t="e">
        <f>AND('BBP complete'!I1033,"AAAAAH1u9Ig=")</f>
        <v>#VALUE!</v>
      </c>
      <c r="EH77" s="60" t="e">
        <v>#VALUE!</v>
      </c>
      <c r="EI77" t="e">
        <f>AND('BBP complete'!A1034,"AAAAAH1u9Io=")</f>
        <v>#VALUE!</v>
      </c>
      <c r="EJ77" t="e">
        <f>AND('BBP complete'!#REF!,"AAAAAH1u9Is=")</f>
        <v>#REF!</v>
      </c>
      <c r="EK77" t="e">
        <f>AND('BBP complete'!#REF!,"AAAAAH1u9Iw=")</f>
        <v>#REF!</v>
      </c>
      <c r="EL77" t="e">
        <f>AND('BBP complete'!#REF!,"AAAAAH1u9I0=")</f>
        <v>#REF!</v>
      </c>
      <c r="EM77" t="e">
        <f>AND('BBP complete'!#REF!,"AAAAAH1u9I4=")</f>
        <v>#REF!</v>
      </c>
      <c r="EN77" t="e">
        <f>AND('BBP complete'!#REF!,"AAAAAH1u9I8=")</f>
        <v>#REF!</v>
      </c>
      <c r="EO77" t="e">
        <f>AND('BBP complete'!E1033,"AAAAAH1u9JA=")</f>
        <v>#VALUE!</v>
      </c>
      <c r="EP77" t="e">
        <f>AND('BBP complete'!#REF!,"AAAAAH1u9JE=")</f>
        <v>#REF!</v>
      </c>
      <c r="EQ77" t="e">
        <f>AND('BBP complete'!K1032,"AAAAAH1u9JI=")</f>
        <v>#VALUE!</v>
      </c>
      <c r="ER77" t="e">
        <f>AND('BBP complete'!L1033,"AAAAAH1u9JM=")</f>
        <v>#VALUE!</v>
      </c>
      <c r="ES77" t="e">
        <f>AND('BBP complete'!#REF!,"AAAAAH1u9JQ=")</f>
        <v>#REF!</v>
      </c>
      <c r="ET77" t="e">
        <f>AND('BBP complete'!#REF!,"AAAAAH1u9JU=")</f>
        <v>#REF!</v>
      </c>
      <c r="EU77" t="e">
        <f>AND('BBP complete'!#REF!,"AAAAAH1u9JY=")</f>
        <v>#REF!</v>
      </c>
      <c r="EV77" t="e">
        <f>AND('BBP complete'!D1034,"AAAAAH1u9Jc=")</f>
        <v>#VALUE!</v>
      </c>
      <c r="EW77" t="e">
        <f>AND('BBP complete'!F1034,"AAAAAH1u9Jg=")</f>
        <v>#VALUE!</v>
      </c>
      <c r="EX77" t="e">
        <f>AND('BBP complete'!G1034,"AAAAAH1u9Jk=")</f>
        <v>#VALUE!</v>
      </c>
      <c r="EY77" t="e">
        <f>AND('BBP complete'!H1034,"AAAAAH1u9Jo=")</f>
        <v>#VALUE!</v>
      </c>
      <c r="EZ77" t="e">
        <f>AND('BBP complete'!I1034,"AAAAAH1u9Js=")</f>
        <v>#VALUE!</v>
      </c>
      <c r="FA77" s="60" t="e">
        <v>#VALUE!</v>
      </c>
      <c r="FB77" t="e">
        <f>AND('BBP complete'!A1035,"AAAAAH1u9J0=")</f>
        <v>#VALUE!</v>
      </c>
      <c r="FC77" t="e">
        <f>AND('BBP complete'!#REF!,"AAAAAH1u9J4=")</f>
        <v>#REF!</v>
      </c>
      <c r="FD77" t="e">
        <f>AND('BBP complete'!#REF!,"AAAAAH1u9J8=")</f>
        <v>#REF!</v>
      </c>
      <c r="FE77" t="e">
        <f>AND('BBP complete'!#REF!,"AAAAAH1u9KA=")</f>
        <v>#REF!</v>
      </c>
      <c r="FF77" t="e">
        <f>AND('BBP complete'!#REF!,"AAAAAH1u9KE=")</f>
        <v>#REF!</v>
      </c>
      <c r="FG77" t="e">
        <f>AND('BBP complete'!#REF!,"AAAAAH1u9KI=")</f>
        <v>#REF!</v>
      </c>
      <c r="FH77" t="e">
        <f>AND('BBP complete'!E1034,"AAAAAH1u9KM=")</f>
        <v>#VALUE!</v>
      </c>
      <c r="FI77" t="e">
        <f>AND('BBP complete'!#REF!,"AAAAAH1u9KQ=")</f>
        <v>#REF!</v>
      </c>
      <c r="FJ77" t="e">
        <f>AND('BBP complete'!K1033,"AAAAAH1u9KU=")</f>
        <v>#VALUE!</v>
      </c>
      <c r="FK77" t="e">
        <f>AND('BBP complete'!L1034,"AAAAAH1u9KY=")</f>
        <v>#VALUE!</v>
      </c>
      <c r="FL77" t="e">
        <f>AND('BBP complete'!#REF!,"AAAAAH1u9Kc=")</f>
        <v>#REF!</v>
      </c>
      <c r="FM77" t="e">
        <f>AND('BBP complete'!#REF!,"AAAAAH1u9Kg=")</f>
        <v>#REF!</v>
      </c>
      <c r="FN77" t="e">
        <f>AND('BBP complete'!#REF!,"AAAAAH1u9Kk=")</f>
        <v>#REF!</v>
      </c>
      <c r="FO77" t="e">
        <f>AND('BBP complete'!D1035,"AAAAAH1u9Ko=")</f>
        <v>#VALUE!</v>
      </c>
      <c r="FP77" t="e">
        <f>AND('BBP complete'!F1035,"AAAAAH1u9Ks=")</f>
        <v>#VALUE!</v>
      </c>
      <c r="FQ77" t="e">
        <f>AND('BBP complete'!G1035,"AAAAAH1u9Kw=")</f>
        <v>#VALUE!</v>
      </c>
      <c r="FR77" t="e">
        <f>AND('BBP complete'!H1035,"AAAAAH1u9K0=")</f>
        <v>#VALUE!</v>
      </c>
      <c r="FS77" t="e">
        <f>AND('BBP complete'!I1035,"AAAAAH1u9K4=")</f>
        <v>#VALUE!</v>
      </c>
      <c r="FT77" s="60" t="e">
        <v>#VALUE!</v>
      </c>
      <c r="FU77" t="e">
        <f>AND('BBP complete'!A1036,"AAAAAH1u9LA=")</f>
        <v>#VALUE!</v>
      </c>
      <c r="FV77" t="e">
        <f>AND('BBP complete'!#REF!,"AAAAAH1u9LE=")</f>
        <v>#REF!</v>
      </c>
      <c r="FW77" t="e">
        <f>AND('BBP complete'!#REF!,"AAAAAH1u9LI=")</f>
        <v>#REF!</v>
      </c>
      <c r="FX77" t="e">
        <f>AND('BBP complete'!#REF!,"AAAAAH1u9LM=")</f>
        <v>#REF!</v>
      </c>
      <c r="FY77" t="e">
        <f>AND('BBP complete'!#REF!,"AAAAAH1u9LQ=")</f>
        <v>#REF!</v>
      </c>
      <c r="FZ77" t="e">
        <f>AND('BBP complete'!#REF!,"AAAAAH1u9LU=")</f>
        <v>#REF!</v>
      </c>
      <c r="GA77" t="e">
        <f>AND('BBP complete'!E1035,"AAAAAH1u9LY=")</f>
        <v>#VALUE!</v>
      </c>
      <c r="GB77" t="e">
        <f>AND('BBP complete'!#REF!,"AAAAAH1u9Lc=")</f>
        <v>#REF!</v>
      </c>
      <c r="GC77" t="e">
        <f>AND('BBP complete'!K1034,"AAAAAH1u9Lg=")</f>
        <v>#VALUE!</v>
      </c>
      <c r="GD77" t="e">
        <f>AND('BBP complete'!L1035,"AAAAAH1u9Lk=")</f>
        <v>#VALUE!</v>
      </c>
      <c r="GE77" t="e">
        <f>AND('BBP complete'!#REF!,"AAAAAH1u9Lo=")</f>
        <v>#REF!</v>
      </c>
      <c r="GF77" t="e">
        <f>AND('BBP complete'!#REF!,"AAAAAH1u9Ls=")</f>
        <v>#REF!</v>
      </c>
      <c r="GG77" t="e">
        <f>AND('BBP complete'!#REF!,"AAAAAH1u9Lw=")</f>
        <v>#REF!</v>
      </c>
      <c r="GH77" t="e">
        <f>AND('BBP complete'!D1036,"AAAAAH1u9L0=")</f>
        <v>#VALUE!</v>
      </c>
      <c r="GI77" t="e">
        <f>AND('BBP complete'!F1036,"AAAAAH1u9L4=")</f>
        <v>#VALUE!</v>
      </c>
      <c r="GJ77" t="e">
        <f>AND('BBP complete'!G1036,"AAAAAH1u9L8=")</f>
        <v>#VALUE!</v>
      </c>
      <c r="GK77" t="e">
        <f>AND('BBP complete'!H1036,"AAAAAH1u9MA=")</f>
        <v>#VALUE!</v>
      </c>
      <c r="GL77" t="e">
        <f>AND('BBP complete'!I1036,"AAAAAH1u9ME=")</f>
        <v>#VALUE!</v>
      </c>
      <c r="GM77" s="60" t="e">
        <v>#VALUE!</v>
      </c>
      <c r="GN77" t="e">
        <f>AND('BBP complete'!A1037,"AAAAAH1u9MM=")</f>
        <v>#VALUE!</v>
      </c>
      <c r="GO77" t="e">
        <f>AND('BBP complete'!#REF!,"AAAAAH1u9MQ=")</f>
        <v>#REF!</v>
      </c>
      <c r="GP77" t="e">
        <f>AND('BBP complete'!#REF!,"AAAAAH1u9MU=")</f>
        <v>#REF!</v>
      </c>
      <c r="GQ77" t="e">
        <f>AND('BBP complete'!#REF!,"AAAAAH1u9MY=")</f>
        <v>#REF!</v>
      </c>
      <c r="GR77" t="e">
        <f>AND('BBP complete'!#REF!,"AAAAAH1u9Mc=")</f>
        <v>#REF!</v>
      </c>
      <c r="GS77" t="e">
        <f>AND('BBP complete'!#REF!,"AAAAAH1u9Mg=")</f>
        <v>#REF!</v>
      </c>
      <c r="GT77" t="e">
        <f>AND('BBP complete'!E1036,"AAAAAH1u9Mk=")</f>
        <v>#VALUE!</v>
      </c>
      <c r="GU77" t="e">
        <f>AND('BBP complete'!#REF!,"AAAAAH1u9Mo=")</f>
        <v>#REF!</v>
      </c>
      <c r="GV77" t="e">
        <f>AND('BBP complete'!K1035,"AAAAAH1u9Ms=")</f>
        <v>#VALUE!</v>
      </c>
      <c r="GW77" t="e">
        <f>AND('BBP complete'!L1036,"AAAAAH1u9Mw=")</f>
        <v>#VALUE!</v>
      </c>
      <c r="GX77" t="e">
        <f>AND('BBP complete'!#REF!,"AAAAAH1u9M0=")</f>
        <v>#REF!</v>
      </c>
      <c r="GY77" t="e">
        <f>AND('BBP complete'!#REF!,"AAAAAH1u9M4=")</f>
        <v>#REF!</v>
      </c>
      <c r="GZ77" t="e">
        <f>AND('BBP complete'!#REF!,"AAAAAH1u9M8=")</f>
        <v>#REF!</v>
      </c>
      <c r="HA77" t="e">
        <f>AND('BBP complete'!D1037,"AAAAAH1u9NA=")</f>
        <v>#VALUE!</v>
      </c>
      <c r="HB77" t="e">
        <f>AND('BBP complete'!F1037,"AAAAAH1u9NE=")</f>
        <v>#VALUE!</v>
      </c>
      <c r="HC77" t="e">
        <f>AND('BBP complete'!G1037,"AAAAAH1u9NI=")</f>
        <v>#VALUE!</v>
      </c>
      <c r="HD77" t="e">
        <f>AND('BBP complete'!H1037,"AAAAAH1u9NM=")</f>
        <v>#VALUE!</v>
      </c>
      <c r="HE77" t="e">
        <f>AND('BBP complete'!I1037,"AAAAAH1u9NQ=")</f>
        <v>#VALUE!</v>
      </c>
      <c r="HF77" s="60" t="e">
        <v>#VALUE!</v>
      </c>
      <c r="HG77" t="e">
        <f>AND('BBP complete'!A1038,"AAAAAH1u9NY=")</f>
        <v>#VALUE!</v>
      </c>
      <c r="HH77" t="e">
        <f>AND('BBP complete'!#REF!,"AAAAAH1u9Nc=")</f>
        <v>#REF!</v>
      </c>
      <c r="HI77" t="e">
        <f>AND('BBP complete'!#REF!,"AAAAAH1u9Ng=")</f>
        <v>#REF!</v>
      </c>
      <c r="HJ77" t="e">
        <f>AND('BBP complete'!#REF!,"AAAAAH1u9Nk=")</f>
        <v>#REF!</v>
      </c>
      <c r="HK77" t="e">
        <f>AND('BBP complete'!#REF!,"AAAAAH1u9No=")</f>
        <v>#REF!</v>
      </c>
      <c r="HL77" t="e">
        <f>AND('BBP complete'!#REF!,"AAAAAH1u9Ns=")</f>
        <v>#REF!</v>
      </c>
      <c r="HM77" t="e">
        <f>AND('BBP complete'!E1037,"AAAAAH1u9Nw=")</f>
        <v>#VALUE!</v>
      </c>
      <c r="HN77" t="e">
        <f>AND('BBP complete'!#REF!,"AAAAAH1u9N0=")</f>
        <v>#REF!</v>
      </c>
      <c r="HO77" t="e">
        <f>AND('BBP complete'!K1036,"AAAAAH1u9N4=")</f>
        <v>#VALUE!</v>
      </c>
      <c r="HP77" t="e">
        <f>AND('BBP complete'!L1037,"AAAAAH1u9N8=")</f>
        <v>#VALUE!</v>
      </c>
      <c r="HQ77" t="e">
        <f>AND('BBP complete'!#REF!,"AAAAAH1u9OA=")</f>
        <v>#REF!</v>
      </c>
      <c r="HR77" t="e">
        <f>AND('BBP complete'!#REF!,"AAAAAH1u9OE=")</f>
        <v>#REF!</v>
      </c>
      <c r="HS77" t="e">
        <f>AND('BBP complete'!#REF!,"AAAAAH1u9OI=")</f>
        <v>#REF!</v>
      </c>
      <c r="HT77" t="e">
        <f>AND('BBP complete'!D1038,"AAAAAH1u9OM=")</f>
        <v>#VALUE!</v>
      </c>
      <c r="HU77" t="e">
        <f>AND('BBP complete'!F1038,"AAAAAH1u9OQ=")</f>
        <v>#VALUE!</v>
      </c>
      <c r="HV77" t="e">
        <f>AND('BBP complete'!G1038,"AAAAAH1u9OU=")</f>
        <v>#VALUE!</v>
      </c>
      <c r="HW77" t="e">
        <f>AND('BBP complete'!H1038,"AAAAAH1u9OY=")</f>
        <v>#VALUE!</v>
      </c>
      <c r="HX77" t="e">
        <f>AND('BBP complete'!I1038,"AAAAAH1u9Oc=")</f>
        <v>#VALUE!</v>
      </c>
      <c r="HY77" s="60" t="e">
        <v>#VALUE!</v>
      </c>
      <c r="HZ77" t="e">
        <f>AND('BBP complete'!A1039,"AAAAAH1u9Ok=")</f>
        <v>#VALUE!</v>
      </c>
      <c r="IA77" t="e">
        <f>AND('BBP complete'!#REF!,"AAAAAH1u9Oo=")</f>
        <v>#REF!</v>
      </c>
      <c r="IB77" t="e">
        <f>AND('BBP complete'!#REF!,"AAAAAH1u9Os=")</f>
        <v>#REF!</v>
      </c>
      <c r="IC77" t="e">
        <f>AND('BBP complete'!#REF!,"AAAAAH1u9Ow=")</f>
        <v>#REF!</v>
      </c>
      <c r="ID77" t="e">
        <f>AND('BBP complete'!#REF!,"AAAAAH1u9O0=")</f>
        <v>#REF!</v>
      </c>
      <c r="IE77" t="e">
        <f>AND('BBP complete'!#REF!,"AAAAAH1u9O4=")</f>
        <v>#REF!</v>
      </c>
      <c r="IF77" t="e">
        <f>AND('BBP complete'!E1038,"AAAAAH1u9O8=")</f>
        <v>#VALUE!</v>
      </c>
      <c r="IG77" t="e">
        <f>AND('BBP complete'!#REF!,"AAAAAH1u9PA=")</f>
        <v>#REF!</v>
      </c>
      <c r="IH77" t="e">
        <f>AND('BBP complete'!K1037,"AAAAAH1u9PE=")</f>
        <v>#VALUE!</v>
      </c>
      <c r="II77" t="e">
        <f>AND('BBP complete'!L1038,"AAAAAH1u9PI=")</f>
        <v>#VALUE!</v>
      </c>
      <c r="IJ77" t="e">
        <f>AND('BBP complete'!#REF!,"AAAAAH1u9PM=")</f>
        <v>#REF!</v>
      </c>
      <c r="IK77" t="e">
        <f>AND('BBP complete'!#REF!,"AAAAAH1u9PQ=")</f>
        <v>#REF!</v>
      </c>
      <c r="IL77" t="e">
        <f>AND('BBP complete'!#REF!,"AAAAAH1u9PU=")</f>
        <v>#REF!</v>
      </c>
      <c r="IM77" t="e">
        <f>AND('BBP complete'!D1039,"AAAAAH1u9PY=")</f>
        <v>#VALUE!</v>
      </c>
      <c r="IN77" t="e">
        <f>AND('BBP complete'!F1039,"AAAAAH1u9Pc=")</f>
        <v>#VALUE!</v>
      </c>
      <c r="IO77" t="e">
        <f>AND('BBP complete'!G1039,"AAAAAH1u9Pg=")</f>
        <v>#VALUE!</v>
      </c>
      <c r="IP77" t="e">
        <f>AND('BBP complete'!H1039,"AAAAAH1u9Pk=")</f>
        <v>#VALUE!</v>
      </c>
      <c r="IQ77" t="e">
        <f>AND('BBP complete'!I1039,"AAAAAH1u9Po=")</f>
        <v>#VALUE!</v>
      </c>
      <c r="IR77" s="60" t="e">
        <v>#VALUE!</v>
      </c>
      <c r="IS77" t="e">
        <f>AND('BBP complete'!A1040,"AAAAAH1u9Pw=")</f>
        <v>#VALUE!</v>
      </c>
      <c r="IT77" t="e">
        <f>AND('BBP complete'!#REF!,"AAAAAH1u9P0=")</f>
        <v>#REF!</v>
      </c>
      <c r="IU77" t="e">
        <f>AND('BBP complete'!#REF!,"AAAAAH1u9P4=")</f>
        <v>#REF!</v>
      </c>
      <c r="IV77" t="e">
        <f>AND('BBP complete'!#REF!,"AAAAAH1u9P8=")</f>
        <v>#REF!</v>
      </c>
    </row>
    <row r="78" spans="1:256" ht="15" customHeight="1" x14ac:dyDescent="0.25">
      <c r="A78" t="e">
        <f>AND('BBP complete'!#REF!,"AAAAAH9+tgA=")</f>
        <v>#REF!</v>
      </c>
      <c r="B78" t="e">
        <f>AND('BBP complete'!#REF!,"AAAAAH9+tgE=")</f>
        <v>#REF!</v>
      </c>
      <c r="C78" t="e">
        <f>AND('BBP complete'!E1039,"AAAAAH9+tgI=")</f>
        <v>#VALUE!</v>
      </c>
      <c r="D78" t="e">
        <f>AND('BBP complete'!#REF!,"AAAAAH9+tgM=")</f>
        <v>#REF!</v>
      </c>
      <c r="E78" t="e">
        <f>AND('BBP complete'!K1038,"AAAAAH9+tgQ=")</f>
        <v>#VALUE!</v>
      </c>
      <c r="F78" t="e">
        <f>AND('BBP complete'!L1039,"AAAAAH9+tgU=")</f>
        <v>#VALUE!</v>
      </c>
      <c r="G78" t="e">
        <f>AND('BBP complete'!#REF!,"AAAAAH9+tgY=")</f>
        <v>#REF!</v>
      </c>
      <c r="H78" t="e">
        <f>AND('BBP complete'!#REF!,"AAAAAH9+tgc=")</f>
        <v>#REF!</v>
      </c>
      <c r="I78" t="e">
        <f>AND('BBP complete'!#REF!,"AAAAAH9+tgg=")</f>
        <v>#REF!</v>
      </c>
      <c r="J78" t="e">
        <f>AND('BBP complete'!D1040,"AAAAAH9+tgk=")</f>
        <v>#VALUE!</v>
      </c>
      <c r="K78" t="e">
        <f>AND('BBP complete'!F1040,"AAAAAH9+tgo=")</f>
        <v>#VALUE!</v>
      </c>
      <c r="L78" t="e">
        <f>AND('BBP complete'!G1040,"AAAAAH9+tgs=")</f>
        <v>#VALUE!</v>
      </c>
      <c r="M78" t="e">
        <f>AND('BBP complete'!H1040,"AAAAAH9+tgw=")</f>
        <v>#VALUE!</v>
      </c>
      <c r="N78" t="e">
        <f>AND('BBP complete'!I1040,"AAAAAH9+tg0=")</f>
        <v>#VALUE!</v>
      </c>
      <c r="O78" s="60" t="e">
        <v>#VALUE!</v>
      </c>
      <c r="P78" t="e">
        <f>AND('BBP complete'!A1041,"AAAAAH9+tg8=")</f>
        <v>#VALUE!</v>
      </c>
      <c r="Q78" t="e">
        <f>AND('BBP complete'!#REF!,"AAAAAH9+thA=")</f>
        <v>#REF!</v>
      </c>
      <c r="R78" t="e">
        <f>AND('BBP complete'!#REF!,"AAAAAH9+thE=")</f>
        <v>#REF!</v>
      </c>
      <c r="S78" t="e">
        <f>AND('BBP complete'!#REF!,"AAAAAH9+thI=")</f>
        <v>#REF!</v>
      </c>
      <c r="T78" t="e">
        <f>AND('BBP complete'!#REF!,"AAAAAH9+thM=")</f>
        <v>#REF!</v>
      </c>
      <c r="U78" t="e">
        <f>AND('BBP complete'!#REF!,"AAAAAH9+thQ=")</f>
        <v>#REF!</v>
      </c>
      <c r="V78" t="e">
        <f>AND('BBP complete'!E1040,"AAAAAH9+thU=")</f>
        <v>#VALUE!</v>
      </c>
      <c r="W78" t="e">
        <f>AND('BBP complete'!#REF!,"AAAAAH9+thY=")</f>
        <v>#REF!</v>
      </c>
      <c r="X78" t="e">
        <f>AND('BBP complete'!K1039,"AAAAAH9+thc=")</f>
        <v>#VALUE!</v>
      </c>
      <c r="Y78" t="e">
        <f>AND('BBP complete'!L1040,"AAAAAH9+thg=")</f>
        <v>#VALUE!</v>
      </c>
      <c r="Z78" t="e">
        <f>AND('BBP complete'!#REF!,"AAAAAH9+thk=")</f>
        <v>#REF!</v>
      </c>
      <c r="AA78" t="e">
        <f>AND('BBP complete'!#REF!,"AAAAAH9+tho=")</f>
        <v>#REF!</v>
      </c>
      <c r="AB78" t="e">
        <f>AND('BBP complete'!#REF!,"AAAAAH9+ths=")</f>
        <v>#REF!</v>
      </c>
      <c r="AC78" t="e">
        <f>AND('BBP complete'!D1041,"AAAAAH9+thw=")</f>
        <v>#VALUE!</v>
      </c>
      <c r="AD78" t="e">
        <f>AND('BBP complete'!F1041,"AAAAAH9+th0=")</f>
        <v>#VALUE!</v>
      </c>
      <c r="AE78" t="e">
        <f>AND('BBP complete'!G1041,"AAAAAH9+th4=")</f>
        <v>#VALUE!</v>
      </c>
      <c r="AF78" t="e">
        <f>AND('BBP complete'!H1041,"AAAAAH9+th8=")</f>
        <v>#VALUE!</v>
      </c>
      <c r="AG78" t="e">
        <f>AND('BBP complete'!I1041,"AAAAAH9+tiA=")</f>
        <v>#VALUE!</v>
      </c>
      <c r="AH78" s="60" t="e">
        <v>#VALUE!</v>
      </c>
      <c r="AI78" t="e">
        <f>AND('BBP complete'!A1043,"AAAAAH9+tiI=")</f>
        <v>#VALUE!</v>
      </c>
      <c r="AJ78" t="e">
        <f>AND('BBP complete'!#REF!,"AAAAAH9+tiM=")</f>
        <v>#REF!</v>
      </c>
      <c r="AK78" t="e">
        <f>AND('BBP complete'!#REF!,"AAAAAH9+tiQ=")</f>
        <v>#REF!</v>
      </c>
      <c r="AL78" t="e">
        <f>AND('BBP complete'!#REF!,"AAAAAH9+tiU=")</f>
        <v>#REF!</v>
      </c>
      <c r="AM78" t="e">
        <f>AND('BBP complete'!#REF!,"AAAAAH9+tiY=")</f>
        <v>#REF!</v>
      </c>
      <c r="AN78" t="e">
        <f>AND('BBP complete'!#REF!,"AAAAAH9+tic=")</f>
        <v>#REF!</v>
      </c>
      <c r="AO78" t="e">
        <f>AND('BBP complete'!E1041,"AAAAAH9+tig=")</f>
        <v>#VALUE!</v>
      </c>
      <c r="AP78" t="e">
        <f>AND('BBP complete'!#REF!,"AAAAAH9+tik=")</f>
        <v>#REF!</v>
      </c>
      <c r="AQ78" t="e">
        <f>AND('BBP complete'!K1040,"AAAAAH9+tio=")</f>
        <v>#VALUE!</v>
      </c>
      <c r="AR78" t="e">
        <f>AND('BBP complete'!L1042,"AAAAAH9+tis=")</f>
        <v>#VALUE!</v>
      </c>
      <c r="AS78" t="e">
        <f>AND('BBP complete'!#REF!,"AAAAAH9+tiw=")</f>
        <v>#REF!</v>
      </c>
      <c r="AT78" t="e">
        <f>AND('BBP complete'!#REF!,"AAAAAH9+ti0=")</f>
        <v>#REF!</v>
      </c>
      <c r="AU78" t="e">
        <f>AND('BBP complete'!#REF!,"AAAAAH9+ti4=")</f>
        <v>#REF!</v>
      </c>
      <c r="AV78" t="e">
        <f>AND('BBP complete'!D1043,"AAAAAH9+ti8=")</f>
        <v>#VALUE!</v>
      </c>
      <c r="AW78" t="e">
        <f>AND('BBP complete'!F1043,"AAAAAH9+tjA=")</f>
        <v>#VALUE!</v>
      </c>
      <c r="AX78" t="e">
        <f>AND('BBP complete'!G1043,"AAAAAH9+tjE=")</f>
        <v>#VALUE!</v>
      </c>
      <c r="AY78" t="e">
        <f>AND('BBP complete'!H1043,"AAAAAH9+tjI=")</f>
        <v>#VALUE!</v>
      </c>
      <c r="AZ78" t="e">
        <f>AND('BBP complete'!I1043,"AAAAAH9+tjM=")</f>
        <v>#VALUE!</v>
      </c>
      <c r="BA78" s="60" t="e">
        <v>#VALUE!</v>
      </c>
      <c r="BB78" t="e">
        <f>AND('BBP complete'!A1045,"AAAAAH9+tjU=")</f>
        <v>#VALUE!</v>
      </c>
      <c r="BC78" t="e">
        <f>AND('BBP complete'!#REF!,"AAAAAH9+tjY=")</f>
        <v>#REF!</v>
      </c>
      <c r="BD78" t="e">
        <f>AND('BBP complete'!#REF!,"AAAAAH9+tjc=")</f>
        <v>#REF!</v>
      </c>
      <c r="BE78" t="e">
        <f>AND('BBP complete'!#REF!,"AAAAAH9+tjg=")</f>
        <v>#REF!</v>
      </c>
      <c r="BF78" t="e">
        <f>AND('BBP complete'!#REF!,"AAAAAH9+tjk=")</f>
        <v>#REF!</v>
      </c>
      <c r="BG78" t="e">
        <f>AND('BBP complete'!#REF!,"AAAAAH9+tjo=")</f>
        <v>#REF!</v>
      </c>
      <c r="BH78" t="e">
        <f>AND('BBP complete'!E1043,"AAAAAH9+tjs=")</f>
        <v>#VALUE!</v>
      </c>
      <c r="BI78" t="e">
        <f>AND('BBP complete'!#REF!,"AAAAAH9+tjw=")</f>
        <v>#REF!</v>
      </c>
      <c r="BJ78" t="e">
        <f>AND('BBP complete'!K1041,"AAAAAH9+tj0=")</f>
        <v>#VALUE!</v>
      </c>
      <c r="BK78" t="e">
        <f>AND('BBP complete'!L1043,"AAAAAH9+tj4=")</f>
        <v>#VALUE!</v>
      </c>
      <c r="BL78" t="e">
        <f>AND('BBP complete'!#REF!,"AAAAAH9+tj8=")</f>
        <v>#REF!</v>
      </c>
      <c r="BM78" t="e">
        <f>AND('BBP complete'!#REF!,"AAAAAH9+tkA=")</f>
        <v>#REF!</v>
      </c>
      <c r="BN78" t="e">
        <f>AND('BBP complete'!#REF!,"AAAAAH9+tkE=")</f>
        <v>#REF!</v>
      </c>
      <c r="BO78" t="e">
        <f>AND('BBP complete'!D1044,"AAAAAH9+tkI=")</f>
        <v>#VALUE!</v>
      </c>
      <c r="BP78" t="e">
        <f>AND('BBP complete'!F1044,"AAAAAH9+tkM=")</f>
        <v>#VALUE!</v>
      </c>
      <c r="BQ78" t="e">
        <f>AND('BBP complete'!G1044,"AAAAAH9+tkQ=")</f>
        <v>#VALUE!</v>
      </c>
      <c r="BR78" t="e">
        <f>AND('BBP complete'!H1044,"AAAAAH9+tkU=")</f>
        <v>#VALUE!</v>
      </c>
      <c r="BS78" t="e">
        <f>AND('BBP complete'!I1044,"AAAAAH9+tkY=")</f>
        <v>#VALUE!</v>
      </c>
      <c r="BT78" s="60" t="e">
        <v>#VALUE!</v>
      </c>
      <c r="BU78" t="e">
        <f>AND('BBP complete'!A1046,"AAAAAH9+tkg=")</f>
        <v>#VALUE!</v>
      </c>
      <c r="BV78" t="e">
        <f>AND('BBP complete'!#REF!,"AAAAAH9+tkk=")</f>
        <v>#REF!</v>
      </c>
      <c r="BW78" t="e">
        <f>AND('BBP complete'!#REF!,"AAAAAH9+tko=")</f>
        <v>#REF!</v>
      </c>
      <c r="BX78" t="e">
        <f>AND('BBP complete'!#REF!,"AAAAAH9+tks=")</f>
        <v>#REF!</v>
      </c>
      <c r="BY78" t="e">
        <f>AND('BBP complete'!#REF!,"AAAAAH9+tkw=")</f>
        <v>#REF!</v>
      </c>
      <c r="BZ78" t="e">
        <f>AND('BBP complete'!#REF!,"AAAAAH9+tk0=")</f>
        <v>#REF!</v>
      </c>
      <c r="CA78" t="e">
        <f>AND('BBP complete'!E1044,"AAAAAH9+tk4=")</f>
        <v>#VALUE!</v>
      </c>
      <c r="CB78" t="e">
        <f>AND('BBP complete'!#REF!,"AAAAAH9+tk8=")</f>
        <v>#REF!</v>
      </c>
      <c r="CC78" t="e">
        <f>AND('BBP complete'!K1042,"AAAAAH9+tlA=")</f>
        <v>#VALUE!</v>
      </c>
      <c r="CD78" t="e">
        <f>AND('BBP complete'!L1044,"AAAAAH9+tlE=")</f>
        <v>#VALUE!</v>
      </c>
      <c r="CE78" t="e">
        <f>AND('BBP complete'!#REF!,"AAAAAH9+tlI=")</f>
        <v>#REF!</v>
      </c>
      <c r="CF78" t="e">
        <f>AND('BBP complete'!#REF!,"AAAAAH9+tlM=")</f>
        <v>#REF!</v>
      </c>
      <c r="CG78" t="e">
        <f>AND('BBP complete'!#REF!,"AAAAAH9+tlQ=")</f>
        <v>#REF!</v>
      </c>
      <c r="CH78" t="e">
        <f>AND('BBP complete'!D1045,"AAAAAH9+tlU=")</f>
        <v>#VALUE!</v>
      </c>
      <c r="CI78" t="e">
        <f>AND('BBP complete'!F1045,"AAAAAH9+tlY=")</f>
        <v>#VALUE!</v>
      </c>
      <c r="CJ78" t="e">
        <f>AND('BBP complete'!G1045,"AAAAAH9+tlc=")</f>
        <v>#VALUE!</v>
      </c>
      <c r="CK78" t="e">
        <f>AND('BBP complete'!H1045,"AAAAAH9+tlg=")</f>
        <v>#VALUE!</v>
      </c>
      <c r="CL78" t="e">
        <f>AND('BBP complete'!I1045,"AAAAAH9+tlk=")</f>
        <v>#VALUE!</v>
      </c>
      <c r="CM78" s="60" t="e">
        <v>#VALUE!</v>
      </c>
      <c r="CN78" t="e">
        <f>AND('BBP complete'!A1047,"AAAAAH9+tls=")</f>
        <v>#VALUE!</v>
      </c>
      <c r="CO78" t="e">
        <f>AND('BBP complete'!#REF!,"AAAAAH9+tlw=")</f>
        <v>#REF!</v>
      </c>
      <c r="CP78" t="e">
        <f>AND('BBP complete'!#REF!,"AAAAAH9+tl0=")</f>
        <v>#REF!</v>
      </c>
      <c r="CQ78" t="e">
        <f>AND('BBP complete'!#REF!,"AAAAAH9+tl4=")</f>
        <v>#REF!</v>
      </c>
      <c r="CR78" t="e">
        <f>AND('BBP complete'!#REF!,"AAAAAH9+tl8=")</f>
        <v>#REF!</v>
      </c>
      <c r="CS78" t="e">
        <f>AND('BBP complete'!#REF!,"AAAAAH9+tmA=")</f>
        <v>#REF!</v>
      </c>
      <c r="CT78" t="e">
        <f>AND('BBP complete'!E1045,"AAAAAH9+tmE=")</f>
        <v>#VALUE!</v>
      </c>
      <c r="CU78" t="e">
        <f>AND('BBP complete'!#REF!,"AAAAAH9+tmI=")</f>
        <v>#REF!</v>
      </c>
      <c r="CV78" t="e">
        <f>AND('BBP complete'!K1043,"AAAAAH9+tmM=")</f>
        <v>#VALUE!</v>
      </c>
      <c r="CW78" t="e">
        <f>AND('BBP complete'!L1045,"AAAAAH9+tmQ=")</f>
        <v>#VALUE!</v>
      </c>
      <c r="CX78" t="e">
        <f>AND('BBP complete'!#REF!,"AAAAAH9+tmU=")</f>
        <v>#REF!</v>
      </c>
      <c r="CY78" t="e">
        <f>AND('BBP complete'!#REF!,"AAAAAH9+tmY=")</f>
        <v>#REF!</v>
      </c>
      <c r="CZ78" t="e">
        <f>AND('BBP complete'!#REF!,"AAAAAH9+tmc=")</f>
        <v>#REF!</v>
      </c>
      <c r="DA78" t="e">
        <f>AND('BBP complete'!D1046,"AAAAAH9+tmg=")</f>
        <v>#VALUE!</v>
      </c>
      <c r="DB78" t="e">
        <f>AND('BBP complete'!F1046,"AAAAAH9+tmk=")</f>
        <v>#VALUE!</v>
      </c>
      <c r="DC78" t="e">
        <f>AND('BBP complete'!G1046,"AAAAAH9+tmo=")</f>
        <v>#VALUE!</v>
      </c>
      <c r="DD78" t="e">
        <f>AND('BBP complete'!H1046,"AAAAAH9+tms=")</f>
        <v>#VALUE!</v>
      </c>
      <c r="DE78" t="e">
        <f>AND('BBP complete'!I1046,"AAAAAH9+tmw=")</f>
        <v>#VALUE!</v>
      </c>
      <c r="DF78" s="60" t="e">
        <v>#VALUE!</v>
      </c>
      <c r="DG78" t="e">
        <f>AND('BBP complete'!A1048,"AAAAAH9+tm4=")</f>
        <v>#VALUE!</v>
      </c>
      <c r="DH78" t="e">
        <f>AND('BBP complete'!#REF!,"AAAAAH9+tm8=")</f>
        <v>#REF!</v>
      </c>
      <c r="DI78" t="e">
        <f>AND('BBP complete'!#REF!,"AAAAAH9+tnA=")</f>
        <v>#REF!</v>
      </c>
      <c r="DJ78" t="e">
        <f>AND('BBP complete'!#REF!,"AAAAAH9+tnE=")</f>
        <v>#REF!</v>
      </c>
      <c r="DK78" t="e">
        <f>AND('BBP complete'!#REF!,"AAAAAH9+tnI=")</f>
        <v>#REF!</v>
      </c>
      <c r="DL78" t="e">
        <f>AND('BBP complete'!#REF!,"AAAAAH9+tnM=")</f>
        <v>#REF!</v>
      </c>
      <c r="DM78" t="e">
        <f>AND('BBP complete'!E1046,"AAAAAH9+tnQ=")</f>
        <v>#VALUE!</v>
      </c>
      <c r="DN78" t="e">
        <f>AND('BBP complete'!#REF!,"AAAAAH9+tnU=")</f>
        <v>#REF!</v>
      </c>
      <c r="DO78" t="e">
        <f>AND('BBP complete'!K1044,"AAAAAH9+tnY=")</f>
        <v>#VALUE!</v>
      </c>
      <c r="DP78" t="e">
        <f>AND('BBP complete'!L1046,"AAAAAH9+tnc=")</f>
        <v>#VALUE!</v>
      </c>
      <c r="DQ78" t="e">
        <f>AND('BBP complete'!#REF!,"AAAAAH9+tng=")</f>
        <v>#REF!</v>
      </c>
      <c r="DR78" t="e">
        <f>AND('BBP complete'!#REF!,"AAAAAH9+tnk=")</f>
        <v>#REF!</v>
      </c>
      <c r="DS78" t="e">
        <f>AND('BBP complete'!#REF!,"AAAAAH9+tno=")</f>
        <v>#REF!</v>
      </c>
      <c r="DT78" t="e">
        <f>AND('BBP complete'!D1047,"AAAAAH9+tns=")</f>
        <v>#VALUE!</v>
      </c>
      <c r="DU78" t="e">
        <f>AND('BBP complete'!F1047,"AAAAAH9+tnw=")</f>
        <v>#VALUE!</v>
      </c>
      <c r="DV78" t="e">
        <f>AND('BBP complete'!G1047,"AAAAAH9+tn0=")</f>
        <v>#VALUE!</v>
      </c>
      <c r="DW78" t="e">
        <f>AND('BBP complete'!H1047,"AAAAAH9+tn4=")</f>
        <v>#VALUE!</v>
      </c>
      <c r="DX78" t="e">
        <f>AND('BBP complete'!I1047,"AAAAAH9+tn8=")</f>
        <v>#VALUE!</v>
      </c>
      <c r="DY78" s="60" t="e">
        <v>#VALUE!</v>
      </c>
      <c r="DZ78" t="e">
        <f>AND('BBP complete'!A1049,"AAAAAH9+toE=")</f>
        <v>#VALUE!</v>
      </c>
      <c r="EA78" t="e">
        <f>AND('BBP complete'!#REF!,"AAAAAH9+toI=")</f>
        <v>#REF!</v>
      </c>
      <c r="EB78" t="e">
        <f>AND('BBP complete'!#REF!,"AAAAAH9+toM=")</f>
        <v>#REF!</v>
      </c>
      <c r="EC78" t="e">
        <f>AND('BBP complete'!#REF!,"AAAAAH9+toQ=")</f>
        <v>#REF!</v>
      </c>
      <c r="ED78" t="e">
        <f>AND('BBP complete'!#REF!,"AAAAAH9+toU=")</f>
        <v>#REF!</v>
      </c>
      <c r="EE78" t="e">
        <f>AND('BBP complete'!#REF!,"AAAAAH9+toY=")</f>
        <v>#REF!</v>
      </c>
      <c r="EF78" t="e">
        <f>AND('BBP complete'!E1047,"AAAAAH9+toc=")</f>
        <v>#VALUE!</v>
      </c>
      <c r="EG78" t="e">
        <f>AND('BBP complete'!#REF!,"AAAAAH9+tog=")</f>
        <v>#REF!</v>
      </c>
      <c r="EH78" t="e">
        <f>AND('BBP complete'!K1045,"AAAAAH9+tok=")</f>
        <v>#VALUE!</v>
      </c>
      <c r="EI78" t="e">
        <f>AND('BBP complete'!L1047,"AAAAAH9+too=")</f>
        <v>#VALUE!</v>
      </c>
      <c r="EJ78" t="e">
        <f>AND('BBP complete'!#REF!,"AAAAAH9+tos=")</f>
        <v>#REF!</v>
      </c>
      <c r="EK78" t="e">
        <f>AND('BBP complete'!#REF!,"AAAAAH9+tow=")</f>
        <v>#REF!</v>
      </c>
      <c r="EL78" t="e">
        <f>AND('BBP complete'!#REF!,"AAAAAH9+to0=")</f>
        <v>#REF!</v>
      </c>
      <c r="EM78" t="e">
        <f>AND('BBP complete'!D1048,"AAAAAH9+to4=")</f>
        <v>#VALUE!</v>
      </c>
      <c r="EN78" t="e">
        <f>AND('BBP complete'!F1048,"AAAAAH9+to8=")</f>
        <v>#VALUE!</v>
      </c>
      <c r="EO78" t="e">
        <f>AND('BBP complete'!G1048,"AAAAAH9+tpA=")</f>
        <v>#VALUE!</v>
      </c>
      <c r="EP78" t="e">
        <f>AND('BBP complete'!H1048,"AAAAAH9+tpE=")</f>
        <v>#VALUE!</v>
      </c>
      <c r="EQ78" t="e">
        <f>AND('BBP complete'!I1048,"AAAAAH9+tpI=")</f>
        <v>#VALUE!</v>
      </c>
      <c r="ER78" s="60" t="e">
        <v>#VALUE!</v>
      </c>
      <c r="ES78" t="e">
        <f>AND('BBP complete'!A1050,"AAAAAH9+tpQ=")</f>
        <v>#VALUE!</v>
      </c>
      <c r="ET78" t="e">
        <f>AND('BBP complete'!#REF!,"AAAAAH9+tpU=")</f>
        <v>#REF!</v>
      </c>
      <c r="EU78" t="e">
        <f>AND('BBP complete'!#REF!,"AAAAAH9+tpY=")</f>
        <v>#REF!</v>
      </c>
      <c r="EV78" t="e">
        <f>AND('BBP complete'!#REF!,"AAAAAH9+tpc=")</f>
        <v>#REF!</v>
      </c>
      <c r="EW78" t="e">
        <f>AND('BBP complete'!#REF!,"AAAAAH9+tpg=")</f>
        <v>#REF!</v>
      </c>
      <c r="EX78" t="e">
        <f>AND('BBP complete'!#REF!,"AAAAAH9+tpk=")</f>
        <v>#REF!</v>
      </c>
      <c r="EY78" t="e">
        <f>AND('BBP complete'!E1048,"AAAAAH9+tpo=")</f>
        <v>#VALUE!</v>
      </c>
      <c r="EZ78" t="e">
        <f>AND('BBP complete'!#REF!,"AAAAAH9+tps=")</f>
        <v>#REF!</v>
      </c>
      <c r="FA78" t="e">
        <f>AND('BBP complete'!K1046,"AAAAAH9+tpw=")</f>
        <v>#VALUE!</v>
      </c>
      <c r="FB78" t="e">
        <f>AND('BBP complete'!L1048,"AAAAAH9+tp0=")</f>
        <v>#VALUE!</v>
      </c>
      <c r="FC78" t="e">
        <f>AND('BBP complete'!#REF!,"AAAAAH9+tp4=")</f>
        <v>#REF!</v>
      </c>
      <c r="FD78" t="e">
        <f>AND('BBP complete'!#REF!,"AAAAAH9+tp8=")</f>
        <v>#REF!</v>
      </c>
      <c r="FE78" t="e">
        <f>AND('BBP complete'!#REF!,"AAAAAH9+tqA=")</f>
        <v>#REF!</v>
      </c>
      <c r="FF78" t="e">
        <f>AND('BBP complete'!D1049,"AAAAAH9+tqE=")</f>
        <v>#VALUE!</v>
      </c>
      <c r="FG78" t="e">
        <f>AND('BBP complete'!F1049,"AAAAAH9+tqI=")</f>
        <v>#VALUE!</v>
      </c>
      <c r="FH78" t="e">
        <f>AND('BBP complete'!G1049,"AAAAAH9+tqM=")</f>
        <v>#VALUE!</v>
      </c>
      <c r="FI78" t="e">
        <f>AND('BBP complete'!H1049,"AAAAAH9+tqQ=")</f>
        <v>#VALUE!</v>
      </c>
      <c r="FJ78" t="e">
        <f>AND('BBP complete'!I1049,"AAAAAH9+tqU=")</f>
        <v>#VALUE!</v>
      </c>
      <c r="FK78" s="60" t="e">
        <v>#VALUE!</v>
      </c>
      <c r="FL78" t="e">
        <f>AND('BBP complete'!A1051,"AAAAAH9+tqc=")</f>
        <v>#VALUE!</v>
      </c>
      <c r="FM78" t="e">
        <f>AND('BBP complete'!#REF!,"AAAAAH9+tqg=")</f>
        <v>#REF!</v>
      </c>
      <c r="FN78" t="e">
        <f>AND('BBP complete'!#REF!,"AAAAAH9+tqk=")</f>
        <v>#REF!</v>
      </c>
      <c r="FO78" t="e">
        <f>AND('BBP complete'!#REF!,"AAAAAH9+tqo=")</f>
        <v>#REF!</v>
      </c>
      <c r="FP78" t="e">
        <f>AND('BBP complete'!#REF!,"AAAAAH9+tqs=")</f>
        <v>#REF!</v>
      </c>
      <c r="FQ78" t="e">
        <f>AND('BBP complete'!#REF!,"AAAAAH9+tqw=")</f>
        <v>#REF!</v>
      </c>
      <c r="FR78" t="e">
        <f>AND('BBP complete'!E1049,"AAAAAH9+tq0=")</f>
        <v>#VALUE!</v>
      </c>
      <c r="FS78" t="e">
        <f>AND('BBP complete'!#REF!,"AAAAAH9+tq4=")</f>
        <v>#REF!</v>
      </c>
      <c r="FT78" t="e">
        <f>AND('BBP complete'!K1047,"AAAAAH9+tq8=")</f>
        <v>#VALUE!</v>
      </c>
      <c r="FU78" t="e">
        <f>AND('BBP complete'!L1049,"AAAAAH9+trA=")</f>
        <v>#VALUE!</v>
      </c>
      <c r="FV78" t="e">
        <f>AND('BBP complete'!#REF!,"AAAAAH9+trE=")</f>
        <v>#REF!</v>
      </c>
      <c r="FW78" t="e">
        <f>AND('BBP complete'!#REF!,"AAAAAH9+trI=")</f>
        <v>#REF!</v>
      </c>
      <c r="FX78" t="e">
        <f>AND('BBP complete'!#REF!,"AAAAAH9+trM=")</f>
        <v>#REF!</v>
      </c>
      <c r="FY78" t="e">
        <f>AND('BBP complete'!D1050,"AAAAAH9+trQ=")</f>
        <v>#VALUE!</v>
      </c>
      <c r="FZ78" t="e">
        <f>AND('BBP complete'!F1050,"AAAAAH9+trU=")</f>
        <v>#VALUE!</v>
      </c>
      <c r="GA78" t="e">
        <f>AND('BBP complete'!G1050,"AAAAAH9+trY=")</f>
        <v>#VALUE!</v>
      </c>
      <c r="GB78" t="e">
        <f>AND('BBP complete'!H1050,"AAAAAH9+trc=")</f>
        <v>#VALUE!</v>
      </c>
      <c r="GC78" t="e">
        <f>AND('BBP complete'!I1050,"AAAAAH9+trg=")</f>
        <v>#VALUE!</v>
      </c>
      <c r="GD78" s="60" t="e">
        <v>#VALUE!</v>
      </c>
      <c r="GE78" t="e">
        <f>AND('BBP complete'!A1052,"AAAAAH9+tro=")</f>
        <v>#VALUE!</v>
      </c>
      <c r="GF78" t="e">
        <f>AND('BBP complete'!#REF!,"AAAAAH9+trs=")</f>
        <v>#REF!</v>
      </c>
      <c r="GG78" t="e">
        <f>AND('BBP complete'!#REF!,"AAAAAH9+trw=")</f>
        <v>#REF!</v>
      </c>
      <c r="GH78" t="e">
        <f>AND('BBP complete'!#REF!,"AAAAAH9+tr0=")</f>
        <v>#REF!</v>
      </c>
      <c r="GI78" t="e">
        <f>AND('BBP complete'!#REF!,"AAAAAH9+tr4=")</f>
        <v>#REF!</v>
      </c>
      <c r="GJ78" t="e">
        <f>AND('BBP complete'!#REF!,"AAAAAH9+tr8=")</f>
        <v>#REF!</v>
      </c>
      <c r="GK78" t="e">
        <f>AND('BBP complete'!E1050,"AAAAAH9+tsA=")</f>
        <v>#VALUE!</v>
      </c>
      <c r="GL78" t="e">
        <f>AND('BBP complete'!#REF!,"AAAAAH9+tsE=")</f>
        <v>#REF!</v>
      </c>
      <c r="GM78" t="e">
        <f>AND('BBP complete'!K1048,"AAAAAH9+tsI=")</f>
        <v>#VALUE!</v>
      </c>
      <c r="GN78" t="e">
        <f>AND('BBP complete'!L1050,"AAAAAH9+tsM=")</f>
        <v>#VALUE!</v>
      </c>
      <c r="GO78" t="e">
        <f>AND('BBP complete'!#REF!,"AAAAAH9+tsQ=")</f>
        <v>#REF!</v>
      </c>
      <c r="GP78" t="e">
        <f>AND('BBP complete'!#REF!,"AAAAAH9+tsU=")</f>
        <v>#REF!</v>
      </c>
      <c r="GQ78" t="e">
        <f>AND('BBP complete'!#REF!,"AAAAAH9+tsY=")</f>
        <v>#REF!</v>
      </c>
      <c r="GR78" t="e">
        <f>AND('BBP complete'!D1051,"AAAAAH9+tsc=")</f>
        <v>#VALUE!</v>
      </c>
      <c r="GS78" t="e">
        <f>AND('BBP complete'!F1051,"AAAAAH9+tsg=")</f>
        <v>#VALUE!</v>
      </c>
      <c r="GT78" t="e">
        <f>AND('BBP complete'!G1051,"AAAAAH9+tsk=")</f>
        <v>#VALUE!</v>
      </c>
      <c r="GU78" t="e">
        <f>AND('BBP complete'!H1051,"AAAAAH9+tso=")</f>
        <v>#VALUE!</v>
      </c>
      <c r="GV78" t="e">
        <f>AND('BBP complete'!I1051,"AAAAAH9+tss=")</f>
        <v>#VALUE!</v>
      </c>
      <c r="GW78" s="60" t="e">
        <v>#VALUE!</v>
      </c>
      <c r="GX78" t="e">
        <f>AND('BBP complete'!A1053,"AAAAAH9+ts0=")</f>
        <v>#VALUE!</v>
      </c>
      <c r="GY78" t="e">
        <f>AND('BBP complete'!#REF!,"AAAAAH9+ts4=")</f>
        <v>#REF!</v>
      </c>
      <c r="GZ78" t="e">
        <f>AND('BBP complete'!#REF!,"AAAAAH9+ts8=")</f>
        <v>#REF!</v>
      </c>
      <c r="HA78" t="e">
        <f>AND('BBP complete'!#REF!,"AAAAAH9+ttA=")</f>
        <v>#REF!</v>
      </c>
      <c r="HB78" t="e">
        <f>AND('BBP complete'!#REF!,"AAAAAH9+ttE=")</f>
        <v>#REF!</v>
      </c>
      <c r="HC78" t="e">
        <f>AND('BBP complete'!#REF!,"AAAAAH9+ttI=")</f>
        <v>#REF!</v>
      </c>
      <c r="HD78" t="e">
        <f>AND('BBP complete'!E1051,"AAAAAH9+ttM=")</f>
        <v>#VALUE!</v>
      </c>
      <c r="HE78" t="e">
        <f>AND('BBP complete'!#REF!,"AAAAAH9+ttQ=")</f>
        <v>#REF!</v>
      </c>
      <c r="HF78" t="e">
        <f>AND('BBP complete'!K1049,"AAAAAH9+ttU=")</f>
        <v>#VALUE!</v>
      </c>
      <c r="HG78" t="e">
        <f>AND('BBP complete'!L1051,"AAAAAH9+ttY=")</f>
        <v>#VALUE!</v>
      </c>
      <c r="HH78" t="e">
        <f>AND('BBP complete'!#REF!,"AAAAAH9+ttc=")</f>
        <v>#REF!</v>
      </c>
      <c r="HI78" t="e">
        <f>AND('BBP complete'!#REF!,"AAAAAH9+ttg=")</f>
        <v>#REF!</v>
      </c>
      <c r="HJ78" t="e">
        <f>AND('BBP complete'!#REF!,"AAAAAH9+ttk=")</f>
        <v>#REF!</v>
      </c>
      <c r="HK78" t="e">
        <f>AND('BBP complete'!D1052,"AAAAAH9+tto=")</f>
        <v>#VALUE!</v>
      </c>
      <c r="HL78" t="e">
        <f>AND('BBP complete'!F1052,"AAAAAH9+tts=")</f>
        <v>#VALUE!</v>
      </c>
      <c r="HM78" t="e">
        <f>AND('BBP complete'!G1052,"AAAAAH9+ttw=")</f>
        <v>#VALUE!</v>
      </c>
      <c r="HN78" t="e">
        <f>AND('BBP complete'!H1052,"AAAAAH9+tt0=")</f>
        <v>#VALUE!</v>
      </c>
      <c r="HO78" t="e">
        <f>AND('BBP complete'!I1052,"AAAAAH9+tt4=")</f>
        <v>#VALUE!</v>
      </c>
      <c r="HP78" s="60" t="e">
        <v>#VALUE!</v>
      </c>
      <c r="HQ78" t="e">
        <f>AND('BBP complete'!A1054,"AAAAAH9+tuA=")</f>
        <v>#VALUE!</v>
      </c>
      <c r="HR78" t="e">
        <f>AND('BBP complete'!#REF!,"AAAAAH9+tuE=")</f>
        <v>#REF!</v>
      </c>
      <c r="HS78" t="e">
        <f>AND('BBP complete'!#REF!,"AAAAAH9+tuI=")</f>
        <v>#REF!</v>
      </c>
      <c r="HT78" t="e">
        <f>AND('BBP complete'!#REF!,"AAAAAH9+tuM=")</f>
        <v>#REF!</v>
      </c>
      <c r="HU78" t="e">
        <f>AND('BBP complete'!#REF!,"AAAAAH9+tuQ=")</f>
        <v>#REF!</v>
      </c>
      <c r="HV78" t="e">
        <f>AND('BBP complete'!#REF!,"AAAAAH9+tuU=")</f>
        <v>#REF!</v>
      </c>
      <c r="HW78" t="e">
        <f>AND('BBP complete'!E1052,"AAAAAH9+tuY=")</f>
        <v>#VALUE!</v>
      </c>
      <c r="HX78" t="e">
        <f>AND('BBP complete'!#REF!,"AAAAAH9+tuc=")</f>
        <v>#REF!</v>
      </c>
      <c r="HY78" t="e">
        <f>AND('BBP complete'!K1050,"AAAAAH9+tug=")</f>
        <v>#VALUE!</v>
      </c>
      <c r="HZ78" t="e">
        <f>AND('BBP complete'!L1052,"AAAAAH9+tuk=")</f>
        <v>#VALUE!</v>
      </c>
      <c r="IA78" t="e">
        <f>AND('BBP complete'!#REF!,"AAAAAH9+tuo=")</f>
        <v>#REF!</v>
      </c>
      <c r="IB78" t="e">
        <f>AND('BBP complete'!#REF!,"AAAAAH9+tus=")</f>
        <v>#REF!</v>
      </c>
      <c r="IC78" t="e">
        <f>AND('BBP complete'!#REF!,"AAAAAH9+tuw=")</f>
        <v>#REF!</v>
      </c>
      <c r="ID78" t="e">
        <f>AND('BBP complete'!D1053,"AAAAAH9+tu0=")</f>
        <v>#VALUE!</v>
      </c>
      <c r="IE78" t="e">
        <f>AND('BBP complete'!F1053,"AAAAAH9+tu4=")</f>
        <v>#VALUE!</v>
      </c>
      <c r="IF78" t="e">
        <f>AND('BBP complete'!G1053,"AAAAAH9+tu8=")</f>
        <v>#VALUE!</v>
      </c>
      <c r="IG78" t="e">
        <f>AND('BBP complete'!H1053,"AAAAAH9+tvA=")</f>
        <v>#VALUE!</v>
      </c>
      <c r="IH78" t="e">
        <f>AND('BBP complete'!I1053,"AAAAAH9+tvE=")</f>
        <v>#VALUE!</v>
      </c>
      <c r="II78" s="60" t="e">
        <v>#VALUE!</v>
      </c>
      <c r="IJ78" t="e">
        <f>AND('BBP complete'!A1055,"AAAAAH9+tvM=")</f>
        <v>#VALUE!</v>
      </c>
      <c r="IK78" t="e">
        <f>AND('BBP complete'!#REF!,"AAAAAH9+tvQ=")</f>
        <v>#REF!</v>
      </c>
      <c r="IL78" t="e">
        <f>AND('BBP complete'!#REF!,"AAAAAH9+tvU=")</f>
        <v>#REF!</v>
      </c>
      <c r="IM78" t="e">
        <f>AND('BBP complete'!#REF!,"AAAAAH9+tvY=")</f>
        <v>#REF!</v>
      </c>
      <c r="IN78" t="e">
        <f>AND('BBP complete'!#REF!,"AAAAAH9+tvc=")</f>
        <v>#REF!</v>
      </c>
      <c r="IO78" t="e">
        <f>AND('BBP complete'!#REF!,"AAAAAH9+tvg=")</f>
        <v>#REF!</v>
      </c>
      <c r="IP78" t="e">
        <f>AND('BBP complete'!E1053,"AAAAAH9+tvk=")</f>
        <v>#VALUE!</v>
      </c>
      <c r="IQ78" t="e">
        <f>AND('BBP complete'!#REF!,"AAAAAH9+tvo=")</f>
        <v>#REF!</v>
      </c>
      <c r="IR78" t="e">
        <f>AND('BBP complete'!K1051,"AAAAAH9+tvs=")</f>
        <v>#VALUE!</v>
      </c>
      <c r="IS78" t="e">
        <f>AND('BBP complete'!L1053,"AAAAAH9+tvw=")</f>
        <v>#VALUE!</v>
      </c>
      <c r="IT78" t="e">
        <f>AND('BBP complete'!#REF!,"AAAAAH9+tv0=")</f>
        <v>#REF!</v>
      </c>
      <c r="IU78" t="e">
        <f>AND('BBP complete'!#REF!,"AAAAAH9+tv4=")</f>
        <v>#REF!</v>
      </c>
      <c r="IV78" t="e">
        <f>AND('BBP complete'!#REF!,"AAAAAH9+tv8=")</f>
        <v>#REF!</v>
      </c>
    </row>
    <row r="79" spans="1:256" ht="15" customHeight="1" x14ac:dyDescent="0.25">
      <c r="A79" t="e">
        <f>AND('BBP complete'!D1054,"AAAAAH/d+gA=")</f>
        <v>#VALUE!</v>
      </c>
      <c r="B79" t="e">
        <f>AND('BBP complete'!F1054,"AAAAAH/d+gE=")</f>
        <v>#VALUE!</v>
      </c>
      <c r="C79" t="e">
        <f>AND('BBP complete'!G1054,"AAAAAH/d+gI=")</f>
        <v>#VALUE!</v>
      </c>
      <c r="D79" t="e">
        <f>AND('BBP complete'!H1054,"AAAAAH/d+gM=")</f>
        <v>#VALUE!</v>
      </c>
      <c r="E79" t="e">
        <f>AND('BBP complete'!I1054,"AAAAAH/d+gQ=")</f>
        <v>#VALUE!</v>
      </c>
      <c r="F79" s="60" t="e">
        <v>#VALUE!</v>
      </c>
      <c r="G79" t="e">
        <f>AND('BBP complete'!A1056,"AAAAAH/d+gY=")</f>
        <v>#VALUE!</v>
      </c>
      <c r="H79" t="e">
        <f>AND('BBP complete'!#REF!,"AAAAAH/d+gc=")</f>
        <v>#REF!</v>
      </c>
      <c r="I79" t="e">
        <f>AND('BBP complete'!#REF!,"AAAAAH/d+gg=")</f>
        <v>#REF!</v>
      </c>
      <c r="J79" t="e">
        <f>AND('BBP complete'!#REF!,"AAAAAH/d+gk=")</f>
        <v>#REF!</v>
      </c>
      <c r="K79" t="e">
        <f>AND('BBP complete'!#REF!,"AAAAAH/d+go=")</f>
        <v>#REF!</v>
      </c>
      <c r="L79" t="e">
        <f>AND('BBP complete'!#REF!,"AAAAAH/d+gs=")</f>
        <v>#REF!</v>
      </c>
      <c r="M79" t="e">
        <f>AND('BBP complete'!E1054,"AAAAAH/d+gw=")</f>
        <v>#VALUE!</v>
      </c>
      <c r="N79" t="e">
        <f>AND('BBP complete'!#REF!,"AAAAAH/d+g0=")</f>
        <v>#REF!</v>
      </c>
      <c r="O79" t="e">
        <f>AND('BBP complete'!K1052,"AAAAAH/d+g4=")</f>
        <v>#VALUE!</v>
      </c>
      <c r="P79" t="e">
        <f>AND('BBP complete'!L1054,"AAAAAH/d+g8=")</f>
        <v>#VALUE!</v>
      </c>
      <c r="Q79" t="e">
        <f>AND('BBP complete'!#REF!,"AAAAAH/d+hA=")</f>
        <v>#REF!</v>
      </c>
      <c r="R79" t="e">
        <f>AND('BBP complete'!#REF!,"AAAAAH/d+hE=")</f>
        <v>#REF!</v>
      </c>
      <c r="S79" t="e">
        <f>AND('BBP complete'!#REF!,"AAAAAH/d+hI=")</f>
        <v>#REF!</v>
      </c>
      <c r="T79" t="e">
        <f>AND('BBP complete'!D1055,"AAAAAH/d+hM=")</f>
        <v>#VALUE!</v>
      </c>
      <c r="U79" t="e">
        <f>AND('BBP complete'!F1055,"AAAAAH/d+hQ=")</f>
        <v>#VALUE!</v>
      </c>
      <c r="V79" t="e">
        <f>AND('BBP complete'!G1055,"AAAAAH/d+hU=")</f>
        <v>#VALUE!</v>
      </c>
      <c r="W79" t="e">
        <f>AND('BBP complete'!H1055,"AAAAAH/d+hY=")</f>
        <v>#VALUE!</v>
      </c>
      <c r="X79" t="e">
        <f>AND('BBP complete'!I1055,"AAAAAH/d+hc=")</f>
        <v>#VALUE!</v>
      </c>
      <c r="Y79" s="60" t="e">
        <v>#VALUE!</v>
      </c>
      <c r="Z79" t="e">
        <f>AND('BBP complete'!A1057,"AAAAAH/d+hk=")</f>
        <v>#VALUE!</v>
      </c>
      <c r="AA79" t="e">
        <f>AND('BBP complete'!#REF!,"AAAAAH/d+ho=")</f>
        <v>#REF!</v>
      </c>
      <c r="AB79" t="e">
        <f>AND('BBP complete'!#REF!,"AAAAAH/d+hs=")</f>
        <v>#REF!</v>
      </c>
      <c r="AC79" t="e">
        <f>AND('BBP complete'!#REF!,"AAAAAH/d+hw=")</f>
        <v>#REF!</v>
      </c>
      <c r="AD79" t="e">
        <f>AND('BBP complete'!#REF!,"AAAAAH/d+h0=")</f>
        <v>#REF!</v>
      </c>
      <c r="AE79" t="e">
        <f>AND('BBP complete'!#REF!,"AAAAAH/d+h4=")</f>
        <v>#REF!</v>
      </c>
      <c r="AF79" t="e">
        <f>AND('BBP complete'!E1055,"AAAAAH/d+h8=")</f>
        <v>#VALUE!</v>
      </c>
      <c r="AG79" t="e">
        <f>AND('BBP complete'!#REF!,"AAAAAH/d+iA=")</f>
        <v>#REF!</v>
      </c>
      <c r="AH79" t="e">
        <f>AND('BBP complete'!K1053,"AAAAAH/d+iE=")</f>
        <v>#VALUE!</v>
      </c>
      <c r="AI79" t="e">
        <f>AND('BBP complete'!L1055,"AAAAAH/d+iI=")</f>
        <v>#VALUE!</v>
      </c>
      <c r="AJ79" t="e">
        <f>AND('BBP complete'!#REF!,"AAAAAH/d+iM=")</f>
        <v>#REF!</v>
      </c>
      <c r="AK79" t="e">
        <f>AND('BBP complete'!#REF!,"AAAAAH/d+iQ=")</f>
        <v>#REF!</v>
      </c>
      <c r="AL79" t="e">
        <f>AND('BBP complete'!#REF!,"AAAAAH/d+iU=")</f>
        <v>#REF!</v>
      </c>
      <c r="AM79" t="e">
        <f>AND('BBP complete'!D1056,"AAAAAH/d+iY=")</f>
        <v>#VALUE!</v>
      </c>
      <c r="AN79" t="e">
        <f>AND('BBP complete'!F1056,"AAAAAH/d+ic=")</f>
        <v>#VALUE!</v>
      </c>
      <c r="AO79" t="e">
        <f>AND('BBP complete'!G1056,"AAAAAH/d+ig=")</f>
        <v>#VALUE!</v>
      </c>
      <c r="AP79" t="e">
        <f>AND('BBP complete'!H1056,"AAAAAH/d+ik=")</f>
        <v>#VALUE!</v>
      </c>
      <c r="AQ79" t="e">
        <f>AND('BBP complete'!I1056,"AAAAAH/d+io=")</f>
        <v>#VALUE!</v>
      </c>
      <c r="AR79" s="60" t="e">
        <v>#VALUE!</v>
      </c>
      <c r="AS79" t="e">
        <f>AND('BBP complete'!A1058,"AAAAAH/d+iw=")</f>
        <v>#VALUE!</v>
      </c>
      <c r="AT79" t="e">
        <f>AND('BBP complete'!B1108,"AAAAAH/d+i0=")</f>
        <v>#VALUE!</v>
      </c>
      <c r="AU79" t="e">
        <f>AND('BBP complete'!C1108,"AAAAAH/d+i4=")</f>
        <v>#VALUE!</v>
      </c>
      <c r="AV79" t="e">
        <f>AND('BBP complete'!#REF!,"AAAAAH/d+i8=")</f>
        <v>#REF!</v>
      </c>
      <c r="AW79" t="e">
        <f>AND('BBP complete'!#REF!,"AAAAAH/d+jA=")</f>
        <v>#REF!</v>
      </c>
      <c r="AX79" t="e">
        <f>AND('BBP complete'!#REF!,"AAAAAH/d+jE=")</f>
        <v>#REF!</v>
      </c>
      <c r="AY79" t="e">
        <f>AND('BBP complete'!E1056,"AAAAAH/d+jI=")</f>
        <v>#VALUE!</v>
      </c>
      <c r="AZ79" t="e">
        <f>AND('BBP complete'!#REF!,"AAAAAH/d+jM=")</f>
        <v>#REF!</v>
      </c>
      <c r="BA79" t="e">
        <f>AND('BBP complete'!K1054,"AAAAAH/d+jQ=")</f>
        <v>#VALUE!</v>
      </c>
      <c r="BB79" t="e">
        <f>AND('BBP complete'!L1056,"AAAAAH/d+jU=")</f>
        <v>#VALUE!</v>
      </c>
      <c r="BC79" t="e">
        <f>AND('BBP complete'!#REF!,"AAAAAH/d+jY=")</f>
        <v>#REF!</v>
      </c>
      <c r="BD79" t="e">
        <f>AND('BBP complete'!#REF!,"AAAAAH/d+jc=")</f>
        <v>#REF!</v>
      </c>
      <c r="BE79" t="e">
        <f>AND('BBP complete'!#REF!,"AAAAAH/d+jg=")</f>
        <v>#REF!</v>
      </c>
      <c r="BF79" t="e">
        <f>AND('BBP complete'!D1057,"AAAAAH/d+jk=")</f>
        <v>#VALUE!</v>
      </c>
      <c r="BG79" t="e">
        <f>AND('BBP complete'!F1057,"AAAAAH/d+jo=")</f>
        <v>#VALUE!</v>
      </c>
      <c r="BH79" t="e">
        <f>AND('BBP complete'!G1057,"AAAAAH/d+js=")</f>
        <v>#VALUE!</v>
      </c>
      <c r="BI79" t="e">
        <f>AND('BBP complete'!H1057,"AAAAAH/d+jw=")</f>
        <v>#VALUE!</v>
      </c>
      <c r="BJ79" t="e">
        <f>AND('BBP complete'!I1057,"AAAAAH/d+j0=")</f>
        <v>#VALUE!</v>
      </c>
      <c r="BK79" s="60" t="e">
        <v>#VALUE!</v>
      </c>
      <c r="BL79" t="e">
        <f>AND('BBP complete'!A1059,"AAAAAH/d+j8=")</f>
        <v>#VALUE!</v>
      </c>
      <c r="BM79" t="e">
        <f>AND('BBP complete'!#REF!,"AAAAAH/d+kA=")</f>
        <v>#REF!</v>
      </c>
      <c r="BN79" t="e">
        <f>AND('BBP complete'!#REF!,"AAAAAH/d+kE=")</f>
        <v>#REF!</v>
      </c>
      <c r="BO79" t="e">
        <f>AND('BBP complete'!#REF!,"AAAAAH/d+kI=")</f>
        <v>#REF!</v>
      </c>
      <c r="BP79" t="e">
        <f>AND('BBP complete'!#REF!,"AAAAAH/d+kM=")</f>
        <v>#REF!</v>
      </c>
      <c r="BQ79" t="e">
        <f>AND('BBP complete'!#REF!,"AAAAAH/d+kQ=")</f>
        <v>#REF!</v>
      </c>
      <c r="BR79" t="e">
        <f>AND('BBP complete'!E1057,"AAAAAH/d+kU=")</f>
        <v>#VALUE!</v>
      </c>
      <c r="BS79" t="e">
        <f>AND('BBP complete'!#REF!,"AAAAAH/d+kY=")</f>
        <v>#REF!</v>
      </c>
      <c r="BT79" t="e">
        <f>AND('BBP complete'!K1055,"AAAAAH/d+kc=")</f>
        <v>#VALUE!</v>
      </c>
      <c r="BU79" t="e">
        <f>AND('BBP complete'!L1057,"AAAAAH/d+kg=")</f>
        <v>#VALUE!</v>
      </c>
      <c r="BV79" t="e">
        <f>AND('BBP complete'!#REF!,"AAAAAH/d+kk=")</f>
        <v>#REF!</v>
      </c>
      <c r="BW79" t="e">
        <f>AND('BBP complete'!#REF!,"AAAAAH/d+ko=")</f>
        <v>#REF!</v>
      </c>
      <c r="BX79" t="e">
        <f>AND('BBP complete'!#REF!,"AAAAAH/d+ks=")</f>
        <v>#REF!</v>
      </c>
      <c r="BY79" t="e">
        <f>AND('BBP complete'!D1058,"AAAAAH/d+kw=")</f>
        <v>#VALUE!</v>
      </c>
      <c r="BZ79" t="e">
        <f>AND('BBP complete'!F1058,"AAAAAH/d+k0=")</f>
        <v>#VALUE!</v>
      </c>
      <c r="CA79" t="e">
        <f>AND('BBP complete'!G1058,"AAAAAH/d+k4=")</f>
        <v>#VALUE!</v>
      </c>
      <c r="CB79" t="e">
        <f>AND('BBP complete'!H1058,"AAAAAH/d+k8=")</f>
        <v>#VALUE!</v>
      </c>
      <c r="CC79" t="e">
        <f>AND('BBP complete'!I1058,"AAAAAH/d+lA=")</f>
        <v>#VALUE!</v>
      </c>
      <c r="CD79" s="60" t="e">
        <v>#VALUE!</v>
      </c>
      <c r="CE79" t="e">
        <f>AND('BBP complete'!A1060,"AAAAAH/d+lI=")</f>
        <v>#VALUE!</v>
      </c>
      <c r="CF79" t="e">
        <f>AND('BBP complete'!#REF!,"AAAAAH/d+lM=")</f>
        <v>#REF!</v>
      </c>
      <c r="CG79" t="e">
        <f>AND('BBP complete'!#REF!,"AAAAAH/d+lQ=")</f>
        <v>#REF!</v>
      </c>
      <c r="CH79" t="e">
        <f>AND('BBP complete'!#REF!,"AAAAAH/d+lU=")</f>
        <v>#REF!</v>
      </c>
      <c r="CI79" t="e">
        <f>AND('BBP complete'!#REF!,"AAAAAH/d+lY=")</f>
        <v>#REF!</v>
      </c>
      <c r="CJ79" t="e">
        <f>AND('BBP complete'!#REF!,"AAAAAH/d+lc=")</f>
        <v>#REF!</v>
      </c>
      <c r="CK79" t="e">
        <f>AND('BBP complete'!E1058,"AAAAAH/d+lg=")</f>
        <v>#VALUE!</v>
      </c>
      <c r="CL79" t="e">
        <f>AND('BBP complete'!#REF!,"AAAAAH/d+lk=")</f>
        <v>#REF!</v>
      </c>
      <c r="CM79" t="e">
        <f>AND('BBP complete'!K1056,"AAAAAH/d+lo=")</f>
        <v>#VALUE!</v>
      </c>
      <c r="CN79" t="e">
        <f>AND('BBP complete'!L1058,"AAAAAH/d+ls=")</f>
        <v>#VALUE!</v>
      </c>
      <c r="CO79" t="e">
        <f>AND('BBP complete'!#REF!,"AAAAAH/d+lw=")</f>
        <v>#REF!</v>
      </c>
      <c r="CP79" t="e">
        <f>AND('BBP complete'!#REF!,"AAAAAH/d+l0=")</f>
        <v>#REF!</v>
      </c>
      <c r="CQ79" t="e">
        <f>AND('BBP complete'!#REF!,"AAAAAH/d+l4=")</f>
        <v>#REF!</v>
      </c>
      <c r="CR79" t="e">
        <f>AND('BBP complete'!D1059,"AAAAAH/d+l8=")</f>
        <v>#VALUE!</v>
      </c>
      <c r="CS79" t="e">
        <f>AND('BBP complete'!F1059,"AAAAAH/d+mA=")</f>
        <v>#VALUE!</v>
      </c>
      <c r="CT79" t="e">
        <f>AND('BBP complete'!G1059,"AAAAAH/d+mE=")</f>
        <v>#VALUE!</v>
      </c>
      <c r="CU79" t="e">
        <f>AND('BBP complete'!H1059,"AAAAAH/d+mI=")</f>
        <v>#VALUE!</v>
      </c>
      <c r="CV79" t="e">
        <f>AND('BBP complete'!I1059,"AAAAAH/d+mM=")</f>
        <v>#VALUE!</v>
      </c>
      <c r="CW79" s="60" t="e">
        <v>#VALUE!</v>
      </c>
      <c r="CX79" t="e">
        <f>AND('BBP complete'!A1061,"AAAAAH/d+mU=")</f>
        <v>#VALUE!</v>
      </c>
      <c r="CY79" t="e">
        <f>AND('BBP complete'!#REF!,"AAAAAH/d+mY=")</f>
        <v>#REF!</v>
      </c>
      <c r="CZ79" t="e">
        <f>AND('BBP complete'!#REF!,"AAAAAH/d+mc=")</f>
        <v>#REF!</v>
      </c>
      <c r="DA79" t="e">
        <f>AND('BBP complete'!#REF!,"AAAAAH/d+mg=")</f>
        <v>#REF!</v>
      </c>
      <c r="DB79" t="e">
        <f>AND('BBP complete'!#REF!,"AAAAAH/d+mk=")</f>
        <v>#REF!</v>
      </c>
      <c r="DC79" t="e">
        <f>AND('BBP complete'!#REF!,"AAAAAH/d+mo=")</f>
        <v>#REF!</v>
      </c>
      <c r="DD79" t="e">
        <f>AND('BBP complete'!E1059,"AAAAAH/d+ms=")</f>
        <v>#VALUE!</v>
      </c>
      <c r="DE79" t="e">
        <f>AND('BBP complete'!#REF!,"AAAAAH/d+mw=")</f>
        <v>#REF!</v>
      </c>
      <c r="DF79" t="e">
        <f>AND('BBP complete'!K1057,"AAAAAH/d+m0=")</f>
        <v>#VALUE!</v>
      </c>
      <c r="DG79" t="e">
        <f>AND('BBP complete'!L1059,"AAAAAH/d+m4=")</f>
        <v>#VALUE!</v>
      </c>
      <c r="DH79" t="e">
        <f>AND('BBP complete'!#REF!,"AAAAAH/d+m8=")</f>
        <v>#REF!</v>
      </c>
      <c r="DI79" t="e">
        <f>AND('BBP complete'!#REF!,"AAAAAH/d+nA=")</f>
        <v>#REF!</v>
      </c>
      <c r="DJ79" t="e">
        <f>AND('BBP complete'!#REF!,"AAAAAH/d+nE=")</f>
        <v>#REF!</v>
      </c>
      <c r="DK79" t="e">
        <f>AND('BBP complete'!D1060,"AAAAAH/d+nI=")</f>
        <v>#VALUE!</v>
      </c>
      <c r="DL79" t="e">
        <f>AND('BBP complete'!F1060,"AAAAAH/d+nM=")</f>
        <v>#VALUE!</v>
      </c>
      <c r="DM79" t="e">
        <f>AND('BBP complete'!G1060,"AAAAAH/d+nQ=")</f>
        <v>#VALUE!</v>
      </c>
      <c r="DN79" t="e">
        <f>AND('BBP complete'!H1060,"AAAAAH/d+nU=")</f>
        <v>#VALUE!</v>
      </c>
      <c r="DO79" t="e">
        <f>AND('BBP complete'!I1060,"AAAAAH/d+nY=")</f>
        <v>#VALUE!</v>
      </c>
      <c r="DP79" s="60" t="e">
        <v>#VALUE!</v>
      </c>
      <c r="DQ79" t="e">
        <f>AND('BBP complete'!A1062,"AAAAAH/d+ng=")</f>
        <v>#VALUE!</v>
      </c>
      <c r="DR79" t="e">
        <f>AND('BBP complete'!#REF!,"AAAAAH/d+nk=")</f>
        <v>#REF!</v>
      </c>
      <c r="DS79" t="e">
        <f>AND('BBP complete'!#REF!,"AAAAAH/d+no=")</f>
        <v>#REF!</v>
      </c>
      <c r="DT79" t="e">
        <f>AND('BBP complete'!#REF!,"AAAAAH/d+ns=")</f>
        <v>#REF!</v>
      </c>
      <c r="DU79" t="e">
        <f>AND('BBP complete'!#REF!,"AAAAAH/d+nw=")</f>
        <v>#REF!</v>
      </c>
      <c r="DV79" t="e">
        <f>AND('BBP complete'!#REF!,"AAAAAH/d+n0=")</f>
        <v>#REF!</v>
      </c>
      <c r="DW79" t="e">
        <f>AND('BBP complete'!E1060,"AAAAAH/d+n4=")</f>
        <v>#VALUE!</v>
      </c>
      <c r="DX79" t="e">
        <f>AND('BBP complete'!#REF!,"AAAAAH/d+n8=")</f>
        <v>#REF!</v>
      </c>
      <c r="DY79" t="e">
        <f>AND('BBP complete'!K1058,"AAAAAH/d+oA=")</f>
        <v>#VALUE!</v>
      </c>
      <c r="DZ79" t="e">
        <f>AND('BBP complete'!L1060,"AAAAAH/d+oE=")</f>
        <v>#VALUE!</v>
      </c>
      <c r="EA79" t="e">
        <f>AND('BBP complete'!#REF!,"AAAAAH/d+oI=")</f>
        <v>#REF!</v>
      </c>
      <c r="EB79" t="e">
        <f>AND('BBP complete'!#REF!,"AAAAAH/d+oM=")</f>
        <v>#REF!</v>
      </c>
      <c r="EC79" t="e">
        <f>AND('BBP complete'!#REF!,"AAAAAH/d+oQ=")</f>
        <v>#REF!</v>
      </c>
      <c r="ED79" t="e">
        <f>AND('BBP complete'!D1061,"AAAAAH/d+oU=")</f>
        <v>#VALUE!</v>
      </c>
      <c r="EE79" t="e">
        <f>AND('BBP complete'!F1061,"AAAAAH/d+oY=")</f>
        <v>#VALUE!</v>
      </c>
      <c r="EF79" t="e">
        <f>AND('BBP complete'!G1061,"AAAAAH/d+oc=")</f>
        <v>#VALUE!</v>
      </c>
      <c r="EG79" t="e">
        <f>AND('BBP complete'!H1061,"AAAAAH/d+og=")</f>
        <v>#VALUE!</v>
      </c>
      <c r="EH79" t="e">
        <f>AND('BBP complete'!I1061,"AAAAAH/d+ok=")</f>
        <v>#VALUE!</v>
      </c>
      <c r="EI79" s="60" t="e">
        <v>#VALUE!</v>
      </c>
      <c r="EJ79" t="e">
        <f>AND('BBP complete'!A1063,"AAAAAH/d+os=")</f>
        <v>#VALUE!</v>
      </c>
      <c r="EK79" t="e">
        <f>AND('BBP complete'!#REF!,"AAAAAH/d+ow=")</f>
        <v>#REF!</v>
      </c>
      <c r="EL79" t="e">
        <f>AND('BBP complete'!#REF!,"AAAAAH/d+o0=")</f>
        <v>#REF!</v>
      </c>
      <c r="EM79" t="e">
        <f>AND('BBP complete'!#REF!,"AAAAAH/d+o4=")</f>
        <v>#REF!</v>
      </c>
      <c r="EN79" t="e">
        <f>AND('BBP complete'!#REF!,"AAAAAH/d+o8=")</f>
        <v>#REF!</v>
      </c>
      <c r="EO79" t="e">
        <f>AND('BBP complete'!#REF!,"AAAAAH/d+pA=")</f>
        <v>#REF!</v>
      </c>
      <c r="EP79" t="e">
        <f>AND('BBP complete'!E1061,"AAAAAH/d+pE=")</f>
        <v>#VALUE!</v>
      </c>
      <c r="EQ79" t="e">
        <f>AND('BBP complete'!#REF!,"AAAAAH/d+pI=")</f>
        <v>#REF!</v>
      </c>
      <c r="ER79" t="e">
        <f>AND('BBP complete'!K1059,"AAAAAH/d+pM=")</f>
        <v>#VALUE!</v>
      </c>
      <c r="ES79" t="e">
        <f>AND('BBP complete'!L1061,"AAAAAH/d+pQ=")</f>
        <v>#VALUE!</v>
      </c>
      <c r="ET79" t="e">
        <f>AND('BBP complete'!#REF!,"AAAAAH/d+pU=")</f>
        <v>#REF!</v>
      </c>
      <c r="EU79" t="e">
        <f>AND('BBP complete'!#REF!,"AAAAAH/d+pY=")</f>
        <v>#REF!</v>
      </c>
      <c r="EV79" t="e">
        <f>AND('BBP complete'!#REF!,"AAAAAH/d+pc=")</f>
        <v>#REF!</v>
      </c>
      <c r="EW79" t="e">
        <f>AND('BBP complete'!D1062,"AAAAAH/d+pg=")</f>
        <v>#VALUE!</v>
      </c>
      <c r="EX79" t="e">
        <f>AND('BBP complete'!F1062,"AAAAAH/d+pk=")</f>
        <v>#VALUE!</v>
      </c>
      <c r="EY79" t="e">
        <f>AND('BBP complete'!G1062,"AAAAAH/d+po=")</f>
        <v>#VALUE!</v>
      </c>
      <c r="EZ79" t="e">
        <f>AND('BBP complete'!H1062,"AAAAAH/d+ps=")</f>
        <v>#VALUE!</v>
      </c>
      <c r="FA79" t="e">
        <f>AND('BBP complete'!I1062,"AAAAAH/d+pw=")</f>
        <v>#VALUE!</v>
      </c>
      <c r="FB79" s="60" t="e">
        <v>#VALUE!</v>
      </c>
      <c r="FC79" t="e">
        <f>AND('BBP complete'!A1064,"AAAAAH/d+p4=")</f>
        <v>#VALUE!</v>
      </c>
      <c r="FD79" t="e">
        <f>AND('BBP complete'!#REF!,"AAAAAH/d+p8=")</f>
        <v>#REF!</v>
      </c>
      <c r="FE79" t="e">
        <f>AND('BBP complete'!#REF!,"AAAAAH/d+qA=")</f>
        <v>#REF!</v>
      </c>
      <c r="FF79" t="e">
        <f>AND('BBP complete'!#REF!,"AAAAAH/d+qE=")</f>
        <v>#REF!</v>
      </c>
      <c r="FG79" t="e">
        <f>AND('BBP complete'!#REF!,"AAAAAH/d+qI=")</f>
        <v>#REF!</v>
      </c>
      <c r="FH79" t="e">
        <f>AND('BBP complete'!#REF!,"AAAAAH/d+qM=")</f>
        <v>#REF!</v>
      </c>
      <c r="FI79" t="e">
        <f>AND('BBP complete'!E1062,"AAAAAH/d+qQ=")</f>
        <v>#VALUE!</v>
      </c>
      <c r="FJ79" t="e">
        <f>AND('BBP complete'!#REF!,"AAAAAH/d+qU=")</f>
        <v>#REF!</v>
      </c>
      <c r="FK79" t="e">
        <f>AND('BBP complete'!K1060,"AAAAAH/d+qY=")</f>
        <v>#VALUE!</v>
      </c>
      <c r="FL79" t="e">
        <f>AND('BBP complete'!L1062,"AAAAAH/d+qc=")</f>
        <v>#VALUE!</v>
      </c>
      <c r="FM79" t="e">
        <f>AND('BBP complete'!#REF!,"AAAAAH/d+qg=")</f>
        <v>#REF!</v>
      </c>
      <c r="FN79" t="e">
        <f>AND('BBP complete'!#REF!,"AAAAAH/d+qk=")</f>
        <v>#REF!</v>
      </c>
      <c r="FO79" t="e">
        <f>AND('BBP complete'!#REF!,"AAAAAH/d+qo=")</f>
        <v>#REF!</v>
      </c>
      <c r="FP79" t="e">
        <f>AND('BBP complete'!D1063,"AAAAAH/d+qs=")</f>
        <v>#VALUE!</v>
      </c>
      <c r="FQ79" t="e">
        <f>AND('BBP complete'!F1063,"AAAAAH/d+qw=")</f>
        <v>#VALUE!</v>
      </c>
      <c r="FR79" t="e">
        <f>AND('BBP complete'!G1063,"AAAAAH/d+q0=")</f>
        <v>#VALUE!</v>
      </c>
      <c r="FS79" t="e">
        <f>AND('BBP complete'!H1063,"AAAAAH/d+q4=")</f>
        <v>#VALUE!</v>
      </c>
      <c r="FT79" t="e">
        <f>AND('BBP complete'!I1063,"AAAAAH/d+q8=")</f>
        <v>#VALUE!</v>
      </c>
      <c r="FU79" s="60" t="e">
        <v>#VALUE!</v>
      </c>
      <c r="FV79" t="e">
        <f>AND('BBP complete'!A1065,"AAAAAH/d+rE=")</f>
        <v>#VALUE!</v>
      </c>
      <c r="FW79" t="e">
        <f>AND('BBP complete'!#REF!,"AAAAAH/d+rI=")</f>
        <v>#REF!</v>
      </c>
      <c r="FX79" t="e">
        <f>AND('BBP complete'!#REF!,"AAAAAH/d+rM=")</f>
        <v>#REF!</v>
      </c>
      <c r="FY79" t="e">
        <f>AND('BBP complete'!#REF!,"AAAAAH/d+rQ=")</f>
        <v>#REF!</v>
      </c>
      <c r="FZ79" t="e">
        <f>AND('BBP complete'!#REF!,"AAAAAH/d+rU=")</f>
        <v>#REF!</v>
      </c>
      <c r="GA79" t="e">
        <f>AND('BBP complete'!#REF!,"AAAAAH/d+rY=")</f>
        <v>#REF!</v>
      </c>
      <c r="GB79" t="e">
        <f>AND('BBP complete'!E1063,"AAAAAH/d+rc=")</f>
        <v>#VALUE!</v>
      </c>
      <c r="GC79" t="e">
        <f>AND('BBP complete'!#REF!,"AAAAAH/d+rg=")</f>
        <v>#REF!</v>
      </c>
      <c r="GD79" t="e">
        <f>AND('BBP complete'!K1061,"AAAAAH/d+rk=")</f>
        <v>#VALUE!</v>
      </c>
      <c r="GE79" t="e">
        <f>AND('BBP complete'!L1063,"AAAAAH/d+ro=")</f>
        <v>#VALUE!</v>
      </c>
      <c r="GF79" t="e">
        <f>AND('BBP complete'!#REF!,"AAAAAH/d+rs=")</f>
        <v>#REF!</v>
      </c>
      <c r="GG79" t="e">
        <f>AND('BBP complete'!#REF!,"AAAAAH/d+rw=")</f>
        <v>#REF!</v>
      </c>
      <c r="GH79" t="e">
        <f>AND('BBP complete'!#REF!,"AAAAAH/d+r0=")</f>
        <v>#REF!</v>
      </c>
      <c r="GI79" t="e">
        <f>AND('BBP complete'!D1064,"AAAAAH/d+r4=")</f>
        <v>#VALUE!</v>
      </c>
      <c r="GJ79" t="e">
        <f>AND('BBP complete'!F1064,"AAAAAH/d+r8=")</f>
        <v>#VALUE!</v>
      </c>
      <c r="GK79" t="e">
        <f>AND('BBP complete'!G1064,"AAAAAH/d+sA=")</f>
        <v>#VALUE!</v>
      </c>
      <c r="GL79" t="e">
        <f>AND('BBP complete'!H1064,"AAAAAH/d+sE=")</f>
        <v>#VALUE!</v>
      </c>
      <c r="GM79" t="e">
        <f>AND('BBP complete'!I1064,"AAAAAH/d+sI=")</f>
        <v>#VALUE!</v>
      </c>
      <c r="GN79" s="60" t="e">
        <v>#VALUE!</v>
      </c>
      <c r="GO79" t="e">
        <f>AND('BBP complete'!A1066,"AAAAAH/d+sQ=")</f>
        <v>#VALUE!</v>
      </c>
      <c r="GP79" t="e">
        <f>AND('BBP complete'!#REF!,"AAAAAH/d+sU=")</f>
        <v>#REF!</v>
      </c>
      <c r="GQ79" t="e">
        <f>AND('BBP complete'!#REF!,"AAAAAH/d+sY=")</f>
        <v>#REF!</v>
      </c>
      <c r="GR79" t="e">
        <f>AND('BBP complete'!#REF!,"AAAAAH/d+sc=")</f>
        <v>#REF!</v>
      </c>
      <c r="GS79" t="e">
        <f>AND('BBP complete'!#REF!,"AAAAAH/d+sg=")</f>
        <v>#REF!</v>
      </c>
      <c r="GT79" t="e">
        <f>AND('BBP complete'!#REF!,"AAAAAH/d+sk=")</f>
        <v>#REF!</v>
      </c>
      <c r="GU79" t="e">
        <f>AND('BBP complete'!E1064,"AAAAAH/d+so=")</f>
        <v>#VALUE!</v>
      </c>
      <c r="GV79" t="e">
        <f>AND('BBP complete'!#REF!,"AAAAAH/d+ss=")</f>
        <v>#REF!</v>
      </c>
      <c r="GW79" t="e">
        <f>AND('BBP complete'!K1062,"AAAAAH/d+sw=")</f>
        <v>#VALUE!</v>
      </c>
      <c r="GX79" t="e">
        <f>AND('BBP complete'!L1064,"AAAAAH/d+s0=")</f>
        <v>#VALUE!</v>
      </c>
      <c r="GY79" t="e">
        <f>AND('BBP complete'!#REF!,"AAAAAH/d+s4=")</f>
        <v>#REF!</v>
      </c>
      <c r="GZ79" t="e">
        <f>AND('BBP complete'!#REF!,"AAAAAH/d+s8=")</f>
        <v>#REF!</v>
      </c>
      <c r="HA79" t="e">
        <f>AND('BBP complete'!#REF!,"AAAAAH/d+tA=")</f>
        <v>#REF!</v>
      </c>
      <c r="HB79" t="e">
        <f>AND('BBP complete'!D1065,"AAAAAH/d+tE=")</f>
        <v>#VALUE!</v>
      </c>
      <c r="HC79" t="e">
        <f>AND('BBP complete'!F1065,"AAAAAH/d+tI=")</f>
        <v>#VALUE!</v>
      </c>
      <c r="HD79" t="e">
        <f>AND('BBP complete'!G1065,"AAAAAH/d+tM=")</f>
        <v>#VALUE!</v>
      </c>
      <c r="HE79" t="e">
        <f>AND('BBP complete'!H1065,"AAAAAH/d+tQ=")</f>
        <v>#VALUE!</v>
      </c>
      <c r="HF79" t="e">
        <f>AND('BBP complete'!I1065,"AAAAAH/d+tU=")</f>
        <v>#VALUE!</v>
      </c>
      <c r="HG79" s="60" t="e">
        <v>#VALUE!</v>
      </c>
      <c r="HH79" t="e">
        <f>AND('BBP complete'!A1067,"AAAAAH/d+tc=")</f>
        <v>#VALUE!</v>
      </c>
      <c r="HI79" t="e">
        <f>AND('BBP complete'!#REF!,"AAAAAH/d+tg=")</f>
        <v>#REF!</v>
      </c>
      <c r="HJ79" t="e">
        <f>AND('BBP complete'!#REF!,"AAAAAH/d+tk=")</f>
        <v>#REF!</v>
      </c>
      <c r="HK79" t="e">
        <f>AND('BBP complete'!#REF!,"AAAAAH/d+to=")</f>
        <v>#REF!</v>
      </c>
      <c r="HL79" t="e">
        <f>AND('BBP complete'!#REF!,"AAAAAH/d+ts=")</f>
        <v>#REF!</v>
      </c>
      <c r="HM79" t="e">
        <f>AND('BBP complete'!#REF!,"AAAAAH/d+tw=")</f>
        <v>#REF!</v>
      </c>
      <c r="HN79" t="e">
        <f>AND('BBP complete'!E1065,"AAAAAH/d+t0=")</f>
        <v>#VALUE!</v>
      </c>
      <c r="HO79" t="e">
        <f>AND('BBP complete'!#REF!,"AAAAAH/d+t4=")</f>
        <v>#REF!</v>
      </c>
      <c r="HP79" t="e">
        <f>AND('BBP complete'!K1063,"AAAAAH/d+t8=")</f>
        <v>#VALUE!</v>
      </c>
      <c r="HQ79" t="e">
        <f>AND('BBP complete'!L1065,"AAAAAH/d+uA=")</f>
        <v>#VALUE!</v>
      </c>
      <c r="HR79" t="e">
        <f>AND('BBP complete'!#REF!,"AAAAAH/d+uE=")</f>
        <v>#REF!</v>
      </c>
      <c r="HS79" t="e">
        <f>AND('BBP complete'!#REF!,"AAAAAH/d+uI=")</f>
        <v>#REF!</v>
      </c>
      <c r="HT79" t="e">
        <f>AND('BBP complete'!#REF!,"AAAAAH/d+uM=")</f>
        <v>#REF!</v>
      </c>
      <c r="HU79" t="e">
        <f>AND('BBP complete'!D1066,"AAAAAH/d+uQ=")</f>
        <v>#VALUE!</v>
      </c>
      <c r="HV79" t="e">
        <f>AND('BBP complete'!F1066,"AAAAAH/d+uU=")</f>
        <v>#VALUE!</v>
      </c>
      <c r="HW79" t="e">
        <f>AND('BBP complete'!G1066,"AAAAAH/d+uY=")</f>
        <v>#VALUE!</v>
      </c>
      <c r="HX79" t="e">
        <f>AND('BBP complete'!H1066,"AAAAAH/d+uc=")</f>
        <v>#VALUE!</v>
      </c>
      <c r="HY79" t="e">
        <f>AND('BBP complete'!I1066,"AAAAAH/d+ug=")</f>
        <v>#VALUE!</v>
      </c>
      <c r="HZ79" s="60" t="e">
        <v>#VALUE!</v>
      </c>
      <c r="IA79" t="e">
        <f>AND('BBP complete'!A1068,"AAAAAH/d+uo=")</f>
        <v>#VALUE!</v>
      </c>
      <c r="IB79" t="e">
        <f>AND('BBP complete'!B1074,"AAAAAH/d+us=")</f>
        <v>#VALUE!</v>
      </c>
      <c r="IC79" t="e">
        <f>AND('BBP complete'!C1074,"AAAAAH/d+uw=")</f>
        <v>#VALUE!</v>
      </c>
      <c r="ID79" t="e">
        <f>AND('BBP complete'!#REF!,"AAAAAH/d+u0=")</f>
        <v>#REF!</v>
      </c>
      <c r="IE79" t="e">
        <f>AND('BBP complete'!#REF!,"AAAAAH/d+u4=")</f>
        <v>#REF!</v>
      </c>
      <c r="IF79" t="e">
        <f>AND('BBP complete'!#REF!,"AAAAAH/d+u8=")</f>
        <v>#REF!</v>
      </c>
      <c r="IG79" t="e">
        <f>AND('BBP complete'!E1066,"AAAAAH/d+vA=")</f>
        <v>#VALUE!</v>
      </c>
      <c r="IH79" t="e">
        <f>AND('BBP complete'!#REF!,"AAAAAH/d+vE=")</f>
        <v>#REF!</v>
      </c>
      <c r="II79" t="e">
        <f>AND('BBP complete'!K1064,"AAAAAH/d+vI=")</f>
        <v>#VALUE!</v>
      </c>
      <c r="IJ79" t="e">
        <f>AND('BBP complete'!L1066,"AAAAAH/d+vM=")</f>
        <v>#VALUE!</v>
      </c>
      <c r="IK79" t="e">
        <f>AND('BBP complete'!#REF!,"AAAAAH/d+vQ=")</f>
        <v>#REF!</v>
      </c>
      <c r="IL79" t="e">
        <f>AND('BBP complete'!#REF!,"AAAAAH/d+vU=")</f>
        <v>#REF!</v>
      </c>
      <c r="IM79" t="e">
        <f>AND('BBP complete'!#REF!,"AAAAAH/d+vY=")</f>
        <v>#REF!</v>
      </c>
      <c r="IN79" t="e">
        <f>AND('BBP complete'!D1067,"AAAAAH/d+vc=")</f>
        <v>#VALUE!</v>
      </c>
      <c r="IO79" t="e">
        <f>AND('BBP complete'!F1067,"AAAAAH/d+vg=")</f>
        <v>#VALUE!</v>
      </c>
      <c r="IP79" t="e">
        <f>AND('BBP complete'!G1067,"AAAAAH/d+vk=")</f>
        <v>#VALUE!</v>
      </c>
      <c r="IQ79" t="e">
        <f>AND('BBP complete'!H1067,"AAAAAH/d+vo=")</f>
        <v>#VALUE!</v>
      </c>
      <c r="IR79" t="e">
        <f>AND('BBP complete'!I1067,"AAAAAH/d+vs=")</f>
        <v>#VALUE!</v>
      </c>
      <c r="IS79" s="60" t="e">
        <v>#VALUE!</v>
      </c>
      <c r="IT79" t="e">
        <f>AND('BBP complete'!A1069,"AAAAAH/d+v0=")</f>
        <v>#VALUE!</v>
      </c>
      <c r="IU79" t="e">
        <f>AND('BBP complete'!B1076,"AAAAAH/d+v4=")</f>
        <v>#VALUE!</v>
      </c>
      <c r="IV79" t="e">
        <f>AND('BBP complete'!C1076,"AAAAAH/d+v8=")</f>
        <v>#VALUE!</v>
      </c>
    </row>
    <row r="80" spans="1:256" ht="15" customHeight="1" x14ac:dyDescent="0.25">
      <c r="A80" t="e">
        <f>AND('BBP complete'!#REF!,"AAAAAGf/zwA=")</f>
        <v>#REF!</v>
      </c>
      <c r="B80" t="e">
        <f>AND('BBP complete'!#REF!,"AAAAAGf/zwE=")</f>
        <v>#REF!</v>
      </c>
      <c r="C80" t="e">
        <f>AND('BBP complete'!#REF!,"AAAAAGf/zwI=")</f>
        <v>#REF!</v>
      </c>
      <c r="D80" t="e">
        <f>AND('BBP complete'!E1067,"AAAAAGf/zwM=")</f>
        <v>#VALUE!</v>
      </c>
      <c r="E80" t="e">
        <f>AND('BBP complete'!#REF!,"AAAAAGf/zwQ=")</f>
        <v>#REF!</v>
      </c>
      <c r="F80" t="e">
        <f>AND('BBP complete'!K1065,"AAAAAGf/zwU=")</f>
        <v>#VALUE!</v>
      </c>
      <c r="G80" t="e">
        <f>AND('BBP complete'!L1067,"AAAAAGf/zwY=")</f>
        <v>#VALUE!</v>
      </c>
      <c r="H80" t="e">
        <f>AND('BBP complete'!#REF!,"AAAAAGf/zwc=")</f>
        <v>#REF!</v>
      </c>
      <c r="I80" t="e">
        <f>AND('BBP complete'!#REF!,"AAAAAGf/zwg=")</f>
        <v>#REF!</v>
      </c>
      <c r="J80" t="e">
        <f>AND('BBP complete'!#REF!,"AAAAAGf/zwk=")</f>
        <v>#REF!</v>
      </c>
      <c r="K80" t="e">
        <f>AND('BBP complete'!D1068,"AAAAAGf/zwo=")</f>
        <v>#VALUE!</v>
      </c>
      <c r="L80" t="e">
        <f>AND('BBP complete'!F1068,"AAAAAGf/zws=")</f>
        <v>#VALUE!</v>
      </c>
      <c r="M80" t="e">
        <f>AND('BBP complete'!G1068,"AAAAAGf/zww=")</f>
        <v>#VALUE!</v>
      </c>
      <c r="N80" t="e">
        <f>AND('BBP complete'!H1068,"AAAAAGf/zw0=")</f>
        <v>#VALUE!</v>
      </c>
      <c r="O80" t="e">
        <f>AND('BBP complete'!I1068,"AAAAAGf/zw4=")</f>
        <v>#VALUE!</v>
      </c>
      <c r="P80" s="60" t="e">
        <v>#VALUE!</v>
      </c>
      <c r="Q80" t="e">
        <f>AND('BBP complete'!A1070,"AAAAAGf/zxA=")</f>
        <v>#VALUE!</v>
      </c>
      <c r="R80" t="e">
        <f>AND('BBP complete'!B1077,"AAAAAGf/zxE=")</f>
        <v>#VALUE!</v>
      </c>
      <c r="S80" t="e">
        <f>AND('BBP complete'!C1077,"AAAAAGf/zxI=")</f>
        <v>#VALUE!</v>
      </c>
      <c r="T80" t="e">
        <f>AND('BBP complete'!#REF!,"AAAAAGf/zxM=")</f>
        <v>#REF!</v>
      </c>
      <c r="U80" t="e">
        <f>AND('BBP complete'!#REF!,"AAAAAGf/zxQ=")</f>
        <v>#REF!</v>
      </c>
      <c r="V80" t="e">
        <f>AND('BBP complete'!#REF!,"AAAAAGf/zxU=")</f>
        <v>#REF!</v>
      </c>
      <c r="W80" t="e">
        <f>AND('BBP complete'!E1068,"AAAAAGf/zxY=")</f>
        <v>#VALUE!</v>
      </c>
      <c r="X80" t="e">
        <f>AND('BBP complete'!#REF!,"AAAAAGf/zxc=")</f>
        <v>#REF!</v>
      </c>
      <c r="Y80" t="e">
        <f>AND('BBP complete'!K1066,"AAAAAGf/zxg=")</f>
        <v>#VALUE!</v>
      </c>
      <c r="Z80" t="e">
        <f>AND('BBP complete'!L1068,"AAAAAGf/zxk=")</f>
        <v>#VALUE!</v>
      </c>
      <c r="AA80" t="e">
        <f>AND('BBP complete'!#REF!,"AAAAAGf/zxo=")</f>
        <v>#REF!</v>
      </c>
      <c r="AB80" t="e">
        <f>AND('BBP complete'!#REF!,"AAAAAGf/zxs=")</f>
        <v>#REF!</v>
      </c>
      <c r="AC80" t="e">
        <f>AND('BBP complete'!#REF!,"AAAAAGf/zxw=")</f>
        <v>#REF!</v>
      </c>
      <c r="AD80" t="e">
        <f>AND('BBP complete'!D1069,"AAAAAGf/zx0=")</f>
        <v>#VALUE!</v>
      </c>
      <c r="AE80" t="e">
        <f>AND('BBP complete'!F1069,"AAAAAGf/zx4=")</f>
        <v>#VALUE!</v>
      </c>
      <c r="AF80" t="e">
        <f>AND('BBP complete'!G1069,"AAAAAGf/zx8=")</f>
        <v>#VALUE!</v>
      </c>
      <c r="AG80" t="e">
        <f>AND('BBP complete'!H1069,"AAAAAGf/zyA=")</f>
        <v>#VALUE!</v>
      </c>
      <c r="AH80" t="e">
        <f>AND('BBP complete'!I1069,"AAAAAGf/zyE=")</f>
        <v>#VALUE!</v>
      </c>
      <c r="AI80" s="60" t="e">
        <v>#VALUE!</v>
      </c>
      <c r="AJ80" t="e">
        <f>AND('BBP complete'!A1071,"AAAAAGf/zyM=")</f>
        <v>#VALUE!</v>
      </c>
      <c r="AK80" t="e">
        <f>AND('BBP complete'!B1078,"AAAAAGf/zyQ=")</f>
        <v>#VALUE!</v>
      </c>
      <c r="AL80" t="e">
        <f>AND('BBP complete'!C1078,"AAAAAGf/zyU=")</f>
        <v>#VALUE!</v>
      </c>
      <c r="AM80" t="e">
        <f>AND('BBP complete'!#REF!,"AAAAAGf/zyY=")</f>
        <v>#REF!</v>
      </c>
      <c r="AN80" t="e">
        <f>AND('BBP complete'!#REF!,"AAAAAGf/zyc=")</f>
        <v>#REF!</v>
      </c>
      <c r="AO80" t="e">
        <f>AND('BBP complete'!#REF!,"AAAAAGf/zyg=")</f>
        <v>#REF!</v>
      </c>
      <c r="AP80" t="e">
        <f>AND('BBP complete'!E1069,"AAAAAGf/zyk=")</f>
        <v>#VALUE!</v>
      </c>
      <c r="AQ80" t="e">
        <f>AND('BBP complete'!#REF!,"AAAAAGf/zyo=")</f>
        <v>#REF!</v>
      </c>
      <c r="AR80" t="e">
        <f>AND('BBP complete'!K1067,"AAAAAGf/zys=")</f>
        <v>#VALUE!</v>
      </c>
      <c r="AS80" t="e">
        <f>AND('BBP complete'!L1069,"AAAAAGf/zyw=")</f>
        <v>#VALUE!</v>
      </c>
      <c r="AT80" t="e">
        <f>AND('BBP complete'!#REF!,"AAAAAGf/zy0=")</f>
        <v>#REF!</v>
      </c>
      <c r="AU80" t="e">
        <f>AND('BBP complete'!#REF!,"AAAAAGf/zy4=")</f>
        <v>#REF!</v>
      </c>
      <c r="AV80" t="e">
        <f>AND('BBP complete'!#REF!,"AAAAAGf/zy8=")</f>
        <v>#REF!</v>
      </c>
      <c r="AW80" t="e">
        <f>AND('BBP complete'!D1070,"AAAAAGf/zzA=")</f>
        <v>#VALUE!</v>
      </c>
      <c r="AX80" t="e">
        <f>AND('BBP complete'!F1070,"AAAAAGf/zzE=")</f>
        <v>#VALUE!</v>
      </c>
      <c r="AY80" t="e">
        <f>AND('BBP complete'!G1070,"AAAAAGf/zzI=")</f>
        <v>#VALUE!</v>
      </c>
      <c r="AZ80" t="e">
        <f>AND('BBP complete'!H1070,"AAAAAGf/zzM=")</f>
        <v>#VALUE!</v>
      </c>
      <c r="BA80" t="e">
        <f>AND('BBP complete'!I1070,"AAAAAGf/zzQ=")</f>
        <v>#VALUE!</v>
      </c>
      <c r="BB80" s="60" t="e">
        <v>#VALUE!</v>
      </c>
      <c r="BC80" t="e">
        <f>AND('BBP complete'!A1072,"AAAAAGf/zzY=")</f>
        <v>#VALUE!</v>
      </c>
      <c r="BD80" t="e">
        <f>AND('BBP complete'!B1079,"AAAAAGf/zzc=")</f>
        <v>#VALUE!</v>
      </c>
      <c r="BE80" t="e">
        <f>AND('BBP complete'!C1079,"AAAAAGf/zzg=")</f>
        <v>#VALUE!</v>
      </c>
      <c r="BF80" t="e">
        <f>AND('BBP complete'!#REF!,"AAAAAGf/zzk=")</f>
        <v>#REF!</v>
      </c>
      <c r="BG80" t="e">
        <f>AND('BBP complete'!#REF!,"AAAAAGf/zzo=")</f>
        <v>#REF!</v>
      </c>
      <c r="BH80" t="e">
        <f>AND('BBP complete'!#REF!,"AAAAAGf/zzs=")</f>
        <v>#REF!</v>
      </c>
      <c r="BI80" t="e">
        <f>AND('BBP complete'!E1070,"AAAAAGf/zzw=")</f>
        <v>#VALUE!</v>
      </c>
      <c r="BJ80" t="e">
        <f>AND('BBP complete'!#REF!,"AAAAAGf/zz0=")</f>
        <v>#REF!</v>
      </c>
      <c r="BK80" t="e">
        <f>AND('BBP complete'!K1068,"AAAAAGf/zz4=")</f>
        <v>#VALUE!</v>
      </c>
      <c r="BL80" t="e">
        <f>AND('BBP complete'!L1070,"AAAAAGf/zz8=")</f>
        <v>#VALUE!</v>
      </c>
      <c r="BM80" t="e">
        <f>AND('BBP complete'!#REF!,"AAAAAGf/z0A=")</f>
        <v>#REF!</v>
      </c>
      <c r="BN80" t="e">
        <f>AND('BBP complete'!#REF!,"AAAAAGf/z0E=")</f>
        <v>#REF!</v>
      </c>
      <c r="BO80" t="e">
        <f>AND('BBP complete'!#REF!,"AAAAAGf/z0I=")</f>
        <v>#REF!</v>
      </c>
      <c r="BP80" t="e">
        <f>AND('BBP complete'!D1071,"AAAAAGf/z0M=")</f>
        <v>#VALUE!</v>
      </c>
      <c r="BQ80" t="e">
        <f>AND('BBP complete'!F1071,"AAAAAGf/z0Q=")</f>
        <v>#VALUE!</v>
      </c>
      <c r="BR80" t="e">
        <f>AND('BBP complete'!G1071,"AAAAAGf/z0U=")</f>
        <v>#VALUE!</v>
      </c>
      <c r="BS80" t="e">
        <f>AND('BBP complete'!H1071,"AAAAAGf/z0Y=")</f>
        <v>#VALUE!</v>
      </c>
      <c r="BT80" t="e">
        <f>AND('BBP complete'!I1071,"AAAAAGf/z0c=")</f>
        <v>#VALUE!</v>
      </c>
      <c r="BU80" s="60" t="e">
        <v>#VALUE!</v>
      </c>
      <c r="BV80" t="e">
        <f>AND('BBP complete'!A1073,"AAAAAGf/z0k=")</f>
        <v>#VALUE!</v>
      </c>
      <c r="BW80" t="e">
        <f>AND('BBP complete'!B1081,"AAAAAGf/z0o=")</f>
        <v>#VALUE!</v>
      </c>
      <c r="BX80" t="e">
        <f>AND('BBP complete'!C1081,"AAAAAGf/z0s=")</f>
        <v>#VALUE!</v>
      </c>
      <c r="BY80" t="e">
        <f>AND('BBP complete'!#REF!,"AAAAAGf/z0w=")</f>
        <v>#REF!</v>
      </c>
      <c r="BZ80" t="e">
        <f>AND('BBP complete'!#REF!,"AAAAAGf/z00=")</f>
        <v>#REF!</v>
      </c>
      <c r="CA80" t="e">
        <f>AND('BBP complete'!#REF!,"AAAAAGf/z04=")</f>
        <v>#REF!</v>
      </c>
      <c r="CB80" t="e">
        <f>AND('BBP complete'!E1071,"AAAAAGf/z08=")</f>
        <v>#VALUE!</v>
      </c>
      <c r="CC80" t="e">
        <f>AND('BBP complete'!#REF!,"AAAAAGf/z1A=")</f>
        <v>#REF!</v>
      </c>
      <c r="CD80" t="e">
        <f>AND('BBP complete'!K1069,"AAAAAGf/z1E=")</f>
        <v>#VALUE!</v>
      </c>
      <c r="CE80" t="e">
        <f>AND('BBP complete'!L1071,"AAAAAGf/z1I=")</f>
        <v>#VALUE!</v>
      </c>
      <c r="CF80" t="e">
        <f>AND('BBP complete'!#REF!,"AAAAAGf/z1M=")</f>
        <v>#REF!</v>
      </c>
      <c r="CG80" t="e">
        <f>AND('BBP complete'!#REF!,"AAAAAGf/z1Q=")</f>
        <v>#REF!</v>
      </c>
      <c r="CH80" t="e">
        <f>AND('BBP complete'!#REF!,"AAAAAGf/z1U=")</f>
        <v>#REF!</v>
      </c>
      <c r="CI80" t="e">
        <f>AND('BBP complete'!D1072,"AAAAAGf/z1Y=")</f>
        <v>#VALUE!</v>
      </c>
      <c r="CJ80" t="e">
        <f>AND('BBP complete'!F1072,"AAAAAGf/z1c=")</f>
        <v>#VALUE!</v>
      </c>
      <c r="CK80" t="e">
        <f>AND('BBP complete'!G1072,"AAAAAGf/z1g=")</f>
        <v>#VALUE!</v>
      </c>
      <c r="CL80" t="e">
        <f>AND('BBP complete'!H1072,"AAAAAGf/z1k=")</f>
        <v>#VALUE!</v>
      </c>
      <c r="CM80" t="e">
        <f>AND('BBP complete'!I1072,"AAAAAGf/z1o=")</f>
        <v>#VALUE!</v>
      </c>
      <c r="CN80" s="60" t="e">
        <v>#VALUE!</v>
      </c>
      <c r="CO80" t="e">
        <f>AND('BBP complete'!A1074,"AAAAAGf/z1w=")</f>
        <v>#VALUE!</v>
      </c>
      <c r="CP80" t="e">
        <f>AND('BBP complete'!B1082,"AAAAAGf/z10=")</f>
        <v>#VALUE!</v>
      </c>
      <c r="CQ80" t="e">
        <f>AND('BBP complete'!C1082,"AAAAAGf/z14=")</f>
        <v>#VALUE!</v>
      </c>
      <c r="CR80" t="e">
        <f>AND('BBP complete'!#REF!,"AAAAAGf/z18=")</f>
        <v>#REF!</v>
      </c>
      <c r="CS80" t="e">
        <f>AND('BBP complete'!#REF!,"AAAAAGf/z2A=")</f>
        <v>#REF!</v>
      </c>
      <c r="CT80" t="e">
        <f>AND('BBP complete'!#REF!,"AAAAAGf/z2E=")</f>
        <v>#REF!</v>
      </c>
      <c r="CU80" t="e">
        <f>AND('BBP complete'!E1072,"AAAAAGf/z2I=")</f>
        <v>#VALUE!</v>
      </c>
      <c r="CV80" t="e">
        <f>AND('BBP complete'!#REF!,"AAAAAGf/z2M=")</f>
        <v>#REF!</v>
      </c>
      <c r="CW80" t="e">
        <f>AND('BBP complete'!K1070,"AAAAAGf/z2Q=")</f>
        <v>#VALUE!</v>
      </c>
      <c r="CX80" t="e">
        <f>AND('BBP complete'!L1072,"AAAAAGf/z2U=")</f>
        <v>#VALUE!</v>
      </c>
      <c r="CY80" t="e">
        <f>AND('BBP complete'!#REF!,"AAAAAGf/z2Y=")</f>
        <v>#REF!</v>
      </c>
      <c r="CZ80" t="e">
        <f>AND('BBP complete'!#REF!,"AAAAAGf/z2c=")</f>
        <v>#REF!</v>
      </c>
      <c r="DA80" t="e">
        <f>AND('BBP complete'!#REF!,"AAAAAGf/z2g=")</f>
        <v>#REF!</v>
      </c>
      <c r="DB80" t="e">
        <f>AND('BBP complete'!D1073,"AAAAAGf/z2k=")</f>
        <v>#VALUE!</v>
      </c>
      <c r="DC80" t="e">
        <f>AND('BBP complete'!F1073,"AAAAAGf/z2o=")</f>
        <v>#VALUE!</v>
      </c>
      <c r="DD80" t="e">
        <f>AND('BBP complete'!G1073,"AAAAAGf/z2s=")</f>
        <v>#VALUE!</v>
      </c>
      <c r="DE80" t="e">
        <f>AND('BBP complete'!H1073,"AAAAAGf/z2w=")</f>
        <v>#VALUE!</v>
      </c>
      <c r="DF80" t="e">
        <f>AND('BBP complete'!I1073,"AAAAAGf/z20=")</f>
        <v>#VALUE!</v>
      </c>
      <c r="DG80" s="60" t="e">
        <v>#VALUE!</v>
      </c>
      <c r="DH80" t="e">
        <f>AND('BBP complete'!A1075,"AAAAAGf/z28=")</f>
        <v>#VALUE!</v>
      </c>
      <c r="DI80" t="e">
        <f>AND('BBP complete'!B1083,"AAAAAGf/z3A=")</f>
        <v>#VALUE!</v>
      </c>
      <c r="DJ80" t="e">
        <f>AND('BBP complete'!C1083,"AAAAAGf/z3E=")</f>
        <v>#VALUE!</v>
      </c>
      <c r="DK80" t="e">
        <f>AND('BBP complete'!#REF!,"AAAAAGf/z3I=")</f>
        <v>#REF!</v>
      </c>
      <c r="DL80" t="e">
        <f>AND('BBP complete'!#REF!,"AAAAAGf/z3M=")</f>
        <v>#REF!</v>
      </c>
      <c r="DM80" t="e">
        <f>AND('BBP complete'!#REF!,"AAAAAGf/z3Q=")</f>
        <v>#REF!</v>
      </c>
      <c r="DN80" t="e">
        <f>AND('BBP complete'!E1073,"AAAAAGf/z3U=")</f>
        <v>#VALUE!</v>
      </c>
      <c r="DO80" t="e">
        <f>AND('BBP complete'!#REF!,"AAAAAGf/z3Y=")</f>
        <v>#REF!</v>
      </c>
      <c r="DP80" t="e">
        <f>AND('BBP complete'!K1071,"AAAAAGf/z3c=")</f>
        <v>#VALUE!</v>
      </c>
      <c r="DQ80" t="e">
        <f>AND('BBP complete'!L1073,"AAAAAGf/z3g=")</f>
        <v>#VALUE!</v>
      </c>
      <c r="DR80" t="e">
        <f>AND('BBP complete'!#REF!,"AAAAAGf/z3k=")</f>
        <v>#REF!</v>
      </c>
      <c r="DS80" t="e">
        <f>AND('BBP complete'!#REF!,"AAAAAGf/z3o=")</f>
        <v>#REF!</v>
      </c>
      <c r="DT80" t="e">
        <f>AND('BBP complete'!#REF!,"AAAAAGf/z3s=")</f>
        <v>#REF!</v>
      </c>
      <c r="DU80" t="e">
        <f>AND('BBP complete'!D1074,"AAAAAGf/z3w=")</f>
        <v>#VALUE!</v>
      </c>
      <c r="DV80" t="e">
        <f>AND('BBP complete'!F1074,"AAAAAGf/z30=")</f>
        <v>#VALUE!</v>
      </c>
      <c r="DW80" t="e">
        <f>AND('BBP complete'!G1074,"AAAAAGf/z34=")</f>
        <v>#VALUE!</v>
      </c>
      <c r="DX80" t="e">
        <f>AND('BBP complete'!H1074,"AAAAAGf/z38=")</f>
        <v>#VALUE!</v>
      </c>
      <c r="DY80" t="e">
        <f>AND('BBP complete'!I1074,"AAAAAGf/z4A=")</f>
        <v>#VALUE!</v>
      </c>
      <c r="DZ80" s="60" t="e">
        <v>#VALUE!</v>
      </c>
      <c r="EA80" t="e">
        <f>AND('BBP complete'!A1076,"AAAAAGf/z4I=")</f>
        <v>#VALUE!</v>
      </c>
      <c r="EB80" t="e">
        <f>AND('BBP complete'!B1084,"AAAAAGf/z4M=")</f>
        <v>#VALUE!</v>
      </c>
      <c r="EC80" t="e">
        <f>AND('BBP complete'!C1084,"AAAAAGf/z4Q=")</f>
        <v>#VALUE!</v>
      </c>
      <c r="ED80" t="e">
        <f>AND('BBP complete'!#REF!,"AAAAAGf/z4U=")</f>
        <v>#REF!</v>
      </c>
      <c r="EE80" t="e">
        <f>AND('BBP complete'!#REF!,"AAAAAGf/z4Y=")</f>
        <v>#REF!</v>
      </c>
      <c r="EF80" t="e">
        <f>AND('BBP complete'!#REF!,"AAAAAGf/z4c=")</f>
        <v>#REF!</v>
      </c>
      <c r="EG80" t="e">
        <f>AND('BBP complete'!E1074,"AAAAAGf/z4g=")</f>
        <v>#VALUE!</v>
      </c>
      <c r="EH80" t="e">
        <f>AND('BBP complete'!#REF!,"AAAAAGf/z4k=")</f>
        <v>#REF!</v>
      </c>
      <c r="EI80" t="e">
        <f>AND('BBP complete'!K1072,"AAAAAGf/z4o=")</f>
        <v>#VALUE!</v>
      </c>
      <c r="EJ80" t="e">
        <f>AND('BBP complete'!L1074,"AAAAAGf/z4s=")</f>
        <v>#VALUE!</v>
      </c>
      <c r="EK80" t="e">
        <f>AND('BBP complete'!#REF!,"AAAAAGf/z4w=")</f>
        <v>#REF!</v>
      </c>
      <c r="EL80" t="e">
        <f>AND('BBP complete'!#REF!,"AAAAAGf/z40=")</f>
        <v>#REF!</v>
      </c>
      <c r="EM80" t="e">
        <f>AND('BBP complete'!#REF!,"AAAAAGf/z44=")</f>
        <v>#REF!</v>
      </c>
      <c r="EN80" t="e">
        <f>AND('BBP complete'!D1075,"AAAAAGf/z48=")</f>
        <v>#VALUE!</v>
      </c>
      <c r="EO80" t="e">
        <f>AND('BBP complete'!F1075,"AAAAAGf/z5A=")</f>
        <v>#VALUE!</v>
      </c>
      <c r="EP80" t="e">
        <f>AND('BBP complete'!G1075,"AAAAAGf/z5E=")</f>
        <v>#VALUE!</v>
      </c>
      <c r="EQ80" t="e">
        <f>AND('BBP complete'!H1075,"AAAAAGf/z5I=")</f>
        <v>#VALUE!</v>
      </c>
      <c r="ER80" t="e">
        <f>AND('BBP complete'!I1075,"AAAAAGf/z5M=")</f>
        <v>#VALUE!</v>
      </c>
      <c r="ES80" s="60" t="e">
        <v>#VALUE!</v>
      </c>
      <c r="ET80" t="e">
        <f>AND('BBP complete'!A1077,"AAAAAGf/z5U=")</f>
        <v>#VALUE!</v>
      </c>
      <c r="EU80" t="e">
        <f>AND('BBP complete'!B1085,"AAAAAGf/z5Y=")</f>
        <v>#VALUE!</v>
      </c>
      <c r="EV80" t="e">
        <f>AND('BBP complete'!C1085,"AAAAAGf/z5c=")</f>
        <v>#VALUE!</v>
      </c>
      <c r="EW80" t="e">
        <f>AND('BBP complete'!#REF!,"AAAAAGf/z5g=")</f>
        <v>#REF!</v>
      </c>
      <c r="EX80" t="e">
        <f>AND('BBP complete'!#REF!,"AAAAAGf/z5k=")</f>
        <v>#REF!</v>
      </c>
      <c r="EY80" t="e">
        <f>AND('BBP complete'!#REF!,"AAAAAGf/z5o=")</f>
        <v>#REF!</v>
      </c>
      <c r="EZ80" t="e">
        <f>AND('BBP complete'!E1075,"AAAAAGf/z5s=")</f>
        <v>#VALUE!</v>
      </c>
      <c r="FA80" t="e">
        <f>AND('BBP complete'!#REF!,"AAAAAGf/z5w=")</f>
        <v>#REF!</v>
      </c>
      <c r="FB80" t="e">
        <f>AND('BBP complete'!K1073,"AAAAAGf/z50=")</f>
        <v>#VALUE!</v>
      </c>
      <c r="FC80" t="e">
        <f>AND('BBP complete'!L1075,"AAAAAGf/z54=")</f>
        <v>#VALUE!</v>
      </c>
      <c r="FD80" t="e">
        <f>AND('BBP complete'!#REF!,"AAAAAGf/z58=")</f>
        <v>#REF!</v>
      </c>
      <c r="FE80" t="e">
        <f>AND('BBP complete'!#REF!,"AAAAAGf/z6A=")</f>
        <v>#REF!</v>
      </c>
      <c r="FF80" t="e">
        <f>AND('BBP complete'!#REF!,"AAAAAGf/z6E=")</f>
        <v>#REF!</v>
      </c>
      <c r="FG80" t="e">
        <f>AND('BBP complete'!D1076,"AAAAAGf/z6I=")</f>
        <v>#VALUE!</v>
      </c>
      <c r="FH80" t="e">
        <f>AND('BBP complete'!F1076,"AAAAAGf/z6M=")</f>
        <v>#VALUE!</v>
      </c>
      <c r="FI80" t="e">
        <f>AND('BBP complete'!G1076,"AAAAAGf/z6Q=")</f>
        <v>#VALUE!</v>
      </c>
      <c r="FJ80" t="e">
        <f>AND('BBP complete'!H1076,"AAAAAGf/z6U=")</f>
        <v>#VALUE!</v>
      </c>
      <c r="FK80" t="e">
        <f>AND('BBP complete'!I1076,"AAAAAGf/z6Y=")</f>
        <v>#VALUE!</v>
      </c>
      <c r="FL80" s="60" t="e">
        <v>#VALUE!</v>
      </c>
      <c r="FM80" t="e">
        <f>AND('BBP complete'!A1078,"AAAAAGf/z6g=")</f>
        <v>#VALUE!</v>
      </c>
      <c r="FN80" t="e">
        <f>AND('BBP complete'!B1086,"AAAAAGf/z6k=")</f>
        <v>#VALUE!</v>
      </c>
      <c r="FO80" t="e">
        <f>AND('BBP complete'!C1086,"AAAAAGf/z6o=")</f>
        <v>#VALUE!</v>
      </c>
      <c r="FP80" t="e">
        <f>AND('BBP complete'!#REF!,"AAAAAGf/z6s=")</f>
        <v>#REF!</v>
      </c>
      <c r="FQ80" t="e">
        <f>AND('BBP complete'!#REF!,"AAAAAGf/z6w=")</f>
        <v>#REF!</v>
      </c>
      <c r="FR80" t="e">
        <f>AND('BBP complete'!#REF!,"AAAAAGf/z60=")</f>
        <v>#REF!</v>
      </c>
      <c r="FS80" t="e">
        <f>AND('BBP complete'!E1076,"AAAAAGf/z64=")</f>
        <v>#VALUE!</v>
      </c>
      <c r="FT80" t="e">
        <f>AND('BBP complete'!#REF!,"AAAAAGf/z68=")</f>
        <v>#REF!</v>
      </c>
      <c r="FU80" t="e">
        <f>AND('BBP complete'!K1074,"AAAAAGf/z7A=")</f>
        <v>#VALUE!</v>
      </c>
      <c r="FV80" t="e">
        <f>AND('BBP complete'!L1076,"AAAAAGf/z7E=")</f>
        <v>#VALUE!</v>
      </c>
      <c r="FW80" t="e">
        <f>AND('BBP complete'!#REF!,"AAAAAGf/z7I=")</f>
        <v>#REF!</v>
      </c>
      <c r="FX80" t="e">
        <f>AND('BBP complete'!#REF!,"AAAAAGf/z7M=")</f>
        <v>#REF!</v>
      </c>
      <c r="FY80" t="e">
        <f>AND('BBP complete'!#REF!,"AAAAAGf/z7Q=")</f>
        <v>#REF!</v>
      </c>
      <c r="FZ80" t="e">
        <f>AND('BBP complete'!D1077,"AAAAAGf/z7U=")</f>
        <v>#VALUE!</v>
      </c>
      <c r="GA80" t="e">
        <f>AND('BBP complete'!F1077,"AAAAAGf/z7Y=")</f>
        <v>#VALUE!</v>
      </c>
      <c r="GB80" t="e">
        <f>AND('BBP complete'!G1077,"AAAAAGf/z7c=")</f>
        <v>#VALUE!</v>
      </c>
      <c r="GC80" t="e">
        <f>AND('BBP complete'!H1077,"AAAAAGf/z7g=")</f>
        <v>#VALUE!</v>
      </c>
      <c r="GD80" t="e">
        <f>AND('BBP complete'!I1077,"AAAAAGf/z7k=")</f>
        <v>#VALUE!</v>
      </c>
      <c r="GE80" s="60" t="e">
        <v>#VALUE!</v>
      </c>
      <c r="GF80" t="e">
        <f>AND('BBP complete'!A1079,"AAAAAGf/z7s=")</f>
        <v>#VALUE!</v>
      </c>
      <c r="GG80" t="e">
        <f>AND('BBP complete'!B1087,"AAAAAGf/z7w=")</f>
        <v>#VALUE!</v>
      </c>
      <c r="GH80" t="e">
        <f>AND('BBP complete'!C1087,"AAAAAGf/z70=")</f>
        <v>#VALUE!</v>
      </c>
      <c r="GI80" t="e">
        <f>AND('BBP complete'!#REF!,"AAAAAGf/z74=")</f>
        <v>#REF!</v>
      </c>
      <c r="GJ80" t="e">
        <f>AND('BBP complete'!#REF!,"AAAAAGf/z78=")</f>
        <v>#REF!</v>
      </c>
      <c r="GK80" t="e">
        <f>AND('BBP complete'!#REF!,"AAAAAGf/z8A=")</f>
        <v>#REF!</v>
      </c>
      <c r="GL80" t="e">
        <f>AND('BBP complete'!E1077,"AAAAAGf/z8E=")</f>
        <v>#VALUE!</v>
      </c>
      <c r="GM80" t="e">
        <f>AND('BBP complete'!#REF!,"AAAAAGf/z8I=")</f>
        <v>#REF!</v>
      </c>
      <c r="GN80" t="e">
        <f>AND('BBP complete'!K1075,"AAAAAGf/z8M=")</f>
        <v>#VALUE!</v>
      </c>
      <c r="GO80" t="e">
        <f>AND('BBP complete'!L1077,"AAAAAGf/z8Q=")</f>
        <v>#VALUE!</v>
      </c>
      <c r="GP80" t="e">
        <f>AND('BBP complete'!#REF!,"AAAAAGf/z8U=")</f>
        <v>#REF!</v>
      </c>
      <c r="GQ80" t="e">
        <f>AND('BBP complete'!#REF!,"AAAAAGf/z8Y=")</f>
        <v>#REF!</v>
      </c>
      <c r="GR80" t="e">
        <f>AND('BBP complete'!#REF!,"AAAAAGf/z8c=")</f>
        <v>#REF!</v>
      </c>
      <c r="GS80" t="e">
        <f>AND('BBP complete'!D1078,"AAAAAGf/z8g=")</f>
        <v>#VALUE!</v>
      </c>
      <c r="GT80" t="e">
        <f>AND('BBP complete'!F1078,"AAAAAGf/z8k=")</f>
        <v>#VALUE!</v>
      </c>
      <c r="GU80" t="e">
        <f>AND('BBP complete'!G1078,"AAAAAGf/z8o=")</f>
        <v>#VALUE!</v>
      </c>
      <c r="GV80" t="e">
        <f>AND('BBP complete'!H1078,"AAAAAGf/z8s=")</f>
        <v>#VALUE!</v>
      </c>
      <c r="GW80" t="e">
        <f>AND('BBP complete'!I1078,"AAAAAGf/z8w=")</f>
        <v>#VALUE!</v>
      </c>
      <c r="GX80" s="60" t="e">
        <v>#VALUE!</v>
      </c>
      <c r="GY80" t="e">
        <f>AND('BBP complete'!A1080,"AAAAAGf/z84=")</f>
        <v>#VALUE!</v>
      </c>
      <c r="GZ80" t="e">
        <f>AND('BBP complete'!B1089,"AAAAAGf/z88=")</f>
        <v>#VALUE!</v>
      </c>
      <c r="HA80" t="e">
        <f>AND('BBP complete'!C1089,"AAAAAGf/z9A=")</f>
        <v>#VALUE!</v>
      </c>
      <c r="HB80" t="e">
        <f>AND('BBP complete'!#REF!,"AAAAAGf/z9E=")</f>
        <v>#REF!</v>
      </c>
      <c r="HC80" t="e">
        <f>AND('BBP complete'!#REF!,"AAAAAGf/z9I=")</f>
        <v>#REF!</v>
      </c>
      <c r="HD80" t="e">
        <f>AND('BBP complete'!#REF!,"AAAAAGf/z9M=")</f>
        <v>#REF!</v>
      </c>
      <c r="HE80" t="e">
        <f>AND('BBP complete'!E1078,"AAAAAGf/z9Q=")</f>
        <v>#VALUE!</v>
      </c>
      <c r="HF80" t="e">
        <f>AND('BBP complete'!#REF!,"AAAAAGf/z9U=")</f>
        <v>#REF!</v>
      </c>
      <c r="HG80" t="e">
        <f>AND('BBP complete'!K1076,"AAAAAGf/z9Y=")</f>
        <v>#VALUE!</v>
      </c>
      <c r="HH80" t="e">
        <f>AND('BBP complete'!L1078,"AAAAAGf/z9c=")</f>
        <v>#VALUE!</v>
      </c>
      <c r="HI80" t="e">
        <f>AND('BBP complete'!#REF!,"AAAAAGf/z9g=")</f>
        <v>#REF!</v>
      </c>
      <c r="HJ80" t="e">
        <f>AND('BBP complete'!#REF!,"AAAAAGf/z9k=")</f>
        <v>#REF!</v>
      </c>
      <c r="HK80" t="e">
        <f>AND('BBP complete'!#REF!,"AAAAAGf/z9o=")</f>
        <v>#REF!</v>
      </c>
      <c r="HL80" t="e">
        <f>AND('BBP complete'!D1079,"AAAAAGf/z9s=")</f>
        <v>#VALUE!</v>
      </c>
      <c r="HM80" t="e">
        <f>AND('BBP complete'!F1079,"AAAAAGf/z9w=")</f>
        <v>#VALUE!</v>
      </c>
      <c r="HN80" t="e">
        <f>AND('BBP complete'!G1079,"AAAAAGf/z90=")</f>
        <v>#VALUE!</v>
      </c>
      <c r="HO80" t="e">
        <f>AND('BBP complete'!H1079,"AAAAAGf/z94=")</f>
        <v>#VALUE!</v>
      </c>
      <c r="HP80" t="e">
        <f>AND('BBP complete'!I1079,"AAAAAGf/z98=")</f>
        <v>#VALUE!</v>
      </c>
      <c r="HQ80" s="60" t="e">
        <v>#VALUE!</v>
      </c>
      <c r="HR80" t="e">
        <f>AND('BBP complete'!A1081,"AAAAAGf/z+E=")</f>
        <v>#VALUE!</v>
      </c>
      <c r="HS80" t="e">
        <f>AND('BBP complete'!#REF!,"AAAAAGf/z+I=")</f>
        <v>#REF!</v>
      </c>
      <c r="HT80" t="e">
        <f>AND('BBP complete'!#REF!,"AAAAAGf/z+M=")</f>
        <v>#REF!</v>
      </c>
      <c r="HU80" t="e">
        <f>AND('BBP complete'!#REF!,"AAAAAGf/z+Q=")</f>
        <v>#REF!</v>
      </c>
      <c r="HV80" t="e">
        <f>AND('BBP complete'!#REF!,"AAAAAGf/z+U=")</f>
        <v>#REF!</v>
      </c>
      <c r="HW80" t="e">
        <f>AND('BBP complete'!#REF!,"AAAAAGf/z+Y=")</f>
        <v>#REF!</v>
      </c>
      <c r="HX80" t="e">
        <f>AND('BBP complete'!E1079,"AAAAAGf/z+c=")</f>
        <v>#VALUE!</v>
      </c>
      <c r="HY80" t="e">
        <f>AND('BBP complete'!#REF!,"AAAAAGf/z+g=")</f>
        <v>#REF!</v>
      </c>
      <c r="HZ80" t="e">
        <f>AND('BBP complete'!K1077,"AAAAAGf/z+k=")</f>
        <v>#VALUE!</v>
      </c>
      <c r="IA80" t="e">
        <f>AND('BBP complete'!L1079,"AAAAAGf/z+o=")</f>
        <v>#VALUE!</v>
      </c>
      <c r="IB80" t="e">
        <f>AND('BBP complete'!#REF!,"AAAAAGf/z+s=")</f>
        <v>#REF!</v>
      </c>
      <c r="IC80" t="e">
        <f>AND('BBP complete'!#REF!,"AAAAAGf/z+w=")</f>
        <v>#REF!</v>
      </c>
      <c r="ID80" t="e">
        <f>AND('BBP complete'!#REF!,"AAAAAGf/z+0=")</f>
        <v>#REF!</v>
      </c>
      <c r="IE80" t="e">
        <f>AND('BBP complete'!D1080,"AAAAAGf/z+4=")</f>
        <v>#VALUE!</v>
      </c>
      <c r="IF80" t="e">
        <f>AND('BBP complete'!F1080,"AAAAAGf/z+8=")</f>
        <v>#VALUE!</v>
      </c>
      <c r="IG80" t="e">
        <f>AND('BBP complete'!G1080,"AAAAAGf/z/A=")</f>
        <v>#VALUE!</v>
      </c>
      <c r="IH80" t="e">
        <f>AND('BBP complete'!H1080,"AAAAAGf/z/E=")</f>
        <v>#VALUE!</v>
      </c>
      <c r="II80" t="e">
        <f>AND('BBP complete'!I1080,"AAAAAGf/z/I=")</f>
        <v>#VALUE!</v>
      </c>
      <c r="IJ80" s="60" t="e">
        <v>#VALUE!</v>
      </c>
      <c r="IK80" t="e">
        <f>AND('BBP complete'!A1082,"AAAAAGf/z/Q=")</f>
        <v>#VALUE!</v>
      </c>
      <c r="IL80" t="e">
        <f>AND('BBP complete'!#REF!,"AAAAAGf/z/U=")</f>
        <v>#REF!</v>
      </c>
      <c r="IM80" t="e">
        <f>AND('BBP complete'!#REF!,"AAAAAGf/z/Y=")</f>
        <v>#REF!</v>
      </c>
      <c r="IN80" t="e">
        <f>AND('BBP complete'!#REF!,"AAAAAGf/z/c=")</f>
        <v>#REF!</v>
      </c>
      <c r="IO80" t="e">
        <f>AND('BBP complete'!#REF!,"AAAAAGf/z/g=")</f>
        <v>#REF!</v>
      </c>
      <c r="IP80" t="e">
        <f>AND('BBP complete'!#REF!,"AAAAAGf/z/k=")</f>
        <v>#REF!</v>
      </c>
      <c r="IQ80" t="e">
        <f>AND('BBP complete'!E1080,"AAAAAGf/z/o=")</f>
        <v>#VALUE!</v>
      </c>
      <c r="IR80" t="e">
        <f>AND('BBP complete'!#REF!,"AAAAAGf/z/s=")</f>
        <v>#REF!</v>
      </c>
      <c r="IS80" t="e">
        <f>AND('BBP complete'!K1078,"AAAAAGf/z/w=")</f>
        <v>#VALUE!</v>
      </c>
      <c r="IT80" t="e">
        <f>AND('BBP complete'!L1080,"AAAAAGf/z/0=")</f>
        <v>#VALUE!</v>
      </c>
      <c r="IU80" t="e">
        <f>AND('BBP complete'!#REF!,"AAAAAGf/z/4=")</f>
        <v>#REF!</v>
      </c>
      <c r="IV80" t="e">
        <f>AND('BBP complete'!#REF!,"AAAAAGf/z/8=")</f>
        <v>#REF!</v>
      </c>
    </row>
    <row r="81" spans="1:256" ht="15" customHeight="1" x14ac:dyDescent="0.25">
      <c r="A81" t="e">
        <f>AND('BBP complete'!#REF!,"AAAAAH2eagA=")</f>
        <v>#REF!</v>
      </c>
      <c r="B81" t="e">
        <f>AND('BBP complete'!D1081,"AAAAAH2eagE=")</f>
        <v>#VALUE!</v>
      </c>
      <c r="C81" t="e">
        <f>AND('BBP complete'!F1081,"AAAAAH2eagI=")</f>
        <v>#VALUE!</v>
      </c>
      <c r="D81" t="e">
        <f>AND('BBP complete'!G1081,"AAAAAH2eagM=")</f>
        <v>#VALUE!</v>
      </c>
      <c r="E81" t="e">
        <f>AND('BBP complete'!H1081,"AAAAAH2eagQ=")</f>
        <v>#VALUE!</v>
      </c>
      <c r="F81" t="e">
        <f>AND('BBP complete'!I1081,"AAAAAH2eagU=")</f>
        <v>#VALUE!</v>
      </c>
      <c r="G81" s="60" t="e">
        <v>#VALUE!</v>
      </c>
      <c r="H81" t="e">
        <f>AND('BBP complete'!A1083,"AAAAAH2eagc=")</f>
        <v>#VALUE!</v>
      </c>
      <c r="I81" t="e">
        <f>AND('BBP complete'!#REF!,"AAAAAH2eagg=")</f>
        <v>#REF!</v>
      </c>
      <c r="J81" t="e">
        <f>AND('BBP complete'!#REF!,"AAAAAH2eagk=")</f>
        <v>#REF!</v>
      </c>
      <c r="K81" t="e">
        <f>AND('BBP complete'!#REF!,"AAAAAH2eago=")</f>
        <v>#REF!</v>
      </c>
      <c r="L81" t="e">
        <f>AND('BBP complete'!#REF!,"AAAAAH2eags=")</f>
        <v>#REF!</v>
      </c>
      <c r="M81" t="e">
        <f>AND('BBP complete'!#REF!,"AAAAAH2eagw=")</f>
        <v>#REF!</v>
      </c>
      <c r="N81" t="e">
        <f>AND('BBP complete'!E1081,"AAAAAH2eag0=")</f>
        <v>#VALUE!</v>
      </c>
      <c r="O81" t="e">
        <f>AND('BBP complete'!#REF!,"AAAAAH2eag4=")</f>
        <v>#REF!</v>
      </c>
      <c r="P81" t="e">
        <f>AND('BBP complete'!K1079,"AAAAAH2eag8=")</f>
        <v>#VALUE!</v>
      </c>
      <c r="Q81" t="e">
        <f>AND('BBP complete'!L1081,"AAAAAH2eahA=")</f>
        <v>#VALUE!</v>
      </c>
      <c r="R81" t="e">
        <f>AND('BBP complete'!#REF!,"AAAAAH2eahE=")</f>
        <v>#REF!</v>
      </c>
      <c r="S81" t="e">
        <f>AND('BBP complete'!#REF!,"AAAAAH2eahI=")</f>
        <v>#REF!</v>
      </c>
      <c r="T81" t="e">
        <f>AND('BBP complete'!#REF!,"AAAAAH2eahM=")</f>
        <v>#REF!</v>
      </c>
      <c r="U81" t="e">
        <f>AND('BBP complete'!D1082,"AAAAAH2eahQ=")</f>
        <v>#VALUE!</v>
      </c>
      <c r="V81" t="e">
        <f>AND('BBP complete'!F1082,"AAAAAH2eahU=")</f>
        <v>#VALUE!</v>
      </c>
      <c r="W81" t="e">
        <f>AND('BBP complete'!G1082,"AAAAAH2eahY=")</f>
        <v>#VALUE!</v>
      </c>
      <c r="X81" t="e">
        <f>AND('BBP complete'!H1082,"AAAAAH2eahc=")</f>
        <v>#VALUE!</v>
      </c>
      <c r="Y81" t="e">
        <f>AND('BBP complete'!I1082,"AAAAAH2eahg=")</f>
        <v>#VALUE!</v>
      </c>
      <c r="Z81" s="60" t="e">
        <v>#VALUE!</v>
      </c>
      <c r="AA81" t="e">
        <f>AND('BBP complete'!A1084,"AAAAAH2eaho=")</f>
        <v>#VALUE!</v>
      </c>
      <c r="AB81" t="e">
        <f>AND('BBP complete'!#REF!,"AAAAAH2eahs=")</f>
        <v>#REF!</v>
      </c>
      <c r="AC81" t="e">
        <f>AND('BBP complete'!#REF!,"AAAAAH2eahw=")</f>
        <v>#REF!</v>
      </c>
      <c r="AD81" t="e">
        <f>AND('BBP complete'!#REF!,"AAAAAH2eah0=")</f>
        <v>#REF!</v>
      </c>
      <c r="AE81" t="e">
        <f>AND('BBP complete'!#REF!,"AAAAAH2eah4=")</f>
        <v>#REF!</v>
      </c>
      <c r="AF81" t="e">
        <f>AND('BBP complete'!#REF!,"AAAAAH2eah8=")</f>
        <v>#REF!</v>
      </c>
      <c r="AG81" t="e">
        <f>AND('BBP complete'!E1082,"AAAAAH2eaiA=")</f>
        <v>#VALUE!</v>
      </c>
      <c r="AH81" t="e">
        <f>AND('BBP complete'!#REF!,"AAAAAH2eaiE=")</f>
        <v>#REF!</v>
      </c>
      <c r="AI81" t="e">
        <f>AND('BBP complete'!K1080,"AAAAAH2eaiI=")</f>
        <v>#VALUE!</v>
      </c>
      <c r="AJ81" t="e">
        <f>AND('BBP complete'!L1082,"AAAAAH2eaiM=")</f>
        <v>#VALUE!</v>
      </c>
      <c r="AK81" t="e">
        <f>AND('BBP complete'!#REF!,"AAAAAH2eaiQ=")</f>
        <v>#REF!</v>
      </c>
      <c r="AL81" t="e">
        <f>AND('BBP complete'!#REF!,"AAAAAH2eaiU=")</f>
        <v>#REF!</v>
      </c>
      <c r="AM81" t="e">
        <f>AND('BBP complete'!#REF!,"AAAAAH2eaiY=")</f>
        <v>#REF!</v>
      </c>
      <c r="AN81" t="e">
        <f>AND('BBP complete'!D1083,"AAAAAH2eaic=")</f>
        <v>#VALUE!</v>
      </c>
      <c r="AO81" t="e">
        <f>AND('BBP complete'!F1083,"AAAAAH2eaig=")</f>
        <v>#VALUE!</v>
      </c>
      <c r="AP81" t="e">
        <f>AND('BBP complete'!G1083,"AAAAAH2eaik=")</f>
        <v>#VALUE!</v>
      </c>
      <c r="AQ81" t="e">
        <f>AND('BBP complete'!H1083,"AAAAAH2eaio=")</f>
        <v>#VALUE!</v>
      </c>
      <c r="AR81" t="e">
        <f>AND('BBP complete'!I1083,"AAAAAH2eais=")</f>
        <v>#VALUE!</v>
      </c>
      <c r="AS81" s="60" t="e">
        <v>#VALUE!</v>
      </c>
      <c r="AT81" t="e">
        <f>AND('BBP complete'!A1085,"AAAAAH2eai0=")</f>
        <v>#VALUE!</v>
      </c>
      <c r="AU81" t="e">
        <f>AND('BBP complete'!#REF!,"AAAAAH2eai4=")</f>
        <v>#REF!</v>
      </c>
      <c r="AV81" t="e">
        <f>AND('BBP complete'!#REF!,"AAAAAH2eai8=")</f>
        <v>#REF!</v>
      </c>
      <c r="AW81" t="e">
        <f>AND('BBP complete'!#REF!,"AAAAAH2eajA=")</f>
        <v>#REF!</v>
      </c>
      <c r="AX81" t="e">
        <f>AND('BBP complete'!#REF!,"AAAAAH2eajE=")</f>
        <v>#REF!</v>
      </c>
      <c r="AY81" t="e">
        <f>AND('BBP complete'!#REF!,"AAAAAH2eajI=")</f>
        <v>#REF!</v>
      </c>
      <c r="AZ81" t="e">
        <f>AND('BBP complete'!E1083,"AAAAAH2eajM=")</f>
        <v>#VALUE!</v>
      </c>
      <c r="BA81" t="e">
        <f>AND('BBP complete'!#REF!,"AAAAAH2eajQ=")</f>
        <v>#REF!</v>
      </c>
      <c r="BB81" t="e">
        <f>AND('BBP complete'!K1081,"AAAAAH2eajU=")</f>
        <v>#VALUE!</v>
      </c>
      <c r="BC81" t="e">
        <f>AND('BBP complete'!L1083,"AAAAAH2eajY=")</f>
        <v>#VALUE!</v>
      </c>
      <c r="BD81" t="e">
        <f>AND('BBP complete'!#REF!,"AAAAAH2eajc=")</f>
        <v>#REF!</v>
      </c>
      <c r="BE81" t="e">
        <f>AND('BBP complete'!#REF!,"AAAAAH2eajg=")</f>
        <v>#REF!</v>
      </c>
      <c r="BF81" t="e">
        <f>AND('BBP complete'!#REF!,"AAAAAH2eajk=")</f>
        <v>#REF!</v>
      </c>
      <c r="BG81" t="e">
        <f>AND('BBP complete'!D1084,"AAAAAH2eajo=")</f>
        <v>#VALUE!</v>
      </c>
      <c r="BH81" t="e">
        <f>AND('BBP complete'!F1084,"AAAAAH2eajs=")</f>
        <v>#VALUE!</v>
      </c>
      <c r="BI81" t="e">
        <f>AND('BBP complete'!G1084,"AAAAAH2eajw=")</f>
        <v>#VALUE!</v>
      </c>
      <c r="BJ81" t="e">
        <f>AND('BBP complete'!H1084,"AAAAAH2eaj0=")</f>
        <v>#VALUE!</v>
      </c>
      <c r="BK81" t="e">
        <f>AND('BBP complete'!I1084,"AAAAAH2eaj4=")</f>
        <v>#VALUE!</v>
      </c>
      <c r="BL81" s="60" t="e">
        <v>#VALUE!</v>
      </c>
      <c r="BM81" t="e">
        <f>AND('BBP complete'!A1086,"AAAAAH2eakA=")</f>
        <v>#VALUE!</v>
      </c>
      <c r="BN81" t="e">
        <f>AND('BBP complete'!#REF!,"AAAAAH2eakE=")</f>
        <v>#REF!</v>
      </c>
      <c r="BO81" t="e">
        <f>AND('BBP complete'!#REF!,"AAAAAH2eakI=")</f>
        <v>#REF!</v>
      </c>
      <c r="BP81" t="e">
        <f>AND('BBP complete'!#REF!,"AAAAAH2eakM=")</f>
        <v>#REF!</v>
      </c>
      <c r="BQ81" t="e">
        <f>AND('BBP complete'!#REF!,"AAAAAH2eakQ=")</f>
        <v>#REF!</v>
      </c>
      <c r="BR81" t="e">
        <f>AND('BBP complete'!#REF!,"AAAAAH2eakU=")</f>
        <v>#REF!</v>
      </c>
      <c r="BS81" t="e">
        <f>AND('BBP complete'!E1084,"AAAAAH2eakY=")</f>
        <v>#VALUE!</v>
      </c>
      <c r="BT81" t="e">
        <f>AND('BBP complete'!#REF!,"AAAAAH2eakc=")</f>
        <v>#REF!</v>
      </c>
      <c r="BU81" t="e">
        <f>AND('BBP complete'!K1082,"AAAAAH2eakg=")</f>
        <v>#VALUE!</v>
      </c>
      <c r="BV81" t="e">
        <f>AND('BBP complete'!L1084,"AAAAAH2eakk=")</f>
        <v>#VALUE!</v>
      </c>
      <c r="BW81" t="e">
        <f>AND('BBP complete'!#REF!,"AAAAAH2eako=")</f>
        <v>#REF!</v>
      </c>
      <c r="BX81" t="e">
        <f>AND('BBP complete'!#REF!,"AAAAAH2eaks=")</f>
        <v>#REF!</v>
      </c>
      <c r="BY81" t="e">
        <f>AND('BBP complete'!#REF!,"AAAAAH2eakw=")</f>
        <v>#REF!</v>
      </c>
      <c r="BZ81" t="e">
        <f>AND('BBP complete'!D1085,"AAAAAH2eak0=")</f>
        <v>#VALUE!</v>
      </c>
      <c r="CA81" t="e">
        <f>AND('BBP complete'!F1085,"AAAAAH2eak4=")</f>
        <v>#VALUE!</v>
      </c>
      <c r="CB81" t="e">
        <f>AND('BBP complete'!G1085,"AAAAAH2eak8=")</f>
        <v>#VALUE!</v>
      </c>
      <c r="CC81" t="e">
        <f>AND('BBP complete'!H1085,"AAAAAH2ealA=")</f>
        <v>#VALUE!</v>
      </c>
      <c r="CD81" t="e">
        <f>AND('BBP complete'!I1085,"AAAAAH2ealE=")</f>
        <v>#VALUE!</v>
      </c>
      <c r="CE81" s="60" t="e">
        <v>#VALUE!</v>
      </c>
      <c r="CF81" t="e">
        <f>AND('BBP complete'!A1087,"AAAAAH2ealM=")</f>
        <v>#VALUE!</v>
      </c>
      <c r="CG81" t="e">
        <f>AND('BBP complete'!#REF!,"AAAAAH2ealQ=")</f>
        <v>#REF!</v>
      </c>
      <c r="CH81" t="e">
        <f>AND('BBP complete'!#REF!,"AAAAAH2ealU=")</f>
        <v>#REF!</v>
      </c>
      <c r="CI81" t="e">
        <f>AND('BBP complete'!#REF!,"AAAAAH2ealY=")</f>
        <v>#REF!</v>
      </c>
      <c r="CJ81" t="e">
        <f>AND('BBP complete'!#REF!,"AAAAAH2ealc=")</f>
        <v>#REF!</v>
      </c>
      <c r="CK81" t="e">
        <f>AND('BBP complete'!#REF!,"AAAAAH2ealg=")</f>
        <v>#REF!</v>
      </c>
      <c r="CL81" t="e">
        <f>AND('BBP complete'!E1085,"AAAAAH2ealk=")</f>
        <v>#VALUE!</v>
      </c>
      <c r="CM81" t="e">
        <f>AND('BBP complete'!#REF!,"AAAAAH2ealo=")</f>
        <v>#REF!</v>
      </c>
      <c r="CN81" t="e">
        <f>AND('BBP complete'!K1083,"AAAAAH2eals=")</f>
        <v>#VALUE!</v>
      </c>
      <c r="CO81" t="e">
        <f>AND('BBP complete'!L1085,"AAAAAH2ealw=")</f>
        <v>#VALUE!</v>
      </c>
      <c r="CP81" t="e">
        <f>AND('BBP complete'!#REF!,"AAAAAH2eal0=")</f>
        <v>#REF!</v>
      </c>
      <c r="CQ81" t="e">
        <f>AND('BBP complete'!#REF!,"AAAAAH2eal4=")</f>
        <v>#REF!</v>
      </c>
      <c r="CR81" t="e">
        <f>AND('BBP complete'!#REF!,"AAAAAH2eal8=")</f>
        <v>#REF!</v>
      </c>
      <c r="CS81" t="e">
        <f>AND('BBP complete'!D1086,"AAAAAH2eamA=")</f>
        <v>#VALUE!</v>
      </c>
      <c r="CT81" t="e">
        <f>AND('BBP complete'!F1086,"AAAAAH2eamE=")</f>
        <v>#VALUE!</v>
      </c>
      <c r="CU81" t="e">
        <f>AND('BBP complete'!G1086,"AAAAAH2eamI=")</f>
        <v>#VALUE!</v>
      </c>
      <c r="CV81" t="e">
        <f>AND('BBP complete'!H1086,"AAAAAH2eamM=")</f>
        <v>#VALUE!</v>
      </c>
      <c r="CW81" t="e">
        <f>AND('BBP complete'!I1086,"AAAAAH2eamQ=")</f>
        <v>#VALUE!</v>
      </c>
      <c r="CX81" s="60" t="e">
        <v>#VALUE!</v>
      </c>
      <c r="CY81" t="e">
        <f>AND('BBP complete'!A1088,"AAAAAH2eamY=")</f>
        <v>#VALUE!</v>
      </c>
      <c r="CZ81" t="e">
        <f>AND('BBP complete'!#REF!,"AAAAAH2eamc=")</f>
        <v>#REF!</v>
      </c>
      <c r="DA81" t="e">
        <f>AND('BBP complete'!#REF!,"AAAAAH2eamg=")</f>
        <v>#REF!</v>
      </c>
      <c r="DB81" t="e">
        <f>AND('BBP complete'!#REF!,"AAAAAH2eamk=")</f>
        <v>#REF!</v>
      </c>
      <c r="DC81" t="e">
        <f>AND('BBP complete'!#REF!,"AAAAAH2eamo=")</f>
        <v>#REF!</v>
      </c>
      <c r="DD81" t="e">
        <f>AND('BBP complete'!#REF!,"AAAAAH2eams=")</f>
        <v>#REF!</v>
      </c>
      <c r="DE81" t="e">
        <f>AND('BBP complete'!E1086,"AAAAAH2eamw=")</f>
        <v>#VALUE!</v>
      </c>
      <c r="DF81" t="e">
        <f>AND('BBP complete'!#REF!,"AAAAAH2eam0=")</f>
        <v>#REF!</v>
      </c>
      <c r="DG81" t="e">
        <f>AND('BBP complete'!K1084,"AAAAAH2eam4=")</f>
        <v>#VALUE!</v>
      </c>
      <c r="DH81" t="e">
        <f>AND('BBP complete'!L1086,"AAAAAH2eam8=")</f>
        <v>#VALUE!</v>
      </c>
      <c r="DI81" t="e">
        <f>AND('BBP complete'!#REF!,"AAAAAH2eanA=")</f>
        <v>#REF!</v>
      </c>
      <c r="DJ81" t="e">
        <f>AND('BBP complete'!#REF!,"AAAAAH2eanE=")</f>
        <v>#REF!</v>
      </c>
      <c r="DK81" t="e">
        <f>AND('BBP complete'!#REF!,"AAAAAH2eanI=")</f>
        <v>#REF!</v>
      </c>
      <c r="DL81" t="e">
        <f>AND('BBP complete'!D1087,"AAAAAH2eanM=")</f>
        <v>#VALUE!</v>
      </c>
      <c r="DM81" t="e">
        <f>AND('BBP complete'!F1087,"AAAAAH2eanQ=")</f>
        <v>#VALUE!</v>
      </c>
      <c r="DN81" t="e">
        <f>AND('BBP complete'!G1087,"AAAAAH2eanU=")</f>
        <v>#VALUE!</v>
      </c>
      <c r="DO81" t="e">
        <f>AND('BBP complete'!H1087,"AAAAAH2eanY=")</f>
        <v>#VALUE!</v>
      </c>
      <c r="DP81" t="e">
        <f>AND('BBP complete'!I1087,"AAAAAH2eanc=")</f>
        <v>#VALUE!</v>
      </c>
      <c r="DQ81" s="60" t="e">
        <v>#VALUE!</v>
      </c>
      <c r="DR81" t="e">
        <f>AND('BBP complete'!A1089,"AAAAAH2eank=")</f>
        <v>#VALUE!</v>
      </c>
      <c r="DS81" t="e">
        <f>AND('BBP complete'!#REF!,"AAAAAH2eano=")</f>
        <v>#REF!</v>
      </c>
      <c r="DT81" t="e">
        <f>AND('BBP complete'!#REF!,"AAAAAH2eans=")</f>
        <v>#REF!</v>
      </c>
      <c r="DU81" t="e">
        <f>AND('BBP complete'!#REF!,"AAAAAH2eanw=")</f>
        <v>#REF!</v>
      </c>
      <c r="DV81" t="e">
        <f>AND('BBP complete'!#REF!,"AAAAAH2ean0=")</f>
        <v>#REF!</v>
      </c>
      <c r="DW81" t="e">
        <f>AND('BBP complete'!#REF!,"AAAAAH2ean4=")</f>
        <v>#REF!</v>
      </c>
      <c r="DX81" t="e">
        <f>AND('BBP complete'!E1087,"AAAAAH2ean8=")</f>
        <v>#VALUE!</v>
      </c>
      <c r="DY81" t="e">
        <f>AND('BBP complete'!#REF!,"AAAAAH2eaoA=")</f>
        <v>#REF!</v>
      </c>
      <c r="DZ81" t="e">
        <f>AND('BBP complete'!K1085,"AAAAAH2eaoE=")</f>
        <v>#VALUE!</v>
      </c>
      <c r="EA81" t="e">
        <f>AND('BBP complete'!L1087,"AAAAAH2eaoI=")</f>
        <v>#VALUE!</v>
      </c>
      <c r="EB81" t="e">
        <f>AND('BBP complete'!#REF!,"AAAAAH2eaoM=")</f>
        <v>#REF!</v>
      </c>
      <c r="EC81" t="e">
        <f>AND('BBP complete'!#REF!,"AAAAAH2eaoQ=")</f>
        <v>#REF!</v>
      </c>
      <c r="ED81" t="e">
        <f>AND('BBP complete'!#REF!,"AAAAAH2eaoU=")</f>
        <v>#REF!</v>
      </c>
      <c r="EE81" t="e">
        <f>AND('BBP complete'!D1088,"AAAAAH2eaoY=")</f>
        <v>#VALUE!</v>
      </c>
      <c r="EF81" t="e">
        <f>AND('BBP complete'!F1088,"AAAAAH2eaoc=")</f>
        <v>#VALUE!</v>
      </c>
      <c r="EG81" t="e">
        <f>AND('BBP complete'!G1088,"AAAAAH2eaog=")</f>
        <v>#VALUE!</v>
      </c>
      <c r="EH81" t="e">
        <f>AND('BBP complete'!H1088,"AAAAAH2eaok=")</f>
        <v>#VALUE!</v>
      </c>
      <c r="EI81" t="e">
        <f>AND('BBP complete'!I1088,"AAAAAH2eaoo=")</f>
        <v>#VALUE!</v>
      </c>
      <c r="EJ81" s="60" t="e">
        <v>#VALUE!</v>
      </c>
      <c r="EK81" t="e">
        <f>AND('BBP complete'!A1090,"AAAAAH2eaow=")</f>
        <v>#VALUE!</v>
      </c>
      <c r="EL81" t="e">
        <f>AND('BBP complete'!#REF!,"AAAAAH2eao0=")</f>
        <v>#REF!</v>
      </c>
      <c r="EM81" t="e">
        <f>AND('BBP complete'!#REF!,"AAAAAH2eao4=")</f>
        <v>#REF!</v>
      </c>
      <c r="EN81" t="e">
        <f>AND('BBP complete'!#REF!,"AAAAAH2eao8=")</f>
        <v>#REF!</v>
      </c>
      <c r="EO81" t="e">
        <f>AND('BBP complete'!#REF!,"AAAAAH2eapA=")</f>
        <v>#REF!</v>
      </c>
      <c r="EP81" t="e">
        <f>AND('BBP complete'!#REF!,"AAAAAH2eapE=")</f>
        <v>#REF!</v>
      </c>
      <c r="EQ81" t="e">
        <f>AND('BBP complete'!E1088,"AAAAAH2eapI=")</f>
        <v>#VALUE!</v>
      </c>
      <c r="ER81" t="e">
        <f>AND('BBP complete'!#REF!,"AAAAAH2eapM=")</f>
        <v>#REF!</v>
      </c>
      <c r="ES81" t="e">
        <f>AND('BBP complete'!K1086,"AAAAAH2eapQ=")</f>
        <v>#VALUE!</v>
      </c>
      <c r="ET81" t="e">
        <f>AND('BBP complete'!L1088,"AAAAAH2eapU=")</f>
        <v>#VALUE!</v>
      </c>
      <c r="EU81" t="e">
        <f>AND('BBP complete'!#REF!,"AAAAAH2eapY=")</f>
        <v>#REF!</v>
      </c>
      <c r="EV81" t="e">
        <f>AND('BBP complete'!#REF!,"AAAAAH2eapc=")</f>
        <v>#REF!</v>
      </c>
      <c r="EW81" t="e">
        <f>AND('BBP complete'!#REF!,"AAAAAH2eapg=")</f>
        <v>#REF!</v>
      </c>
      <c r="EX81" t="e">
        <f>AND('BBP complete'!D1089,"AAAAAH2eapk=")</f>
        <v>#VALUE!</v>
      </c>
      <c r="EY81" t="e">
        <f>AND('BBP complete'!F1089,"AAAAAH2eapo=")</f>
        <v>#VALUE!</v>
      </c>
      <c r="EZ81" t="e">
        <f>AND('BBP complete'!G1089,"AAAAAH2eaps=")</f>
        <v>#VALUE!</v>
      </c>
      <c r="FA81" t="e">
        <f>AND('BBP complete'!H1089,"AAAAAH2eapw=")</f>
        <v>#VALUE!</v>
      </c>
      <c r="FB81" t="e">
        <f>AND('BBP complete'!I1089,"AAAAAH2eap0=")</f>
        <v>#VALUE!</v>
      </c>
      <c r="FC81" s="60" t="e">
        <v>#VALUE!</v>
      </c>
      <c r="FD81" t="e">
        <f>AND('BBP complete'!A1091,"AAAAAH2eap8=")</f>
        <v>#VALUE!</v>
      </c>
      <c r="FE81" t="e">
        <f>AND('BBP complete'!#REF!,"AAAAAH2eaqA=")</f>
        <v>#REF!</v>
      </c>
      <c r="FF81" t="e">
        <f>AND('BBP complete'!#REF!,"AAAAAH2eaqE=")</f>
        <v>#REF!</v>
      </c>
      <c r="FG81" t="e">
        <f>AND('BBP complete'!#REF!,"AAAAAH2eaqI=")</f>
        <v>#REF!</v>
      </c>
      <c r="FH81" t="e">
        <f>AND('BBP complete'!#REF!,"AAAAAH2eaqM=")</f>
        <v>#REF!</v>
      </c>
      <c r="FI81" t="e">
        <f>AND('BBP complete'!#REF!,"AAAAAH2eaqQ=")</f>
        <v>#REF!</v>
      </c>
      <c r="FJ81" t="e">
        <f>AND('BBP complete'!E1089,"AAAAAH2eaqU=")</f>
        <v>#VALUE!</v>
      </c>
      <c r="FK81" t="e">
        <f>AND('BBP complete'!#REF!,"AAAAAH2eaqY=")</f>
        <v>#REF!</v>
      </c>
      <c r="FL81" t="e">
        <f>AND('BBP complete'!K1087,"AAAAAH2eaqc=")</f>
        <v>#VALUE!</v>
      </c>
      <c r="FM81" t="e">
        <f>AND('BBP complete'!L1089,"AAAAAH2eaqg=")</f>
        <v>#VALUE!</v>
      </c>
      <c r="FN81" t="e">
        <f>AND('BBP complete'!#REF!,"AAAAAH2eaqk=")</f>
        <v>#REF!</v>
      </c>
      <c r="FO81" t="e">
        <f>AND('BBP complete'!#REF!,"AAAAAH2eaqo=")</f>
        <v>#REF!</v>
      </c>
      <c r="FP81" t="e">
        <f>AND('BBP complete'!#REF!,"AAAAAH2eaqs=")</f>
        <v>#REF!</v>
      </c>
      <c r="FQ81" t="e">
        <f>AND('BBP complete'!D1090,"AAAAAH2eaqw=")</f>
        <v>#VALUE!</v>
      </c>
      <c r="FR81" t="e">
        <f>AND('BBP complete'!F1090,"AAAAAH2eaq0=")</f>
        <v>#VALUE!</v>
      </c>
      <c r="FS81" t="e">
        <f>AND('BBP complete'!G1090,"AAAAAH2eaq4=")</f>
        <v>#VALUE!</v>
      </c>
      <c r="FT81" t="e">
        <f>AND('BBP complete'!H1090,"AAAAAH2eaq8=")</f>
        <v>#VALUE!</v>
      </c>
      <c r="FU81" t="e">
        <f>AND('BBP complete'!I1090,"AAAAAH2earA=")</f>
        <v>#VALUE!</v>
      </c>
      <c r="FV81" s="60" t="e">
        <v>#VALUE!</v>
      </c>
      <c r="FW81" t="e">
        <f>AND('BBP complete'!A1093,"AAAAAH2earI=")</f>
        <v>#VALUE!</v>
      </c>
      <c r="FX81" t="e">
        <f>AND('BBP complete'!#REF!,"AAAAAH2earM=")</f>
        <v>#REF!</v>
      </c>
      <c r="FY81" t="e">
        <f>AND('BBP complete'!#REF!,"AAAAAH2earQ=")</f>
        <v>#REF!</v>
      </c>
      <c r="FZ81" t="e">
        <f>AND('BBP complete'!#REF!,"AAAAAH2earU=")</f>
        <v>#REF!</v>
      </c>
      <c r="GA81" t="e">
        <f>AND('BBP complete'!#REF!,"AAAAAH2earY=")</f>
        <v>#REF!</v>
      </c>
      <c r="GB81" t="e">
        <f>AND('BBP complete'!#REF!,"AAAAAH2earc=")</f>
        <v>#REF!</v>
      </c>
      <c r="GC81" t="e">
        <f>AND('BBP complete'!E1090,"AAAAAH2earg=")</f>
        <v>#VALUE!</v>
      </c>
      <c r="GD81" t="e">
        <f>AND('BBP complete'!#REF!,"AAAAAH2eark=")</f>
        <v>#REF!</v>
      </c>
      <c r="GE81" t="e">
        <f>AND('BBP complete'!K1088,"AAAAAH2earo=")</f>
        <v>#VALUE!</v>
      </c>
      <c r="GF81" t="e">
        <f>AND('BBP complete'!L1090,"AAAAAH2ears=")</f>
        <v>#VALUE!</v>
      </c>
      <c r="GG81" t="e">
        <f>AND('BBP complete'!#REF!,"AAAAAH2earw=")</f>
        <v>#REF!</v>
      </c>
      <c r="GH81" t="e">
        <f>AND('BBP complete'!#REF!,"AAAAAH2ear0=")</f>
        <v>#REF!</v>
      </c>
      <c r="GI81" t="e">
        <f>AND('BBP complete'!#REF!,"AAAAAH2ear4=")</f>
        <v>#REF!</v>
      </c>
      <c r="GJ81" t="e">
        <f>AND('BBP complete'!D1091,"AAAAAH2ear8=")</f>
        <v>#VALUE!</v>
      </c>
      <c r="GK81" t="e">
        <f>AND('BBP complete'!F1091,"AAAAAH2easA=")</f>
        <v>#VALUE!</v>
      </c>
      <c r="GL81" t="e">
        <f>AND('BBP complete'!G1091,"AAAAAH2easE=")</f>
        <v>#VALUE!</v>
      </c>
      <c r="GM81" t="e">
        <f>AND('BBP complete'!H1091,"AAAAAH2easI=")</f>
        <v>#VALUE!</v>
      </c>
      <c r="GN81" t="e">
        <f>AND('BBP complete'!I1091,"AAAAAH2easM=")</f>
        <v>#VALUE!</v>
      </c>
      <c r="GO81" s="60" t="e">
        <v>#VALUE!</v>
      </c>
      <c r="GP81" t="e">
        <f>AND('BBP complete'!A1094,"AAAAAH2easU=")</f>
        <v>#VALUE!</v>
      </c>
      <c r="GQ81" t="e">
        <f>AND('BBP complete'!#REF!,"AAAAAH2easY=")</f>
        <v>#REF!</v>
      </c>
      <c r="GR81" t="e">
        <f>AND('BBP complete'!#REF!,"AAAAAH2easc=")</f>
        <v>#REF!</v>
      </c>
      <c r="GS81" t="e">
        <f>AND('BBP complete'!#REF!,"AAAAAH2easg=")</f>
        <v>#REF!</v>
      </c>
      <c r="GT81" t="e">
        <f>AND('BBP complete'!#REF!,"AAAAAH2eask=")</f>
        <v>#REF!</v>
      </c>
      <c r="GU81" t="e">
        <f>AND('BBP complete'!#REF!,"AAAAAH2easo=")</f>
        <v>#REF!</v>
      </c>
      <c r="GV81" t="e">
        <f>AND('BBP complete'!E1091,"AAAAAH2eass=")</f>
        <v>#VALUE!</v>
      </c>
      <c r="GW81" t="e">
        <f>AND('BBP complete'!#REF!,"AAAAAH2easw=")</f>
        <v>#REF!</v>
      </c>
      <c r="GX81" t="e">
        <f>AND('BBP complete'!K1089,"AAAAAH2eas0=")</f>
        <v>#VALUE!</v>
      </c>
      <c r="GY81" t="e">
        <f>AND('BBP complete'!L1092,"AAAAAH2eas4=")</f>
        <v>#VALUE!</v>
      </c>
      <c r="GZ81" t="e">
        <f>AND('BBP complete'!#REF!,"AAAAAH2eas8=")</f>
        <v>#REF!</v>
      </c>
      <c r="HA81" t="e">
        <f>AND('BBP complete'!#REF!,"AAAAAH2eatA=")</f>
        <v>#REF!</v>
      </c>
      <c r="HB81" t="e">
        <f>AND('BBP complete'!#REF!,"AAAAAH2eatE=")</f>
        <v>#REF!</v>
      </c>
      <c r="HC81" t="e">
        <f>AND('BBP complete'!D1093,"AAAAAH2eatI=")</f>
        <v>#VALUE!</v>
      </c>
      <c r="HD81" t="e">
        <f>AND('BBP complete'!F1093,"AAAAAH2eatM=")</f>
        <v>#VALUE!</v>
      </c>
      <c r="HE81" t="e">
        <f>AND('BBP complete'!G1093,"AAAAAH2eatQ=")</f>
        <v>#VALUE!</v>
      </c>
      <c r="HF81" t="e">
        <f>AND('BBP complete'!H1093,"AAAAAH2eatU=")</f>
        <v>#VALUE!</v>
      </c>
      <c r="HG81" t="e">
        <f>AND('BBP complete'!I1093,"AAAAAH2eatY=")</f>
        <v>#VALUE!</v>
      </c>
      <c r="HH81" s="60" t="e">
        <v>#VALUE!</v>
      </c>
      <c r="HI81" t="e">
        <f>AND('BBP complete'!A1096,"AAAAAH2eatg=")</f>
        <v>#VALUE!</v>
      </c>
      <c r="HJ81" t="e">
        <f>AND('BBP complete'!#REF!,"AAAAAH2eatk=")</f>
        <v>#REF!</v>
      </c>
      <c r="HK81" t="e">
        <f>AND('BBP complete'!#REF!,"AAAAAH2eato=")</f>
        <v>#REF!</v>
      </c>
      <c r="HL81" t="e">
        <f>AND('BBP complete'!#REF!,"AAAAAH2eats=")</f>
        <v>#REF!</v>
      </c>
      <c r="HM81" t="e">
        <f>AND('BBP complete'!#REF!,"AAAAAH2eatw=")</f>
        <v>#REF!</v>
      </c>
      <c r="HN81" t="e">
        <f>AND('BBP complete'!#REF!,"AAAAAH2eat0=")</f>
        <v>#REF!</v>
      </c>
      <c r="HO81" t="e">
        <f>AND('BBP complete'!E1093,"AAAAAH2eat4=")</f>
        <v>#VALUE!</v>
      </c>
      <c r="HP81" t="e">
        <f>AND('BBP complete'!#REF!,"AAAAAH2eat8=")</f>
        <v>#REF!</v>
      </c>
      <c r="HQ81" t="e">
        <f>AND('BBP complete'!K1090,"AAAAAH2eauA=")</f>
        <v>#VALUE!</v>
      </c>
      <c r="HR81" t="e">
        <f>AND('BBP complete'!L1093,"AAAAAH2eauE=")</f>
        <v>#VALUE!</v>
      </c>
      <c r="HS81" t="e">
        <f>AND('BBP complete'!#REF!,"AAAAAH2eauI=")</f>
        <v>#REF!</v>
      </c>
      <c r="HT81" t="e">
        <f>AND('BBP complete'!#REF!,"AAAAAH2eauM=")</f>
        <v>#REF!</v>
      </c>
      <c r="HU81" t="e">
        <f>AND('BBP complete'!#REF!,"AAAAAH2eauQ=")</f>
        <v>#REF!</v>
      </c>
      <c r="HV81" t="e">
        <f>AND('BBP complete'!D1094,"AAAAAH2eauU=")</f>
        <v>#VALUE!</v>
      </c>
      <c r="HW81" t="e">
        <f>AND('BBP complete'!F1094,"AAAAAH2eauY=")</f>
        <v>#VALUE!</v>
      </c>
      <c r="HX81" t="e">
        <f>AND('BBP complete'!G1094,"AAAAAH2eauc=")</f>
        <v>#VALUE!</v>
      </c>
      <c r="HY81" t="e">
        <f>AND('BBP complete'!H1094,"AAAAAH2eaug=")</f>
        <v>#VALUE!</v>
      </c>
      <c r="HZ81" t="e">
        <f>AND('BBP complete'!I1094,"AAAAAH2eauk=")</f>
        <v>#VALUE!</v>
      </c>
      <c r="IA81" s="60" t="e">
        <v>#VALUE!</v>
      </c>
      <c r="IB81" t="e">
        <f>AND('BBP complete'!A1097,"AAAAAH2eaus=")</f>
        <v>#VALUE!</v>
      </c>
      <c r="IC81" t="e">
        <f>AND('BBP complete'!#REF!,"AAAAAH2eauw=")</f>
        <v>#REF!</v>
      </c>
      <c r="ID81" t="e">
        <f>AND('BBP complete'!#REF!,"AAAAAH2eau0=")</f>
        <v>#REF!</v>
      </c>
      <c r="IE81" t="e">
        <f>AND('BBP complete'!#REF!,"AAAAAH2eau4=")</f>
        <v>#REF!</v>
      </c>
      <c r="IF81" t="e">
        <f>AND('BBP complete'!#REF!,"AAAAAH2eau8=")</f>
        <v>#REF!</v>
      </c>
      <c r="IG81" t="e">
        <f>AND('BBP complete'!#REF!,"AAAAAH2eavA=")</f>
        <v>#REF!</v>
      </c>
      <c r="IH81" t="e">
        <f>AND('BBP complete'!E1094,"AAAAAH2eavE=")</f>
        <v>#VALUE!</v>
      </c>
      <c r="II81" t="e">
        <f>AND('BBP complete'!#REF!,"AAAAAH2eavI=")</f>
        <v>#REF!</v>
      </c>
      <c r="IJ81" t="e">
        <f>AND('BBP complete'!K1091,"AAAAAH2eavM=")</f>
        <v>#VALUE!</v>
      </c>
      <c r="IK81" t="e">
        <f>AND('BBP complete'!L1094,"AAAAAH2eavQ=")</f>
        <v>#VALUE!</v>
      </c>
      <c r="IL81" t="e">
        <f>AND('BBP complete'!#REF!,"AAAAAH2eavU=")</f>
        <v>#REF!</v>
      </c>
      <c r="IM81" t="e">
        <f>AND('BBP complete'!#REF!,"AAAAAH2eavY=")</f>
        <v>#REF!</v>
      </c>
      <c r="IN81" t="e">
        <f>AND('BBP complete'!#REF!,"AAAAAH2eavc=")</f>
        <v>#REF!</v>
      </c>
      <c r="IO81" t="e">
        <f>AND('BBP complete'!D1095,"AAAAAH2eavg=")</f>
        <v>#VALUE!</v>
      </c>
      <c r="IP81" t="e">
        <f>AND('BBP complete'!F1095,"AAAAAH2eavk=")</f>
        <v>#VALUE!</v>
      </c>
      <c r="IQ81" t="e">
        <f>AND('BBP complete'!G1095,"AAAAAH2eavo=")</f>
        <v>#VALUE!</v>
      </c>
      <c r="IR81" t="e">
        <f>AND('BBP complete'!H1095,"AAAAAH2eavs=")</f>
        <v>#VALUE!</v>
      </c>
      <c r="IS81" t="e">
        <f>AND('BBP complete'!I1095,"AAAAAH2eavw=")</f>
        <v>#VALUE!</v>
      </c>
      <c r="IT81" s="60" t="e">
        <v>#VALUE!</v>
      </c>
      <c r="IU81" t="e">
        <f>AND('BBP complete'!A1098,"AAAAAH2eav4=")</f>
        <v>#VALUE!</v>
      </c>
      <c r="IV81" t="e">
        <f>AND('BBP complete'!#REF!,"AAAAAH2eav8=")</f>
        <v>#REF!</v>
      </c>
    </row>
    <row r="82" spans="1:256" ht="15" customHeight="1" x14ac:dyDescent="0.25">
      <c r="A82" t="e">
        <f>AND('BBP complete'!#REF!,"AAAAAH/F3wA=")</f>
        <v>#REF!</v>
      </c>
      <c r="B82" t="e">
        <f>AND('BBP complete'!#REF!,"AAAAAH/F3wE=")</f>
        <v>#REF!</v>
      </c>
      <c r="C82" t="e">
        <f>AND('BBP complete'!#REF!,"AAAAAH/F3wI=")</f>
        <v>#REF!</v>
      </c>
      <c r="D82" t="e">
        <f>AND('BBP complete'!#REF!,"AAAAAH/F3wM=")</f>
        <v>#REF!</v>
      </c>
      <c r="E82" t="e">
        <f>AND('BBP complete'!E1095,"AAAAAH/F3wQ=")</f>
        <v>#VALUE!</v>
      </c>
      <c r="F82" t="e">
        <f>AND('BBP complete'!#REF!,"AAAAAH/F3wU=")</f>
        <v>#REF!</v>
      </c>
      <c r="G82" t="e">
        <f>AND('BBP complete'!K1092,"AAAAAH/F3wY=")</f>
        <v>#VALUE!</v>
      </c>
      <c r="H82" t="e">
        <f>AND('BBP complete'!L1095,"AAAAAH/F3wc=")</f>
        <v>#VALUE!</v>
      </c>
      <c r="I82" t="e">
        <f>AND('BBP complete'!#REF!,"AAAAAH/F3wg=")</f>
        <v>#REF!</v>
      </c>
      <c r="J82" t="e">
        <f>AND('BBP complete'!#REF!,"AAAAAH/F3wk=")</f>
        <v>#REF!</v>
      </c>
      <c r="K82" t="e">
        <f>AND('BBP complete'!#REF!,"AAAAAH/F3wo=")</f>
        <v>#REF!</v>
      </c>
      <c r="L82" t="e">
        <f>AND('BBP complete'!D1096,"AAAAAH/F3ws=")</f>
        <v>#VALUE!</v>
      </c>
      <c r="M82" t="e">
        <f>AND('BBP complete'!F1096,"AAAAAH/F3ww=")</f>
        <v>#VALUE!</v>
      </c>
      <c r="N82" t="e">
        <f>AND('BBP complete'!G1096,"AAAAAH/F3w0=")</f>
        <v>#VALUE!</v>
      </c>
      <c r="O82" t="e">
        <f>AND('BBP complete'!H1096,"AAAAAH/F3w4=")</f>
        <v>#VALUE!</v>
      </c>
      <c r="P82" t="e">
        <f>AND('BBP complete'!I1096,"AAAAAH/F3w8=")</f>
        <v>#VALUE!</v>
      </c>
      <c r="Q82" s="60" t="e">
        <v>#VALUE!</v>
      </c>
      <c r="R82" t="e">
        <f>AND('BBP complete'!A1099,"AAAAAH/F3xE=")</f>
        <v>#VALUE!</v>
      </c>
      <c r="S82" t="e">
        <f>AND('BBP complete'!#REF!,"AAAAAH/F3xI=")</f>
        <v>#REF!</v>
      </c>
      <c r="T82" t="e">
        <f>AND('BBP complete'!#REF!,"AAAAAH/F3xM=")</f>
        <v>#REF!</v>
      </c>
      <c r="U82" t="e">
        <f>AND('BBP complete'!#REF!,"AAAAAH/F3xQ=")</f>
        <v>#REF!</v>
      </c>
      <c r="V82" t="e">
        <f>AND('BBP complete'!#REF!,"AAAAAH/F3xU=")</f>
        <v>#REF!</v>
      </c>
      <c r="W82" t="e">
        <f>AND('BBP complete'!#REF!,"AAAAAH/F3xY=")</f>
        <v>#REF!</v>
      </c>
      <c r="X82" t="e">
        <f>AND('BBP complete'!E1096,"AAAAAH/F3xc=")</f>
        <v>#VALUE!</v>
      </c>
      <c r="Y82" t="e">
        <f>AND('BBP complete'!#REF!,"AAAAAH/F3xg=")</f>
        <v>#REF!</v>
      </c>
      <c r="Z82" t="e">
        <f>AND('BBP complete'!K1093,"AAAAAH/F3xk=")</f>
        <v>#VALUE!</v>
      </c>
      <c r="AA82" t="e">
        <f>AND('BBP complete'!L1096,"AAAAAH/F3xo=")</f>
        <v>#VALUE!</v>
      </c>
      <c r="AB82" t="e">
        <f>AND('BBP complete'!#REF!,"AAAAAH/F3xs=")</f>
        <v>#REF!</v>
      </c>
      <c r="AC82" t="e">
        <f>AND('BBP complete'!#REF!,"AAAAAH/F3xw=")</f>
        <v>#REF!</v>
      </c>
      <c r="AD82" t="e">
        <f>AND('BBP complete'!#REF!,"AAAAAH/F3x0=")</f>
        <v>#REF!</v>
      </c>
      <c r="AE82" t="e">
        <f>AND('BBP complete'!D1097,"AAAAAH/F3x4=")</f>
        <v>#VALUE!</v>
      </c>
      <c r="AF82" t="e">
        <f>AND('BBP complete'!F1097,"AAAAAH/F3x8=")</f>
        <v>#VALUE!</v>
      </c>
      <c r="AG82" t="e">
        <f>AND('BBP complete'!G1097,"AAAAAH/F3yA=")</f>
        <v>#VALUE!</v>
      </c>
      <c r="AH82" t="e">
        <f>AND('BBP complete'!H1097,"AAAAAH/F3yE=")</f>
        <v>#VALUE!</v>
      </c>
      <c r="AI82" t="e">
        <f>AND('BBP complete'!I1097,"AAAAAH/F3yI=")</f>
        <v>#VALUE!</v>
      </c>
      <c r="AJ82" s="60" t="e">
        <v>#VALUE!</v>
      </c>
      <c r="AK82" t="e">
        <f>AND('BBP complete'!A1100,"AAAAAH/F3yQ=")</f>
        <v>#VALUE!</v>
      </c>
      <c r="AL82" t="e">
        <f>AND('BBP complete'!#REF!,"AAAAAH/F3yU=")</f>
        <v>#REF!</v>
      </c>
      <c r="AM82" t="e">
        <f>AND('BBP complete'!#REF!,"AAAAAH/F3yY=")</f>
        <v>#REF!</v>
      </c>
      <c r="AN82" t="e">
        <f>AND('BBP complete'!#REF!,"AAAAAH/F3yc=")</f>
        <v>#REF!</v>
      </c>
      <c r="AO82" t="e">
        <f>AND('BBP complete'!#REF!,"AAAAAH/F3yg=")</f>
        <v>#REF!</v>
      </c>
      <c r="AP82" t="e">
        <f>AND('BBP complete'!#REF!,"AAAAAH/F3yk=")</f>
        <v>#REF!</v>
      </c>
      <c r="AQ82" t="e">
        <f>AND('BBP complete'!E1097,"AAAAAH/F3yo=")</f>
        <v>#VALUE!</v>
      </c>
      <c r="AR82" t="e">
        <f>AND('BBP complete'!#REF!,"AAAAAH/F3ys=")</f>
        <v>#REF!</v>
      </c>
      <c r="AS82" t="e">
        <f>AND('BBP complete'!K1094,"AAAAAH/F3yw=")</f>
        <v>#VALUE!</v>
      </c>
      <c r="AT82" t="e">
        <f>AND('BBP complete'!L1097,"AAAAAH/F3y0=")</f>
        <v>#VALUE!</v>
      </c>
      <c r="AU82" t="e">
        <f>AND('BBP complete'!#REF!,"AAAAAH/F3y4=")</f>
        <v>#REF!</v>
      </c>
      <c r="AV82" t="e">
        <f>AND('BBP complete'!#REF!,"AAAAAH/F3y8=")</f>
        <v>#REF!</v>
      </c>
      <c r="AW82" t="e">
        <f>AND('BBP complete'!#REF!,"AAAAAH/F3zA=")</f>
        <v>#REF!</v>
      </c>
      <c r="AX82" t="e">
        <f>AND('BBP complete'!D1098,"AAAAAH/F3zE=")</f>
        <v>#VALUE!</v>
      </c>
      <c r="AY82" t="e">
        <f>AND('BBP complete'!F1098,"AAAAAH/F3zI=")</f>
        <v>#VALUE!</v>
      </c>
      <c r="AZ82" t="e">
        <f>AND('BBP complete'!G1098,"AAAAAH/F3zM=")</f>
        <v>#VALUE!</v>
      </c>
      <c r="BA82" t="e">
        <f>AND('BBP complete'!H1098,"AAAAAH/F3zQ=")</f>
        <v>#VALUE!</v>
      </c>
      <c r="BB82" t="e">
        <f>AND('BBP complete'!I1098,"AAAAAH/F3zU=")</f>
        <v>#VALUE!</v>
      </c>
      <c r="BC82" s="60" t="e">
        <v>#VALUE!</v>
      </c>
      <c r="BD82" t="e">
        <f>AND('BBP complete'!A1101,"AAAAAH/F3zc=")</f>
        <v>#VALUE!</v>
      </c>
      <c r="BE82" t="e">
        <f>AND('BBP complete'!#REF!,"AAAAAH/F3zg=")</f>
        <v>#REF!</v>
      </c>
      <c r="BF82" t="e">
        <f>AND('BBP complete'!#REF!,"AAAAAH/F3zk=")</f>
        <v>#REF!</v>
      </c>
      <c r="BG82" t="e">
        <f>AND('BBP complete'!#REF!,"AAAAAH/F3zo=")</f>
        <v>#REF!</v>
      </c>
      <c r="BH82" t="e">
        <f>AND('BBP complete'!#REF!,"AAAAAH/F3zs=")</f>
        <v>#REF!</v>
      </c>
      <c r="BI82" t="e">
        <f>AND('BBP complete'!#REF!,"AAAAAH/F3zw=")</f>
        <v>#REF!</v>
      </c>
      <c r="BJ82" t="e">
        <f>AND('BBP complete'!E1098,"AAAAAH/F3z0=")</f>
        <v>#VALUE!</v>
      </c>
      <c r="BK82" t="e">
        <f>AND('BBP complete'!#REF!,"AAAAAH/F3z4=")</f>
        <v>#REF!</v>
      </c>
      <c r="BL82" t="e">
        <f>AND('BBP complete'!K1095,"AAAAAH/F3z8=")</f>
        <v>#VALUE!</v>
      </c>
      <c r="BM82" t="e">
        <f>AND('BBP complete'!L1098,"AAAAAH/F30A=")</f>
        <v>#VALUE!</v>
      </c>
      <c r="BN82" t="e">
        <f>AND('BBP complete'!#REF!,"AAAAAH/F30E=")</f>
        <v>#REF!</v>
      </c>
      <c r="BO82" t="e">
        <f>AND('BBP complete'!#REF!,"AAAAAH/F30I=")</f>
        <v>#REF!</v>
      </c>
      <c r="BP82" t="e">
        <f>AND('BBP complete'!#REF!,"AAAAAH/F30M=")</f>
        <v>#REF!</v>
      </c>
      <c r="BQ82" t="e">
        <f>AND('BBP complete'!D1099,"AAAAAH/F30Q=")</f>
        <v>#VALUE!</v>
      </c>
      <c r="BR82" t="e">
        <f>AND('BBP complete'!F1099,"AAAAAH/F30U=")</f>
        <v>#VALUE!</v>
      </c>
      <c r="BS82" t="e">
        <f>AND('BBP complete'!G1099,"AAAAAH/F30Y=")</f>
        <v>#VALUE!</v>
      </c>
      <c r="BT82" t="e">
        <f>AND('BBP complete'!H1099,"AAAAAH/F30c=")</f>
        <v>#VALUE!</v>
      </c>
      <c r="BU82" t="e">
        <f>AND('BBP complete'!I1099,"AAAAAH/F30g=")</f>
        <v>#VALUE!</v>
      </c>
      <c r="BV82" s="60" t="e">
        <v>#VALUE!</v>
      </c>
      <c r="BW82" t="e">
        <f>AND('BBP complete'!A1102,"AAAAAH/F30o=")</f>
        <v>#VALUE!</v>
      </c>
      <c r="BX82" t="e">
        <f>AND('BBP complete'!#REF!,"AAAAAH/F30s=")</f>
        <v>#REF!</v>
      </c>
      <c r="BY82" t="e">
        <f>AND('BBP complete'!#REF!,"AAAAAH/F30w=")</f>
        <v>#REF!</v>
      </c>
      <c r="BZ82" t="e">
        <f>AND('BBP complete'!#REF!,"AAAAAH/F300=")</f>
        <v>#REF!</v>
      </c>
      <c r="CA82" t="e">
        <f>AND('BBP complete'!#REF!,"AAAAAH/F304=")</f>
        <v>#REF!</v>
      </c>
      <c r="CB82" t="e">
        <f>AND('BBP complete'!#REF!,"AAAAAH/F308=")</f>
        <v>#REF!</v>
      </c>
      <c r="CC82" t="e">
        <f>AND('BBP complete'!E1099,"AAAAAH/F31A=")</f>
        <v>#VALUE!</v>
      </c>
      <c r="CD82" t="e">
        <f>AND('BBP complete'!#REF!,"AAAAAH/F31E=")</f>
        <v>#REF!</v>
      </c>
      <c r="CE82" t="e">
        <f>AND('BBP complete'!K1096,"AAAAAH/F31I=")</f>
        <v>#VALUE!</v>
      </c>
      <c r="CF82" t="e">
        <f>AND('BBP complete'!L1099,"AAAAAH/F31M=")</f>
        <v>#VALUE!</v>
      </c>
      <c r="CG82" t="e">
        <f>AND('BBP complete'!#REF!,"AAAAAH/F31Q=")</f>
        <v>#REF!</v>
      </c>
      <c r="CH82" t="e">
        <f>AND('BBP complete'!#REF!,"AAAAAH/F31U=")</f>
        <v>#REF!</v>
      </c>
      <c r="CI82" t="e">
        <f>AND('BBP complete'!#REF!,"AAAAAH/F31Y=")</f>
        <v>#REF!</v>
      </c>
      <c r="CJ82" t="e">
        <f>AND('BBP complete'!D1100,"AAAAAH/F31c=")</f>
        <v>#VALUE!</v>
      </c>
      <c r="CK82" t="e">
        <f>AND('BBP complete'!F1100,"AAAAAH/F31g=")</f>
        <v>#VALUE!</v>
      </c>
      <c r="CL82" t="e">
        <f>AND('BBP complete'!G1100,"AAAAAH/F31k=")</f>
        <v>#VALUE!</v>
      </c>
      <c r="CM82" t="e">
        <f>AND('BBP complete'!H1100,"AAAAAH/F31o=")</f>
        <v>#VALUE!</v>
      </c>
      <c r="CN82" t="e">
        <f>AND('BBP complete'!I1100,"AAAAAH/F31s=")</f>
        <v>#VALUE!</v>
      </c>
      <c r="CO82" s="60" t="e">
        <v>#VALUE!</v>
      </c>
      <c r="CP82" t="e">
        <f>AND('BBP complete'!A1103,"AAAAAH/F310=")</f>
        <v>#VALUE!</v>
      </c>
      <c r="CQ82" t="e">
        <f>AND('BBP complete'!#REF!,"AAAAAH/F314=")</f>
        <v>#REF!</v>
      </c>
      <c r="CR82" t="e">
        <f>AND('BBP complete'!#REF!,"AAAAAH/F318=")</f>
        <v>#REF!</v>
      </c>
      <c r="CS82" t="e">
        <f>AND('BBP complete'!#REF!,"AAAAAH/F32A=")</f>
        <v>#REF!</v>
      </c>
      <c r="CT82" t="e">
        <f>AND('BBP complete'!#REF!,"AAAAAH/F32E=")</f>
        <v>#REF!</v>
      </c>
      <c r="CU82" t="e">
        <f>AND('BBP complete'!#REF!,"AAAAAH/F32I=")</f>
        <v>#REF!</v>
      </c>
      <c r="CV82" t="e">
        <f>AND('BBP complete'!E1100,"AAAAAH/F32M=")</f>
        <v>#VALUE!</v>
      </c>
      <c r="CW82" t="e">
        <f>AND('BBP complete'!#REF!,"AAAAAH/F32Q=")</f>
        <v>#REF!</v>
      </c>
      <c r="CX82" t="e">
        <f>AND('BBP complete'!K1097,"AAAAAH/F32U=")</f>
        <v>#VALUE!</v>
      </c>
      <c r="CY82" t="e">
        <f>AND('BBP complete'!L1101,"AAAAAH/F32Y=")</f>
        <v>#VALUE!</v>
      </c>
      <c r="CZ82" t="e">
        <f>AND('BBP complete'!#REF!,"AAAAAH/F32c=")</f>
        <v>#REF!</v>
      </c>
      <c r="DA82" t="e">
        <f>AND('BBP complete'!#REF!,"AAAAAH/F32g=")</f>
        <v>#REF!</v>
      </c>
      <c r="DB82" t="e">
        <f>AND('BBP complete'!#REF!,"AAAAAH/F32k=")</f>
        <v>#REF!</v>
      </c>
      <c r="DC82" t="e">
        <f>AND('BBP complete'!D1102,"AAAAAH/F32o=")</f>
        <v>#VALUE!</v>
      </c>
      <c r="DD82" t="e">
        <f>AND('BBP complete'!F1102,"AAAAAH/F32s=")</f>
        <v>#VALUE!</v>
      </c>
      <c r="DE82" t="e">
        <f>AND('BBP complete'!G1102,"AAAAAH/F32w=")</f>
        <v>#VALUE!</v>
      </c>
      <c r="DF82" t="e">
        <f>AND('BBP complete'!H1102,"AAAAAH/F320=")</f>
        <v>#VALUE!</v>
      </c>
      <c r="DG82" t="e">
        <f>AND('BBP complete'!I1102,"AAAAAH/F324=")</f>
        <v>#VALUE!</v>
      </c>
      <c r="DH82" s="60" t="e">
        <v>#VALUE!</v>
      </c>
      <c r="DI82" t="e">
        <f>AND('BBP complete'!A1105,"AAAAAH/F33A=")</f>
        <v>#VALUE!</v>
      </c>
      <c r="DJ82" t="e">
        <f>AND('BBP complete'!#REF!,"AAAAAH/F33E=")</f>
        <v>#REF!</v>
      </c>
      <c r="DK82" t="e">
        <f>AND('BBP complete'!#REF!,"AAAAAH/F33I=")</f>
        <v>#REF!</v>
      </c>
      <c r="DL82" t="e">
        <f>AND('BBP complete'!#REF!,"AAAAAH/F33M=")</f>
        <v>#REF!</v>
      </c>
      <c r="DM82" t="e">
        <f>AND('BBP complete'!#REF!,"AAAAAH/F33Q=")</f>
        <v>#REF!</v>
      </c>
      <c r="DN82" t="e">
        <f>AND('BBP complete'!#REF!,"AAAAAH/F33U=")</f>
        <v>#REF!</v>
      </c>
      <c r="DO82" t="e">
        <f>AND('BBP complete'!E1102,"AAAAAH/F33Y=")</f>
        <v>#VALUE!</v>
      </c>
      <c r="DP82" t="e">
        <f>AND('BBP complete'!#REF!,"AAAAAH/F33c=")</f>
        <v>#REF!</v>
      </c>
      <c r="DQ82" t="e">
        <f>AND('BBP complete'!K1099,"AAAAAH/F33g=")</f>
        <v>#VALUE!</v>
      </c>
      <c r="DR82" t="e">
        <f>AND('BBP complete'!L1102,"AAAAAH/F33k=")</f>
        <v>#VALUE!</v>
      </c>
      <c r="DS82" t="e">
        <f>AND('BBP complete'!#REF!,"AAAAAH/F33o=")</f>
        <v>#REF!</v>
      </c>
      <c r="DT82" t="e">
        <f>AND('BBP complete'!#REF!,"AAAAAH/F33s=")</f>
        <v>#REF!</v>
      </c>
      <c r="DU82" t="e">
        <f>AND('BBP complete'!#REF!,"AAAAAH/F33w=")</f>
        <v>#REF!</v>
      </c>
      <c r="DV82" t="e">
        <f>AND('BBP complete'!D1103,"AAAAAH/F330=")</f>
        <v>#VALUE!</v>
      </c>
      <c r="DW82" t="e">
        <f>AND('BBP complete'!F1103,"AAAAAH/F334=")</f>
        <v>#VALUE!</v>
      </c>
      <c r="DX82" t="e">
        <f>AND('BBP complete'!G1103,"AAAAAH/F338=")</f>
        <v>#VALUE!</v>
      </c>
      <c r="DY82" t="e">
        <f>AND('BBP complete'!H1103,"AAAAAH/F34A=")</f>
        <v>#VALUE!</v>
      </c>
      <c r="DZ82" t="e">
        <f>AND('BBP complete'!I1103,"AAAAAH/F34E=")</f>
        <v>#VALUE!</v>
      </c>
      <c r="EA82" s="60" t="e">
        <v>#VALUE!</v>
      </c>
      <c r="EB82" t="e">
        <f>AND('BBP complete'!A1106,"AAAAAH/F34M=")</f>
        <v>#VALUE!</v>
      </c>
      <c r="EC82" t="e">
        <f>AND('BBP complete'!#REF!,"AAAAAH/F34Q=")</f>
        <v>#REF!</v>
      </c>
      <c r="ED82" t="e">
        <f>AND('BBP complete'!#REF!,"AAAAAH/F34U=")</f>
        <v>#REF!</v>
      </c>
      <c r="EE82" t="e">
        <f>AND('BBP complete'!#REF!,"AAAAAH/F34Y=")</f>
        <v>#REF!</v>
      </c>
      <c r="EF82" t="e">
        <f>AND('BBP complete'!#REF!,"AAAAAH/F34c=")</f>
        <v>#REF!</v>
      </c>
      <c r="EG82" t="e">
        <f>AND('BBP complete'!#REF!,"AAAAAH/F34g=")</f>
        <v>#REF!</v>
      </c>
      <c r="EH82" t="e">
        <f>AND('BBP complete'!E1103,"AAAAAH/F34k=")</f>
        <v>#VALUE!</v>
      </c>
      <c r="EI82" t="e">
        <f>AND('BBP complete'!#REF!,"AAAAAH/F34o=")</f>
        <v>#REF!</v>
      </c>
      <c r="EJ82" t="e">
        <f>AND('BBP complete'!K1100,"AAAAAH/F34s=")</f>
        <v>#VALUE!</v>
      </c>
      <c r="EK82" t="e">
        <f>AND('BBP complete'!L1103,"AAAAAH/F34w=")</f>
        <v>#VALUE!</v>
      </c>
      <c r="EL82" t="e">
        <f>AND('BBP complete'!#REF!,"AAAAAH/F340=")</f>
        <v>#REF!</v>
      </c>
      <c r="EM82" t="e">
        <f>AND('BBP complete'!#REF!,"AAAAAH/F344=")</f>
        <v>#REF!</v>
      </c>
      <c r="EN82" t="e">
        <f>AND('BBP complete'!#REF!,"AAAAAH/F348=")</f>
        <v>#REF!</v>
      </c>
      <c r="EO82" t="e">
        <f>AND('BBP complete'!D1104,"AAAAAH/F35A=")</f>
        <v>#VALUE!</v>
      </c>
      <c r="EP82" t="e">
        <f>AND('BBP complete'!F1104,"AAAAAH/F35E=")</f>
        <v>#VALUE!</v>
      </c>
      <c r="EQ82" t="e">
        <f>AND('BBP complete'!G1104,"AAAAAH/F35I=")</f>
        <v>#VALUE!</v>
      </c>
      <c r="ER82" t="e">
        <f>AND('BBP complete'!H1104,"AAAAAH/F35M=")</f>
        <v>#VALUE!</v>
      </c>
      <c r="ES82" t="e">
        <f>AND('BBP complete'!I1104,"AAAAAH/F35Q=")</f>
        <v>#VALUE!</v>
      </c>
      <c r="ET82" s="60" t="e">
        <v>#VALUE!</v>
      </c>
      <c r="EU82" t="e">
        <f>AND('BBP complete'!A1107,"AAAAAH/F35Y=")</f>
        <v>#VALUE!</v>
      </c>
      <c r="EV82" t="e">
        <f>AND('BBP complete'!#REF!,"AAAAAH/F35c=")</f>
        <v>#REF!</v>
      </c>
      <c r="EW82" t="e">
        <f>AND('BBP complete'!#REF!,"AAAAAH/F35g=")</f>
        <v>#REF!</v>
      </c>
      <c r="EX82" t="e">
        <f>AND('BBP complete'!#REF!,"AAAAAH/F35k=")</f>
        <v>#REF!</v>
      </c>
      <c r="EY82" t="e">
        <f>AND('BBP complete'!#REF!,"AAAAAH/F35o=")</f>
        <v>#REF!</v>
      </c>
      <c r="EZ82" t="e">
        <f>AND('BBP complete'!#REF!,"AAAAAH/F35s=")</f>
        <v>#REF!</v>
      </c>
      <c r="FA82" t="e">
        <f>AND('BBP complete'!E1104,"AAAAAH/F35w=")</f>
        <v>#VALUE!</v>
      </c>
      <c r="FB82" t="e">
        <f>AND('BBP complete'!#REF!,"AAAAAH/F350=")</f>
        <v>#REF!</v>
      </c>
      <c r="FC82" t="e">
        <f>AND('BBP complete'!K1101,"AAAAAH/F354=")</f>
        <v>#VALUE!</v>
      </c>
      <c r="FD82" t="e">
        <f>AND('BBP complete'!L1104,"AAAAAH/F358=")</f>
        <v>#VALUE!</v>
      </c>
      <c r="FE82" t="e">
        <f>AND('BBP complete'!#REF!,"AAAAAH/F36A=")</f>
        <v>#REF!</v>
      </c>
      <c r="FF82" t="e">
        <f>AND('BBP complete'!#REF!,"AAAAAH/F36E=")</f>
        <v>#REF!</v>
      </c>
      <c r="FG82" t="e">
        <f>AND('BBP complete'!#REF!,"AAAAAH/F36I=")</f>
        <v>#REF!</v>
      </c>
      <c r="FH82" t="e">
        <f>AND('BBP complete'!D1105,"AAAAAH/F36M=")</f>
        <v>#VALUE!</v>
      </c>
      <c r="FI82" t="e">
        <f>AND('BBP complete'!F1105,"AAAAAH/F36Q=")</f>
        <v>#VALUE!</v>
      </c>
      <c r="FJ82" t="e">
        <f>AND('BBP complete'!G1105,"AAAAAH/F36U=")</f>
        <v>#VALUE!</v>
      </c>
      <c r="FK82" t="e">
        <f>AND('BBP complete'!H1105,"AAAAAH/F36Y=")</f>
        <v>#VALUE!</v>
      </c>
      <c r="FL82" t="e">
        <f>AND('BBP complete'!I1105,"AAAAAH/F36c=")</f>
        <v>#VALUE!</v>
      </c>
      <c r="FM82" s="60" t="e">
        <v>#VALUE!</v>
      </c>
      <c r="FN82" t="e">
        <f>AND('BBP complete'!A1108,"AAAAAH/F36k=")</f>
        <v>#VALUE!</v>
      </c>
      <c r="FO82" t="e">
        <f>AND('BBP complete'!#REF!,"AAAAAH/F36o=")</f>
        <v>#REF!</v>
      </c>
      <c r="FP82" t="e">
        <f>AND('BBP complete'!#REF!,"AAAAAH/F36s=")</f>
        <v>#REF!</v>
      </c>
      <c r="FQ82" t="e">
        <f>AND('BBP complete'!#REF!,"AAAAAH/F36w=")</f>
        <v>#REF!</v>
      </c>
      <c r="FR82" t="e">
        <f>AND('BBP complete'!#REF!,"AAAAAH/F360=")</f>
        <v>#REF!</v>
      </c>
      <c r="FS82" t="e">
        <f>AND('BBP complete'!#REF!,"AAAAAH/F364=")</f>
        <v>#REF!</v>
      </c>
      <c r="FT82" t="e">
        <f>AND('BBP complete'!E1105,"AAAAAH/F368=")</f>
        <v>#VALUE!</v>
      </c>
      <c r="FU82" t="e">
        <f>AND('BBP complete'!#REF!,"AAAAAH/F37A=")</f>
        <v>#REF!</v>
      </c>
      <c r="FV82" t="e">
        <f>AND('BBP complete'!K1102,"AAAAAH/F37E=")</f>
        <v>#VALUE!</v>
      </c>
      <c r="FW82" t="e">
        <f>AND('BBP complete'!L1105,"AAAAAH/F37I=")</f>
        <v>#VALUE!</v>
      </c>
      <c r="FX82" t="e">
        <f>AND('BBP complete'!#REF!,"AAAAAH/F37M=")</f>
        <v>#REF!</v>
      </c>
      <c r="FY82" t="e">
        <f>AND('BBP complete'!#REF!,"AAAAAH/F37Q=")</f>
        <v>#REF!</v>
      </c>
      <c r="FZ82" t="e">
        <f>AND('BBP complete'!#REF!,"AAAAAH/F37U=")</f>
        <v>#REF!</v>
      </c>
      <c r="GA82" t="e">
        <f>AND('BBP complete'!D1106,"AAAAAH/F37Y=")</f>
        <v>#VALUE!</v>
      </c>
      <c r="GB82" t="e">
        <f>AND('BBP complete'!F1106,"AAAAAH/F37c=")</f>
        <v>#VALUE!</v>
      </c>
      <c r="GC82" t="e">
        <f>AND('BBP complete'!G1106,"AAAAAH/F37g=")</f>
        <v>#VALUE!</v>
      </c>
      <c r="GD82" t="e">
        <f>AND('BBP complete'!H1106,"AAAAAH/F37k=")</f>
        <v>#VALUE!</v>
      </c>
      <c r="GE82" t="e">
        <f>AND('BBP complete'!I1106,"AAAAAH/F37o=")</f>
        <v>#VALUE!</v>
      </c>
      <c r="GF82" s="60" t="e">
        <v>#VALUE!</v>
      </c>
      <c r="GG82" t="e">
        <f>AND('BBP complete'!A1109,"AAAAAH/F37w=")</f>
        <v>#VALUE!</v>
      </c>
      <c r="GH82" t="e">
        <f>AND('BBP complete'!#REF!,"AAAAAH/F370=")</f>
        <v>#REF!</v>
      </c>
      <c r="GI82" t="e">
        <f>AND('BBP complete'!#REF!,"AAAAAH/F374=")</f>
        <v>#REF!</v>
      </c>
      <c r="GJ82" t="e">
        <f>AND('BBP complete'!#REF!,"AAAAAH/F378=")</f>
        <v>#REF!</v>
      </c>
      <c r="GK82" t="e">
        <f>AND('BBP complete'!#REF!,"AAAAAH/F38A=")</f>
        <v>#REF!</v>
      </c>
      <c r="GL82" t="e">
        <f>AND('BBP complete'!#REF!,"AAAAAH/F38E=")</f>
        <v>#REF!</v>
      </c>
      <c r="GM82" t="e">
        <f>AND('BBP complete'!E1106,"AAAAAH/F38I=")</f>
        <v>#VALUE!</v>
      </c>
      <c r="GN82" t="e">
        <f>AND('BBP complete'!#REF!,"AAAAAH/F38M=")</f>
        <v>#REF!</v>
      </c>
      <c r="GO82" t="e">
        <f>AND('BBP complete'!K1103,"AAAAAH/F38Q=")</f>
        <v>#VALUE!</v>
      </c>
      <c r="GP82" t="e">
        <f>AND('BBP complete'!L1106,"AAAAAH/F38U=")</f>
        <v>#VALUE!</v>
      </c>
      <c r="GQ82" t="e">
        <f>AND('BBP complete'!#REF!,"AAAAAH/F38Y=")</f>
        <v>#REF!</v>
      </c>
      <c r="GR82" t="e">
        <f>AND('BBP complete'!#REF!,"AAAAAH/F38c=")</f>
        <v>#REF!</v>
      </c>
      <c r="GS82" t="e">
        <f>AND('BBP complete'!#REF!,"AAAAAH/F38g=")</f>
        <v>#REF!</v>
      </c>
      <c r="GT82" t="e">
        <f>AND('BBP complete'!D1107,"AAAAAH/F38k=")</f>
        <v>#VALUE!</v>
      </c>
      <c r="GU82" t="e">
        <f>AND('BBP complete'!F1107,"AAAAAH/F38o=")</f>
        <v>#VALUE!</v>
      </c>
      <c r="GV82" t="e">
        <f>AND('BBP complete'!G1107,"AAAAAH/F38s=")</f>
        <v>#VALUE!</v>
      </c>
      <c r="GW82" t="e">
        <f>AND('BBP complete'!H1107,"AAAAAH/F38w=")</f>
        <v>#VALUE!</v>
      </c>
      <c r="GX82" t="e">
        <f>AND('BBP complete'!I1107,"AAAAAH/F380=")</f>
        <v>#VALUE!</v>
      </c>
      <c r="GY82" s="60" t="e">
        <v>#VALUE!</v>
      </c>
      <c r="GZ82" t="e">
        <f>AND('BBP complete'!A1110,"AAAAAH/F388=")</f>
        <v>#VALUE!</v>
      </c>
      <c r="HA82" t="e">
        <f>AND('BBP complete'!#REF!,"AAAAAH/F39A=")</f>
        <v>#REF!</v>
      </c>
      <c r="HB82" t="e">
        <f>AND('BBP complete'!#REF!,"AAAAAH/F39E=")</f>
        <v>#REF!</v>
      </c>
      <c r="HC82" t="e">
        <f>AND('BBP complete'!#REF!,"AAAAAH/F39I=")</f>
        <v>#REF!</v>
      </c>
      <c r="HD82" t="e">
        <f>AND('BBP complete'!#REF!,"AAAAAH/F39M=")</f>
        <v>#REF!</v>
      </c>
      <c r="HE82" t="e">
        <f>AND('BBP complete'!#REF!,"AAAAAH/F39Q=")</f>
        <v>#REF!</v>
      </c>
      <c r="HF82" t="e">
        <f>AND('BBP complete'!E1107,"AAAAAH/F39U=")</f>
        <v>#VALUE!</v>
      </c>
      <c r="HG82" t="e">
        <f>AND('BBP complete'!#REF!,"AAAAAH/F39Y=")</f>
        <v>#REF!</v>
      </c>
      <c r="HH82" t="e">
        <f>AND('BBP complete'!K1104,"AAAAAH/F39c=")</f>
        <v>#VALUE!</v>
      </c>
      <c r="HI82" t="e">
        <f>AND('BBP complete'!L1107,"AAAAAH/F39g=")</f>
        <v>#VALUE!</v>
      </c>
      <c r="HJ82" t="e">
        <f>AND('BBP complete'!#REF!,"AAAAAH/F39k=")</f>
        <v>#REF!</v>
      </c>
      <c r="HK82" t="e">
        <f>AND('BBP complete'!#REF!,"AAAAAH/F39o=")</f>
        <v>#REF!</v>
      </c>
      <c r="HL82" t="e">
        <f>AND('BBP complete'!#REF!,"AAAAAH/F39s=")</f>
        <v>#REF!</v>
      </c>
      <c r="HM82" t="e">
        <f>AND('BBP complete'!D1108,"AAAAAH/F39w=")</f>
        <v>#VALUE!</v>
      </c>
      <c r="HN82" t="e">
        <f>AND('BBP complete'!F1108,"AAAAAH/F390=")</f>
        <v>#VALUE!</v>
      </c>
      <c r="HO82" t="e">
        <f>AND('BBP complete'!G1108,"AAAAAH/F394=")</f>
        <v>#VALUE!</v>
      </c>
      <c r="HP82" t="e">
        <f>AND('BBP complete'!H1108,"AAAAAH/F398=")</f>
        <v>#VALUE!</v>
      </c>
      <c r="HQ82" t="e">
        <f>AND('BBP complete'!I1108,"AAAAAH/F3+A=")</f>
        <v>#VALUE!</v>
      </c>
      <c r="HR82" s="60" t="e">
        <v>#VALUE!</v>
      </c>
      <c r="HS82" t="e">
        <f>AND('BBP complete'!A1111,"AAAAAH/F3+I=")</f>
        <v>#VALUE!</v>
      </c>
      <c r="HT82" t="e">
        <f>AND('BBP complete'!#REF!,"AAAAAH/F3+M=")</f>
        <v>#REF!</v>
      </c>
      <c r="HU82" t="e">
        <f>AND('BBP complete'!#REF!,"AAAAAH/F3+Q=")</f>
        <v>#REF!</v>
      </c>
      <c r="HV82" t="e">
        <f>AND('BBP complete'!#REF!,"AAAAAH/F3+U=")</f>
        <v>#REF!</v>
      </c>
      <c r="HW82" t="e">
        <f>AND('BBP complete'!#REF!,"AAAAAH/F3+Y=")</f>
        <v>#REF!</v>
      </c>
      <c r="HX82" t="e">
        <f>AND('BBP complete'!#REF!,"AAAAAH/F3+c=")</f>
        <v>#REF!</v>
      </c>
      <c r="HY82" t="e">
        <f>AND('BBP complete'!E1108,"AAAAAH/F3+g=")</f>
        <v>#VALUE!</v>
      </c>
      <c r="HZ82" t="e">
        <f>AND('BBP complete'!#REF!,"AAAAAH/F3+k=")</f>
        <v>#REF!</v>
      </c>
      <c r="IA82" t="e">
        <f>AND('BBP complete'!K1105,"AAAAAH/F3+o=")</f>
        <v>#VALUE!</v>
      </c>
      <c r="IB82" t="e">
        <f>AND('BBP complete'!L1108,"AAAAAH/F3+s=")</f>
        <v>#VALUE!</v>
      </c>
      <c r="IC82" t="e">
        <f>AND('BBP complete'!#REF!,"AAAAAH/F3+w=")</f>
        <v>#REF!</v>
      </c>
      <c r="ID82" t="e">
        <f>AND('BBP complete'!#REF!,"AAAAAH/F3+0=")</f>
        <v>#REF!</v>
      </c>
      <c r="IE82" t="e">
        <f>AND('BBP complete'!#REF!,"AAAAAH/F3+4=")</f>
        <v>#REF!</v>
      </c>
      <c r="IF82" t="e">
        <f>AND('BBP complete'!D1109,"AAAAAH/F3+8=")</f>
        <v>#VALUE!</v>
      </c>
      <c r="IG82" t="e">
        <f>AND('BBP complete'!F1109,"AAAAAH/F3/A=")</f>
        <v>#VALUE!</v>
      </c>
      <c r="IH82" t="e">
        <f>AND('BBP complete'!G1109,"AAAAAH/F3/E=")</f>
        <v>#VALUE!</v>
      </c>
      <c r="II82" t="e">
        <f>AND('BBP complete'!H1109,"AAAAAH/F3/I=")</f>
        <v>#VALUE!</v>
      </c>
      <c r="IJ82" t="e">
        <f>AND('BBP complete'!I1109,"AAAAAH/F3/M=")</f>
        <v>#VALUE!</v>
      </c>
      <c r="IK82" s="60" t="e">
        <v>#VALUE!</v>
      </c>
      <c r="IL82" t="e">
        <f>AND('BBP complete'!A1112,"AAAAAH/F3/U=")</f>
        <v>#VALUE!</v>
      </c>
      <c r="IM82" t="e">
        <f>AND('BBP complete'!#REF!,"AAAAAH/F3/Y=")</f>
        <v>#REF!</v>
      </c>
      <c r="IN82" t="e">
        <f>AND('BBP complete'!#REF!,"AAAAAH/F3/c=")</f>
        <v>#REF!</v>
      </c>
      <c r="IO82" t="e">
        <f>AND('BBP complete'!#REF!,"AAAAAH/F3/g=")</f>
        <v>#REF!</v>
      </c>
      <c r="IP82" t="e">
        <f>AND('BBP complete'!#REF!,"AAAAAH/F3/k=")</f>
        <v>#REF!</v>
      </c>
      <c r="IQ82" t="e">
        <f>AND('BBP complete'!#REF!,"AAAAAH/F3/o=")</f>
        <v>#REF!</v>
      </c>
      <c r="IR82" t="e">
        <f>AND('BBP complete'!E1109,"AAAAAH/F3/s=")</f>
        <v>#VALUE!</v>
      </c>
      <c r="IS82" t="e">
        <f>AND('BBP complete'!#REF!,"AAAAAH/F3/w=")</f>
        <v>#REF!</v>
      </c>
      <c r="IT82" t="e">
        <f>AND('BBP complete'!K1106,"AAAAAH/F3/0=")</f>
        <v>#VALUE!</v>
      </c>
      <c r="IU82" t="e">
        <f>AND('BBP complete'!L1109,"AAAAAH/F3/4=")</f>
        <v>#VALUE!</v>
      </c>
      <c r="IV82" t="e">
        <f>AND('BBP complete'!#REF!,"AAAAAH/F3/8=")</f>
        <v>#REF!</v>
      </c>
    </row>
    <row r="83" spans="1:256" ht="15" customHeight="1" x14ac:dyDescent="0.25">
      <c r="A83" t="e">
        <f>AND('BBP complete'!#REF!,"AAAAAD3q+wA=")</f>
        <v>#REF!</v>
      </c>
      <c r="B83" t="e">
        <f>AND('BBP complete'!#REF!,"AAAAAD3q+wE=")</f>
        <v>#REF!</v>
      </c>
      <c r="C83" t="e">
        <f>AND('BBP complete'!D1110,"AAAAAD3q+wI=")</f>
        <v>#VALUE!</v>
      </c>
      <c r="D83" t="e">
        <f>AND('BBP complete'!F1110,"AAAAAD3q+wM=")</f>
        <v>#VALUE!</v>
      </c>
      <c r="E83" t="e">
        <f>AND('BBP complete'!G1110,"AAAAAD3q+wQ=")</f>
        <v>#VALUE!</v>
      </c>
      <c r="F83" t="e">
        <f>AND('BBP complete'!H1110,"AAAAAD3q+wU=")</f>
        <v>#VALUE!</v>
      </c>
      <c r="G83" t="e">
        <f>AND('BBP complete'!I1110,"AAAAAD3q+wY=")</f>
        <v>#VALUE!</v>
      </c>
      <c r="H83" s="60" t="e">
        <v>#VALUE!</v>
      </c>
      <c r="I83" t="e">
        <f>AND('BBP complete'!A1113,"AAAAAD3q+wg=")</f>
        <v>#VALUE!</v>
      </c>
      <c r="J83" t="e">
        <f>AND('BBP complete'!B1119,"AAAAAD3q+wk=")</f>
        <v>#VALUE!</v>
      </c>
      <c r="K83" t="e">
        <f>AND('BBP complete'!C1119,"AAAAAD3q+wo=")</f>
        <v>#VALUE!</v>
      </c>
      <c r="L83" t="e">
        <f>AND('BBP complete'!#REF!,"AAAAAD3q+ws=")</f>
        <v>#REF!</v>
      </c>
      <c r="M83" t="e">
        <f>AND('BBP complete'!#REF!,"AAAAAD3q+ww=")</f>
        <v>#REF!</v>
      </c>
      <c r="N83" t="e">
        <f>AND('BBP complete'!#REF!,"AAAAAD3q+w0=")</f>
        <v>#REF!</v>
      </c>
      <c r="O83" t="e">
        <f>AND('BBP complete'!E1110,"AAAAAD3q+w4=")</f>
        <v>#VALUE!</v>
      </c>
      <c r="P83" t="e">
        <f>AND('BBP complete'!#REF!,"AAAAAD3q+w8=")</f>
        <v>#REF!</v>
      </c>
      <c r="Q83" t="e">
        <f>AND('BBP complete'!K1107,"AAAAAD3q+xA=")</f>
        <v>#VALUE!</v>
      </c>
      <c r="R83" t="e">
        <f>AND('BBP complete'!L1110,"AAAAAD3q+xE=")</f>
        <v>#VALUE!</v>
      </c>
      <c r="S83" t="e">
        <f>AND('BBP complete'!#REF!,"AAAAAD3q+xI=")</f>
        <v>#REF!</v>
      </c>
      <c r="T83" t="e">
        <f>AND('BBP complete'!#REF!,"AAAAAD3q+xM=")</f>
        <v>#REF!</v>
      </c>
      <c r="U83" t="e">
        <f>AND('BBP complete'!#REF!,"AAAAAD3q+xQ=")</f>
        <v>#REF!</v>
      </c>
      <c r="V83" t="e">
        <f>AND('BBP complete'!D1111,"AAAAAD3q+xU=")</f>
        <v>#VALUE!</v>
      </c>
      <c r="W83" t="e">
        <f>AND('BBP complete'!F1111,"AAAAAD3q+xY=")</f>
        <v>#VALUE!</v>
      </c>
      <c r="X83" t="e">
        <f>AND('BBP complete'!G1111,"AAAAAD3q+xc=")</f>
        <v>#VALUE!</v>
      </c>
      <c r="Y83" t="e">
        <f>AND('BBP complete'!H1111,"AAAAAD3q+xg=")</f>
        <v>#VALUE!</v>
      </c>
      <c r="Z83" t="e">
        <f>AND('BBP complete'!I1111,"AAAAAD3q+xk=")</f>
        <v>#VALUE!</v>
      </c>
      <c r="AA83" s="60" t="e">
        <v>#VALUE!</v>
      </c>
      <c r="AB83" t="e">
        <f>AND('BBP complete'!#REF!,"AAAAAD3q+xs=")</f>
        <v>#REF!</v>
      </c>
      <c r="AC83" t="e">
        <f>AND('BBP complete'!#REF!,"AAAAAD3q+xw=")</f>
        <v>#REF!</v>
      </c>
      <c r="AD83" t="e">
        <f>AND('BBP complete'!#REF!,"AAAAAD3q+x0=")</f>
        <v>#REF!</v>
      </c>
      <c r="AE83" t="e">
        <f>AND('BBP complete'!#REF!,"AAAAAD3q+x4=")</f>
        <v>#REF!</v>
      </c>
      <c r="AF83" t="e">
        <f>AND('BBP complete'!#REF!,"AAAAAD3q+x8=")</f>
        <v>#REF!</v>
      </c>
      <c r="AG83" t="e">
        <f>AND('BBP complete'!#REF!,"AAAAAD3q+yA=")</f>
        <v>#REF!</v>
      </c>
      <c r="AH83" t="e">
        <f>AND('BBP complete'!E1111,"AAAAAD3q+yE=")</f>
        <v>#VALUE!</v>
      </c>
      <c r="AI83" t="e">
        <f>AND('BBP complete'!#REF!,"AAAAAD3q+yI=")</f>
        <v>#REF!</v>
      </c>
      <c r="AJ83" t="e">
        <f>AND('BBP complete'!K1108,"AAAAAD3q+yM=")</f>
        <v>#VALUE!</v>
      </c>
      <c r="AK83" t="e">
        <f>AND('BBP complete'!L1111,"AAAAAD3q+yQ=")</f>
        <v>#VALUE!</v>
      </c>
      <c r="AL83" t="e">
        <f>AND('BBP complete'!#REF!,"AAAAAD3q+yU=")</f>
        <v>#REF!</v>
      </c>
      <c r="AM83" t="e">
        <f>AND('BBP complete'!#REF!,"AAAAAD3q+yY=")</f>
        <v>#REF!</v>
      </c>
      <c r="AN83" t="e">
        <f>AND('BBP complete'!#REF!,"AAAAAD3q+yc=")</f>
        <v>#REF!</v>
      </c>
      <c r="AO83" t="e">
        <f>AND('BBP complete'!D1112,"AAAAAD3q+yg=")</f>
        <v>#VALUE!</v>
      </c>
      <c r="AP83" t="e">
        <f>AND('BBP complete'!F1112,"AAAAAD3q+yk=")</f>
        <v>#VALUE!</v>
      </c>
      <c r="AQ83" t="e">
        <f>AND('BBP complete'!G1112,"AAAAAD3q+yo=")</f>
        <v>#VALUE!</v>
      </c>
      <c r="AR83" t="e">
        <f>AND('BBP complete'!H1112,"AAAAAD3q+ys=")</f>
        <v>#VALUE!</v>
      </c>
      <c r="AS83" t="e">
        <f>AND('BBP complete'!I1112,"AAAAAD3q+yw=")</f>
        <v>#VALUE!</v>
      </c>
      <c r="AT83" s="60" t="e">
        <v>#VALUE!</v>
      </c>
      <c r="AU83" t="e">
        <f>AND('BBP complete'!#REF!,"AAAAAD3q+y4=")</f>
        <v>#REF!</v>
      </c>
      <c r="AV83" t="e">
        <f>AND('BBP complete'!B1117,"AAAAAD3q+y8=")</f>
        <v>#VALUE!</v>
      </c>
      <c r="AW83" t="e">
        <f>AND('BBP complete'!A1117,"AAAAAD3q+zA=")</f>
        <v>#VALUE!</v>
      </c>
      <c r="AX83" t="e">
        <f>AND('BBP complete'!#REF!,"AAAAAD3q+zE=")</f>
        <v>#REF!</v>
      </c>
      <c r="AY83" t="e">
        <f>AND('BBP complete'!#REF!,"AAAAAD3q+zI=")</f>
        <v>#REF!</v>
      </c>
      <c r="AZ83" t="e">
        <f>AND('BBP complete'!#REF!,"AAAAAD3q+zM=")</f>
        <v>#REF!</v>
      </c>
      <c r="BA83" t="e">
        <f>AND('BBP complete'!E1112,"AAAAAD3q+zQ=")</f>
        <v>#VALUE!</v>
      </c>
      <c r="BB83" t="e">
        <f>AND('BBP complete'!#REF!,"AAAAAD3q+zU=")</f>
        <v>#REF!</v>
      </c>
      <c r="BC83" t="e">
        <f>AND('BBP complete'!K1109,"AAAAAD3q+zY=")</f>
        <v>#VALUE!</v>
      </c>
      <c r="BD83" t="e">
        <f>AND('BBP complete'!L1113,"AAAAAD3q+zc=")</f>
        <v>#VALUE!</v>
      </c>
      <c r="BE83" t="e">
        <f>AND('BBP complete'!#REF!,"AAAAAD3q+zg=")</f>
        <v>#REF!</v>
      </c>
      <c r="BF83" t="e">
        <f>AND('BBP complete'!#REF!,"AAAAAD3q+zk=")</f>
        <v>#REF!</v>
      </c>
      <c r="BG83" t="e">
        <f>AND('BBP complete'!#REF!,"AAAAAD3q+zo=")</f>
        <v>#REF!</v>
      </c>
      <c r="BH83" t="e">
        <f>AND('BBP complete'!D1114,"AAAAAD3q+zs=")</f>
        <v>#VALUE!</v>
      </c>
      <c r="BI83" t="e">
        <f>AND('BBP complete'!F1114,"AAAAAD3q+zw=")</f>
        <v>#VALUE!</v>
      </c>
      <c r="BJ83" t="e">
        <f>AND('BBP complete'!G1114,"AAAAAD3q+z0=")</f>
        <v>#VALUE!</v>
      </c>
      <c r="BK83" t="e">
        <f>AND('BBP complete'!H1114,"AAAAAD3q+z4=")</f>
        <v>#VALUE!</v>
      </c>
      <c r="BL83" t="e">
        <f>AND('BBP complete'!I1114,"AAAAAD3q+z8=")</f>
        <v>#VALUE!</v>
      </c>
      <c r="BM83" s="60" t="e">
        <v>#VALUE!</v>
      </c>
      <c r="BN83" t="e">
        <f>AND('BBP complete'!#REF!,"AAAAAD3q+0E=")</f>
        <v>#REF!</v>
      </c>
      <c r="BO83" t="e">
        <f>AND('BBP complete'!B1118,"AAAAAD3q+0I=")</f>
        <v>#VALUE!</v>
      </c>
      <c r="BP83" t="e">
        <f>AND('BBP complete'!A1118,"AAAAAD3q+0M=")</f>
        <v>#VALUE!</v>
      </c>
      <c r="BQ83" t="e">
        <f>AND('BBP complete'!#REF!,"AAAAAD3q+0Q=")</f>
        <v>#REF!</v>
      </c>
      <c r="BR83" t="e">
        <f>AND('BBP complete'!#REF!,"AAAAAD3q+0U=")</f>
        <v>#REF!</v>
      </c>
      <c r="BS83" t="e">
        <f>AND('BBP complete'!#REF!,"AAAAAD3q+0Y=")</f>
        <v>#REF!</v>
      </c>
      <c r="BT83" t="e">
        <f>AND('BBP complete'!E1114,"AAAAAD3q+0c=")</f>
        <v>#VALUE!</v>
      </c>
      <c r="BU83" t="e">
        <f>AND('BBP complete'!#REF!,"AAAAAD3q+0g=")</f>
        <v>#REF!</v>
      </c>
      <c r="BV83" t="e">
        <f>AND('BBP complete'!K1111,"AAAAAD3q+0k=")</f>
        <v>#VALUE!</v>
      </c>
      <c r="BW83" t="e">
        <f>AND('BBP complete'!L1114,"AAAAAD3q+0o=")</f>
        <v>#VALUE!</v>
      </c>
      <c r="BX83" t="e">
        <f>AND('BBP complete'!#REF!,"AAAAAD3q+0s=")</f>
        <v>#REF!</v>
      </c>
      <c r="BY83" t="e">
        <f>AND('BBP complete'!#REF!,"AAAAAD3q+0w=")</f>
        <v>#REF!</v>
      </c>
      <c r="BZ83" t="e">
        <f>AND('BBP complete'!#REF!,"AAAAAD3q+00=")</f>
        <v>#REF!</v>
      </c>
      <c r="CA83" t="e">
        <f>AND('BBP complete'!D1115,"AAAAAD3q+04=")</f>
        <v>#VALUE!</v>
      </c>
      <c r="CB83" t="e">
        <f>AND('BBP complete'!F1115,"AAAAAD3q+08=")</f>
        <v>#VALUE!</v>
      </c>
      <c r="CC83" t="e">
        <f>AND('BBP complete'!G1115,"AAAAAD3q+1A=")</f>
        <v>#VALUE!</v>
      </c>
      <c r="CD83" t="e">
        <f>AND('BBP complete'!H1115,"AAAAAD3q+1E=")</f>
        <v>#VALUE!</v>
      </c>
      <c r="CE83" t="e">
        <f>AND('BBP complete'!I1115,"AAAAAD3q+1I=")</f>
        <v>#VALUE!</v>
      </c>
      <c r="CF83" s="60" t="e">
        <v>#VALUE!</v>
      </c>
      <c r="CG83" t="e">
        <f>AND('BBP complete'!#REF!,"AAAAAD3q+1Q=")</f>
        <v>#REF!</v>
      </c>
      <c r="CH83" t="e">
        <f>AND('BBP complete'!#REF!,"AAAAAD3q+1U=")</f>
        <v>#REF!</v>
      </c>
      <c r="CI83" t="e">
        <f>AND('BBP complete'!#REF!,"AAAAAD3q+1Y=")</f>
        <v>#REF!</v>
      </c>
      <c r="CJ83" t="e">
        <f>AND('BBP complete'!#REF!,"AAAAAD3q+1c=")</f>
        <v>#REF!</v>
      </c>
      <c r="CK83" t="e">
        <f>AND('BBP complete'!#REF!,"AAAAAD3q+1g=")</f>
        <v>#REF!</v>
      </c>
      <c r="CL83" t="e">
        <f>AND('BBP complete'!#REF!,"AAAAAD3q+1k=")</f>
        <v>#REF!</v>
      </c>
      <c r="CM83" t="e">
        <f>AND('BBP complete'!E1115,"AAAAAD3q+1o=")</f>
        <v>#VALUE!</v>
      </c>
      <c r="CN83" t="e">
        <f>AND('BBP complete'!#REF!,"AAAAAD3q+1s=")</f>
        <v>#REF!</v>
      </c>
      <c r="CO83" t="e">
        <f>AND('BBP complete'!K1112,"AAAAAD3q+1w=")</f>
        <v>#VALUE!</v>
      </c>
      <c r="CP83" t="e">
        <f>AND('BBP complete'!L1115,"AAAAAD3q+10=")</f>
        <v>#VALUE!</v>
      </c>
      <c r="CQ83" t="e">
        <f>AND('BBP complete'!#REF!,"AAAAAD3q+14=")</f>
        <v>#REF!</v>
      </c>
      <c r="CR83" t="e">
        <f>AND('BBP complete'!#REF!,"AAAAAD3q+18=")</f>
        <v>#REF!</v>
      </c>
      <c r="CS83" t="e">
        <f>AND('BBP complete'!#REF!,"AAAAAD3q+2A=")</f>
        <v>#REF!</v>
      </c>
      <c r="CT83" t="e">
        <f>AND('BBP complete'!D1116,"AAAAAD3q+2E=")</f>
        <v>#VALUE!</v>
      </c>
      <c r="CU83" t="e">
        <f>AND('BBP complete'!F1116,"AAAAAD3q+2I=")</f>
        <v>#VALUE!</v>
      </c>
      <c r="CV83" t="e">
        <f>AND('BBP complete'!G1116,"AAAAAD3q+2M=")</f>
        <v>#VALUE!</v>
      </c>
      <c r="CW83" t="e">
        <f>AND('BBP complete'!H1116,"AAAAAD3q+2Q=")</f>
        <v>#VALUE!</v>
      </c>
      <c r="CX83" t="e">
        <f>AND('BBP complete'!I1116,"AAAAAD3q+2U=")</f>
        <v>#VALUE!</v>
      </c>
      <c r="CY83" s="60" t="e">
        <v>#VALUE!</v>
      </c>
      <c r="CZ83" t="e">
        <f>AND('BBP complete'!A1119,"AAAAAD3q+2c=")</f>
        <v>#VALUE!</v>
      </c>
      <c r="DA83" t="e">
        <f>AND('BBP complete'!#REF!,"AAAAAD3q+2g=")</f>
        <v>#REF!</v>
      </c>
      <c r="DB83" t="e">
        <f>AND('BBP complete'!#REF!,"AAAAAD3q+2k=")</f>
        <v>#REF!</v>
      </c>
      <c r="DC83" t="e">
        <f>AND('BBP complete'!D1119,"AAAAAD3q+2o=")</f>
        <v>#VALUE!</v>
      </c>
      <c r="DD83" t="e">
        <f>AND('BBP complete'!#REF!,"AAAAAD3q+2s=")</f>
        <v>#REF!</v>
      </c>
      <c r="DE83" t="e">
        <f>AND('BBP complete'!#REF!,"AAAAAD3q+2w=")</f>
        <v>#REF!</v>
      </c>
      <c r="DF83" t="e">
        <f>AND('BBP complete'!E1116,"AAAAAD3q+20=")</f>
        <v>#VALUE!</v>
      </c>
      <c r="DG83" t="e">
        <f>AND('BBP complete'!#REF!,"AAAAAD3q+24=")</f>
        <v>#REF!</v>
      </c>
      <c r="DH83" t="e">
        <f>AND('BBP complete'!K1113,"AAAAAD3q+28=")</f>
        <v>#VALUE!</v>
      </c>
      <c r="DI83" t="e">
        <f>AND('BBP complete'!L1116,"AAAAAD3q+3A=")</f>
        <v>#VALUE!</v>
      </c>
      <c r="DJ83" t="e">
        <f>AND('BBP complete'!#REF!,"AAAAAD3q+3E=")</f>
        <v>#REF!</v>
      </c>
      <c r="DK83" t="e">
        <f>AND('BBP complete'!#REF!,"AAAAAD3q+3I=")</f>
        <v>#REF!</v>
      </c>
      <c r="DL83" t="e">
        <f>AND('BBP complete'!#REF!,"AAAAAD3q+3M=")</f>
        <v>#REF!</v>
      </c>
      <c r="DM83" t="e">
        <f>AND('BBP complete'!D1117,"AAAAAD3q+3Q=")</f>
        <v>#VALUE!</v>
      </c>
      <c r="DN83" t="e">
        <f>AND('BBP complete'!F1117,"AAAAAD3q+3U=")</f>
        <v>#VALUE!</v>
      </c>
      <c r="DO83" t="e">
        <f>AND('BBP complete'!G1117,"AAAAAD3q+3Y=")</f>
        <v>#VALUE!</v>
      </c>
      <c r="DP83" t="e">
        <f>AND('BBP complete'!H1117,"AAAAAD3q+3c=")</f>
        <v>#VALUE!</v>
      </c>
      <c r="DQ83" t="e">
        <f>AND('BBP complete'!I1117,"AAAAAD3q+3g=")</f>
        <v>#VALUE!</v>
      </c>
      <c r="DR83" s="60" t="e">
        <v>#VALUE!</v>
      </c>
      <c r="DS83" t="e">
        <f>AND('BBP complete'!#REF!,"AAAAAD3q+3o=")</f>
        <v>#REF!</v>
      </c>
      <c r="DT83" t="e">
        <f>AND('BBP complete'!#REF!,"AAAAAD3q+3s=")</f>
        <v>#REF!</v>
      </c>
      <c r="DU83" t="e">
        <f>AND('BBP complete'!#REF!,"AAAAAD3q+3w=")</f>
        <v>#REF!</v>
      </c>
      <c r="DV83" t="e">
        <f>AND('BBP complete'!D1120,"AAAAAD3q+30=")</f>
        <v>#VALUE!</v>
      </c>
      <c r="DW83" t="e">
        <f>AND('BBP complete'!E1119,"AAAAAD3q+34=")</f>
        <v>#VALUE!</v>
      </c>
      <c r="DX83" t="e">
        <f>AND('BBP complete'!#REF!,"AAAAAD3q+38=")</f>
        <v>#REF!</v>
      </c>
      <c r="DY83" t="e">
        <f>AND('BBP complete'!E1117,"AAAAAD3q+4A=")</f>
        <v>#VALUE!</v>
      </c>
      <c r="DZ83" t="e">
        <f>AND('BBP complete'!#REF!,"AAAAAD3q+4E=")</f>
        <v>#REF!</v>
      </c>
      <c r="EA83" t="e">
        <f>AND('BBP complete'!K1114,"AAAAAD3q+4I=")</f>
        <v>#VALUE!</v>
      </c>
      <c r="EB83" t="e">
        <f>AND('BBP complete'!L1117,"AAAAAD3q+4M=")</f>
        <v>#VALUE!</v>
      </c>
      <c r="EC83" t="e">
        <f>AND('BBP complete'!#REF!,"AAAAAD3q+4Q=")</f>
        <v>#REF!</v>
      </c>
      <c r="ED83" t="e">
        <f>AND('BBP complete'!#REF!,"AAAAAD3q+4U=")</f>
        <v>#REF!</v>
      </c>
      <c r="EE83" t="e">
        <f>AND('BBP complete'!#REF!,"AAAAAD3q+4Y=")</f>
        <v>#REF!</v>
      </c>
      <c r="EF83" t="e">
        <f>AND('BBP complete'!D1118,"AAAAAD3q+4c=")</f>
        <v>#VALUE!</v>
      </c>
      <c r="EG83" t="e">
        <f>AND('BBP complete'!F1118,"AAAAAD3q+4g=")</f>
        <v>#VALUE!</v>
      </c>
      <c r="EH83" t="e">
        <f>AND('BBP complete'!G1118,"AAAAAD3q+4k=")</f>
        <v>#VALUE!</v>
      </c>
      <c r="EI83" t="e">
        <f>AND('BBP complete'!H1118,"AAAAAD3q+4o=")</f>
        <v>#VALUE!</v>
      </c>
      <c r="EJ83" t="e">
        <f>AND('BBP complete'!I1118,"AAAAAD3q+4s=")</f>
        <v>#VALUE!</v>
      </c>
      <c r="EK83" s="60" t="e">
        <f>IF('BBP complete'!#REF!,"AAAAAD3q+4w=",0)</f>
        <v>#REF!</v>
      </c>
      <c r="EL83" s="60" t="e">
        <f>IF('BBP complete'!#REF!,"AAAAAD3q+40=",0)</f>
        <v>#REF!</v>
      </c>
      <c r="EM83" s="60" t="e">
        <f>IF('BBP complete'!#REF!,"AAAAAD3q+44=",0)</f>
        <v>#REF!</v>
      </c>
      <c r="EN83" t="str">
        <f>IF('BBP complete'!K:K,"AAAAAD3q+48=",0)</f>
        <v>AAAAAD3q+48=</v>
      </c>
      <c r="EO83" t="str">
        <f>IF('BBP complete'!L:L,"AAAAAD3q+5A=",0)</f>
        <v>AAAAAD3q+5A=</v>
      </c>
      <c r="EP83" t="str">
        <f>IF('BBP complete'!M:M,"AAAAAD3q+5E=",0)</f>
        <v>AAAAAD3q+5E=</v>
      </c>
      <c r="EQ83" t="str">
        <f>IF('BBP complete'!N:N,"AAAAAD3q+5I=",0)</f>
        <v>AAAAAD3q+5I=</v>
      </c>
      <c r="ER83" s="60" t="e">
        <f>IF('BBP complete'!P:P,"AAAAAD3q+5M=",0)</f>
        <v>#VALUE!</v>
      </c>
    </row>
    <row r="84" spans="1:256" ht="15" customHeight="1" x14ac:dyDescent="0.25">
      <c r="A84" t="e">
        <f>AND('BBP complete'!L811,"AAAAAGt5PAA=")</f>
        <v>#VALUE!</v>
      </c>
      <c r="B84" t="e">
        <f>AND('BBP complete'!F812,"AAAAAGt5PAE=")</f>
        <v>#VALUE!</v>
      </c>
      <c r="C84" t="e">
        <f>AND('BBP complete'!G812,"AAAAAGt5PAI=")</f>
        <v>#VALUE!</v>
      </c>
      <c r="D84" t="e">
        <f>AND('BBP complete'!D812,"AAAAAGt5PAM=")</f>
        <v>#VALUE!</v>
      </c>
      <c r="E84" t="e">
        <f>AND('BBP complete'!H812,"AAAAAGt5PAQ=")</f>
        <v>#VALUE!</v>
      </c>
      <c r="F84" t="e">
        <f>AND('BBP complete'!I812,"AAAAAGt5PAU=")</f>
        <v>#VALUE!</v>
      </c>
      <c r="G84" t="e">
        <f>AND('BBP complete'!#REF!,"AAAAAGt5PAY=")</f>
        <v>#REF!</v>
      </c>
      <c r="H84" t="e">
        <f>AND('BBP complete'!#REF!,"AAAAAGt5PAc=")</f>
        <v>#REF!</v>
      </c>
      <c r="I84" t="e">
        <f>AND('BBP complete'!#REF!,"AAAAAGt5PAg=")</f>
        <v>#REF!</v>
      </c>
      <c r="J84" t="e">
        <f>AND('BBP complete'!#REF!,"AAAAAGt5PAk=")</f>
        <v>#REF!</v>
      </c>
      <c r="K84" t="e">
        <f>AND('BBP complete'!#REF!,"AAAAAGt5PAo=")</f>
        <v>#REF!</v>
      </c>
      <c r="L84" t="e">
        <f>AND('BBP complete'!#REF!,"AAAAAGt5PAs=")</f>
        <v>#REF!</v>
      </c>
      <c r="M84" t="e">
        <f>AND('BBP complete'!B882,"AAAAAGt5PAw=")</f>
        <v>#VALUE!</v>
      </c>
      <c r="N84" t="e">
        <f>AND('BBP complete'!C882,"AAAAAGt5PA0=")</f>
        <v>#VALUE!</v>
      </c>
      <c r="O84" t="e">
        <f>AND('BBP complete'!B884,"AAAAAGt5PA4=")</f>
        <v>#VALUE!</v>
      </c>
      <c r="P84" t="e">
        <f>AND('BBP complete'!C884,"AAAAAGt5PA8=")</f>
        <v>#VALUE!</v>
      </c>
      <c r="Q84" t="e">
        <f>AND('BBP complete'!#REF!,"AAAAAGt5PBA=")</f>
        <v>#REF!</v>
      </c>
      <c r="R84" t="e">
        <f>AND('BBP complete'!#REF!,"AAAAAGt5PBE=")</f>
        <v>#REF!</v>
      </c>
      <c r="S84" t="e">
        <f>AND('BBP complete'!#REF!,"AAAAAGt5PBI=")</f>
        <v>#REF!</v>
      </c>
      <c r="T84" t="e">
        <f>AND('BBP complete'!#REF!,"AAAAAGt5PBM=")</f>
        <v>#REF!</v>
      </c>
      <c r="U84" t="e">
        <f>AND('BBP complete'!#REF!,"AAAAAGt5PBQ=")</f>
        <v>#REF!</v>
      </c>
      <c r="V84" t="e">
        <f>AND('BBP complete'!#REF!,"AAAAAGt5PBU=")</f>
        <v>#REF!</v>
      </c>
      <c r="W84" t="e">
        <f>AND('BBP complete'!#REF!,"AAAAAGt5PBY=")</f>
        <v>#REF!</v>
      </c>
      <c r="X84" t="e">
        <f>AND('BBP complete'!#REF!,"AAAAAGt5PBc=")</f>
        <v>#REF!</v>
      </c>
      <c r="Y84" t="e">
        <f>AND('BBP complete'!#REF!,"AAAAAGt5PBg=")</f>
        <v>#REF!</v>
      </c>
      <c r="Z84" t="e">
        <f>AND('BBP complete'!#REF!,"AAAAAGt5PBk=")</f>
        <v>#REF!</v>
      </c>
      <c r="AA84" t="e">
        <f>AND('BBP complete'!#REF!,"AAAAAGt5PBo=")</f>
        <v>#REF!</v>
      </c>
      <c r="AB84" t="e">
        <f>AND('BBP complete'!#REF!,"AAAAAGt5PBs=")</f>
        <v>#REF!</v>
      </c>
      <c r="AC84" t="e">
        <f>AND('BBP complete'!#REF!,"AAAAAGt5PBw=")</f>
        <v>#REF!</v>
      </c>
      <c r="AD84" t="e">
        <f>AND('BBP complete'!#REF!,"AAAAAGt5PB0=")</f>
        <v>#REF!</v>
      </c>
      <c r="AE84" t="e">
        <f>AND('BBP complete'!#REF!,"AAAAAGt5PB4=")</f>
        <v>#REF!</v>
      </c>
      <c r="AF84" t="e">
        <f>AND('BBP complete'!#REF!,"AAAAAGt5PB8=")</f>
        <v>#REF!</v>
      </c>
      <c r="AG84" t="e">
        <f>AND('BBP complete'!#REF!,"AAAAAGt5PCA=")</f>
        <v>#REF!</v>
      </c>
      <c r="AH84" t="e">
        <f>AND('BBP complete'!#REF!,"AAAAAGt5PCE=")</f>
        <v>#REF!</v>
      </c>
      <c r="AI84" t="e">
        <f>AND('BBP complete'!#REF!,"AAAAAGt5PCI=")</f>
        <v>#REF!</v>
      </c>
      <c r="AJ84" t="e">
        <f>AND('BBP complete'!#REF!,"AAAAAGt5PCM=")</f>
        <v>#REF!</v>
      </c>
      <c r="AK84" t="e">
        <f>AND('BBP complete'!#REF!,"AAAAAGt5PCQ=")</f>
        <v>#REF!</v>
      </c>
      <c r="AL84" t="e">
        <f>AND('BBP complete'!#REF!,"AAAAAGt5PCU=")</f>
        <v>#REF!</v>
      </c>
      <c r="AM84" t="e">
        <f>AND('BBP complete'!#REF!,"AAAAAGt5PCY=")</f>
        <v>#REF!</v>
      </c>
      <c r="AN84" t="e">
        <f>AND('BBP complete'!#REF!,"AAAAAGt5PCc=")</f>
        <v>#REF!</v>
      </c>
      <c r="AO84" t="e">
        <f>AND('BBP complete'!#REF!,"AAAAAGt5PCg=")</f>
        <v>#REF!</v>
      </c>
      <c r="AP84" t="e">
        <f>AND('BBP complete'!#REF!,"AAAAAGt5PCk=")</f>
        <v>#REF!</v>
      </c>
      <c r="AQ84" t="e">
        <f>AND('BBP complete'!#REF!,"AAAAAGt5PCo=")</f>
        <v>#REF!</v>
      </c>
      <c r="AR84" t="e">
        <f>AND('BBP complete'!#REF!,"AAAAAGt5PCs=")</f>
        <v>#REF!</v>
      </c>
      <c r="AS84" t="e">
        <f>AND('BBP complete'!B906,"AAAAAGt5PCw=")</f>
        <v>#VALUE!</v>
      </c>
      <c r="AT84" t="e">
        <f>AND('BBP complete'!C906,"AAAAAGt5PC0=")</f>
        <v>#VALUE!</v>
      </c>
      <c r="AU84" t="e">
        <f>AND('BBP complete'!#REF!,"AAAAAGt5PC4=")</f>
        <v>#REF!</v>
      </c>
      <c r="AV84" t="e">
        <f>AND('BBP complete'!#REF!,"AAAAAGt5PC8=")</f>
        <v>#REF!</v>
      </c>
      <c r="AW84" t="e">
        <f>AND('BBP complete'!B908,"AAAAAGt5PDA=")</f>
        <v>#VALUE!</v>
      </c>
      <c r="AX84" t="e">
        <f>AND('BBP complete'!C908,"AAAAAGt5PDE=")</f>
        <v>#VALUE!</v>
      </c>
      <c r="AY84" t="e">
        <f>AND('BBP complete'!B909,"AAAAAGt5PDI=")</f>
        <v>#VALUE!</v>
      </c>
      <c r="AZ84" t="e">
        <f>AND('BBP complete'!C909,"AAAAAGt5PDM=")</f>
        <v>#VALUE!</v>
      </c>
      <c r="BA84" t="e">
        <f>AND('BBP complete'!B910,"AAAAAGt5PDQ=")</f>
        <v>#VALUE!</v>
      </c>
      <c r="BB84" t="e">
        <f>AND('BBP complete'!C910,"AAAAAGt5PDU=")</f>
        <v>#VALUE!</v>
      </c>
      <c r="BC84" t="e">
        <f>AND('BBP complete'!B911,"AAAAAGt5PDY=")</f>
        <v>#VALUE!</v>
      </c>
      <c r="BD84" t="e">
        <f>AND('BBP complete'!C911,"AAAAAGt5PDc=")</f>
        <v>#VALUE!</v>
      </c>
      <c r="BE84" t="e">
        <f>AND('BBP complete'!B912,"AAAAAGt5PDg=")</f>
        <v>#VALUE!</v>
      </c>
      <c r="BF84" t="e">
        <f>AND('BBP complete'!C912,"AAAAAGt5PDk=")</f>
        <v>#VALUE!</v>
      </c>
      <c r="BG84" t="e">
        <f>AND('BBP complete'!B913,"AAAAAGt5PDo=")</f>
        <v>#VALUE!</v>
      </c>
      <c r="BH84" t="e">
        <f>AND('BBP complete'!C913,"AAAAAGt5PDs=")</f>
        <v>#VALUE!</v>
      </c>
      <c r="BI84" t="e">
        <f>AND('BBP complete'!B914,"AAAAAGt5PDw=")</f>
        <v>#VALUE!</v>
      </c>
      <c r="BJ84" t="e">
        <f>AND('BBP complete'!C914,"AAAAAGt5PD0=")</f>
        <v>#VALUE!</v>
      </c>
      <c r="BK84" t="e">
        <f>AND('BBP complete'!B915,"AAAAAGt5PD4=")</f>
        <v>#VALUE!</v>
      </c>
      <c r="BL84" t="e">
        <f>AND('BBP complete'!C915,"AAAAAGt5PD8=")</f>
        <v>#VALUE!</v>
      </c>
      <c r="BM84" t="e">
        <f>AND('BBP complete'!B916,"AAAAAGt5PEA=")</f>
        <v>#VALUE!</v>
      </c>
      <c r="BN84" t="e">
        <f>AND('BBP complete'!C916,"AAAAAGt5PEE=")</f>
        <v>#VALUE!</v>
      </c>
      <c r="BO84" t="e">
        <f>AND('BBP complete'!#REF!,"AAAAAGt5PEI=")</f>
        <v>#REF!</v>
      </c>
      <c r="BP84" t="e">
        <f>AND('BBP complete'!#REF!,"AAAAAGt5PEM=")</f>
        <v>#REF!</v>
      </c>
      <c r="BQ84" t="e">
        <f>AND('BBP complete'!#REF!,"AAAAAGt5PEQ=")</f>
        <v>#REF!</v>
      </c>
      <c r="BR84" t="e">
        <f>AND('BBP complete'!#REF!,"AAAAAGt5PEU=")</f>
        <v>#REF!</v>
      </c>
      <c r="BS84" t="e">
        <f>AND('BBP complete'!#REF!,"AAAAAGt5PEY=")</f>
        <v>#REF!</v>
      </c>
      <c r="BT84" t="e">
        <f>AND('BBP complete'!#REF!,"AAAAAGt5PEc=")</f>
        <v>#REF!</v>
      </c>
      <c r="BU84" t="e">
        <f>AND('BBP complete'!#REF!,"AAAAAGt5PEg=")</f>
        <v>#REF!</v>
      </c>
      <c r="BV84" t="e">
        <f>AND('BBP complete'!#REF!,"AAAAAGt5PEk=")</f>
        <v>#REF!</v>
      </c>
      <c r="BW84" t="e">
        <f>AND('BBP complete'!#REF!,"AAAAAGt5PEo=")</f>
        <v>#REF!</v>
      </c>
      <c r="BX84" t="e">
        <f>AND('BBP complete'!#REF!,"AAAAAGt5PEs=")</f>
        <v>#REF!</v>
      </c>
      <c r="BY84" t="e">
        <f>AND('BBP complete'!#REF!,"AAAAAGt5PEw=")</f>
        <v>#REF!</v>
      </c>
      <c r="BZ84" t="e">
        <f>AND('BBP complete'!#REF!,"AAAAAGt5PE0=")</f>
        <v>#REF!</v>
      </c>
      <c r="CA84" t="e">
        <f>AND('BBP complete'!#REF!,"AAAAAGt5PE4=")</f>
        <v>#REF!</v>
      </c>
      <c r="CB84" t="e">
        <f>AND('BBP complete'!#REF!,"AAAAAGt5PE8=")</f>
        <v>#REF!</v>
      </c>
      <c r="CC84" t="e">
        <f>AND('BBP complete'!#REF!,"AAAAAGt5PFA=")</f>
        <v>#REF!</v>
      </c>
      <c r="CD84" t="e">
        <f>AND('BBP complete'!#REF!,"AAAAAGt5PFE=")</f>
        <v>#REF!</v>
      </c>
      <c r="CE84" t="e">
        <f>AND('BBP complete'!#REF!,"AAAAAGt5PFI=")</f>
        <v>#REF!</v>
      </c>
      <c r="CF84" t="e">
        <f>AND('BBP complete'!#REF!,"AAAAAGt5PFM=")</f>
        <v>#REF!</v>
      </c>
      <c r="CG84" t="e">
        <f>AND('BBP complete'!#REF!,"AAAAAGt5PFQ=")</f>
        <v>#REF!</v>
      </c>
      <c r="CH84" t="e">
        <f>AND('BBP complete'!#REF!,"AAAAAGt5PFU=")</f>
        <v>#REF!</v>
      </c>
      <c r="CI84" t="e">
        <f>AND('BBP complete'!#REF!,"AAAAAGt5PFY=")</f>
        <v>#REF!</v>
      </c>
      <c r="CJ84" t="e">
        <f>AND('BBP complete'!#REF!,"AAAAAGt5PFc=")</f>
        <v>#REF!</v>
      </c>
      <c r="CK84" t="e">
        <f>AND('BBP complete'!#REF!,"AAAAAGt5PFg=")</f>
        <v>#REF!</v>
      </c>
      <c r="CL84" t="e">
        <f>AND('BBP complete'!#REF!,"AAAAAGt5PFk=")</f>
        <v>#REF!</v>
      </c>
      <c r="CM84" t="e">
        <f>AND('BBP complete'!#REF!,"AAAAAGt5PFo=")</f>
        <v>#REF!</v>
      </c>
      <c r="CN84" t="e">
        <f>AND('BBP complete'!#REF!,"AAAAAGt5PFs=")</f>
        <v>#REF!</v>
      </c>
      <c r="CO84" t="e">
        <f>AND('BBP complete'!#REF!,"AAAAAGt5PFw=")</f>
        <v>#REF!</v>
      </c>
      <c r="CP84" t="e">
        <f>AND('BBP complete'!#REF!,"AAAAAGt5PF0=")</f>
        <v>#REF!</v>
      </c>
      <c r="CQ84" t="e">
        <f>AND('BBP complete'!#REF!,"AAAAAGt5PF4=")</f>
        <v>#REF!</v>
      </c>
      <c r="CR84" t="e">
        <f>AND('BBP complete'!#REF!,"AAAAAGt5PF8=")</f>
        <v>#REF!</v>
      </c>
      <c r="CS84" t="e">
        <f>AND('BBP complete'!#REF!,"AAAAAGt5PGA=")</f>
        <v>#REF!</v>
      </c>
      <c r="CT84" t="e">
        <f>AND('BBP complete'!#REF!,"AAAAAGt5PGE=")</f>
        <v>#REF!</v>
      </c>
      <c r="CU84" t="e">
        <f>AND('BBP complete'!#REF!,"AAAAAGt5PGI=")</f>
        <v>#REF!</v>
      </c>
      <c r="CV84" t="e">
        <f>AND('BBP complete'!#REF!,"AAAAAGt5PGM=")</f>
        <v>#REF!</v>
      </c>
      <c r="CW84" t="e">
        <f>AND('BBP complete'!#REF!,"AAAAAGt5PGQ=")</f>
        <v>#REF!</v>
      </c>
      <c r="CX84" t="e">
        <f>AND('BBP complete'!#REF!,"AAAAAGt5PGU=")</f>
        <v>#REF!</v>
      </c>
      <c r="CY84" t="e">
        <f>AND('BBP complete'!#REF!,"AAAAAGt5PGY=")</f>
        <v>#REF!</v>
      </c>
      <c r="CZ84" t="e">
        <f>AND('BBP complete'!#REF!,"AAAAAGt5PGc=")</f>
        <v>#REF!</v>
      </c>
      <c r="DA84" t="e">
        <f>AND('BBP complete'!#REF!,"AAAAAGt5PGg=")</f>
        <v>#REF!</v>
      </c>
      <c r="DB84" t="e">
        <f>AND('BBP complete'!#REF!,"AAAAAGt5PGk=")</f>
        <v>#REF!</v>
      </c>
      <c r="DC84" t="e">
        <f>AND('BBP complete'!#REF!,"AAAAAGt5PGo=")</f>
        <v>#REF!</v>
      </c>
      <c r="DD84" t="e">
        <f>AND('BBP complete'!#REF!,"AAAAAGt5PGs=")</f>
        <v>#REF!</v>
      </c>
      <c r="DE84" t="e">
        <f>AND('BBP complete'!#REF!,"AAAAAGt5PGw=")</f>
        <v>#REF!</v>
      </c>
      <c r="DF84" t="e">
        <f>AND('BBP complete'!#REF!,"AAAAAGt5PG0=")</f>
        <v>#REF!</v>
      </c>
      <c r="DG84" t="e">
        <f>AND('BBP complete'!#REF!,"AAAAAGt5PG4=")</f>
        <v>#REF!</v>
      </c>
      <c r="DH84" t="e">
        <f>AND('BBP complete'!#REF!,"AAAAAGt5PG8=")</f>
        <v>#REF!</v>
      </c>
      <c r="DI84" t="e">
        <f>AND('BBP complete'!#REF!,"AAAAAGt5PHA=")</f>
        <v>#REF!</v>
      </c>
      <c r="DJ84" t="e">
        <f>AND('BBP complete'!#REF!,"AAAAAGt5PHE=")</f>
        <v>#REF!</v>
      </c>
      <c r="DK84" t="e">
        <f>AND('BBP complete'!#REF!,"AAAAAGt5PHI=")</f>
        <v>#REF!</v>
      </c>
      <c r="DL84" t="e">
        <f>AND('BBP complete'!#REF!,"AAAAAGt5PHM=")</f>
        <v>#REF!</v>
      </c>
      <c r="DM84" t="e">
        <f>AND('BBP complete'!#REF!,"AAAAAGt5PHQ=")</f>
        <v>#REF!</v>
      </c>
      <c r="DN84" t="e">
        <f>AND('BBP complete'!#REF!,"AAAAAGt5PHU=")</f>
        <v>#REF!</v>
      </c>
      <c r="DO84" t="e">
        <f>AND('BBP complete'!#REF!,"AAAAAGt5PHY=")</f>
        <v>#REF!</v>
      </c>
      <c r="DP84" t="e">
        <f>AND('BBP complete'!#REF!,"AAAAAGt5PHc=")</f>
        <v>#REF!</v>
      </c>
      <c r="DQ84" t="e">
        <f>AND('BBP complete'!#REF!,"AAAAAGt5PHg=")</f>
        <v>#REF!</v>
      </c>
      <c r="DR84" t="e">
        <f>AND('BBP complete'!#REF!,"AAAAAGt5PHk=")</f>
        <v>#REF!</v>
      </c>
      <c r="DS84" t="e">
        <f>AND('BBP complete'!#REF!,"AAAAAGt5PHo=")</f>
        <v>#REF!</v>
      </c>
      <c r="DT84" t="e">
        <f>AND('BBP complete'!#REF!,"AAAAAGt5PHs=")</f>
        <v>#REF!</v>
      </c>
      <c r="DU84" t="e">
        <f>AND('BBP complete'!#REF!,"AAAAAGt5PHw=")</f>
        <v>#REF!</v>
      </c>
      <c r="DV84" t="e">
        <f>AND('BBP complete'!#REF!,"AAAAAGt5PH0=")</f>
        <v>#REF!</v>
      </c>
      <c r="DW84" t="e">
        <f>AND('BBP complete'!B1049,"AAAAAGt5PH4=")</f>
        <v>#VALUE!</v>
      </c>
      <c r="DX84" t="e">
        <f>AND('BBP complete'!C1049,"AAAAAGt5PH8=")</f>
        <v>#VALUE!</v>
      </c>
      <c r="DY84" t="e">
        <f>AND('BBP complete'!B1050,"AAAAAGt5PIA=")</f>
        <v>#VALUE!</v>
      </c>
      <c r="DZ84" t="e">
        <f>AND('BBP complete'!C1050,"AAAAAGt5PIE=")</f>
        <v>#VALUE!</v>
      </c>
      <c r="EA84" t="e">
        <f>AND('BBP complete'!B1051,"AAAAAGt5PII=")</f>
        <v>#VALUE!</v>
      </c>
      <c r="EB84" t="e">
        <f>AND('BBP complete'!C1051,"AAAAAGt5PIM=")</f>
        <v>#VALUE!</v>
      </c>
      <c r="EC84" t="e">
        <f>AND('BBP complete'!#REF!,"AAAAAGt5PIQ=")</f>
        <v>#REF!</v>
      </c>
      <c r="ED84" t="e">
        <f>AND('BBP complete'!#REF!,"AAAAAGt5PIU=")</f>
        <v>#REF!</v>
      </c>
      <c r="EE84" t="e">
        <f>AND('BBP complete'!#REF!,"AAAAAGt5PIY=")</f>
        <v>#REF!</v>
      </c>
      <c r="EF84" t="e">
        <f>AND('BBP complete'!#REF!,"AAAAAGt5PIc=")</f>
        <v>#REF!</v>
      </c>
      <c r="EG84" t="e">
        <f>AND('BBP complete'!#REF!,"AAAAAGt5PIg=")</f>
        <v>#REF!</v>
      </c>
      <c r="EH84" t="e">
        <f>AND('BBP complete'!#REF!,"AAAAAGt5PIk=")</f>
        <v>#REF!</v>
      </c>
      <c r="EI84" t="e">
        <f>AND('BBP complete'!#REF!,"AAAAAGt5PIo=")</f>
        <v>#REF!</v>
      </c>
      <c r="EJ84" t="e">
        <f>AND('BBP complete'!#REF!,"AAAAAGt5PIs=")</f>
        <v>#REF!</v>
      </c>
      <c r="EK84" t="e">
        <f>AND('BBP complete'!#REF!,"AAAAAGt5PIw=")</f>
        <v>#REF!</v>
      </c>
      <c r="EL84" t="e">
        <f>AND('BBP complete'!#REF!,"AAAAAGt5PI0=")</f>
        <v>#REF!</v>
      </c>
      <c r="EM84" t="e">
        <f>AND('BBP complete'!#REF!,"AAAAAGt5PI4=")</f>
        <v>#REF!</v>
      </c>
      <c r="EN84" t="e">
        <f>AND('BBP complete'!#REF!,"AAAAAGt5PI8=")</f>
        <v>#REF!</v>
      </c>
      <c r="EO84" t="e">
        <f>AND('BBP complete'!#REF!,"AAAAAGt5PJA=")</f>
        <v>#REF!</v>
      </c>
      <c r="EP84" t="e">
        <f>AND('BBP complete'!#REF!,"AAAAAGt5PJE=")</f>
        <v>#REF!</v>
      </c>
      <c r="EQ84" t="e">
        <f>AND('BBP complete'!#REF!,"AAAAAGt5PJI=")</f>
        <v>#REF!</v>
      </c>
      <c r="ER84" t="e">
        <f>AND('BBP complete'!#REF!,"AAAAAGt5PJM=")</f>
        <v>#REF!</v>
      </c>
      <c r="ES84" t="e">
        <f>AND('BBP complete'!#REF!,"AAAAAGt5PJQ=")</f>
        <v>#REF!</v>
      </c>
      <c r="ET84" t="e">
        <f>AND('BBP complete'!#REF!,"AAAAAGt5PJU=")</f>
        <v>#REF!</v>
      </c>
      <c r="EU84" t="e">
        <f>AND('BBP complete'!#REF!,"AAAAAGt5PJY=")</f>
        <v>#REF!</v>
      </c>
      <c r="EV84" t="e">
        <f>AND('BBP complete'!#REF!,"AAAAAGt5PJc=")</f>
        <v>#REF!</v>
      </c>
      <c r="EW84" t="e">
        <f>AND('BBP complete'!#REF!,"AAAAAGt5PJg=")</f>
        <v>#REF!</v>
      </c>
      <c r="EX84" t="e">
        <f>AND('BBP complete'!#REF!,"AAAAAGt5PJk=")</f>
        <v>#REF!</v>
      </c>
      <c r="EY84" t="e">
        <f>AND('BBP complete'!#REF!,"AAAAAGt5PJo=")</f>
        <v>#REF!</v>
      </c>
      <c r="EZ84" t="e">
        <f>AND('BBP complete'!#REF!,"AAAAAGt5PJs=")</f>
        <v>#REF!</v>
      </c>
      <c r="FA84" t="e">
        <f>AND('BBP complete'!#REF!,"AAAAAGt5PJw=")</f>
        <v>#REF!</v>
      </c>
      <c r="FB84" t="e">
        <f>AND('BBP complete'!#REF!,"AAAAAGt5PJ0=")</f>
        <v>#REF!</v>
      </c>
      <c r="FC84" t="e">
        <f>AND('BBP complete'!#REF!,"AAAAAGt5PJ4=")</f>
        <v>#REF!</v>
      </c>
      <c r="FD84" t="e">
        <f>AND('BBP complete'!#REF!,"AAAAAGt5PJ8=")</f>
        <v>#REF!</v>
      </c>
      <c r="FE84" t="e">
        <f>AND('BBP complete'!#REF!,"AAAAAGt5PKA=")</f>
        <v>#REF!</v>
      </c>
      <c r="FF84" t="e">
        <f>AND('BBP complete'!#REF!,"AAAAAGt5PKE=")</f>
        <v>#REF!</v>
      </c>
      <c r="FG84" t="e">
        <f>AND('BBP complete'!#REF!,"AAAAAGt5PKI=")</f>
        <v>#REF!</v>
      </c>
      <c r="FH84" t="e">
        <f>AND('BBP complete'!#REF!,"AAAAAGt5PKM=")</f>
        <v>#REF!</v>
      </c>
      <c r="FI84" t="e">
        <f>AND('BBP complete'!B1100,"AAAAAGt5PKQ=")</f>
        <v>#VALUE!</v>
      </c>
      <c r="FJ84" t="e">
        <f>AND('BBP complete'!C1100,"AAAAAGt5PKU=")</f>
        <v>#VALUE!</v>
      </c>
      <c r="FK84" t="e">
        <f>AND('BBP complete'!B1101,"AAAAAGt5PKY=")</f>
        <v>#VALUE!</v>
      </c>
      <c r="FL84" t="e">
        <f>AND('BBP complete'!C1101,"AAAAAGt5PKc=")</f>
        <v>#VALUE!</v>
      </c>
      <c r="FM84" t="e">
        <f>AND('BBP complete'!#REF!,"AAAAAGt5PKg=")</f>
        <v>#REF!</v>
      </c>
      <c r="FN84" t="e">
        <f>AND('BBP complete'!#REF!,"AAAAAGt5PKk=")</f>
        <v>#REF!</v>
      </c>
      <c r="FO84" t="e">
        <f>AND('BBP complete'!#REF!,"AAAAAGt5PKo=")</f>
        <v>#REF!</v>
      </c>
      <c r="FP84" t="e">
        <f>AND('BBP complete'!#REF!,"AAAAAGt5PKs=")</f>
        <v>#REF!</v>
      </c>
      <c r="FQ84" t="e">
        <f>AND('BBP complete'!#REF!,"AAAAAGt5PKw=")</f>
        <v>#REF!</v>
      </c>
      <c r="FR84" t="e">
        <f>AND('BBP complete'!#REF!,"AAAAAGt5PK0=")</f>
        <v>#REF!</v>
      </c>
      <c r="FS84" t="e">
        <f>AND('BBP complete'!B1114,"AAAAAGt5PK4=")</f>
        <v>#VALUE!</v>
      </c>
      <c r="FT84" t="e">
        <f>AND('BBP complete'!A1114,"AAAAAGt5PK8=")</f>
        <v>#VALUE!</v>
      </c>
      <c r="FU84" s="60" t="e">
        <v>#VALUE!</v>
      </c>
      <c r="FV84" t="e">
        <f>AND('BBP complete'!B1120,"AAAAAGt5PLE=")</f>
        <v>#VALUE!</v>
      </c>
      <c r="FW84" t="e">
        <f>AND('BBP complete'!#REF!,"AAAAAGt5PLI=")</f>
        <v>#REF!</v>
      </c>
      <c r="FX84" t="e">
        <f>AND('BBP complete'!E1120,"AAAAAGt5PLM=")</f>
        <v>#VALUE!</v>
      </c>
      <c r="FY84" t="e">
        <f>AND('BBP complete'!F1119,"AAAAAGt5PLQ=")</f>
        <v>#VALUE!</v>
      </c>
      <c r="FZ84" t="e">
        <f>AND('BBP complete'!E1118,"AAAAAGt5PLU=")</f>
        <v>#VALUE!</v>
      </c>
      <c r="GA84" t="e">
        <f>AND('BBP complete'!#REF!,"AAAAAGt5PLY=")</f>
        <v>#REF!</v>
      </c>
      <c r="GB84" t="e">
        <f>AND('BBP complete'!K1115,"AAAAAGt5PLc=")</f>
        <v>#VALUE!</v>
      </c>
      <c r="GC84" s="60" t="e">
        <v>#VALUE!</v>
      </c>
      <c r="GD84" t="e">
        <f>AND('BBP complete'!B1121,"AAAAAGt5PLk=")</f>
        <v>#VALUE!</v>
      </c>
      <c r="GE84" t="e">
        <f>AND('BBP complete'!F1122,"AAAAAGt5PLo=")</f>
        <v>#VALUE!</v>
      </c>
      <c r="GF84" t="e">
        <f>AND('BBP complete'!G1122,"AAAAAGt5PLs=")</f>
        <v>#VALUE!</v>
      </c>
      <c r="GG84" t="e">
        <f>AND('BBP complete'!D1121,"AAAAAGt5PLw=")</f>
        <v>#VALUE!</v>
      </c>
      <c r="GH84" t="e">
        <f>AND('BBP complete'!J1120,"AAAAAGt5PL0=")</f>
        <v>#VALUE!</v>
      </c>
      <c r="GI84" t="e">
        <f>AND('BBP complete'!F1120,"AAAAAGt5PL4=")</f>
        <v>#VALUE!</v>
      </c>
      <c r="GJ84" t="e">
        <f>AND('BBP complete'!G1119,"AAAAAGt5PL8=")</f>
        <v>#VALUE!</v>
      </c>
      <c r="GK84" t="e">
        <f>AND('BBP complete'!H1119,"AAAAAGt5PMA=")</f>
        <v>#VALUE!</v>
      </c>
      <c r="GL84" t="e">
        <f>AND('BBP complete'!I1119,"AAAAAGt5PME=")</f>
        <v>#VALUE!</v>
      </c>
      <c r="GM84" t="e">
        <f>AND('BBP complete'!J1119,"AAAAAGt5PMI=")</f>
        <v>#VALUE!</v>
      </c>
      <c r="GN84" t="e">
        <f>AND('BBP complete'!K1119,"AAAAAGt5PMM=")</f>
        <v>#VALUE!</v>
      </c>
      <c r="GO84" t="e">
        <f>AND('BBP complete'!L1118,"AAAAAGt5PMQ=")</f>
        <v>#VALUE!</v>
      </c>
      <c r="GP84" t="e">
        <f>AND('BBP complete'!M1118,"AAAAAGt5PMU=")</f>
        <v>#VALUE!</v>
      </c>
      <c r="GQ84" t="e">
        <f>AND('BBP complete'!N1118,"AAAAAGt5PMY=")</f>
        <v>#VALUE!</v>
      </c>
      <c r="GR84" t="e">
        <f>AND('BBP complete'!P1132,"AAAAAGt5PMc=")</f>
        <v>#VALUE!</v>
      </c>
      <c r="GS84" s="60" t="e">
        <f>IF('BBP complete'!#REF!,"AAAAAGt5PMg=",0)</f>
        <v>#REF!</v>
      </c>
      <c r="GT84" t="e">
        <f>AND('BBP complete'!B1122,"AAAAAGt5PMk=")</f>
        <v>#VALUE!</v>
      </c>
      <c r="GU84" t="e">
        <f>AND('BBP complete'!F1123,"AAAAAGt5PMo=")</f>
        <v>#VALUE!</v>
      </c>
      <c r="GV84" t="e">
        <f>AND('BBP complete'!#REF!,"AAAAAGt5PMs=")</f>
        <v>#REF!</v>
      </c>
      <c r="GW84" t="e">
        <f>AND('BBP complete'!D1122,"AAAAAGt5PMw=")</f>
        <v>#VALUE!</v>
      </c>
      <c r="GX84" t="e">
        <f>AND('BBP complete'!H1121,"AAAAAGt5PM0=")</f>
        <v>#VALUE!</v>
      </c>
      <c r="GY84" t="e">
        <f>AND('BBP complete'!K1120,"AAAAAGt5PM4=")</f>
        <v>#VALUE!</v>
      </c>
      <c r="GZ84" t="e">
        <f>AND('BBP complete'!G1120,"AAAAAGt5PM8=")</f>
        <v>#VALUE!</v>
      </c>
      <c r="HA84" t="e">
        <f>AND('BBP complete'!H1120,"AAAAAGt5PNA=")</f>
        <v>#VALUE!</v>
      </c>
      <c r="HB84" t="e">
        <f>AND('BBP complete'!I1120,"AAAAAGt5PNE=")</f>
        <v>#VALUE!</v>
      </c>
      <c r="HC84" t="e">
        <f>AND('BBP complete'!#REF!,"AAAAAGt5PNI=")</f>
        <v>#REF!</v>
      </c>
      <c r="HD84" t="e">
        <f>AND('BBP complete'!#REF!,"AAAAAGt5PNM=")</f>
        <v>#REF!</v>
      </c>
      <c r="HE84" t="e">
        <f>AND('BBP complete'!#REF!,"AAAAAGt5PNQ=")</f>
        <v>#REF!</v>
      </c>
      <c r="HF84" t="e">
        <f>AND('BBP complete'!#REF!,"AAAAAGt5PNU=")</f>
        <v>#REF!</v>
      </c>
      <c r="HG84" t="e">
        <f>AND('BBP complete'!#REF!,"AAAAAGt5PNY=")</f>
        <v>#REF!</v>
      </c>
      <c r="HH84" t="e">
        <f>AND('BBP complete'!#REF!,"AAAAAGt5PNc=")</f>
        <v>#REF!</v>
      </c>
      <c r="HI84" s="60" t="e">
        <v>#VALUE!</v>
      </c>
      <c r="HJ84" t="e">
        <f>AND('BBP complete'!B1123,"AAAAAGt5PNk=")</f>
        <v>#VALUE!</v>
      </c>
      <c r="HK84" t="e">
        <f>AND('BBP complete'!#REF!,"AAAAAGt5PNo=")</f>
        <v>#REF!</v>
      </c>
      <c r="HL84" t="e">
        <f>AND('BBP complete'!#REF!,"AAAAAGt5PNs=")</f>
        <v>#REF!</v>
      </c>
      <c r="HM84" t="e">
        <f>AND('BBP complete'!D1123,"AAAAAGt5PNw=")</f>
        <v>#VALUE!</v>
      </c>
      <c r="HN84" t="e">
        <f>AND('BBP complete'!H1122,"AAAAAGt5PN0=")</f>
        <v>#VALUE!</v>
      </c>
      <c r="HO84" t="e">
        <f>AND('BBP complete'!I1121,"AAAAAGt5PN4=")</f>
        <v>#VALUE!</v>
      </c>
      <c r="HP84" t="e">
        <f>AND('BBP complete'!#REF!,"AAAAAGt5PN8=")</f>
        <v>#REF!</v>
      </c>
      <c r="HQ84" t="e">
        <f>AND('BBP complete'!#REF!,"AAAAAGt5POA=")</f>
        <v>#REF!</v>
      </c>
      <c r="HR84" t="e">
        <f>AND('BBP complete'!#REF!,"AAAAAGt5POE=")</f>
        <v>#REF!</v>
      </c>
      <c r="HS84" t="e">
        <f>AND('BBP complete'!#REF!,"AAAAAGt5POI=")</f>
        <v>#REF!</v>
      </c>
      <c r="HT84" t="e">
        <f>AND('BBP complete'!#REF!,"AAAAAGt5POM=")</f>
        <v>#REF!</v>
      </c>
      <c r="HU84" t="e">
        <f>AND('BBP complete'!L1119,"AAAAAGt5POQ=")</f>
        <v>#VALUE!</v>
      </c>
      <c r="HV84" t="e">
        <f>AND('BBP complete'!M1119,"AAAAAGt5POU=")</f>
        <v>#VALUE!</v>
      </c>
      <c r="HW84" t="e">
        <f>AND('BBP complete'!N1119,"AAAAAGt5POY=")</f>
        <v>#VALUE!</v>
      </c>
      <c r="HX84" t="e">
        <f>AND('BBP complete'!P1133,"AAAAAGt5POc=")</f>
        <v>#VALUE!</v>
      </c>
      <c r="HY84" s="60" t="e">
        <v>#VALUE!</v>
      </c>
      <c r="HZ84" t="e">
        <f>AND('BBP complete'!B1124,"AAAAAGt5POk=")</f>
        <v>#VALUE!</v>
      </c>
      <c r="IA84" t="e">
        <f>AND('BBP complete'!#REF!,"AAAAAGt5POo=")</f>
        <v>#REF!</v>
      </c>
      <c r="IB84" t="e">
        <f>AND('BBP complete'!#REF!,"AAAAAGt5POs=")</f>
        <v>#REF!</v>
      </c>
      <c r="IC84" t="e">
        <f>AND('BBP complete'!D1124,"AAAAAGt5POw=")</f>
        <v>#VALUE!</v>
      </c>
      <c r="ID84" t="e">
        <f>AND('BBP complete'!H1123,"AAAAAGt5PO0=")</f>
        <v>#VALUE!</v>
      </c>
      <c r="IE84" t="e">
        <f>AND('BBP complete'!I1122,"AAAAAGt5PO4=")</f>
        <v>#VALUE!</v>
      </c>
      <c r="IF84" t="e">
        <f>AND('BBP complete'!#REF!,"AAAAAGt5PO8=")</f>
        <v>#REF!</v>
      </c>
      <c r="IG84" t="e">
        <f>AND('BBP complete'!#REF!,"AAAAAGt5PPA=")</f>
        <v>#REF!</v>
      </c>
      <c r="IH84" t="e">
        <f>AND('BBP complete'!#REF!,"AAAAAGt5PPE=")</f>
        <v>#REF!</v>
      </c>
      <c r="II84" t="e">
        <f>AND('BBP complete'!#REF!,"AAAAAGt5PPI=")</f>
        <v>#REF!</v>
      </c>
      <c r="IJ84" t="e">
        <f>AND('BBP complete'!C1121,"AAAAAGt5PPM=")</f>
        <v>#VALUE!</v>
      </c>
      <c r="IK84" t="e">
        <f>AND('BBP complete'!M1120,"AAAAAGt5PPQ=")</f>
        <v>#VALUE!</v>
      </c>
      <c r="IL84" t="e">
        <f>AND('BBP complete'!N1120,"AAAAAGt5PPU=")</f>
        <v>#VALUE!</v>
      </c>
      <c r="IM84" t="e">
        <f>AND('BBP complete'!P1134,"AAAAAGt5PPY=")</f>
        <v>#VALUE!</v>
      </c>
      <c r="IN84" t="e">
        <f>AND('BBP complete'!#REF!,"AAAAAGt5PPc=")</f>
        <v>#REF!</v>
      </c>
      <c r="IO84" s="60" t="e">
        <v>#VALUE!</v>
      </c>
      <c r="IP84" t="e">
        <f>AND('BBP complete'!B1125,"AAAAAGt5PPk=")</f>
        <v>#VALUE!</v>
      </c>
      <c r="IQ84" t="e">
        <f>AND('BBP complete'!#REF!,"AAAAAGt5PPo=")</f>
        <v>#REF!</v>
      </c>
      <c r="IR84" t="e">
        <f>AND('BBP complete'!#REF!,"AAAAAGt5PPs=")</f>
        <v>#REF!</v>
      </c>
      <c r="IS84" t="e">
        <f>AND('BBP complete'!#REF!,"AAAAAGt5PPw=")</f>
        <v>#REF!</v>
      </c>
      <c r="IT84" t="e">
        <f>AND('BBP complete'!#REF!,"AAAAAGt5PP0=")</f>
        <v>#REF!</v>
      </c>
      <c r="IU84" t="e">
        <f>AND('BBP complete'!#REF!,"AAAAAGt5PP4=")</f>
        <v>#REF!</v>
      </c>
      <c r="IV84" t="e">
        <f>AND('BBP complete'!#REF!,"AAAAAGt5PP8=")</f>
        <v>#REF!</v>
      </c>
    </row>
    <row r="85" spans="1:256" ht="15" customHeight="1" x14ac:dyDescent="0.25">
      <c r="A85" t="e">
        <f>AND('BBP complete'!F1125,"AAAAAG/++wA=")</f>
        <v>#VALUE!</v>
      </c>
      <c r="B85" t="e">
        <f>AND('BBP complete'!G1125,"AAAAAG/++wE=")</f>
        <v>#VALUE!</v>
      </c>
      <c r="C85" t="e">
        <f>AND('BBP complete'!D1125,"AAAAAG/++wI=")</f>
        <v>#VALUE!</v>
      </c>
      <c r="D85" t="e">
        <f>AND('BBP complete'!H1124,"AAAAAG/++wM=")</f>
        <v>#VALUE!</v>
      </c>
      <c r="E85" t="e">
        <f>AND('BBP complete'!G1123,"AAAAAG/++wQ=")</f>
        <v>#VALUE!</v>
      </c>
      <c r="F85" t="e">
        <f>AND('BBP complete'!#REF!,"AAAAAG/++wU=")</f>
        <v>#REF!</v>
      </c>
      <c r="G85" t="e">
        <f>AND('BBP complete'!#REF!,"AAAAAG/++wY=")</f>
        <v>#REF!</v>
      </c>
      <c r="H85" t="e">
        <f>AND('BBP complete'!#REF!,"AAAAAG/++wc=")</f>
        <v>#REF!</v>
      </c>
      <c r="I85" s="60" t="e">
        <v>#VALUE!</v>
      </c>
      <c r="J85" t="e">
        <f>AND('BBP complete'!B1126,"AAAAAG/++wk=")</f>
        <v>#VALUE!</v>
      </c>
      <c r="K85" t="e">
        <f>AND('BBP complete'!#REF!,"AAAAAG/++wo=")</f>
        <v>#REF!</v>
      </c>
      <c r="L85" t="e">
        <f>AND('BBP complete'!#REF!,"AAAAAG/++ws=")</f>
        <v>#REF!</v>
      </c>
      <c r="M85" t="e">
        <f>AND('BBP complete'!D1126,"AAAAAG/++ww=")</f>
        <v>#VALUE!</v>
      </c>
      <c r="N85" t="e">
        <f>AND('BBP complete'!H1125,"AAAAAG/++w0=")</f>
        <v>#VALUE!</v>
      </c>
      <c r="O85" t="e">
        <f>AND('BBP complete'!I1124,"AAAAAG/++w4=")</f>
        <v>#VALUE!</v>
      </c>
      <c r="P85" t="e">
        <f>AND('BBP complete'!#REF!,"AAAAAG/++w8=")</f>
        <v>#REF!</v>
      </c>
      <c r="Q85" t="e">
        <f>AND('BBP complete'!#REF!,"AAAAAG/++xA=")</f>
        <v>#REF!</v>
      </c>
      <c r="R85" t="e">
        <f>AND('BBP complete'!#REF!,"AAAAAG/++xE=")</f>
        <v>#REF!</v>
      </c>
      <c r="S85" t="e">
        <f>AND('BBP complete'!#REF!,"AAAAAG/++xI=")</f>
        <v>#REF!</v>
      </c>
      <c r="T85" t="e">
        <f>AND('BBP complete'!C1123,"AAAAAG/++xM=")</f>
        <v>#VALUE!</v>
      </c>
      <c r="U85" t="e">
        <f>AND('BBP complete'!M1122,"AAAAAG/++xQ=")</f>
        <v>#VALUE!</v>
      </c>
      <c r="V85" t="e">
        <f>AND('BBP complete'!N1122,"AAAAAG/++xU=")</f>
        <v>#VALUE!</v>
      </c>
      <c r="W85" t="e">
        <f>AND('BBP complete'!P1136,"AAAAAG/++xY=")</f>
        <v>#VALUE!</v>
      </c>
      <c r="X85" t="e">
        <f>AND('BBP complete'!#REF!,"AAAAAG/++xc=")</f>
        <v>#REF!</v>
      </c>
      <c r="Y85" s="60" t="e">
        <v>#VALUE!</v>
      </c>
      <c r="Z85" t="e">
        <f>AND('BBP complete'!B1127,"AAAAAG/++xk=")</f>
        <v>#VALUE!</v>
      </c>
      <c r="AA85" t="e">
        <f>AND('BBP complete'!#REF!,"AAAAAG/++xo=")</f>
        <v>#REF!</v>
      </c>
      <c r="AB85" t="e">
        <f>AND('BBP complete'!#REF!,"AAAAAG/++xs=")</f>
        <v>#REF!</v>
      </c>
      <c r="AC85" t="e">
        <f>AND('BBP complete'!D1127,"AAAAAG/++xw=")</f>
        <v>#VALUE!</v>
      </c>
      <c r="AD85" t="e">
        <f>AND('BBP complete'!H1126,"AAAAAG/++x0=")</f>
        <v>#VALUE!</v>
      </c>
      <c r="AE85" t="e">
        <f>AND('BBP complete'!I1125,"AAAAAG/++x4=")</f>
        <v>#VALUE!</v>
      </c>
      <c r="AF85" t="e">
        <f>AND('BBP complete'!#REF!,"AAAAAG/++x8=")</f>
        <v>#REF!</v>
      </c>
      <c r="AG85" t="e">
        <f>AND('BBP complete'!#REF!,"AAAAAG/++yA=")</f>
        <v>#REF!</v>
      </c>
      <c r="AH85" t="e">
        <f>AND('BBP complete'!#REF!,"AAAAAG/++yE=")</f>
        <v>#REF!</v>
      </c>
      <c r="AI85" t="e">
        <f>AND('BBP complete'!#REF!,"AAAAAG/++yI=")</f>
        <v>#REF!</v>
      </c>
      <c r="AJ85" t="e">
        <f>AND('BBP complete'!C1124,"AAAAAG/++yM=")</f>
        <v>#VALUE!</v>
      </c>
      <c r="AK85" t="e">
        <f>AND('BBP complete'!M1123,"AAAAAG/++yQ=")</f>
        <v>#VALUE!</v>
      </c>
      <c r="AL85" t="e">
        <f>AND('BBP complete'!N1123,"AAAAAG/++yU=")</f>
        <v>#VALUE!</v>
      </c>
      <c r="AM85" t="e">
        <f>AND('BBP complete'!P1137,"AAAAAG/++yY=")</f>
        <v>#VALUE!</v>
      </c>
      <c r="AN85" t="e">
        <f>AND('BBP complete'!#REF!,"AAAAAG/++yc=")</f>
        <v>#REF!</v>
      </c>
      <c r="AO85" s="60" t="e">
        <v>#VALUE!</v>
      </c>
      <c r="AP85" t="e">
        <f>AND('BBP complete'!B1128,"AAAAAG/++yk=")</f>
        <v>#VALUE!</v>
      </c>
      <c r="AQ85" t="e">
        <f>AND('BBP complete'!#REF!,"AAAAAG/++yo=")</f>
        <v>#REF!</v>
      </c>
      <c r="AR85" t="e">
        <f>AND('BBP complete'!#REF!,"AAAAAG/++ys=")</f>
        <v>#REF!</v>
      </c>
      <c r="AS85" t="e">
        <f>AND('BBP complete'!D1128,"AAAAAG/++yw=")</f>
        <v>#VALUE!</v>
      </c>
      <c r="AT85" t="e">
        <f>AND('BBP complete'!H1127,"AAAAAG/++y0=")</f>
        <v>#VALUE!</v>
      </c>
      <c r="AU85" t="e">
        <f>AND('BBP complete'!I1126,"AAAAAG/++y4=")</f>
        <v>#VALUE!</v>
      </c>
      <c r="AV85" t="e">
        <f>AND('BBP complete'!#REF!,"AAAAAG/++y8=")</f>
        <v>#REF!</v>
      </c>
      <c r="AW85" t="e">
        <f>AND('BBP complete'!#REF!,"AAAAAG/++zA=")</f>
        <v>#REF!</v>
      </c>
      <c r="AX85" t="e">
        <f>AND('BBP complete'!#REF!,"AAAAAG/++zE=")</f>
        <v>#REF!</v>
      </c>
      <c r="AY85" t="e">
        <f>AND('BBP complete'!#REF!,"AAAAAG/++zI=")</f>
        <v>#REF!</v>
      </c>
      <c r="AZ85" t="e">
        <f>AND('BBP complete'!#REF!,"AAAAAG/++zM=")</f>
        <v>#REF!</v>
      </c>
      <c r="BA85" t="e">
        <f>AND('BBP complete'!C1125,"AAAAAG/++zQ=")</f>
        <v>#VALUE!</v>
      </c>
      <c r="BB85" t="e">
        <f>AND('BBP complete'!M1124,"AAAAAG/++zU=")</f>
        <v>#VALUE!</v>
      </c>
      <c r="BC85" t="e">
        <f>AND('BBP complete'!N1124,"AAAAAG/++zY=")</f>
        <v>#VALUE!</v>
      </c>
      <c r="BD85" t="e">
        <f>AND('BBP complete'!P1138,"AAAAAG/++zc=")</f>
        <v>#VALUE!</v>
      </c>
      <c r="BE85" s="60" t="e">
        <v>#VALUE!</v>
      </c>
      <c r="BF85" t="e">
        <f>AND('BBP complete'!B1129,"AAAAAG/++zk=")</f>
        <v>#VALUE!</v>
      </c>
      <c r="BG85" t="e">
        <f>AND('BBP complete'!#REF!,"AAAAAG/++zo=")</f>
        <v>#REF!</v>
      </c>
      <c r="BH85" t="e">
        <f>AND('BBP complete'!#REF!,"AAAAAG/++zs=")</f>
        <v>#REF!</v>
      </c>
      <c r="BI85" t="e">
        <f>AND('BBP complete'!D1129,"AAAAAG/++zw=")</f>
        <v>#VALUE!</v>
      </c>
      <c r="BJ85" t="e">
        <f>AND('BBP complete'!H1128,"AAAAAG/++z0=")</f>
        <v>#VALUE!</v>
      </c>
      <c r="BK85" t="e">
        <f>AND('BBP complete'!I1127,"AAAAAG/++z4=")</f>
        <v>#VALUE!</v>
      </c>
      <c r="BL85" t="e">
        <f>AND('BBP complete'!#REF!,"AAAAAG/++z8=")</f>
        <v>#REF!</v>
      </c>
      <c r="BM85" t="e">
        <f>AND('BBP complete'!#REF!,"AAAAAG/++0A=")</f>
        <v>#REF!</v>
      </c>
      <c r="BN85" t="e">
        <f>AND('BBP complete'!#REF!,"AAAAAG/++0E=")</f>
        <v>#REF!</v>
      </c>
      <c r="BO85" t="e">
        <f>AND('BBP complete'!#REF!,"AAAAAG/++0I=")</f>
        <v>#REF!</v>
      </c>
      <c r="BP85" t="e">
        <f>AND('BBP complete'!#REF!,"AAAAAG/++0M=")</f>
        <v>#REF!</v>
      </c>
      <c r="BQ85" t="e">
        <f>AND('BBP complete'!C1126,"AAAAAG/++0Q=")</f>
        <v>#VALUE!</v>
      </c>
      <c r="BR85" t="e">
        <f>AND('BBP complete'!#REF!,"AAAAAG/++0U=")</f>
        <v>#REF!</v>
      </c>
      <c r="BS85" t="e">
        <f>AND('BBP complete'!#REF!,"AAAAAG/++0Y=")</f>
        <v>#REF!</v>
      </c>
      <c r="BT85" t="e">
        <f>AND('BBP complete'!#REF!,"AAAAAG/++0c=")</f>
        <v>#REF!</v>
      </c>
      <c r="BU85" s="60" t="e">
        <v>#VALUE!</v>
      </c>
      <c r="BV85" t="e">
        <f>AND('BBP complete'!B1130,"AAAAAG/++0k=")</f>
        <v>#VALUE!</v>
      </c>
      <c r="BW85" t="e">
        <f>AND('BBP complete'!#REF!,"AAAAAG/++0o=")</f>
        <v>#REF!</v>
      </c>
      <c r="BX85" t="e">
        <f>AND('BBP complete'!#REF!,"AAAAAG/++0s=")</f>
        <v>#REF!</v>
      </c>
      <c r="BY85" t="e">
        <f>AND('BBP complete'!D1130,"AAAAAG/++0w=")</f>
        <v>#VALUE!</v>
      </c>
      <c r="BZ85" t="e">
        <f>AND('BBP complete'!H1129,"AAAAAG/++00=")</f>
        <v>#VALUE!</v>
      </c>
      <c r="CA85" t="e">
        <f>AND('BBP complete'!I1128,"AAAAAG/++04=")</f>
        <v>#VALUE!</v>
      </c>
      <c r="CB85" t="e">
        <f>AND('BBP complete'!#REF!,"AAAAAG/++08=")</f>
        <v>#REF!</v>
      </c>
      <c r="CC85" t="e">
        <f>AND('BBP complete'!#REF!,"AAAAAG/++1A=")</f>
        <v>#REF!</v>
      </c>
      <c r="CD85" t="e">
        <f>AND('BBP complete'!#REF!,"AAAAAG/++1E=")</f>
        <v>#REF!</v>
      </c>
      <c r="CE85" t="e">
        <f>AND('BBP complete'!#REF!,"AAAAAG/++1I=")</f>
        <v>#REF!</v>
      </c>
      <c r="CF85" t="e">
        <f>AND('BBP complete'!#REF!,"AAAAAG/++1M=")</f>
        <v>#REF!</v>
      </c>
      <c r="CG85" t="e">
        <f>AND('BBP complete'!C1127,"AAAAAG/++1Q=")</f>
        <v>#VALUE!</v>
      </c>
      <c r="CH85" t="e">
        <f>AND('BBP complete'!#REF!,"AAAAAG/++1U=")</f>
        <v>#REF!</v>
      </c>
      <c r="CI85" t="e">
        <f>AND('BBP complete'!#REF!,"AAAAAG/++1Y=")</f>
        <v>#REF!</v>
      </c>
      <c r="CJ85" t="e">
        <f>AND('BBP complete'!#REF!,"AAAAAG/++1c=")</f>
        <v>#REF!</v>
      </c>
      <c r="CK85" s="60" t="e">
        <v>#VALUE!</v>
      </c>
      <c r="CL85" t="e">
        <f>AND('BBP complete'!B1131,"AAAAAG/++1k=")</f>
        <v>#VALUE!</v>
      </c>
      <c r="CM85" t="e">
        <f>AND('BBP complete'!#REF!,"AAAAAG/++1o=")</f>
        <v>#REF!</v>
      </c>
      <c r="CN85" t="e">
        <f>AND('BBP complete'!#REF!,"AAAAAG/++1s=")</f>
        <v>#REF!</v>
      </c>
      <c r="CO85" t="e">
        <f>AND('BBP complete'!D1131,"AAAAAG/++1w=")</f>
        <v>#VALUE!</v>
      </c>
      <c r="CP85" t="e">
        <f>AND('BBP complete'!H1130,"AAAAAG/++10=")</f>
        <v>#VALUE!</v>
      </c>
      <c r="CQ85" t="e">
        <f>AND('BBP complete'!I1129,"AAAAAG/++14=")</f>
        <v>#VALUE!</v>
      </c>
      <c r="CR85" t="e">
        <f>AND('BBP complete'!#REF!,"AAAAAG/++18=")</f>
        <v>#REF!</v>
      </c>
      <c r="CS85" t="e">
        <f>AND('BBP complete'!#REF!,"AAAAAG/++2A=")</f>
        <v>#REF!</v>
      </c>
      <c r="CT85" t="e">
        <f>AND('BBP complete'!#REF!,"AAAAAG/++2E=")</f>
        <v>#REF!</v>
      </c>
      <c r="CU85" t="e">
        <f>AND('BBP complete'!#REF!,"AAAAAG/++2I=")</f>
        <v>#REF!</v>
      </c>
      <c r="CV85" t="e">
        <f>AND('BBP complete'!#REF!,"AAAAAG/++2M=")</f>
        <v>#REF!</v>
      </c>
      <c r="CW85" t="e">
        <f>AND('BBP complete'!C1128,"AAAAAG/++2Q=")</f>
        <v>#VALUE!</v>
      </c>
      <c r="CX85" t="e">
        <f>AND('BBP complete'!#REF!,"AAAAAG/++2U=")</f>
        <v>#REF!</v>
      </c>
      <c r="CY85" t="e">
        <f>AND('BBP complete'!#REF!,"AAAAAG/++2Y=")</f>
        <v>#REF!</v>
      </c>
      <c r="CZ85" t="e">
        <f>AND('BBP complete'!#REF!,"AAAAAG/++2c=")</f>
        <v>#REF!</v>
      </c>
      <c r="DA85" s="60" t="e">
        <v>#VALUE!</v>
      </c>
      <c r="DB85" t="e">
        <f>AND('BBP complete'!B1132,"AAAAAG/++2k=")</f>
        <v>#VALUE!</v>
      </c>
      <c r="DC85" t="e">
        <f>AND('BBP complete'!#REF!,"AAAAAG/++2o=")</f>
        <v>#REF!</v>
      </c>
      <c r="DD85" t="e">
        <f>AND('BBP complete'!#REF!,"AAAAAG/++2s=")</f>
        <v>#REF!</v>
      </c>
      <c r="DE85" t="e">
        <f>AND('BBP complete'!D1132,"AAAAAG/++2w=")</f>
        <v>#VALUE!</v>
      </c>
      <c r="DF85" t="e">
        <f>AND('BBP complete'!H1131,"AAAAAG/++20=")</f>
        <v>#VALUE!</v>
      </c>
      <c r="DG85" t="e">
        <f>AND('BBP complete'!I1130,"AAAAAG/++24=")</f>
        <v>#VALUE!</v>
      </c>
      <c r="DH85" t="e">
        <f>AND('BBP complete'!#REF!,"AAAAAG/++28=")</f>
        <v>#REF!</v>
      </c>
      <c r="DI85" t="e">
        <f>AND('BBP complete'!#REF!,"AAAAAG/++3A=")</f>
        <v>#REF!</v>
      </c>
      <c r="DJ85" t="e">
        <f>AND('BBP complete'!#REF!,"AAAAAG/++3E=")</f>
        <v>#REF!</v>
      </c>
      <c r="DK85" t="e">
        <f>AND('BBP complete'!#REF!,"AAAAAG/++3I=")</f>
        <v>#REF!</v>
      </c>
      <c r="DL85" t="e">
        <f>AND('BBP complete'!#REF!,"AAAAAG/++3M=")</f>
        <v>#REF!</v>
      </c>
      <c r="DM85" t="e">
        <f>AND('BBP complete'!C1129,"AAAAAG/++3Q=")</f>
        <v>#VALUE!</v>
      </c>
      <c r="DN85" t="e">
        <f>AND('BBP complete'!#REF!,"AAAAAG/++3U=")</f>
        <v>#REF!</v>
      </c>
      <c r="DO85" t="e">
        <f>AND('BBP complete'!#REF!,"AAAAAG/++3Y=")</f>
        <v>#REF!</v>
      </c>
      <c r="DP85" t="e">
        <f>AND('BBP complete'!#REF!,"AAAAAG/++3c=")</f>
        <v>#REF!</v>
      </c>
      <c r="DQ85" s="60" t="e">
        <v>#VALUE!</v>
      </c>
      <c r="DR85" t="e">
        <f>AND('BBP complete'!B1133,"AAAAAG/++3k=")</f>
        <v>#VALUE!</v>
      </c>
      <c r="DS85" t="e">
        <f>AND('BBP complete'!#REF!,"AAAAAG/++3o=")</f>
        <v>#REF!</v>
      </c>
      <c r="DT85" t="e">
        <f>AND('BBP complete'!#REF!,"AAAAAG/++3s=")</f>
        <v>#REF!</v>
      </c>
      <c r="DU85" t="e">
        <f>AND('BBP complete'!D1133,"AAAAAG/++3w=")</f>
        <v>#VALUE!</v>
      </c>
      <c r="DV85" t="e">
        <f>AND('BBP complete'!H1132,"AAAAAG/++30=")</f>
        <v>#VALUE!</v>
      </c>
      <c r="DW85" t="e">
        <f>AND('BBP complete'!I1131,"AAAAAG/++34=")</f>
        <v>#VALUE!</v>
      </c>
      <c r="DX85" t="e">
        <f>AND('BBP complete'!#REF!,"AAAAAG/++38=")</f>
        <v>#REF!</v>
      </c>
      <c r="DY85" t="e">
        <f>AND('BBP complete'!#REF!,"AAAAAG/++4A=")</f>
        <v>#REF!</v>
      </c>
      <c r="DZ85" t="e">
        <f>AND('BBP complete'!#REF!,"AAAAAG/++4E=")</f>
        <v>#REF!</v>
      </c>
      <c r="EA85" t="e">
        <f>AND('BBP complete'!#REF!,"AAAAAG/++4I=")</f>
        <v>#REF!</v>
      </c>
      <c r="EB85" t="e">
        <f>AND('BBP complete'!#REF!,"AAAAAG/++4M=")</f>
        <v>#REF!</v>
      </c>
      <c r="EC85" t="e">
        <f>AND('BBP complete'!C1130,"AAAAAG/++4Q=")</f>
        <v>#VALUE!</v>
      </c>
      <c r="ED85" t="e">
        <f>AND('BBP complete'!#REF!,"AAAAAG/++4U=")</f>
        <v>#REF!</v>
      </c>
      <c r="EE85" t="e">
        <f>AND('BBP complete'!#REF!,"AAAAAG/++4Y=")</f>
        <v>#REF!</v>
      </c>
      <c r="EF85" t="e">
        <f>AND('BBP complete'!#REF!,"AAAAAG/++4c=")</f>
        <v>#REF!</v>
      </c>
      <c r="EG85" s="60" t="e">
        <v>#VALUE!</v>
      </c>
      <c r="EH85" t="e">
        <f>AND('BBP complete'!B1134,"AAAAAG/++4k=")</f>
        <v>#VALUE!</v>
      </c>
      <c r="EI85" t="e">
        <f>AND('BBP complete'!#REF!,"AAAAAG/++4o=")</f>
        <v>#REF!</v>
      </c>
      <c r="EJ85" t="e">
        <f>AND('BBP complete'!#REF!,"AAAAAG/++4s=")</f>
        <v>#REF!</v>
      </c>
      <c r="EK85" t="e">
        <f>AND('BBP complete'!D1134,"AAAAAG/++4w=")</f>
        <v>#VALUE!</v>
      </c>
      <c r="EL85" t="e">
        <f>AND('BBP complete'!H1133,"AAAAAG/++40=")</f>
        <v>#VALUE!</v>
      </c>
      <c r="EM85" t="e">
        <f>AND('BBP complete'!I1132,"AAAAAG/++44=")</f>
        <v>#VALUE!</v>
      </c>
      <c r="EN85" t="e">
        <f>AND('BBP complete'!#REF!,"AAAAAG/++48=")</f>
        <v>#REF!</v>
      </c>
      <c r="EO85" t="e">
        <f>AND('BBP complete'!#REF!,"AAAAAG/++5A=")</f>
        <v>#REF!</v>
      </c>
      <c r="EP85" t="e">
        <f>AND('BBP complete'!#REF!,"AAAAAG/++5E=")</f>
        <v>#REF!</v>
      </c>
      <c r="EQ85" t="e">
        <f>AND('BBP complete'!#REF!,"AAAAAG/++5I=")</f>
        <v>#REF!</v>
      </c>
      <c r="ER85" t="e">
        <f>AND('BBP complete'!#REF!,"AAAAAG/++5M=")</f>
        <v>#REF!</v>
      </c>
      <c r="ES85" t="e">
        <f>AND('BBP complete'!C1131,"AAAAAG/++5Q=")</f>
        <v>#VALUE!</v>
      </c>
      <c r="ET85" t="e">
        <f>AND('BBP complete'!#REF!,"AAAAAG/++5U=")</f>
        <v>#REF!</v>
      </c>
      <c r="EU85" t="e">
        <f>AND('BBP complete'!#REF!,"AAAAAG/++5Y=")</f>
        <v>#REF!</v>
      </c>
      <c r="EV85" t="e">
        <f>AND('BBP complete'!#REF!,"AAAAAG/++5c=")</f>
        <v>#REF!</v>
      </c>
      <c r="EW85" s="60" t="e">
        <v>#VALUE!</v>
      </c>
      <c r="EX85" t="e">
        <f>AND('BBP complete'!B1135,"AAAAAG/++5k=")</f>
        <v>#VALUE!</v>
      </c>
      <c r="EY85" t="e">
        <f>AND('BBP complete'!#REF!,"AAAAAG/++5o=")</f>
        <v>#REF!</v>
      </c>
      <c r="EZ85" t="e">
        <f>AND('BBP complete'!#REF!,"AAAAAG/++5s=")</f>
        <v>#REF!</v>
      </c>
      <c r="FA85" t="e">
        <f>AND('BBP complete'!D1135,"AAAAAG/++5w=")</f>
        <v>#VALUE!</v>
      </c>
      <c r="FB85" t="e">
        <f>AND('BBP complete'!H1134,"AAAAAG/++50=")</f>
        <v>#VALUE!</v>
      </c>
      <c r="FC85" t="e">
        <f>AND('BBP complete'!I1133,"AAAAAG/++54=")</f>
        <v>#VALUE!</v>
      </c>
      <c r="FD85" t="e">
        <f>AND('BBP complete'!#REF!,"AAAAAG/++58=")</f>
        <v>#REF!</v>
      </c>
      <c r="FE85" t="e">
        <f>AND('BBP complete'!#REF!,"AAAAAG/++6A=")</f>
        <v>#REF!</v>
      </c>
      <c r="FF85" t="e">
        <f>AND('BBP complete'!#REF!,"AAAAAG/++6E=")</f>
        <v>#REF!</v>
      </c>
      <c r="FG85" t="e">
        <f>AND('BBP complete'!#REF!,"AAAAAG/++6I=")</f>
        <v>#REF!</v>
      </c>
      <c r="FH85" t="e">
        <f>AND('BBP complete'!#REF!,"AAAAAG/++6M=")</f>
        <v>#REF!</v>
      </c>
      <c r="FI85" t="e">
        <f>AND('BBP complete'!C1132,"AAAAAG/++6Q=")</f>
        <v>#VALUE!</v>
      </c>
      <c r="FJ85" t="e">
        <f>AND('BBP complete'!#REF!,"AAAAAG/++6U=")</f>
        <v>#REF!</v>
      </c>
      <c r="FK85" t="e">
        <f>AND('BBP complete'!#REF!,"AAAAAG/++6Y=")</f>
        <v>#REF!</v>
      </c>
      <c r="FL85" t="e">
        <f>AND('BBP complete'!#REF!,"AAAAAG/++6c=")</f>
        <v>#REF!</v>
      </c>
      <c r="FM85" s="60" t="e">
        <v>#VALUE!</v>
      </c>
      <c r="FN85" t="e">
        <f>AND('BBP complete'!B1136,"AAAAAG/++6k=")</f>
        <v>#VALUE!</v>
      </c>
      <c r="FO85" t="e">
        <f>AND('BBP complete'!#REF!,"AAAAAG/++6o=")</f>
        <v>#REF!</v>
      </c>
      <c r="FP85" t="e">
        <f>AND('BBP complete'!#REF!,"AAAAAG/++6s=")</f>
        <v>#REF!</v>
      </c>
      <c r="FQ85" t="e">
        <f>AND('BBP complete'!D1136,"AAAAAG/++6w=")</f>
        <v>#VALUE!</v>
      </c>
      <c r="FR85" t="e">
        <f>AND('BBP complete'!H1135,"AAAAAG/++60=")</f>
        <v>#VALUE!</v>
      </c>
      <c r="FS85" t="e">
        <f>AND('BBP complete'!I1134,"AAAAAG/++64=")</f>
        <v>#VALUE!</v>
      </c>
      <c r="FT85" t="e">
        <f>AND('BBP complete'!#REF!,"AAAAAG/++68=")</f>
        <v>#REF!</v>
      </c>
      <c r="FU85" t="e">
        <f>AND('BBP complete'!#REF!,"AAAAAG/++7A=")</f>
        <v>#REF!</v>
      </c>
      <c r="FV85" t="e">
        <f>AND('BBP complete'!#REF!,"AAAAAG/++7E=")</f>
        <v>#REF!</v>
      </c>
      <c r="FW85" t="e">
        <f>AND('BBP complete'!#REF!,"AAAAAG/++7I=")</f>
        <v>#REF!</v>
      </c>
      <c r="FX85" t="e">
        <f>AND('BBP complete'!#REF!,"AAAAAG/++7M=")</f>
        <v>#REF!</v>
      </c>
      <c r="FY85" t="e">
        <f>AND('BBP complete'!C1133,"AAAAAG/++7Q=")</f>
        <v>#VALUE!</v>
      </c>
      <c r="FZ85" t="e">
        <f>AND('BBP complete'!#REF!,"AAAAAG/++7U=")</f>
        <v>#REF!</v>
      </c>
      <c r="GA85" t="e">
        <f>AND('BBP complete'!#REF!,"AAAAAG/++7Y=")</f>
        <v>#REF!</v>
      </c>
      <c r="GB85" t="e">
        <f>AND('BBP complete'!#REF!,"AAAAAG/++7c=")</f>
        <v>#REF!</v>
      </c>
      <c r="GC85" s="60" t="e">
        <v>#VALUE!</v>
      </c>
      <c r="GD85" t="e">
        <f>AND('BBP complete'!B1137,"AAAAAG/++7k=")</f>
        <v>#VALUE!</v>
      </c>
      <c r="GE85" t="e">
        <f>AND('BBP complete'!#REF!,"AAAAAG/++7o=")</f>
        <v>#REF!</v>
      </c>
      <c r="GF85" t="e">
        <f>AND('BBP complete'!#REF!,"AAAAAG/++7s=")</f>
        <v>#REF!</v>
      </c>
      <c r="GG85" t="e">
        <f>AND('BBP complete'!D1137,"AAAAAG/++7w=")</f>
        <v>#VALUE!</v>
      </c>
      <c r="GH85" t="e">
        <f>AND('BBP complete'!H1136,"AAAAAG/++70=")</f>
        <v>#VALUE!</v>
      </c>
      <c r="GI85" t="e">
        <f>AND('BBP complete'!I1135,"AAAAAG/++74=")</f>
        <v>#VALUE!</v>
      </c>
      <c r="GJ85" t="e">
        <f>AND('BBP complete'!#REF!,"AAAAAG/++78=")</f>
        <v>#REF!</v>
      </c>
      <c r="GK85" t="e">
        <f>AND('BBP complete'!#REF!,"AAAAAG/++8A=")</f>
        <v>#REF!</v>
      </c>
      <c r="GL85" t="e">
        <f>AND('BBP complete'!#REF!,"AAAAAG/++8E=")</f>
        <v>#REF!</v>
      </c>
      <c r="GM85" t="e">
        <f>AND('BBP complete'!#REF!,"AAAAAG/++8I=")</f>
        <v>#REF!</v>
      </c>
      <c r="GN85" t="e">
        <f>AND('BBP complete'!#REF!,"AAAAAG/++8M=")</f>
        <v>#REF!</v>
      </c>
      <c r="GO85" t="e">
        <f>AND('BBP complete'!C1134,"AAAAAG/++8Q=")</f>
        <v>#VALUE!</v>
      </c>
      <c r="GP85" t="e">
        <f>AND('BBP complete'!#REF!,"AAAAAG/++8U=")</f>
        <v>#REF!</v>
      </c>
      <c r="GQ85" t="e">
        <f>AND('BBP complete'!#REF!,"AAAAAG/++8Y=")</f>
        <v>#REF!</v>
      </c>
      <c r="GR85" t="e">
        <f>AND('BBP complete'!#REF!,"AAAAAG/++8c=")</f>
        <v>#REF!</v>
      </c>
      <c r="GS85" s="60" t="e">
        <v>#VALUE!</v>
      </c>
      <c r="GT85" t="e">
        <f>AND('BBP complete'!B1138,"AAAAAG/++8k=")</f>
        <v>#VALUE!</v>
      </c>
      <c r="GU85" t="e">
        <f>AND('BBP complete'!#REF!,"AAAAAG/++8o=")</f>
        <v>#REF!</v>
      </c>
      <c r="GV85" t="e">
        <f>AND('BBP complete'!#REF!,"AAAAAG/++8s=")</f>
        <v>#REF!</v>
      </c>
      <c r="GW85" t="e">
        <f>AND('BBP complete'!D1138,"AAAAAG/++8w=")</f>
        <v>#VALUE!</v>
      </c>
      <c r="GX85" t="e">
        <f>AND('BBP complete'!H1137,"AAAAAG/++80=")</f>
        <v>#VALUE!</v>
      </c>
      <c r="GY85" t="e">
        <f>AND('BBP complete'!I1136,"AAAAAG/++84=")</f>
        <v>#VALUE!</v>
      </c>
      <c r="GZ85" t="e">
        <f>AND('BBP complete'!#REF!,"AAAAAG/++88=")</f>
        <v>#REF!</v>
      </c>
      <c r="HA85" t="e">
        <f>AND('BBP complete'!#REF!,"AAAAAG/++9A=")</f>
        <v>#REF!</v>
      </c>
      <c r="HB85" t="e">
        <f>AND('BBP complete'!#REF!,"AAAAAG/++9E=")</f>
        <v>#REF!</v>
      </c>
      <c r="HC85" t="e">
        <f>AND('BBP complete'!#REF!,"AAAAAG/++9I=")</f>
        <v>#REF!</v>
      </c>
      <c r="HD85" t="e">
        <f>AND('BBP complete'!#REF!,"AAAAAG/++9M=")</f>
        <v>#REF!</v>
      </c>
      <c r="HE85" t="e">
        <f>AND('BBP complete'!C1135,"AAAAAG/++9Q=")</f>
        <v>#VALUE!</v>
      </c>
      <c r="HF85" t="e">
        <f>AND('BBP complete'!#REF!,"AAAAAG/++9U=")</f>
        <v>#REF!</v>
      </c>
      <c r="HG85" t="e">
        <f>AND('BBP complete'!#REF!,"AAAAAG/++9Y=")</f>
        <v>#REF!</v>
      </c>
      <c r="HH85" t="e">
        <f>AND('BBP complete'!#REF!,"AAAAAG/++9c=")</f>
        <v>#REF!</v>
      </c>
      <c r="HI85" s="60" t="e">
        <v>#VALUE!</v>
      </c>
      <c r="HJ85" t="e">
        <f>AND('BBP complete'!B1139,"AAAAAG/++9k=")</f>
        <v>#VALUE!</v>
      </c>
      <c r="HK85" t="e">
        <f>AND('BBP complete'!#REF!,"AAAAAG/++9o=")</f>
        <v>#REF!</v>
      </c>
      <c r="HL85" t="e">
        <f>AND('BBP complete'!#REF!,"AAAAAG/++9s=")</f>
        <v>#REF!</v>
      </c>
      <c r="HM85" t="e">
        <f>AND('BBP complete'!D1139,"AAAAAG/++9w=")</f>
        <v>#VALUE!</v>
      </c>
      <c r="HN85" t="e">
        <f>AND('BBP complete'!H1138,"AAAAAG/++90=")</f>
        <v>#VALUE!</v>
      </c>
      <c r="HO85" t="e">
        <f>AND('BBP complete'!I1137,"AAAAAG/++94=")</f>
        <v>#VALUE!</v>
      </c>
      <c r="HP85" t="e">
        <f>AND('BBP complete'!#REF!,"AAAAAG/++98=")</f>
        <v>#REF!</v>
      </c>
      <c r="HQ85" t="e">
        <f>AND('BBP complete'!#REF!,"AAAAAG/+++A=")</f>
        <v>#REF!</v>
      </c>
      <c r="HR85" t="e">
        <f>AND('BBP complete'!#REF!,"AAAAAG/+++E=")</f>
        <v>#REF!</v>
      </c>
      <c r="HS85" t="e">
        <f>AND('BBP complete'!#REF!,"AAAAAG/+++I=")</f>
        <v>#REF!</v>
      </c>
      <c r="HT85" t="e">
        <f>AND('BBP complete'!#REF!,"AAAAAG/+++M=")</f>
        <v>#REF!</v>
      </c>
      <c r="HU85" t="e">
        <f>AND('BBP complete'!C1136,"AAAAAG/+++Q=")</f>
        <v>#VALUE!</v>
      </c>
      <c r="HV85" t="e">
        <f>AND('BBP complete'!#REF!,"AAAAAG/+++U=")</f>
        <v>#REF!</v>
      </c>
      <c r="HW85" t="e">
        <f>AND('BBP complete'!#REF!,"AAAAAG/+++Y=")</f>
        <v>#REF!</v>
      </c>
      <c r="HX85" t="e">
        <f>AND('BBP complete'!#REF!,"AAAAAG/+++c=")</f>
        <v>#REF!</v>
      </c>
      <c r="HY85" s="60" t="e">
        <v>#VALUE!</v>
      </c>
      <c r="HZ85" t="e">
        <f>AND('BBP complete'!B1140,"AAAAAG/+++k=")</f>
        <v>#VALUE!</v>
      </c>
      <c r="IA85" t="e">
        <f>AND('BBP complete'!#REF!,"AAAAAG/+++o=")</f>
        <v>#REF!</v>
      </c>
      <c r="IB85" t="e">
        <f>AND('BBP complete'!#REF!,"AAAAAG/+++s=")</f>
        <v>#REF!</v>
      </c>
      <c r="IC85" t="e">
        <f>AND('BBP complete'!D1140,"AAAAAG/+++w=")</f>
        <v>#VALUE!</v>
      </c>
      <c r="ID85" t="e">
        <f>AND('BBP complete'!H1139,"AAAAAG/+++0=")</f>
        <v>#VALUE!</v>
      </c>
      <c r="IE85" t="e">
        <f>AND('BBP complete'!I1138,"AAAAAG/+++4=")</f>
        <v>#VALUE!</v>
      </c>
      <c r="IF85" t="e">
        <f>AND('BBP complete'!#REF!,"AAAAAG/+++8=")</f>
        <v>#REF!</v>
      </c>
      <c r="IG85" t="e">
        <f>AND('BBP complete'!#REF!,"AAAAAG/++/A=")</f>
        <v>#REF!</v>
      </c>
      <c r="IH85" t="e">
        <f>AND('BBP complete'!#REF!,"AAAAAG/++/E=")</f>
        <v>#REF!</v>
      </c>
      <c r="II85" t="e">
        <f>AND('BBP complete'!#REF!,"AAAAAG/++/I=")</f>
        <v>#REF!</v>
      </c>
      <c r="IJ85" t="e">
        <f>AND('BBP complete'!#REF!,"AAAAAG/++/M=")</f>
        <v>#REF!</v>
      </c>
      <c r="IK85" t="e">
        <f>AND('BBP complete'!C1137,"AAAAAG/++/Q=")</f>
        <v>#VALUE!</v>
      </c>
      <c r="IL85" t="e">
        <f>AND('BBP complete'!#REF!,"AAAAAG/++/U=")</f>
        <v>#REF!</v>
      </c>
      <c r="IM85" t="e">
        <f>AND('BBP complete'!#REF!,"AAAAAG/++/Y=")</f>
        <v>#REF!</v>
      </c>
      <c r="IN85" t="e">
        <f>AND('BBP complete'!#REF!,"AAAAAG/++/c=")</f>
        <v>#REF!</v>
      </c>
      <c r="IO85" s="60" t="e">
        <v>#VALUE!</v>
      </c>
      <c r="IP85" t="e">
        <f>AND('BBP complete'!B1141,"AAAAAG/++/k=")</f>
        <v>#VALUE!</v>
      </c>
      <c r="IQ85" t="e">
        <f>AND('BBP complete'!#REF!,"AAAAAG/++/o=")</f>
        <v>#REF!</v>
      </c>
      <c r="IR85" t="e">
        <f>AND('BBP complete'!#REF!,"AAAAAG/++/s=")</f>
        <v>#REF!</v>
      </c>
      <c r="IS85" t="e">
        <f>AND('BBP complete'!D1141,"AAAAAG/++/w=")</f>
        <v>#VALUE!</v>
      </c>
      <c r="IT85" t="e">
        <f>AND('BBP complete'!H1140,"AAAAAG/++/0=")</f>
        <v>#VALUE!</v>
      </c>
      <c r="IU85" t="e">
        <f>AND('BBP complete'!I1139,"AAAAAG/++/4=")</f>
        <v>#VALUE!</v>
      </c>
      <c r="IV85" t="e">
        <f>AND('BBP complete'!#REF!,"AAAAAG/++/8=")</f>
        <v>#REF!</v>
      </c>
    </row>
    <row r="86" spans="1:256" ht="15" customHeight="1" x14ac:dyDescent="0.25">
      <c r="A86" t="e">
        <f>AND('BBP complete'!#REF!,"AAAAAH9/tAA=")</f>
        <v>#REF!</v>
      </c>
      <c r="B86" t="e">
        <f>AND('BBP complete'!#REF!,"AAAAAH9/tAE=")</f>
        <v>#REF!</v>
      </c>
      <c r="C86" t="e">
        <f>AND('BBP complete'!#REF!,"AAAAAH9/tAI=")</f>
        <v>#REF!</v>
      </c>
      <c r="D86" t="e">
        <f>AND('BBP complete'!#REF!,"AAAAAH9/tAM=")</f>
        <v>#REF!</v>
      </c>
      <c r="E86" t="e">
        <f>AND('BBP complete'!C1138,"AAAAAH9/tAQ=")</f>
        <v>#VALUE!</v>
      </c>
      <c r="F86" t="e">
        <f>AND('BBP complete'!#REF!,"AAAAAH9/tAU=")</f>
        <v>#REF!</v>
      </c>
      <c r="G86" t="e">
        <f>AND('BBP complete'!#REF!,"AAAAAH9/tAY=")</f>
        <v>#REF!</v>
      </c>
      <c r="H86" t="e">
        <f>AND('BBP complete'!#REF!,"AAAAAH9/tAc=")</f>
        <v>#REF!</v>
      </c>
      <c r="I86" s="60" t="e">
        <v>#VALUE!</v>
      </c>
      <c r="J86" t="e">
        <f>AND('BBP complete'!B1142,"AAAAAH9/tAk=")</f>
        <v>#VALUE!</v>
      </c>
      <c r="K86" t="e">
        <f>AND('BBP complete'!#REF!,"AAAAAH9/tAo=")</f>
        <v>#REF!</v>
      </c>
      <c r="L86" t="e">
        <f>AND('BBP complete'!#REF!,"AAAAAH9/tAs=")</f>
        <v>#REF!</v>
      </c>
      <c r="M86" t="e">
        <f>AND('BBP complete'!D1142,"AAAAAH9/tAw=")</f>
        <v>#VALUE!</v>
      </c>
      <c r="N86" t="e">
        <f>AND('BBP complete'!H1141,"AAAAAH9/tA0=")</f>
        <v>#VALUE!</v>
      </c>
      <c r="O86" t="e">
        <f>AND('BBP complete'!I1140,"AAAAAH9/tA4=")</f>
        <v>#VALUE!</v>
      </c>
      <c r="P86" t="e">
        <f>AND('BBP complete'!#REF!,"AAAAAH9/tA8=")</f>
        <v>#REF!</v>
      </c>
      <c r="Q86" t="e">
        <f>AND('BBP complete'!#REF!,"AAAAAH9/tBA=")</f>
        <v>#REF!</v>
      </c>
      <c r="R86" t="e">
        <f>AND('BBP complete'!#REF!,"AAAAAH9/tBE=")</f>
        <v>#REF!</v>
      </c>
      <c r="S86" t="e">
        <f>AND('BBP complete'!#REF!,"AAAAAH9/tBI=")</f>
        <v>#REF!</v>
      </c>
      <c r="T86" t="e">
        <f>AND('BBP complete'!#REF!,"AAAAAH9/tBM=")</f>
        <v>#REF!</v>
      </c>
      <c r="U86" t="e">
        <f>AND('BBP complete'!C1139,"AAAAAH9/tBQ=")</f>
        <v>#VALUE!</v>
      </c>
      <c r="V86" t="e">
        <f>AND('BBP complete'!#REF!,"AAAAAH9/tBU=")</f>
        <v>#REF!</v>
      </c>
      <c r="W86" t="e">
        <f>AND('BBP complete'!#REF!,"AAAAAH9/tBY=")</f>
        <v>#REF!</v>
      </c>
      <c r="X86" t="e">
        <f>AND('BBP complete'!#REF!,"AAAAAH9/tBc=")</f>
        <v>#REF!</v>
      </c>
      <c r="Y86" s="60" t="e">
        <v>#VALUE!</v>
      </c>
      <c r="Z86" t="e">
        <f>AND('BBP complete'!B1143,"AAAAAH9/tBk=")</f>
        <v>#VALUE!</v>
      </c>
      <c r="AA86" t="e">
        <f>AND('BBP complete'!#REF!,"AAAAAH9/tBo=")</f>
        <v>#REF!</v>
      </c>
      <c r="AB86" t="e">
        <f>AND('BBP complete'!#REF!,"AAAAAH9/tBs=")</f>
        <v>#REF!</v>
      </c>
      <c r="AC86" t="e">
        <f>AND('BBP complete'!D1143,"AAAAAH9/tBw=")</f>
        <v>#VALUE!</v>
      </c>
      <c r="AD86" t="e">
        <f>AND('BBP complete'!H1142,"AAAAAH9/tB0=")</f>
        <v>#VALUE!</v>
      </c>
      <c r="AE86" t="e">
        <f>AND('BBP complete'!I1141,"AAAAAH9/tB4=")</f>
        <v>#VALUE!</v>
      </c>
      <c r="AF86" t="e">
        <f>AND('BBP complete'!#REF!,"AAAAAH9/tB8=")</f>
        <v>#REF!</v>
      </c>
      <c r="AG86" t="e">
        <f>AND('BBP complete'!#REF!,"AAAAAH9/tCA=")</f>
        <v>#REF!</v>
      </c>
      <c r="AH86" t="e">
        <f>AND('BBP complete'!#REF!,"AAAAAH9/tCE=")</f>
        <v>#REF!</v>
      </c>
      <c r="AI86" t="e">
        <f>AND('BBP complete'!#REF!,"AAAAAH9/tCI=")</f>
        <v>#REF!</v>
      </c>
      <c r="AJ86" t="e">
        <f>AND('BBP complete'!#REF!,"AAAAAH9/tCM=")</f>
        <v>#REF!</v>
      </c>
      <c r="AK86" t="e">
        <f>AND('BBP complete'!C1140,"AAAAAH9/tCQ=")</f>
        <v>#VALUE!</v>
      </c>
      <c r="AL86" t="e">
        <f>AND('BBP complete'!#REF!,"AAAAAH9/tCU=")</f>
        <v>#REF!</v>
      </c>
      <c r="AM86" t="e">
        <f>AND('BBP complete'!#REF!,"AAAAAH9/tCY=")</f>
        <v>#REF!</v>
      </c>
      <c r="AN86" t="e">
        <f>AND('BBP complete'!#REF!,"AAAAAH9/tCc=")</f>
        <v>#REF!</v>
      </c>
      <c r="AO86" s="60" t="e">
        <v>#VALUE!</v>
      </c>
      <c r="AP86" t="e">
        <f>AND('BBP complete'!B1144,"AAAAAH9/tCk=")</f>
        <v>#VALUE!</v>
      </c>
      <c r="AQ86" t="e">
        <f>AND('BBP complete'!#REF!,"AAAAAH9/tCo=")</f>
        <v>#REF!</v>
      </c>
      <c r="AR86" t="e">
        <f>AND('BBP complete'!#REF!,"AAAAAH9/tCs=")</f>
        <v>#REF!</v>
      </c>
      <c r="AS86" t="e">
        <f>AND('BBP complete'!D1144,"AAAAAH9/tCw=")</f>
        <v>#VALUE!</v>
      </c>
      <c r="AT86" t="e">
        <f>AND('BBP complete'!H1143,"AAAAAH9/tC0=")</f>
        <v>#VALUE!</v>
      </c>
      <c r="AU86" t="e">
        <f>AND('BBP complete'!I1142,"AAAAAH9/tC4=")</f>
        <v>#VALUE!</v>
      </c>
      <c r="AV86" t="e">
        <f>AND('BBP complete'!#REF!,"AAAAAH9/tC8=")</f>
        <v>#REF!</v>
      </c>
      <c r="AW86" t="e">
        <f>AND('BBP complete'!#REF!,"AAAAAH9/tDA=")</f>
        <v>#REF!</v>
      </c>
      <c r="AX86" t="e">
        <f>AND('BBP complete'!#REF!,"AAAAAH9/tDE=")</f>
        <v>#REF!</v>
      </c>
      <c r="AY86" t="e">
        <f>AND('BBP complete'!#REF!,"AAAAAH9/tDI=")</f>
        <v>#REF!</v>
      </c>
      <c r="AZ86" t="e">
        <f>AND('BBP complete'!#REF!,"AAAAAH9/tDM=")</f>
        <v>#REF!</v>
      </c>
      <c r="BA86" t="e">
        <f>AND('BBP complete'!C1141,"AAAAAH9/tDQ=")</f>
        <v>#VALUE!</v>
      </c>
      <c r="BB86" t="e">
        <f>AND('BBP complete'!#REF!,"AAAAAH9/tDU=")</f>
        <v>#REF!</v>
      </c>
      <c r="BC86" t="e">
        <f>AND('BBP complete'!#REF!,"AAAAAH9/tDY=")</f>
        <v>#REF!</v>
      </c>
      <c r="BD86" t="e">
        <f>AND('BBP complete'!#REF!,"AAAAAH9/tDc=")</f>
        <v>#REF!</v>
      </c>
      <c r="BE86" s="60" t="e">
        <v>#VALUE!</v>
      </c>
      <c r="BF86" t="e">
        <f>AND('BBP complete'!B1145,"AAAAAH9/tDk=")</f>
        <v>#VALUE!</v>
      </c>
      <c r="BG86" t="e">
        <f>AND('BBP complete'!#REF!,"AAAAAH9/tDo=")</f>
        <v>#REF!</v>
      </c>
      <c r="BH86" t="e">
        <f>AND('BBP complete'!#REF!,"AAAAAH9/tDs=")</f>
        <v>#REF!</v>
      </c>
      <c r="BI86" t="e">
        <f>AND('BBP complete'!D1145,"AAAAAH9/tDw=")</f>
        <v>#VALUE!</v>
      </c>
      <c r="BJ86" t="e">
        <f>AND('BBP complete'!H1144,"AAAAAH9/tD0=")</f>
        <v>#VALUE!</v>
      </c>
      <c r="BK86" t="e">
        <f>AND('BBP complete'!I1143,"AAAAAH9/tD4=")</f>
        <v>#VALUE!</v>
      </c>
      <c r="BL86" t="e">
        <f>AND('BBP complete'!#REF!,"AAAAAH9/tD8=")</f>
        <v>#REF!</v>
      </c>
      <c r="BM86" t="e">
        <f>AND('BBP complete'!#REF!,"AAAAAH9/tEA=")</f>
        <v>#REF!</v>
      </c>
      <c r="BN86" t="e">
        <f>AND('BBP complete'!#REF!,"AAAAAH9/tEE=")</f>
        <v>#REF!</v>
      </c>
      <c r="BO86" t="e">
        <f>AND('BBP complete'!#REF!,"AAAAAH9/tEI=")</f>
        <v>#REF!</v>
      </c>
      <c r="BP86" t="e">
        <f>AND('BBP complete'!#REF!,"AAAAAH9/tEM=")</f>
        <v>#REF!</v>
      </c>
      <c r="BQ86" t="e">
        <f>AND('BBP complete'!C1142,"AAAAAH9/tEQ=")</f>
        <v>#VALUE!</v>
      </c>
      <c r="BR86" t="e">
        <f>AND('BBP complete'!#REF!,"AAAAAH9/tEU=")</f>
        <v>#REF!</v>
      </c>
      <c r="BS86" t="e">
        <f>AND('BBP complete'!#REF!,"AAAAAH9/tEY=")</f>
        <v>#REF!</v>
      </c>
      <c r="BT86" t="e">
        <f>AND('BBP complete'!#REF!,"AAAAAH9/tEc=")</f>
        <v>#REF!</v>
      </c>
      <c r="BU86" s="60" t="e">
        <v>#VALUE!</v>
      </c>
      <c r="BV86" t="e">
        <f>AND('BBP complete'!B1146,"AAAAAH9/tEk=")</f>
        <v>#VALUE!</v>
      </c>
      <c r="BW86" t="e">
        <f>AND('BBP complete'!#REF!,"AAAAAH9/tEo=")</f>
        <v>#REF!</v>
      </c>
      <c r="BX86" t="e">
        <f>AND('BBP complete'!#REF!,"AAAAAH9/tEs=")</f>
        <v>#REF!</v>
      </c>
      <c r="BY86" t="e">
        <f>AND('BBP complete'!D1146,"AAAAAH9/tEw=")</f>
        <v>#VALUE!</v>
      </c>
      <c r="BZ86" t="e">
        <f>AND('BBP complete'!H1145,"AAAAAH9/tE0=")</f>
        <v>#VALUE!</v>
      </c>
      <c r="CA86" t="e">
        <f>AND('BBP complete'!I1144,"AAAAAH9/tE4=")</f>
        <v>#VALUE!</v>
      </c>
      <c r="CB86" t="e">
        <f>AND('BBP complete'!#REF!,"AAAAAH9/tE8=")</f>
        <v>#REF!</v>
      </c>
      <c r="CC86" t="e">
        <f>AND('BBP complete'!#REF!,"AAAAAH9/tFA=")</f>
        <v>#REF!</v>
      </c>
      <c r="CD86" t="e">
        <f>AND('BBP complete'!#REF!,"AAAAAH9/tFE=")</f>
        <v>#REF!</v>
      </c>
      <c r="CE86" t="e">
        <f>AND('BBP complete'!#REF!,"AAAAAH9/tFI=")</f>
        <v>#REF!</v>
      </c>
      <c r="CF86" t="e">
        <f>AND('BBP complete'!#REF!,"AAAAAH9/tFM=")</f>
        <v>#REF!</v>
      </c>
      <c r="CG86" t="e">
        <f>AND('BBP complete'!C1143,"AAAAAH9/tFQ=")</f>
        <v>#VALUE!</v>
      </c>
      <c r="CH86" t="e">
        <f>AND('BBP complete'!#REF!,"AAAAAH9/tFU=")</f>
        <v>#REF!</v>
      </c>
      <c r="CI86" t="e">
        <f>AND('BBP complete'!#REF!,"AAAAAH9/tFY=")</f>
        <v>#REF!</v>
      </c>
      <c r="CJ86" t="e">
        <f>AND('BBP complete'!#REF!,"AAAAAH9/tFc=")</f>
        <v>#REF!</v>
      </c>
      <c r="CK86" s="60" t="e">
        <v>#VALUE!</v>
      </c>
      <c r="CL86" t="e">
        <f>AND('BBP complete'!B1147,"AAAAAH9/tFk=")</f>
        <v>#VALUE!</v>
      </c>
      <c r="CM86" t="e">
        <f>AND('BBP complete'!#REF!,"AAAAAH9/tFo=")</f>
        <v>#REF!</v>
      </c>
      <c r="CN86" t="e">
        <f>AND('BBP complete'!#REF!,"AAAAAH9/tFs=")</f>
        <v>#REF!</v>
      </c>
      <c r="CO86" t="e">
        <f>AND('BBP complete'!D1147,"AAAAAH9/tFw=")</f>
        <v>#VALUE!</v>
      </c>
      <c r="CP86" t="e">
        <f>AND('BBP complete'!H1146,"AAAAAH9/tF0=")</f>
        <v>#VALUE!</v>
      </c>
      <c r="CQ86" t="e">
        <f>AND('BBP complete'!I1145,"AAAAAH9/tF4=")</f>
        <v>#VALUE!</v>
      </c>
      <c r="CR86" t="e">
        <f>AND('BBP complete'!#REF!,"AAAAAH9/tF8=")</f>
        <v>#REF!</v>
      </c>
      <c r="CS86" t="e">
        <f>AND('BBP complete'!#REF!,"AAAAAH9/tGA=")</f>
        <v>#REF!</v>
      </c>
      <c r="CT86" t="e">
        <f>AND('BBP complete'!#REF!,"AAAAAH9/tGE=")</f>
        <v>#REF!</v>
      </c>
      <c r="CU86" t="e">
        <f>AND('BBP complete'!#REF!,"AAAAAH9/tGI=")</f>
        <v>#REF!</v>
      </c>
      <c r="CV86" t="e">
        <f>AND('BBP complete'!#REF!,"AAAAAH9/tGM=")</f>
        <v>#REF!</v>
      </c>
      <c r="CW86" t="e">
        <f>AND('BBP complete'!C1144,"AAAAAH9/tGQ=")</f>
        <v>#VALUE!</v>
      </c>
      <c r="CX86" t="e">
        <f>AND('BBP complete'!#REF!,"AAAAAH9/tGU=")</f>
        <v>#REF!</v>
      </c>
      <c r="CY86" t="e">
        <f>AND('BBP complete'!#REF!,"AAAAAH9/tGY=")</f>
        <v>#REF!</v>
      </c>
      <c r="CZ86" t="e">
        <f>AND('BBP complete'!#REF!,"AAAAAH9/tGc=")</f>
        <v>#REF!</v>
      </c>
      <c r="DA86" s="60" t="e">
        <v>#VALUE!</v>
      </c>
      <c r="DB86" t="e">
        <f>AND('BBP complete'!B1148,"AAAAAH9/tGk=")</f>
        <v>#VALUE!</v>
      </c>
      <c r="DC86" t="e">
        <f>AND('BBP complete'!#REF!,"AAAAAH9/tGo=")</f>
        <v>#REF!</v>
      </c>
      <c r="DD86" t="e">
        <f>AND('BBP complete'!#REF!,"AAAAAH9/tGs=")</f>
        <v>#REF!</v>
      </c>
      <c r="DE86" t="e">
        <f>AND('BBP complete'!D1148,"AAAAAH9/tGw=")</f>
        <v>#VALUE!</v>
      </c>
      <c r="DF86" t="e">
        <f>AND('BBP complete'!H1147,"AAAAAH9/tG0=")</f>
        <v>#VALUE!</v>
      </c>
      <c r="DG86" t="e">
        <f>AND('BBP complete'!I1146,"AAAAAH9/tG4=")</f>
        <v>#VALUE!</v>
      </c>
      <c r="DH86" t="e">
        <f>AND('BBP complete'!#REF!,"AAAAAH9/tG8=")</f>
        <v>#REF!</v>
      </c>
      <c r="DI86" t="e">
        <f>AND('BBP complete'!#REF!,"AAAAAH9/tHA=")</f>
        <v>#REF!</v>
      </c>
      <c r="DJ86" t="e">
        <f>AND('BBP complete'!#REF!,"AAAAAH9/tHE=")</f>
        <v>#REF!</v>
      </c>
      <c r="DK86" t="e">
        <f>AND('BBP complete'!#REF!,"AAAAAH9/tHI=")</f>
        <v>#REF!</v>
      </c>
      <c r="DL86" t="e">
        <f>AND('BBP complete'!#REF!,"AAAAAH9/tHM=")</f>
        <v>#REF!</v>
      </c>
      <c r="DM86" t="e">
        <f>AND('BBP complete'!C1145,"AAAAAH9/tHQ=")</f>
        <v>#VALUE!</v>
      </c>
      <c r="DN86" t="e">
        <f>AND('BBP complete'!#REF!,"AAAAAH9/tHU=")</f>
        <v>#REF!</v>
      </c>
      <c r="DO86" t="e">
        <f>AND('BBP complete'!#REF!,"AAAAAH9/tHY=")</f>
        <v>#REF!</v>
      </c>
      <c r="DP86" t="e">
        <f>AND('BBP complete'!#REF!,"AAAAAH9/tHc=")</f>
        <v>#REF!</v>
      </c>
      <c r="DQ86" s="60" t="e">
        <v>#VALUE!</v>
      </c>
      <c r="DR86" t="e">
        <f>AND('BBP complete'!B1149,"AAAAAH9/tHk=")</f>
        <v>#VALUE!</v>
      </c>
      <c r="DS86" t="e">
        <f>AND('BBP complete'!#REF!,"AAAAAH9/tHo=")</f>
        <v>#REF!</v>
      </c>
      <c r="DT86" t="e">
        <f>AND('BBP complete'!#REF!,"AAAAAH9/tHs=")</f>
        <v>#REF!</v>
      </c>
      <c r="DU86" t="e">
        <f>AND('BBP complete'!D1149,"AAAAAH9/tHw=")</f>
        <v>#VALUE!</v>
      </c>
      <c r="DV86" t="e">
        <f>AND('BBP complete'!H1148,"AAAAAH9/tH0=")</f>
        <v>#VALUE!</v>
      </c>
      <c r="DW86" t="e">
        <f>AND('BBP complete'!I1147,"AAAAAH9/tH4=")</f>
        <v>#VALUE!</v>
      </c>
      <c r="DX86" t="e">
        <f>AND('BBP complete'!#REF!,"AAAAAH9/tH8=")</f>
        <v>#REF!</v>
      </c>
      <c r="DY86" t="e">
        <f>AND('BBP complete'!#REF!,"AAAAAH9/tIA=")</f>
        <v>#REF!</v>
      </c>
      <c r="DZ86" t="e">
        <f>AND('BBP complete'!#REF!,"AAAAAH9/tIE=")</f>
        <v>#REF!</v>
      </c>
      <c r="EA86" t="e">
        <f>AND('BBP complete'!#REF!,"AAAAAH9/tII=")</f>
        <v>#REF!</v>
      </c>
      <c r="EB86" t="e">
        <f>AND('BBP complete'!#REF!,"AAAAAH9/tIM=")</f>
        <v>#REF!</v>
      </c>
      <c r="EC86" t="e">
        <f>AND('BBP complete'!C1146,"AAAAAH9/tIQ=")</f>
        <v>#VALUE!</v>
      </c>
      <c r="ED86" t="e">
        <f>AND('BBP complete'!#REF!,"AAAAAH9/tIU=")</f>
        <v>#REF!</v>
      </c>
      <c r="EE86" t="e">
        <f>AND('BBP complete'!#REF!,"AAAAAH9/tIY=")</f>
        <v>#REF!</v>
      </c>
      <c r="EF86" t="e">
        <f>AND('BBP complete'!#REF!,"AAAAAH9/tIc=")</f>
        <v>#REF!</v>
      </c>
      <c r="EG86" s="60" t="e">
        <v>#VALUE!</v>
      </c>
      <c r="EH86" t="e">
        <f>AND('BBP complete'!B1150,"AAAAAH9/tIk=")</f>
        <v>#VALUE!</v>
      </c>
      <c r="EI86" t="e">
        <f>AND('BBP complete'!#REF!,"AAAAAH9/tIo=")</f>
        <v>#REF!</v>
      </c>
      <c r="EJ86" t="e">
        <f>AND('BBP complete'!#REF!,"AAAAAH9/tIs=")</f>
        <v>#REF!</v>
      </c>
      <c r="EK86" t="e">
        <f>AND('BBP complete'!D1150,"AAAAAH9/tIw=")</f>
        <v>#VALUE!</v>
      </c>
      <c r="EL86" t="e">
        <f>AND('BBP complete'!H1149,"AAAAAH9/tI0=")</f>
        <v>#VALUE!</v>
      </c>
      <c r="EM86" t="e">
        <f>AND('BBP complete'!I1148,"AAAAAH9/tI4=")</f>
        <v>#VALUE!</v>
      </c>
      <c r="EN86" t="e">
        <f>AND('BBP complete'!#REF!,"AAAAAH9/tI8=")</f>
        <v>#REF!</v>
      </c>
      <c r="EO86" t="e">
        <f>AND('BBP complete'!#REF!,"AAAAAH9/tJA=")</f>
        <v>#REF!</v>
      </c>
      <c r="EP86" t="e">
        <f>AND('BBP complete'!#REF!,"AAAAAH9/tJE=")</f>
        <v>#REF!</v>
      </c>
      <c r="EQ86" t="e">
        <f>AND('BBP complete'!#REF!,"AAAAAH9/tJI=")</f>
        <v>#REF!</v>
      </c>
      <c r="ER86" t="e">
        <f>AND('BBP complete'!#REF!,"AAAAAH9/tJM=")</f>
        <v>#REF!</v>
      </c>
      <c r="ES86" t="e">
        <f>AND('BBP complete'!C1147,"AAAAAH9/tJQ=")</f>
        <v>#VALUE!</v>
      </c>
      <c r="ET86" t="e">
        <f>AND('BBP complete'!#REF!,"AAAAAH9/tJU=")</f>
        <v>#REF!</v>
      </c>
      <c r="EU86" t="e">
        <f>AND('BBP complete'!#REF!,"AAAAAH9/tJY=")</f>
        <v>#REF!</v>
      </c>
      <c r="EV86" t="e">
        <f>AND('BBP complete'!#REF!,"AAAAAH9/tJc=")</f>
        <v>#REF!</v>
      </c>
      <c r="EW86" s="60" t="e">
        <v>#VALUE!</v>
      </c>
      <c r="EX86" t="e">
        <f>AND('BBP complete'!B1151,"AAAAAH9/tJk=")</f>
        <v>#VALUE!</v>
      </c>
      <c r="EY86" t="e">
        <f>AND('BBP complete'!#REF!,"AAAAAH9/tJo=")</f>
        <v>#REF!</v>
      </c>
      <c r="EZ86" t="e">
        <f>AND('BBP complete'!#REF!,"AAAAAH9/tJs=")</f>
        <v>#REF!</v>
      </c>
      <c r="FA86" t="e">
        <f>AND('BBP complete'!D1151,"AAAAAH9/tJw=")</f>
        <v>#VALUE!</v>
      </c>
      <c r="FB86" t="e">
        <f>AND('BBP complete'!H1150,"AAAAAH9/tJ0=")</f>
        <v>#VALUE!</v>
      </c>
      <c r="FC86" t="e">
        <f>AND('BBP complete'!I1149,"AAAAAH9/tJ4=")</f>
        <v>#VALUE!</v>
      </c>
      <c r="FD86" t="e">
        <f>AND('BBP complete'!#REF!,"AAAAAH9/tJ8=")</f>
        <v>#REF!</v>
      </c>
      <c r="FE86" t="e">
        <f>AND('BBP complete'!#REF!,"AAAAAH9/tKA=")</f>
        <v>#REF!</v>
      </c>
      <c r="FF86" t="e">
        <f>AND('BBP complete'!#REF!,"AAAAAH9/tKE=")</f>
        <v>#REF!</v>
      </c>
      <c r="FG86" t="e">
        <f>AND('BBP complete'!#REF!,"AAAAAH9/tKI=")</f>
        <v>#REF!</v>
      </c>
      <c r="FH86" t="e">
        <f>AND('BBP complete'!#REF!,"AAAAAH9/tKM=")</f>
        <v>#REF!</v>
      </c>
      <c r="FI86" t="e">
        <f>AND('BBP complete'!C1148,"AAAAAH9/tKQ=")</f>
        <v>#VALUE!</v>
      </c>
      <c r="FJ86" t="e">
        <f>AND('BBP complete'!#REF!,"AAAAAH9/tKU=")</f>
        <v>#REF!</v>
      </c>
      <c r="FK86" t="e">
        <f>AND('BBP complete'!#REF!,"AAAAAH9/tKY=")</f>
        <v>#REF!</v>
      </c>
      <c r="FL86" t="e">
        <f>AND('BBP complete'!#REF!,"AAAAAH9/tKc=")</f>
        <v>#REF!</v>
      </c>
      <c r="FM86" s="60" t="e">
        <v>#VALUE!</v>
      </c>
      <c r="FN86" t="e">
        <f>AND('BBP complete'!B1152,"AAAAAH9/tKk=")</f>
        <v>#VALUE!</v>
      </c>
      <c r="FO86" t="e">
        <f>AND('BBP complete'!#REF!,"AAAAAH9/tKo=")</f>
        <v>#REF!</v>
      </c>
      <c r="FP86" t="e">
        <f>AND('BBP complete'!#REF!,"AAAAAH9/tKs=")</f>
        <v>#REF!</v>
      </c>
      <c r="FQ86" t="e">
        <f>AND('BBP complete'!D1152,"AAAAAH9/tKw=")</f>
        <v>#VALUE!</v>
      </c>
      <c r="FR86" t="e">
        <f>AND('BBP complete'!H1151,"AAAAAH9/tK0=")</f>
        <v>#VALUE!</v>
      </c>
      <c r="FS86" t="e">
        <f>AND('BBP complete'!I1150,"AAAAAH9/tK4=")</f>
        <v>#VALUE!</v>
      </c>
      <c r="FT86" t="e">
        <f>AND('BBP complete'!#REF!,"AAAAAH9/tK8=")</f>
        <v>#REF!</v>
      </c>
      <c r="FU86" t="e">
        <f>AND('BBP complete'!#REF!,"AAAAAH9/tLA=")</f>
        <v>#REF!</v>
      </c>
      <c r="FV86" t="e">
        <f>AND('BBP complete'!#REF!,"AAAAAH9/tLE=")</f>
        <v>#REF!</v>
      </c>
      <c r="FW86" t="e">
        <f>AND('BBP complete'!#REF!,"AAAAAH9/tLI=")</f>
        <v>#REF!</v>
      </c>
      <c r="FX86" t="e">
        <f>AND('BBP complete'!#REF!,"AAAAAH9/tLM=")</f>
        <v>#REF!</v>
      </c>
      <c r="FY86" t="e">
        <f>AND('BBP complete'!C1149,"AAAAAH9/tLQ=")</f>
        <v>#VALUE!</v>
      </c>
      <c r="FZ86" t="e">
        <f>AND('BBP complete'!#REF!,"AAAAAH9/tLU=")</f>
        <v>#REF!</v>
      </c>
      <c r="GA86" t="e">
        <f>AND('BBP complete'!#REF!,"AAAAAH9/tLY=")</f>
        <v>#REF!</v>
      </c>
      <c r="GB86" t="e">
        <f>AND('BBP complete'!#REF!,"AAAAAH9/tLc=")</f>
        <v>#REF!</v>
      </c>
      <c r="GC86" s="60" t="e">
        <v>#VALUE!</v>
      </c>
      <c r="GD86" t="e">
        <f>AND('BBP complete'!B1153,"AAAAAH9/tLk=")</f>
        <v>#VALUE!</v>
      </c>
      <c r="GE86" t="e">
        <f>AND('BBP complete'!#REF!,"AAAAAH9/tLo=")</f>
        <v>#REF!</v>
      </c>
      <c r="GF86" t="e">
        <f>AND('BBP complete'!#REF!,"AAAAAH9/tLs=")</f>
        <v>#REF!</v>
      </c>
      <c r="GG86" t="e">
        <f>AND('BBP complete'!D1153,"AAAAAH9/tLw=")</f>
        <v>#VALUE!</v>
      </c>
      <c r="GH86" t="e">
        <f>AND('BBP complete'!H1152,"AAAAAH9/tL0=")</f>
        <v>#VALUE!</v>
      </c>
      <c r="GI86" t="e">
        <f>AND('BBP complete'!I1151,"AAAAAH9/tL4=")</f>
        <v>#VALUE!</v>
      </c>
      <c r="GJ86" t="e">
        <f>AND('BBP complete'!#REF!,"AAAAAH9/tL8=")</f>
        <v>#REF!</v>
      </c>
      <c r="GK86" t="e">
        <f>AND('BBP complete'!#REF!,"AAAAAH9/tMA=")</f>
        <v>#REF!</v>
      </c>
      <c r="GL86" t="e">
        <f>AND('BBP complete'!#REF!,"AAAAAH9/tME=")</f>
        <v>#REF!</v>
      </c>
      <c r="GM86" t="e">
        <f>AND('BBP complete'!#REF!,"AAAAAH9/tMI=")</f>
        <v>#REF!</v>
      </c>
      <c r="GN86" t="e">
        <f>AND('BBP complete'!#REF!,"AAAAAH9/tMM=")</f>
        <v>#REF!</v>
      </c>
      <c r="GO86" t="e">
        <f>AND('BBP complete'!C1150,"AAAAAH9/tMQ=")</f>
        <v>#VALUE!</v>
      </c>
      <c r="GP86" t="e">
        <f>AND('BBP complete'!#REF!,"AAAAAH9/tMU=")</f>
        <v>#REF!</v>
      </c>
      <c r="GQ86" t="e">
        <f>AND('BBP complete'!#REF!,"AAAAAH9/tMY=")</f>
        <v>#REF!</v>
      </c>
      <c r="GR86" t="e">
        <f>AND('BBP complete'!#REF!,"AAAAAH9/tMc=")</f>
        <v>#REF!</v>
      </c>
      <c r="GS86" s="60" t="e">
        <v>#VALUE!</v>
      </c>
      <c r="GT86" t="e">
        <f>AND('BBP complete'!B1154,"AAAAAH9/tMk=")</f>
        <v>#VALUE!</v>
      </c>
      <c r="GU86" t="e">
        <f>AND('BBP complete'!#REF!,"AAAAAH9/tMo=")</f>
        <v>#REF!</v>
      </c>
      <c r="GV86" t="e">
        <f>AND('BBP complete'!#REF!,"AAAAAH9/tMs=")</f>
        <v>#REF!</v>
      </c>
      <c r="GW86" t="e">
        <f>AND('BBP complete'!D1154,"AAAAAH9/tMw=")</f>
        <v>#VALUE!</v>
      </c>
      <c r="GX86" t="e">
        <f>AND('BBP complete'!H1153,"AAAAAH9/tM0=")</f>
        <v>#VALUE!</v>
      </c>
      <c r="GY86" t="e">
        <f>AND('BBP complete'!I1152,"AAAAAH9/tM4=")</f>
        <v>#VALUE!</v>
      </c>
      <c r="GZ86" t="e">
        <f>AND('BBP complete'!#REF!,"AAAAAH9/tM8=")</f>
        <v>#REF!</v>
      </c>
      <c r="HA86" t="e">
        <f>AND('BBP complete'!#REF!,"AAAAAH9/tNA=")</f>
        <v>#REF!</v>
      </c>
      <c r="HB86" t="e">
        <f>AND('BBP complete'!#REF!,"AAAAAH9/tNE=")</f>
        <v>#REF!</v>
      </c>
      <c r="HC86" t="e">
        <f>AND('BBP complete'!#REF!,"AAAAAH9/tNI=")</f>
        <v>#REF!</v>
      </c>
      <c r="HD86" t="e">
        <f>AND('BBP complete'!#REF!,"AAAAAH9/tNM=")</f>
        <v>#REF!</v>
      </c>
      <c r="HE86" t="e">
        <f>AND('BBP complete'!C1151,"AAAAAH9/tNQ=")</f>
        <v>#VALUE!</v>
      </c>
      <c r="HF86" t="e">
        <f>AND('BBP complete'!#REF!,"AAAAAH9/tNU=")</f>
        <v>#REF!</v>
      </c>
      <c r="HG86" t="e">
        <f>AND('BBP complete'!#REF!,"AAAAAH9/tNY=")</f>
        <v>#REF!</v>
      </c>
      <c r="HH86" t="e">
        <f>AND('BBP complete'!#REF!,"AAAAAH9/tNc=")</f>
        <v>#REF!</v>
      </c>
      <c r="HI86" s="60" t="e">
        <v>#VALUE!</v>
      </c>
      <c r="HJ86" t="e">
        <f>AND('BBP complete'!B1155,"AAAAAH9/tNk=")</f>
        <v>#VALUE!</v>
      </c>
      <c r="HK86" t="e">
        <f>AND('BBP complete'!#REF!,"AAAAAH9/tNo=")</f>
        <v>#REF!</v>
      </c>
      <c r="HL86" t="e">
        <f>AND('BBP complete'!#REF!,"AAAAAH9/tNs=")</f>
        <v>#REF!</v>
      </c>
      <c r="HM86" t="e">
        <f>AND('BBP complete'!D1155,"AAAAAH9/tNw=")</f>
        <v>#VALUE!</v>
      </c>
      <c r="HN86" t="e">
        <f>AND('BBP complete'!H1154,"AAAAAH9/tN0=")</f>
        <v>#VALUE!</v>
      </c>
      <c r="HO86" t="e">
        <f>AND('BBP complete'!I1153,"AAAAAH9/tN4=")</f>
        <v>#VALUE!</v>
      </c>
      <c r="HP86" t="e">
        <f>AND('BBP complete'!#REF!,"AAAAAH9/tN8=")</f>
        <v>#REF!</v>
      </c>
      <c r="HQ86" t="e">
        <f>AND('BBP complete'!#REF!,"AAAAAH9/tOA=")</f>
        <v>#REF!</v>
      </c>
      <c r="HR86" t="e">
        <f>AND('BBP complete'!#REF!,"AAAAAH9/tOE=")</f>
        <v>#REF!</v>
      </c>
      <c r="HS86" t="e">
        <f>AND('BBP complete'!#REF!,"AAAAAH9/tOI=")</f>
        <v>#REF!</v>
      </c>
      <c r="HT86" t="e">
        <f>AND('BBP complete'!#REF!,"AAAAAH9/tOM=")</f>
        <v>#REF!</v>
      </c>
      <c r="HU86" t="e">
        <f>AND('BBP complete'!C1152,"AAAAAH9/tOQ=")</f>
        <v>#VALUE!</v>
      </c>
      <c r="HV86" t="e">
        <f>AND('BBP complete'!#REF!,"AAAAAH9/tOU=")</f>
        <v>#REF!</v>
      </c>
      <c r="HW86" t="e">
        <f>AND('BBP complete'!#REF!,"AAAAAH9/tOY=")</f>
        <v>#REF!</v>
      </c>
      <c r="HX86" t="e">
        <f>AND('BBP complete'!#REF!,"AAAAAH9/tOc=")</f>
        <v>#REF!</v>
      </c>
      <c r="HY86" s="60" t="e">
        <v>#VALUE!</v>
      </c>
      <c r="HZ86" t="e">
        <f>AND('BBP complete'!B1156,"AAAAAH9/tOk=")</f>
        <v>#VALUE!</v>
      </c>
      <c r="IA86" t="e">
        <f>AND('BBP complete'!#REF!,"AAAAAH9/tOo=")</f>
        <v>#REF!</v>
      </c>
      <c r="IB86" t="e">
        <f>AND('BBP complete'!#REF!,"AAAAAH9/tOs=")</f>
        <v>#REF!</v>
      </c>
      <c r="IC86" t="e">
        <f>AND('BBP complete'!D1156,"AAAAAH9/tOw=")</f>
        <v>#VALUE!</v>
      </c>
      <c r="ID86" t="e">
        <f>AND('BBP complete'!H1155,"AAAAAH9/tO0=")</f>
        <v>#VALUE!</v>
      </c>
      <c r="IE86" t="e">
        <f>AND('BBP complete'!I1154,"AAAAAH9/tO4=")</f>
        <v>#VALUE!</v>
      </c>
      <c r="IF86" t="e">
        <f>AND('BBP complete'!#REF!,"AAAAAH9/tO8=")</f>
        <v>#REF!</v>
      </c>
      <c r="IG86" t="e">
        <f>AND('BBP complete'!#REF!,"AAAAAH9/tPA=")</f>
        <v>#REF!</v>
      </c>
      <c r="IH86" t="e">
        <f>AND('BBP complete'!#REF!,"AAAAAH9/tPE=")</f>
        <v>#REF!</v>
      </c>
      <c r="II86" t="e">
        <f>AND('BBP complete'!#REF!,"AAAAAH9/tPI=")</f>
        <v>#REF!</v>
      </c>
      <c r="IJ86" t="e">
        <f>AND('BBP complete'!#REF!,"AAAAAH9/tPM=")</f>
        <v>#REF!</v>
      </c>
      <c r="IK86" t="e">
        <f>AND('BBP complete'!C1153,"AAAAAH9/tPQ=")</f>
        <v>#VALUE!</v>
      </c>
      <c r="IL86" t="e">
        <f>AND('BBP complete'!#REF!,"AAAAAH9/tPU=")</f>
        <v>#REF!</v>
      </c>
      <c r="IM86" t="e">
        <f>AND('BBP complete'!#REF!,"AAAAAH9/tPY=")</f>
        <v>#REF!</v>
      </c>
      <c r="IN86" t="e">
        <f>AND('BBP complete'!#REF!,"AAAAAH9/tPc=")</f>
        <v>#REF!</v>
      </c>
      <c r="IO86" s="60" t="e">
        <v>#VALUE!</v>
      </c>
      <c r="IP86" t="e">
        <f>AND('BBP complete'!B1157,"AAAAAH9/tPk=")</f>
        <v>#VALUE!</v>
      </c>
      <c r="IQ86" t="e">
        <f>AND('BBP complete'!#REF!,"AAAAAH9/tPo=")</f>
        <v>#REF!</v>
      </c>
      <c r="IR86" t="e">
        <f>AND('BBP complete'!#REF!,"AAAAAH9/tPs=")</f>
        <v>#REF!</v>
      </c>
      <c r="IS86" t="e">
        <f>AND('BBP complete'!D1157,"AAAAAH9/tPw=")</f>
        <v>#VALUE!</v>
      </c>
      <c r="IT86" t="e">
        <f>AND('BBP complete'!H1156,"AAAAAH9/tP0=")</f>
        <v>#VALUE!</v>
      </c>
      <c r="IU86" t="e">
        <f>AND('BBP complete'!I1155,"AAAAAH9/tP4=")</f>
        <v>#VALUE!</v>
      </c>
      <c r="IV86" t="e">
        <f>AND('BBP complete'!#REF!,"AAAAAH9/tP8=")</f>
        <v>#REF!</v>
      </c>
    </row>
    <row r="87" spans="1:256" ht="15" customHeight="1" x14ac:dyDescent="0.25">
      <c r="A87" t="e">
        <f>AND('BBP complete'!#REF!,"AAAAAHv92gA=")</f>
        <v>#REF!</v>
      </c>
      <c r="B87" t="e">
        <f>AND('BBP complete'!#REF!,"AAAAAHv92gE=")</f>
        <v>#REF!</v>
      </c>
      <c r="C87" t="e">
        <f>AND('BBP complete'!#REF!,"AAAAAHv92gI=")</f>
        <v>#REF!</v>
      </c>
      <c r="D87" t="e">
        <f>AND('BBP complete'!#REF!,"AAAAAHv92gM=")</f>
        <v>#REF!</v>
      </c>
      <c r="E87" t="e">
        <f>AND('BBP complete'!C1154,"AAAAAHv92gQ=")</f>
        <v>#VALUE!</v>
      </c>
      <c r="F87" t="e">
        <f>AND('BBP complete'!#REF!,"AAAAAHv92gU=")</f>
        <v>#REF!</v>
      </c>
      <c r="G87" t="e">
        <f>AND('BBP complete'!#REF!,"AAAAAHv92gY=")</f>
        <v>#REF!</v>
      </c>
      <c r="H87" t="e">
        <f>AND('BBP complete'!#REF!,"AAAAAHv92gc=")</f>
        <v>#REF!</v>
      </c>
      <c r="I87" s="60" t="e">
        <v>#VALUE!</v>
      </c>
      <c r="J87" t="e">
        <f>AND('BBP complete'!B1158,"AAAAAHv92gk=")</f>
        <v>#VALUE!</v>
      </c>
      <c r="K87" t="e">
        <f>AND('BBP complete'!#REF!,"AAAAAHv92go=")</f>
        <v>#REF!</v>
      </c>
      <c r="L87" t="e">
        <f>AND('BBP complete'!#REF!,"AAAAAHv92gs=")</f>
        <v>#REF!</v>
      </c>
      <c r="M87" t="e">
        <f>AND('BBP complete'!D1158,"AAAAAHv92gw=")</f>
        <v>#VALUE!</v>
      </c>
      <c r="N87" t="e">
        <f>AND('BBP complete'!H1157,"AAAAAHv92g0=")</f>
        <v>#VALUE!</v>
      </c>
      <c r="O87" t="e">
        <f>AND('BBP complete'!I1156,"AAAAAHv92g4=")</f>
        <v>#VALUE!</v>
      </c>
      <c r="P87" t="e">
        <f>AND('BBP complete'!#REF!,"AAAAAHv92g8=")</f>
        <v>#REF!</v>
      </c>
      <c r="Q87" t="e">
        <f>AND('BBP complete'!#REF!,"AAAAAHv92hA=")</f>
        <v>#REF!</v>
      </c>
      <c r="R87" t="e">
        <f>AND('BBP complete'!#REF!,"AAAAAHv92hE=")</f>
        <v>#REF!</v>
      </c>
      <c r="S87" t="e">
        <f>AND('BBP complete'!#REF!,"AAAAAHv92hI=")</f>
        <v>#REF!</v>
      </c>
      <c r="T87" t="e">
        <f>AND('BBP complete'!#REF!,"AAAAAHv92hM=")</f>
        <v>#REF!</v>
      </c>
      <c r="U87" t="e">
        <f>AND('BBP complete'!C1155,"AAAAAHv92hQ=")</f>
        <v>#VALUE!</v>
      </c>
      <c r="V87" t="e">
        <f>AND('BBP complete'!#REF!,"AAAAAHv92hU=")</f>
        <v>#REF!</v>
      </c>
      <c r="W87" t="e">
        <f>AND('BBP complete'!#REF!,"AAAAAHv92hY=")</f>
        <v>#REF!</v>
      </c>
      <c r="X87" t="e">
        <f>AND('BBP complete'!#REF!,"AAAAAHv92hc=")</f>
        <v>#REF!</v>
      </c>
      <c r="Y87" s="60" t="e">
        <v>#VALUE!</v>
      </c>
      <c r="Z87" t="e">
        <f>AND('BBP complete'!B1159,"AAAAAHv92hk=")</f>
        <v>#VALUE!</v>
      </c>
      <c r="AA87" t="e">
        <f>AND('BBP complete'!#REF!,"AAAAAHv92ho=")</f>
        <v>#REF!</v>
      </c>
      <c r="AB87" t="e">
        <f>AND('BBP complete'!#REF!,"AAAAAHv92hs=")</f>
        <v>#REF!</v>
      </c>
      <c r="AC87" t="e">
        <f>AND('BBP complete'!D1159,"AAAAAHv92hw=")</f>
        <v>#VALUE!</v>
      </c>
      <c r="AD87" t="e">
        <f>AND('BBP complete'!H1158,"AAAAAHv92h0=")</f>
        <v>#VALUE!</v>
      </c>
      <c r="AE87" t="e">
        <f>AND('BBP complete'!I1157,"AAAAAHv92h4=")</f>
        <v>#VALUE!</v>
      </c>
      <c r="AF87" t="e">
        <f>AND('BBP complete'!#REF!,"AAAAAHv92h8=")</f>
        <v>#REF!</v>
      </c>
      <c r="AG87" t="e">
        <f>AND('BBP complete'!#REF!,"AAAAAHv92iA=")</f>
        <v>#REF!</v>
      </c>
      <c r="AH87" t="e">
        <f>AND('BBP complete'!#REF!,"AAAAAHv92iE=")</f>
        <v>#REF!</v>
      </c>
      <c r="AI87" t="e">
        <f>AND('BBP complete'!#REF!,"AAAAAHv92iI=")</f>
        <v>#REF!</v>
      </c>
      <c r="AJ87" t="e">
        <f>AND('BBP complete'!#REF!,"AAAAAHv92iM=")</f>
        <v>#REF!</v>
      </c>
      <c r="AK87" t="e">
        <f>AND('BBP complete'!C1156,"AAAAAHv92iQ=")</f>
        <v>#VALUE!</v>
      </c>
      <c r="AL87" t="e">
        <f>AND('BBP complete'!#REF!,"AAAAAHv92iU=")</f>
        <v>#REF!</v>
      </c>
      <c r="AM87" t="e">
        <f>AND('BBP complete'!#REF!,"AAAAAHv92iY=")</f>
        <v>#REF!</v>
      </c>
      <c r="AN87" t="e">
        <f>AND('BBP complete'!#REF!,"AAAAAHv92ic=")</f>
        <v>#REF!</v>
      </c>
      <c r="AO87" s="60" t="e">
        <v>#VALUE!</v>
      </c>
      <c r="AP87" t="e">
        <f>AND('BBP complete'!B1160,"AAAAAHv92ik=")</f>
        <v>#VALUE!</v>
      </c>
      <c r="AQ87" t="e">
        <f>AND('BBP complete'!#REF!,"AAAAAHv92io=")</f>
        <v>#REF!</v>
      </c>
      <c r="AR87" t="e">
        <f>AND('BBP complete'!#REF!,"AAAAAHv92is=")</f>
        <v>#REF!</v>
      </c>
      <c r="AS87" t="e">
        <f>AND('BBP complete'!D1160,"AAAAAHv92iw=")</f>
        <v>#VALUE!</v>
      </c>
      <c r="AT87" t="e">
        <f>AND('BBP complete'!H1159,"AAAAAHv92i0=")</f>
        <v>#VALUE!</v>
      </c>
      <c r="AU87" t="e">
        <f>AND('BBP complete'!I1158,"AAAAAHv92i4=")</f>
        <v>#VALUE!</v>
      </c>
      <c r="AV87" t="e">
        <f>AND('BBP complete'!#REF!,"AAAAAHv92i8=")</f>
        <v>#REF!</v>
      </c>
      <c r="AW87" t="e">
        <f>AND('BBP complete'!#REF!,"AAAAAHv92jA=")</f>
        <v>#REF!</v>
      </c>
      <c r="AX87" t="e">
        <f>AND('BBP complete'!#REF!,"AAAAAHv92jE=")</f>
        <v>#REF!</v>
      </c>
      <c r="AY87" t="e">
        <f>AND('BBP complete'!#REF!,"AAAAAHv92jI=")</f>
        <v>#REF!</v>
      </c>
      <c r="AZ87" t="e">
        <f>AND('BBP complete'!#REF!,"AAAAAHv92jM=")</f>
        <v>#REF!</v>
      </c>
      <c r="BA87" t="e">
        <f>AND('BBP complete'!C1157,"AAAAAHv92jQ=")</f>
        <v>#VALUE!</v>
      </c>
      <c r="BB87" t="e">
        <f>AND('BBP complete'!#REF!,"AAAAAHv92jU=")</f>
        <v>#REF!</v>
      </c>
      <c r="BC87" t="e">
        <f>AND('BBP complete'!#REF!,"AAAAAHv92jY=")</f>
        <v>#REF!</v>
      </c>
      <c r="BD87" t="e">
        <f>AND('BBP complete'!#REF!,"AAAAAHv92jc=")</f>
        <v>#REF!</v>
      </c>
      <c r="BE87" s="60" t="e">
        <v>#VALUE!</v>
      </c>
      <c r="BF87" t="e">
        <f>AND('BBP complete'!B1161,"AAAAAHv92jk=")</f>
        <v>#VALUE!</v>
      </c>
      <c r="BG87" t="e">
        <f>AND('BBP complete'!#REF!,"AAAAAHv92jo=")</f>
        <v>#REF!</v>
      </c>
      <c r="BH87" t="e">
        <f>AND('BBP complete'!#REF!,"AAAAAHv92js=")</f>
        <v>#REF!</v>
      </c>
      <c r="BI87" t="e">
        <f>AND('BBP complete'!D1161,"AAAAAHv92jw=")</f>
        <v>#VALUE!</v>
      </c>
      <c r="BJ87" t="e">
        <f>AND('BBP complete'!H1160,"AAAAAHv92j0=")</f>
        <v>#VALUE!</v>
      </c>
      <c r="BK87" t="e">
        <f>AND('BBP complete'!I1159,"AAAAAHv92j4=")</f>
        <v>#VALUE!</v>
      </c>
      <c r="BL87" t="e">
        <f>AND('BBP complete'!#REF!,"AAAAAHv92j8=")</f>
        <v>#REF!</v>
      </c>
      <c r="BM87" t="e">
        <f>AND('BBP complete'!#REF!,"AAAAAHv92kA=")</f>
        <v>#REF!</v>
      </c>
      <c r="BN87" t="e">
        <f>AND('BBP complete'!#REF!,"AAAAAHv92kE=")</f>
        <v>#REF!</v>
      </c>
      <c r="BO87" t="e">
        <f>AND('BBP complete'!#REF!,"AAAAAHv92kI=")</f>
        <v>#REF!</v>
      </c>
      <c r="BP87" t="e">
        <f>AND('BBP complete'!#REF!,"AAAAAHv92kM=")</f>
        <v>#REF!</v>
      </c>
      <c r="BQ87" t="e">
        <f>AND('BBP complete'!C1158,"AAAAAHv92kQ=")</f>
        <v>#VALUE!</v>
      </c>
      <c r="BR87" t="e">
        <f>AND('BBP complete'!L1303,"AAAAAHv92kU=")</f>
        <v>#VALUE!</v>
      </c>
      <c r="BS87" t="e">
        <f>AND('BBP complete'!M1303,"AAAAAHv92kY=")</f>
        <v>#VALUE!</v>
      </c>
      <c r="BT87" t="e">
        <f>AND('BBP complete'!N1303,"AAAAAHv92kc=")</f>
        <v>#VALUE!</v>
      </c>
      <c r="BU87" s="60" t="e">
        <v>#VALUE!</v>
      </c>
      <c r="BV87" t="e">
        <f>AND('BBP complete'!B1162,"AAAAAHv92kk=")</f>
        <v>#VALUE!</v>
      </c>
      <c r="BW87" t="e">
        <f>AND('BBP complete'!#REF!,"AAAAAHv92ko=")</f>
        <v>#REF!</v>
      </c>
      <c r="BX87" t="e">
        <f>AND('BBP complete'!#REF!,"AAAAAHv92ks=")</f>
        <v>#REF!</v>
      </c>
      <c r="BY87" t="e">
        <f>AND('BBP complete'!D1162,"AAAAAHv92kw=")</f>
        <v>#VALUE!</v>
      </c>
      <c r="BZ87" t="e">
        <f>AND('BBP complete'!H1161,"AAAAAHv92k0=")</f>
        <v>#VALUE!</v>
      </c>
      <c r="CA87" t="e">
        <f>AND('BBP complete'!I1160,"AAAAAHv92k4=")</f>
        <v>#VALUE!</v>
      </c>
      <c r="CB87" t="e">
        <f>AND('BBP complete'!#REF!,"AAAAAHv92k8=")</f>
        <v>#REF!</v>
      </c>
      <c r="CC87" t="e">
        <f>AND('BBP complete'!#REF!,"AAAAAHv92lA=")</f>
        <v>#REF!</v>
      </c>
      <c r="CD87" t="e">
        <f>AND('BBP complete'!#REF!,"AAAAAHv92lE=")</f>
        <v>#REF!</v>
      </c>
      <c r="CE87" t="e">
        <f>AND('BBP complete'!#REF!,"AAAAAHv92lI=")</f>
        <v>#REF!</v>
      </c>
      <c r="CF87" t="e">
        <f>AND('BBP complete'!#REF!,"AAAAAHv92lM=")</f>
        <v>#REF!</v>
      </c>
      <c r="CG87" t="e">
        <f>AND('BBP complete'!C1159,"AAAAAHv92lQ=")</f>
        <v>#VALUE!</v>
      </c>
      <c r="CH87" t="e">
        <f>AND('BBP complete'!L1304,"AAAAAHv92lU=")</f>
        <v>#VALUE!</v>
      </c>
      <c r="CI87" t="e">
        <f>AND('BBP complete'!M1304,"AAAAAHv92lY=")</f>
        <v>#VALUE!</v>
      </c>
      <c r="CJ87" t="e">
        <f>AND('BBP complete'!N1304,"AAAAAHv92lc=")</f>
        <v>#VALUE!</v>
      </c>
      <c r="CK87" s="60" t="e">
        <v>#VALUE!</v>
      </c>
      <c r="CL87" t="e">
        <f>AND('BBP complete'!B1163,"AAAAAHv92lk=")</f>
        <v>#VALUE!</v>
      </c>
      <c r="CM87" t="e">
        <f>AND('BBP complete'!#REF!,"AAAAAHv92lo=")</f>
        <v>#REF!</v>
      </c>
      <c r="CN87" t="e">
        <f>AND('BBP complete'!#REF!,"AAAAAHv92ls=")</f>
        <v>#REF!</v>
      </c>
      <c r="CO87" t="e">
        <f>AND('BBP complete'!D1163,"AAAAAHv92lw=")</f>
        <v>#VALUE!</v>
      </c>
      <c r="CP87" t="e">
        <f>AND('BBP complete'!H1162,"AAAAAHv92l0=")</f>
        <v>#VALUE!</v>
      </c>
      <c r="CQ87" t="e">
        <f>AND('BBP complete'!I1161,"AAAAAHv92l4=")</f>
        <v>#VALUE!</v>
      </c>
      <c r="CR87" t="e">
        <f>AND('BBP complete'!#REF!,"AAAAAHv92l8=")</f>
        <v>#REF!</v>
      </c>
      <c r="CS87" t="e">
        <f>AND('BBP complete'!#REF!,"AAAAAHv92mA=")</f>
        <v>#REF!</v>
      </c>
      <c r="CT87" t="e">
        <f>AND('BBP complete'!#REF!,"AAAAAHv92mE=")</f>
        <v>#REF!</v>
      </c>
      <c r="CU87" t="e">
        <f>AND('BBP complete'!#REF!,"AAAAAHv92mI=")</f>
        <v>#REF!</v>
      </c>
      <c r="CV87" t="e">
        <f>AND('BBP complete'!#REF!,"AAAAAHv92mM=")</f>
        <v>#REF!</v>
      </c>
      <c r="CW87" t="e">
        <f>AND('BBP complete'!C1160,"AAAAAHv92mQ=")</f>
        <v>#VALUE!</v>
      </c>
      <c r="CX87" t="e">
        <f>AND('BBP complete'!L1305,"AAAAAHv92mU=")</f>
        <v>#VALUE!</v>
      </c>
      <c r="CY87" t="e">
        <f>AND('BBP complete'!M1305,"AAAAAHv92mY=")</f>
        <v>#VALUE!</v>
      </c>
      <c r="CZ87" t="e">
        <f>AND('BBP complete'!N1305,"AAAAAHv92mc=")</f>
        <v>#VALUE!</v>
      </c>
      <c r="DA87" s="60" t="e">
        <v>#VALUE!</v>
      </c>
      <c r="DB87" t="e">
        <f>AND('BBP complete'!B1164,"AAAAAHv92mk=")</f>
        <v>#VALUE!</v>
      </c>
      <c r="DC87" t="e">
        <f>AND('BBP complete'!#REF!,"AAAAAHv92mo=")</f>
        <v>#REF!</v>
      </c>
      <c r="DD87" t="e">
        <f>AND('BBP complete'!#REF!,"AAAAAHv92ms=")</f>
        <v>#REF!</v>
      </c>
      <c r="DE87" t="e">
        <f>AND('BBP complete'!D1164,"AAAAAHv92mw=")</f>
        <v>#VALUE!</v>
      </c>
      <c r="DF87" t="e">
        <f>AND('BBP complete'!H1163,"AAAAAHv92m0=")</f>
        <v>#VALUE!</v>
      </c>
      <c r="DG87" t="e">
        <f>AND('BBP complete'!I1162,"AAAAAHv92m4=")</f>
        <v>#VALUE!</v>
      </c>
      <c r="DH87" t="e">
        <f>AND('BBP complete'!#REF!,"AAAAAHv92m8=")</f>
        <v>#REF!</v>
      </c>
      <c r="DI87" t="e">
        <f>AND('BBP complete'!#REF!,"AAAAAHv92nA=")</f>
        <v>#REF!</v>
      </c>
      <c r="DJ87" t="e">
        <f>AND('BBP complete'!#REF!,"AAAAAHv92nE=")</f>
        <v>#REF!</v>
      </c>
      <c r="DK87" t="e">
        <f>AND('BBP complete'!#REF!,"AAAAAHv92nI=")</f>
        <v>#REF!</v>
      </c>
      <c r="DL87" t="e">
        <f>AND('BBP complete'!#REF!,"AAAAAHv92nM=")</f>
        <v>#REF!</v>
      </c>
      <c r="DM87" t="e">
        <f>AND('BBP complete'!C1161,"AAAAAHv92nQ=")</f>
        <v>#VALUE!</v>
      </c>
      <c r="DN87" t="e">
        <f>AND('BBP complete'!L1306,"AAAAAHv92nU=")</f>
        <v>#VALUE!</v>
      </c>
      <c r="DO87" t="e">
        <f>AND('BBP complete'!M1306,"AAAAAHv92nY=")</f>
        <v>#VALUE!</v>
      </c>
      <c r="DP87" t="e">
        <f>AND('BBP complete'!N1306,"AAAAAHv92nc=")</f>
        <v>#VALUE!</v>
      </c>
      <c r="DQ87" s="60" t="e">
        <v>#VALUE!</v>
      </c>
      <c r="DR87" t="e">
        <f>AND('BBP complete'!B1165,"AAAAAHv92nk=")</f>
        <v>#VALUE!</v>
      </c>
      <c r="DS87" t="e">
        <f>AND('BBP complete'!#REF!,"AAAAAHv92no=")</f>
        <v>#REF!</v>
      </c>
      <c r="DT87" t="e">
        <f>AND('BBP complete'!#REF!,"AAAAAHv92ns=")</f>
        <v>#REF!</v>
      </c>
      <c r="DU87" t="e">
        <f>AND('BBP complete'!D1165,"AAAAAHv92nw=")</f>
        <v>#VALUE!</v>
      </c>
      <c r="DV87" t="e">
        <f>AND('BBP complete'!H1164,"AAAAAHv92n0=")</f>
        <v>#VALUE!</v>
      </c>
      <c r="DW87" t="e">
        <f>AND('BBP complete'!I1163,"AAAAAHv92n4=")</f>
        <v>#VALUE!</v>
      </c>
      <c r="DX87" t="e">
        <f>AND('BBP complete'!#REF!,"AAAAAHv92n8=")</f>
        <v>#REF!</v>
      </c>
      <c r="DY87" t="e">
        <f>AND('BBP complete'!#REF!,"AAAAAHv92oA=")</f>
        <v>#REF!</v>
      </c>
      <c r="DZ87" t="e">
        <f>AND('BBP complete'!#REF!,"AAAAAHv92oE=")</f>
        <v>#REF!</v>
      </c>
      <c r="EA87" t="e">
        <f>AND('BBP complete'!#REF!,"AAAAAHv92oI=")</f>
        <v>#REF!</v>
      </c>
      <c r="EB87" t="e">
        <f>AND('BBP complete'!#REF!,"AAAAAHv92oM=")</f>
        <v>#REF!</v>
      </c>
      <c r="EC87" t="e">
        <f>AND('BBP complete'!C1162,"AAAAAHv92oQ=")</f>
        <v>#VALUE!</v>
      </c>
      <c r="ED87" t="e">
        <f>AND('BBP complete'!#REF!,"AAAAAHv92oU=")</f>
        <v>#REF!</v>
      </c>
      <c r="EE87" t="e">
        <f>AND('BBP complete'!#REF!,"AAAAAHv92oY=")</f>
        <v>#REF!</v>
      </c>
      <c r="EF87" t="e">
        <f>AND('BBP complete'!#REF!,"AAAAAHv92oc=")</f>
        <v>#REF!</v>
      </c>
      <c r="EG87" s="60" t="e">
        <v>#VALUE!</v>
      </c>
      <c r="EH87" t="e">
        <f>AND('BBP complete'!B1166,"AAAAAHv92ok=")</f>
        <v>#VALUE!</v>
      </c>
      <c r="EI87" t="e">
        <f>AND('BBP complete'!#REF!,"AAAAAHv92oo=")</f>
        <v>#REF!</v>
      </c>
      <c r="EJ87" t="e">
        <f>AND('BBP complete'!#REF!,"AAAAAHv92os=")</f>
        <v>#REF!</v>
      </c>
      <c r="EK87" t="e">
        <f>AND('BBP complete'!D1166,"AAAAAHv92ow=")</f>
        <v>#VALUE!</v>
      </c>
      <c r="EL87" t="e">
        <f>AND('BBP complete'!H1165,"AAAAAHv92o0=")</f>
        <v>#VALUE!</v>
      </c>
      <c r="EM87" t="e">
        <f>AND('BBP complete'!I1164,"AAAAAHv92o4=")</f>
        <v>#VALUE!</v>
      </c>
      <c r="EN87" t="e">
        <f>AND('BBP complete'!#REF!,"AAAAAHv92o8=")</f>
        <v>#REF!</v>
      </c>
      <c r="EO87" t="e">
        <f>AND('BBP complete'!#REF!,"AAAAAHv92pA=")</f>
        <v>#REF!</v>
      </c>
      <c r="EP87" t="e">
        <f>AND('BBP complete'!#REF!,"AAAAAHv92pE=")</f>
        <v>#REF!</v>
      </c>
      <c r="EQ87" t="e">
        <f>AND('BBP complete'!#REF!,"AAAAAHv92pI=")</f>
        <v>#REF!</v>
      </c>
      <c r="ER87" t="e">
        <f>AND('BBP complete'!#REF!,"AAAAAHv92pM=")</f>
        <v>#REF!</v>
      </c>
      <c r="ES87" t="e">
        <f>AND('BBP complete'!C1163,"AAAAAHv92pQ=")</f>
        <v>#VALUE!</v>
      </c>
      <c r="ET87" t="e">
        <f>AND('BBP complete'!#REF!,"AAAAAHv92pU=")</f>
        <v>#REF!</v>
      </c>
      <c r="EU87" t="e">
        <f>AND('BBP complete'!#REF!,"AAAAAHv92pY=")</f>
        <v>#REF!</v>
      </c>
      <c r="EV87" t="e">
        <f>AND('BBP complete'!#REF!,"AAAAAHv92pc=")</f>
        <v>#REF!</v>
      </c>
      <c r="EW87" s="60" t="e">
        <v>#VALUE!</v>
      </c>
      <c r="EX87" t="e">
        <f>AND('BBP complete'!B1167,"AAAAAHv92pk=")</f>
        <v>#VALUE!</v>
      </c>
      <c r="EY87" t="e">
        <f>AND('BBP complete'!#REF!,"AAAAAHv92po=")</f>
        <v>#REF!</v>
      </c>
      <c r="EZ87" t="e">
        <f>AND('BBP complete'!#REF!,"AAAAAHv92ps=")</f>
        <v>#REF!</v>
      </c>
      <c r="FA87" t="e">
        <f>AND('BBP complete'!D1167,"AAAAAHv92pw=")</f>
        <v>#VALUE!</v>
      </c>
      <c r="FB87" t="e">
        <f>AND('BBP complete'!H1166,"AAAAAHv92p0=")</f>
        <v>#VALUE!</v>
      </c>
      <c r="FC87" t="e">
        <f>AND('BBP complete'!I1165,"AAAAAHv92p4=")</f>
        <v>#VALUE!</v>
      </c>
      <c r="FD87" t="e">
        <f>AND('BBP complete'!#REF!,"AAAAAHv92p8=")</f>
        <v>#REF!</v>
      </c>
      <c r="FE87" t="e">
        <f>AND('BBP complete'!#REF!,"AAAAAHv92qA=")</f>
        <v>#REF!</v>
      </c>
      <c r="FF87" t="e">
        <f>AND('BBP complete'!#REF!,"AAAAAHv92qE=")</f>
        <v>#REF!</v>
      </c>
      <c r="FG87" t="e">
        <f>AND('BBP complete'!#REF!,"AAAAAHv92qI=")</f>
        <v>#REF!</v>
      </c>
      <c r="FH87" t="e">
        <f>AND('BBP complete'!#REF!,"AAAAAHv92qM=")</f>
        <v>#REF!</v>
      </c>
      <c r="FI87" t="e">
        <f>AND('BBP complete'!C1164,"AAAAAHv92qQ=")</f>
        <v>#VALUE!</v>
      </c>
      <c r="FJ87" t="e">
        <f>AND('BBP complete'!L1307,"AAAAAHv92qU=")</f>
        <v>#VALUE!</v>
      </c>
      <c r="FK87" t="e">
        <f>AND('BBP complete'!M1307,"AAAAAHv92qY=")</f>
        <v>#VALUE!</v>
      </c>
      <c r="FL87" t="e">
        <f>AND('BBP complete'!N1307,"AAAAAHv92qc=")</f>
        <v>#VALUE!</v>
      </c>
      <c r="FM87" s="60" t="e">
        <v>#VALUE!</v>
      </c>
      <c r="FN87" t="e">
        <f>AND('BBP complete'!B1168,"AAAAAHv92qk=")</f>
        <v>#VALUE!</v>
      </c>
      <c r="FO87" t="e">
        <f>AND('BBP complete'!#REF!,"AAAAAHv92qo=")</f>
        <v>#REF!</v>
      </c>
      <c r="FP87" t="e">
        <f>AND('BBP complete'!#REF!,"AAAAAHv92qs=")</f>
        <v>#REF!</v>
      </c>
      <c r="FQ87" t="e">
        <f>AND('BBP complete'!D1168,"AAAAAHv92qw=")</f>
        <v>#VALUE!</v>
      </c>
      <c r="FR87" t="e">
        <f>AND('BBP complete'!H1167,"AAAAAHv92q0=")</f>
        <v>#VALUE!</v>
      </c>
      <c r="FS87" t="e">
        <f>AND('BBP complete'!I1166,"AAAAAHv92q4=")</f>
        <v>#VALUE!</v>
      </c>
      <c r="FT87" t="e">
        <f>AND('BBP complete'!#REF!,"AAAAAHv92q8=")</f>
        <v>#REF!</v>
      </c>
      <c r="FU87" t="e">
        <f>AND('BBP complete'!#REF!,"AAAAAHv92rA=")</f>
        <v>#REF!</v>
      </c>
      <c r="FV87" t="e">
        <f>AND('BBP complete'!#REF!,"AAAAAHv92rE=")</f>
        <v>#REF!</v>
      </c>
      <c r="FW87" t="e">
        <f>AND('BBP complete'!#REF!,"AAAAAHv92rI=")</f>
        <v>#REF!</v>
      </c>
      <c r="FX87" t="e">
        <f>AND('BBP complete'!#REF!,"AAAAAHv92rM=")</f>
        <v>#REF!</v>
      </c>
      <c r="FY87" t="e">
        <f>AND('BBP complete'!C1165,"AAAAAHv92rQ=")</f>
        <v>#VALUE!</v>
      </c>
      <c r="FZ87" t="e">
        <f>AND('BBP complete'!L1308,"AAAAAHv92rU=")</f>
        <v>#VALUE!</v>
      </c>
      <c r="GA87" t="e">
        <f>AND('BBP complete'!M1308,"AAAAAHv92rY=")</f>
        <v>#VALUE!</v>
      </c>
      <c r="GB87" t="e">
        <f>AND('BBP complete'!N1308,"AAAAAHv92rc=")</f>
        <v>#VALUE!</v>
      </c>
      <c r="GC87" s="60" t="e">
        <v>#VALUE!</v>
      </c>
      <c r="GD87" t="e">
        <f>AND('BBP complete'!B1170,"AAAAAHv92rk=")</f>
        <v>#VALUE!</v>
      </c>
      <c r="GE87" t="e">
        <f>AND('BBP complete'!#REF!,"AAAAAHv92ro=")</f>
        <v>#REF!</v>
      </c>
      <c r="GF87" t="e">
        <f>AND('BBP complete'!#REF!,"AAAAAHv92rs=")</f>
        <v>#REF!</v>
      </c>
      <c r="GG87" t="e">
        <f>AND('BBP complete'!D1170,"AAAAAHv92rw=")</f>
        <v>#VALUE!</v>
      </c>
      <c r="GH87" t="e">
        <f>AND('BBP complete'!H1168,"AAAAAHv92r0=")</f>
        <v>#VALUE!</v>
      </c>
      <c r="GI87" t="e">
        <f>AND('BBP complete'!I1167,"AAAAAHv92r4=")</f>
        <v>#VALUE!</v>
      </c>
      <c r="GJ87" t="e">
        <f>AND('BBP complete'!#REF!,"AAAAAHv92r8=")</f>
        <v>#REF!</v>
      </c>
      <c r="GK87" t="e">
        <f>AND('BBP complete'!#REF!,"AAAAAHv92sA=")</f>
        <v>#REF!</v>
      </c>
      <c r="GL87" t="e">
        <f>AND('BBP complete'!#REF!,"AAAAAHv92sE=")</f>
        <v>#REF!</v>
      </c>
      <c r="GM87" t="e">
        <f>AND('BBP complete'!#REF!,"AAAAAHv92sI=")</f>
        <v>#REF!</v>
      </c>
      <c r="GN87" t="e">
        <f>AND('BBP complete'!#REF!,"AAAAAHv92sM=")</f>
        <v>#REF!</v>
      </c>
      <c r="GO87" t="e">
        <f>AND('BBP complete'!C1166,"AAAAAHv92sQ=")</f>
        <v>#VALUE!</v>
      </c>
      <c r="GP87" t="e">
        <f>AND('BBP complete'!L1309,"AAAAAHv92sU=")</f>
        <v>#VALUE!</v>
      </c>
      <c r="GQ87" t="e">
        <f>AND('BBP complete'!M1309,"AAAAAHv92sY=")</f>
        <v>#VALUE!</v>
      </c>
      <c r="GR87" t="e">
        <f>AND('BBP complete'!N1309,"AAAAAHv92sc=")</f>
        <v>#VALUE!</v>
      </c>
      <c r="GS87" s="60" t="e">
        <v>#VALUE!</v>
      </c>
      <c r="GT87" t="e">
        <f>AND('BBP complete'!B1171,"AAAAAHv92sk=")</f>
        <v>#VALUE!</v>
      </c>
      <c r="GU87" t="e">
        <f>AND('BBP complete'!#REF!,"AAAAAHv92so=")</f>
        <v>#REF!</v>
      </c>
      <c r="GV87" t="e">
        <f>AND('BBP complete'!#REF!,"AAAAAHv92ss=")</f>
        <v>#REF!</v>
      </c>
      <c r="GW87" t="e">
        <f>AND('BBP complete'!D1171,"AAAAAHv92sw=")</f>
        <v>#VALUE!</v>
      </c>
      <c r="GX87" t="e">
        <f>AND('BBP complete'!H1170,"AAAAAHv92s0=")</f>
        <v>#VALUE!</v>
      </c>
      <c r="GY87" t="e">
        <f>AND('BBP complete'!I1168,"AAAAAHv92s4=")</f>
        <v>#VALUE!</v>
      </c>
      <c r="GZ87" t="e">
        <f>AND('BBP complete'!#REF!,"AAAAAHv92s8=")</f>
        <v>#REF!</v>
      </c>
      <c r="HA87" t="e">
        <f>AND('BBP complete'!#REF!,"AAAAAHv92tA=")</f>
        <v>#REF!</v>
      </c>
      <c r="HB87" t="e">
        <f>AND('BBP complete'!#REF!,"AAAAAHv92tE=")</f>
        <v>#REF!</v>
      </c>
      <c r="HC87" t="e">
        <f>AND('BBP complete'!#REF!,"AAAAAHv92tI=")</f>
        <v>#REF!</v>
      </c>
      <c r="HD87" t="e">
        <f>AND('BBP complete'!#REF!,"AAAAAHv92tM=")</f>
        <v>#REF!</v>
      </c>
      <c r="HE87" t="e">
        <f>AND('BBP complete'!C1167,"AAAAAHv92tQ=")</f>
        <v>#VALUE!</v>
      </c>
      <c r="HF87" t="e">
        <f>AND('BBP complete'!L1310,"AAAAAHv92tU=")</f>
        <v>#VALUE!</v>
      </c>
      <c r="HG87" t="e">
        <f>AND('BBP complete'!M1310,"AAAAAHv92tY=")</f>
        <v>#VALUE!</v>
      </c>
      <c r="HH87" t="e">
        <f>AND('BBP complete'!N1310,"AAAAAHv92tc=")</f>
        <v>#VALUE!</v>
      </c>
      <c r="HI87" s="60" t="e">
        <v>#VALUE!</v>
      </c>
      <c r="HJ87" t="e">
        <f>AND('BBP complete'!B1172,"AAAAAHv92tk=")</f>
        <v>#VALUE!</v>
      </c>
      <c r="HK87" t="e">
        <f>AND('BBP complete'!#REF!,"AAAAAHv92to=")</f>
        <v>#REF!</v>
      </c>
      <c r="HL87" t="e">
        <f>AND('BBP complete'!#REF!,"AAAAAHv92ts=")</f>
        <v>#REF!</v>
      </c>
      <c r="HM87" t="e">
        <f>AND('BBP complete'!D1172,"AAAAAHv92tw=")</f>
        <v>#VALUE!</v>
      </c>
      <c r="HN87" t="e">
        <f>AND('BBP complete'!H1171,"AAAAAHv92t0=")</f>
        <v>#VALUE!</v>
      </c>
      <c r="HO87" t="e">
        <f>AND('BBP complete'!I1170,"AAAAAHv92t4=")</f>
        <v>#VALUE!</v>
      </c>
      <c r="HP87" t="e">
        <f>AND('BBP complete'!#REF!,"AAAAAHv92t8=")</f>
        <v>#REF!</v>
      </c>
      <c r="HQ87" t="e">
        <f>AND('BBP complete'!#REF!,"AAAAAHv92uA=")</f>
        <v>#REF!</v>
      </c>
      <c r="HR87" t="e">
        <f>AND('BBP complete'!#REF!,"AAAAAHv92uE=")</f>
        <v>#REF!</v>
      </c>
      <c r="HS87" t="e">
        <f>AND('BBP complete'!#REF!,"AAAAAHv92uI=")</f>
        <v>#REF!</v>
      </c>
      <c r="HT87" t="e">
        <f>AND('BBP complete'!#REF!,"AAAAAHv92uM=")</f>
        <v>#REF!</v>
      </c>
      <c r="HU87" t="e">
        <f>AND('BBP complete'!C1168,"AAAAAHv92uQ=")</f>
        <v>#VALUE!</v>
      </c>
      <c r="HV87" t="e">
        <f>AND('BBP complete'!L1311,"AAAAAHv92uU=")</f>
        <v>#VALUE!</v>
      </c>
      <c r="HW87" t="e">
        <f>AND('BBP complete'!M1311,"AAAAAHv92uY=")</f>
        <v>#VALUE!</v>
      </c>
      <c r="HX87" t="e">
        <f>AND('BBP complete'!N1311,"AAAAAHv92uc=")</f>
        <v>#VALUE!</v>
      </c>
      <c r="HY87" s="60" t="e">
        <v>#VALUE!</v>
      </c>
      <c r="HZ87" t="e">
        <f>AND('BBP complete'!B1173,"AAAAAHv92uk=")</f>
        <v>#VALUE!</v>
      </c>
      <c r="IA87" t="e">
        <f>AND('BBP complete'!#REF!,"AAAAAHv92uo=")</f>
        <v>#REF!</v>
      </c>
      <c r="IB87" t="e">
        <f>AND('BBP complete'!#REF!,"AAAAAHv92us=")</f>
        <v>#REF!</v>
      </c>
      <c r="IC87" t="e">
        <f>AND('BBP complete'!D1173,"AAAAAHv92uw=")</f>
        <v>#VALUE!</v>
      </c>
      <c r="ID87" t="e">
        <f>AND('BBP complete'!H1172,"AAAAAHv92u0=")</f>
        <v>#VALUE!</v>
      </c>
      <c r="IE87" t="e">
        <f>AND('BBP complete'!I1171,"AAAAAHv92u4=")</f>
        <v>#VALUE!</v>
      </c>
      <c r="IF87" t="e">
        <f>AND('BBP complete'!#REF!,"AAAAAHv92u8=")</f>
        <v>#REF!</v>
      </c>
      <c r="IG87" t="e">
        <f>AND('BBP complete'!#REF!,"AAAAAHv92vA=")</f>
        <v>#REF!</v>
      </c>
      <c r="IH87" t="e">
        <f>AND('BBP complete'!#REF!,"AAAAAHv92vE=")</f>
        <v>#REF!</v>
      </c>
      <c r="II87" t="e">
        <f>AND('BBP complete'!#REF!,"AAAAAHv92vI=")</f>
        <v>#REF!</v>
      </c>
      <c r="IJ87" t="e">
        <f>AND('BBP complete'!#REF!,"AAAAAHv92vM=")</f>
        <v>#REF!</v>
      </c>
      <c r="IK87" t="e">
        <f>AND('BBP complete'!C1170,"AAAAAHv92vQ=")</f>
        <v>#VALUE!</v>
      </c>
      <c r="IL87" t="e">
        <f>AND('BBP complete'!L1313,"AAAAAHv92vU=")</f>
        <v>#VALUE!</v>
      </c>
      <c r="IM87" t="e">
        <f>AND('BBP complete'!M1313,"AAAAAHv92vY=")</f>
        <v>#VALUE!</v>
      </c>
      <c r="IN87" t="e">
        <f>AND('BBP complete'!N1313,"AAAAAHv92vc=")</f>
        <v>#VALUE!</v>
      </c>
      <c r="IO87" s="60" t="e">
        <v>#VALUE!</v>
      </c>
      <c r="IP87" t="e">
        <f>AND('BBP complete'!B1174,"AAAAAHv92vk=")</f>
        <v>#VALUE!</v>
      </c>
      <c r="IQ87" t="e">
        <f>AND('BBP complete'!#REF!,"AAAAAHv92vo=")</f>
        <v>#REF!</v>
      </c>
      <c r="IR87" t="e">
        <f>AND('BBP complete'!#REF!,"AAAAAHv92vs=")</f>
        <v>#REF!</v>
      </c>
      <c r="IS87" t="e">
        <f>AND('BBP complete'!D1174,"AAAAAHv92vw=")</f>
        <v>#VALUE!</v>
      </c>
      <c r="IT87" t="e">
        <f>AND('BBP complete'!H1173,"AAAAAHv92v0=")</f>
        <v>#VALUE!</v>
      </c>
      <c r="IU87" t="e">
        <f>AND('BBP complete'!I1172,"AAAAAHv92v4=")</f>
        <v>#VALUE!</v>
      </c>
      <c r="IV87" t="e">
        <f>AND('BBP complete'!#REF!,"AAAAAHv92v8=")</f>
        <v>#REF!</v>
      </c>
    </row>
    <row r="88" spans="1:256" ht="15" customHeight="1" x14ac:dyDescent="0.25">
      <c r="A88" t="e">
        <f>AND('BBP complete'!#REF!,"AAAAAH36XwA=")</f>
        <v>#REF!</v>
      </c>
      <c r="B88" t="e">
        <f>AND('BBP complete'!#REF!,"AAAAAH36XwE=")</f>
        <v>#REF!</v>
      </c>
      <c r="C88" t="e">
        <f>AND('BBP complete'!#REF!,"AAAAAH36XwI=")</f>
        <v>#REF!</v>
      </c>
      <c r="D88" t="e">
        <f>AND('BBP complete'!#REF!,"AAAAAH36XwM=")</f>
        <v>#REF!</v>
      </c>
      <c r="E88" t="e">
        <f>AND('BBP complete'!C1171,"AAAAAH36XwQ=")</f>
        <v>#VALUE!</v>
      </c>
      <c r="F88" t="e">
        <f>AND('BBP complete'!L1314,"AAAAAH36XwU=")</f>
        <v>#VALUE!</v>
      </c>
      <c r="G88" t="e">
        <f>AND('BBP complete'!M1314,"AAAAAH36XwY=")</f>
        <v>#VALUE!</v>
      </c>
      <c r="H88" t="e">
        <f>AND('BBP complete'!N1314,"AAAAAH36Xwc=")</f>
        <v>#VALUE!</v>
      </c>
      <c r="I88" s="60" t="e">
        <v>#VALUE!</v>
      </c>
      <c r="J88" t="e">
        <f>AND('BBP complete'!B1175,"AAAAAH36Xwk=")</f>
        <v>#VALUE!</v>
      </c>
      <c r="K88" t="e">
        <f>AND('BBP complete'!#REF!,"AAAAAH36Xwo=")</f>
        <v>#REF!</v>
      </c>
      <c r="L88" t="e">
        <f>AND('BBP complete'!#REF!,"AAAAAH36Xws=")</f>
        <v>#REF!</v>
      </c>
      <c r="M88" t="e">
        <f>AND('BBP complete'!D1175,"AAAAAH36Xww=")</f>
        <v>#VALUE!</v>
      </c>
      <c r="N88" t="e">
        <f>AND('BBP complete'!H1174,"AAAAAH36Xw0=")</f>
        <v>#VALUE!</v>
      </c>
      <c r="O88" t="e">
        <f>AND('BBP complete'!I1173,"AAAAAH36Xw4=")</f>
        <v>#VALUE!</v>
      </c>
      <c r="P88" t="e">
        <f>AND('BBP complete'!#REF!,"AAAAAH36Xw8=")</f>
        <v>#REF!</v>
      </c>
      <c r="Q88" t="e">
        <f>AND('BBP complete'!#REF!,"AAAAAH36XxA=")</f>
        <v>#REF!</v>
      </c>
      <c r="R88" t="e">
        <f>AND('BBP complete'!#REF!,"AAAAAH36XxE=")</f>
        <v>#REF!</v>
      </c>
      <c r="S88" t="e">
        <f>AND('BBP complete'!#REF!,"AAAAAH36XxI=")</f>
        <v>#REF!</v>
      </c>
      <c r="T88" t="e">
        <f>AND('BBP complete'!#REF!,"AAAAAH36XxM=")</f>
        <v>#REF!</v>
      </c>
      <c r="U88" t="e">
        <f>AND('BBP complete'!C1172,"AAAAAH36XxQ=")</f>
        <v>#VALUE!</v>
      </c>
      <c r="V88" t="e">
        <f>AND('BBP complete'!L1315,"AAAAAH36XxU=")</f>
        <v>#VALUE!</v>
      </c>
      <c r="W88" t="e">
        <f>AND('BBP complete'!M1315,"AAAAAH36XxY=")</f>
        <v>#VALUE!</v>
      </c>
      <c r="X88" t="e">
        <f>AND('BBP complete'!N1315,"AAAAAH36Xxc=")</f>
        <v>#VALUE!</v>
      </c>
      <c r="Y88" s="60" t="e">
        <v>#VALUE!</v>
      </c>
      <c r="Z88" t="e">
        <f>AND('BBP complete'!B1176,"AAAAAH36Xxk=")</f>
        <v>#VALUE!</v>
      </c>
      <c r="AA88" t="e">
        <f>AND('BBP complete'!#REF!,"AAAAAH36Xxo=")</f>
        <v>#REF!</v>
      </c>
      <c r="AB88" t="e">
        <f>AND('BBP complete'!#REF!,"AAAAAH36Xxs=")</f>
        <v>#REF!</v>
      </c>
      <c r="AC88" t="e">
        <f>AND('BBP complete'!D1176,"AAAAAH36Xxw=")</f>
        <v>#VALUE!</v>
      </c>
      <c r="AD88" t="e">
        <f>AND('BBP complete'!H1175,"AAAAAH36Xx0=")</f>
        <v>#VALUE!</v>
      </c>
      <c r="AE88" t="e">
        <f>AND('BBP complete'!I1174,"AAAAAH36Xx4=")</f>
        <v>#VALUE!</v>
      </c>
      <c r="AF88" t="e">
        <f>AND('BBP complete'!#REF!,"AAAAAH36Xx8=")</f>
        <v>#REF!</v>
      </c>
      <c r="AG88" t="e">
        <f>AND('BBP complete'!#REF!,"AAAAAH36XyA=")</f>
        <v>#REF!</v>
      </c>
      <c r="AH88" t="e">
        <f>AND('BBP complete'!#REF!,"AAAAAH36XyE=")</f>
        <v>#REF!</v>
      </c>
      <c r="AI88" t="e">
        <f>AND('BBP complete'!#REF!,"AAAAAH36XyI=")</f>
        <v>#REF!</v>
      </c>
      <c r="AJ88" t="e">
        <f>AND('BBP complete'!#REF!,"AAAAAH36XyM=")</f>
        <v>#REF!</v>
      </c>
      <c r="AK88" t="e">
        <f>AND('BBP complete'!C1173,"AAAAAH36XyQ=")</f>
        <v>#VALUE!</v>
      </c>
      <c r="AL88" t="e">
        <f>AND('BBP complete'!L1316,"AAAAAH36XyU=")</f>
        <v>#VALUE!</v>
      </c>
      <c r="AM88" t="e">
        <f>AND('BBP complete'!M1316,"AAAAAH36XyY=")</f>
        <v>#VALUE!</v>
      </c>
      <c r="AN88" t="e">
        <f>AND('BBP complete'!N1316,"AAAAAH36Xyc=")</f>
        <v>#VALUE!</v>
      </c>
      <c r="AO88" s="60" t="e">
        <v>#VALUE!</v>
      </c>
      <c r="AP88" t="e">
        <f>AND('BBP complete'!B1177,"AAAAAH36Xyk=")</f>
        <v>#VALUE!</v>
      </c>
      <c r="AQ88" t="e">
        <f>AND('BBP complete'!#REF!,"AAAAAH36Xyo=")</f>
        <v>#REF!</v>
      </c>
      <c r="AR88" t="e">
        <f>AND('BBP complete'!#REF!,"AAAAAH36Xys=")</f>
        <v>#REF!</v>
      </c>
      <c r="AS88" t="e">
        <f>AND('BBP complete'!D1177,"AAAAAH36Xyw=")</f>
        <v>#VALUE!</v>
      </c>
      <c r="AT88" t="e">
        <f>AND('BBP complete'!H1176,"AAAAAH36Xy0=")</f>
        <v>#VALUE!</v>
      </c>
      <c r="AU88" t="e">
        <f>AND('BBP complete'!I1175,"AAAAAH36Xy4=")</f>
        <v>#VALUE!</v>
      </c>
      <c r="AV88" t="e">
        <f>AND('BBP complete'!#REF!,"AAAAAH36Xy8=")</f>
        <v>#REF!</v>
      </c>
      <c r="AW88" t="e">
        <f>AND('BBP complete'!#REF!,"AAAAAH36XzA=")</f>
        <v>#REF!</v>
      </c>
      <c r="AX88" t="e">
        <f>AND('BBP complete'!#REF!,"AAAAAH36XzE=")</f>
        <v>#REF!</v>
      </c>
      <c r="AY88" t="e">
        <f>AND('BBP complete'!#REF!,"AAAAAH36XzI=")</f>
        <v>#REF!</v>
      </c>
      <c r="AZ88" t="e">
        <f>AND('BBP complete'!#REF!,"AAAAAH36XzM=")</f>
        <v>#REF!</v>
      </c>
      <c r="BA88" t="e">
        <f>AND('BBP complete'!C1174,"AAAAAH36XzQ=")</f>
        <v>#VALUE!</v>
      </c>
      <c r="BB88" t="e">
        <f>AND('BBP complete'!L1317,"AAAAAH36XzU=")</f>
        <v>#VALUE!</v>
      </c>
      <c r="BC88" t="e">
        <f>AND('BBP complete'!M1317,"AAAAAH36XzY=")</f>
        <v>#VALUE!</v>
      </c>
      <c r="BD88" t="e">
        <f>AND('BBP complete'!N1317,"AAAAAH36Xzc=")</f>
        <v>#VALUE!</v>
      </c>
      <c r="BE88" s="60" t="e">
        <v>#VALUE!</v>
      </c>
      <c r="BF88" t="e">
        <f>AND('BBP complete'!B1178,"AAAAAH36Xzk=")</f>
        <v>#VALUE!</v>
      </c>
      <c r="BG88" t="e">
        <f>AND('BBP complete'!#REF!,"AAAAAH36Xzo=")</f>
        <v>#REF!</v>
      </c>
      <c r="BH88" t="e">
        <f>AND('BBP complete'!#REF!,"AAAAAH36Xzs=")</f>
        <v>#REF!</v>
      </c>
      <c r="BI88" t="e">
        <f>AND('BBP complete'!D1178,"AAAAAH36Xzw=")</f>
        <v>#VALUE!</v>
      </c>
      <c r="BJ88" t="e">
        <f>AND('BBP complete'!H1177,"AAAAAH36Xz0=")</f>
        <v>#VALUE!</v>
      </c>
      <c r="BK88" t="e">
        <f>AND('BBP complete'!I1176,"AAAAAH36Xz4=")</f>
        <v>#VALUE!</v>
      </c>
      <c r="BL88" t="e">
        <f>AND('BBP complete'!#REF!,"AAAAAH36Xz8=")</f>
        <v>#REF!</v>
      </c>
      <c r="BM88" t="e">
        <f>AND('BBP complete'!#REF!,"AAAAAH36X0A=")</f>
        <v>#REF!</v>
      </c>
      <c r="BN88" t="e">
        <f>AND('BBP complete'!#REF!,"AAAAAH36X0E=")</f>
        <v>#REF!</v>
      </c>
      <c r="BO88" t="e">
        <f>AND('BBP complete'!#REF!,"AAAAAH36X0I=")</f>
        <v>#REF!</v>
      </c>
      <c r="BP88" t="e">
        <f>AND('BBP complete'!#REF!,"AAAAAH36X0M=")</f>
        <v>#REF!</v>
      </c>
      <c r="BQ88" t="e">
        <f>AND('BBP complete'!C1175,"AAAAAH36X0Q=")</f>
        <v>#VALUE!</v>
      </c>
      <c r="BR88" t="e">
        <f>AND('BBP complete'!L1318,"AAAAAH36X0U=")</f>
        <v>#VALUE!</v>
      </c>
      <c r="BS88" t="e">
        <f>AND('BBP complete'!M1318,"AAAAAH36X0Y=")</f>
        <v>#VALUE!</v>
      </c>
      <c r="BT88" t="e">
        <f>AND('BBP complete'!N1318,"AAAAAH36X0c=")</f>
        <v>#VALUE!</v>
      </c>
      <c r="BU88" s="60" t="e">
        <v>#VALUE!</v>
      </c>
      <c r="BV88" t="e">
        <f>AND('BBP complete'!B1179,"AAAAAH36X0k=")</f>
        <v>#VALUE!</v>
      </c>
      <c r="BW88" t="e">
        <f>AND('BBP complete'!#REF!,"AAAAAH36X0o=")</f>
        <v>#REF!</v>
      </c>
      <c r="BX88" t="e">
        <f>AND('BBP complete'!#REF!,"AAAAAH36X0s=")</f>
        <v>#REF!</v>
      </c>
      <c r="BY88" t="e">
        <f>AND('BBP complete'!D1179,"AAAAAH36X0w=")</f>
        <v>#VALUE!</v>
      </c>
      <c r="BZ88" t="e">
        <f>AND('BBP complete'!H1178,"AAAAAH36X00=")</f>
        <v>#VALUE!</v>
      </c>
      <c r="CA88" t="e">
        <f>AND('BBP complete'!I1177,"AAAAAH36X04=")</f>
        <v>#VALUE!</v>
      </c>
      <c r="CB88" t="e">
        <f>AND('BBP complete'!#REF!,"AAAAAH36X08=")</f>
        <v>#REF!</v>
      </c>
      <c r="CC88" t="e">
        <f>AND('BBP complete'!#REF!,"AAAAAH36X1A=")</f>
        <v>#REF!</v>
      </c>
      <c r="CD88" t="e">
        <f>AND('BBP complete'!#REF!,"AAAAAH36X1E=")</f>
        <v>#REF!</v>
      </c>
      <c r="CE88" t="e">
        <f>AND('BBP complete'!#REF!,"AAAAAH36X1I=")</f>
        <v>#REF!</v>
      </c>
      <c r="CF88" t="e">
        <f>AND('BBP complete'!#REF!,"AAAAAH36X1M=")</f>
        <v>#REF!</v>
      </c>
      <c r="CG88" t="e">
        <f>AND('BBP complete'!C1176,"AAAAAH36X1Q=")</f>
        <v>#VALUE!</v>
      </c>
      <c r="CH88" t="e">
        <f>AND('BBP complete'!L1319,"AAAAAH36X1U=")</f>
        <v>#VALUE!</v>
      </c>
      <c r="CI88" t="e">
        <f>AND('BBP complete'!M1319,"AAAAAH36X1Y=")</f>
        <v>#VALUE!</v>
      </c>
      <c r="CJ88" t="e">
        <f>AND('BBP complete'!N1319,"AAAAAH36X1c=")</f>
        <v>#VALUE!</v>
      </c>
      <c r="CK88" s="60" t="e">
        <v>#VALUE!</v>
      </c>
      <c r="CL88" t="e">
        <f>AND('BBP complete'!B1180,"AAAAAH36X1k=")</f>
        <v>#VALUE!</v>
      </c>
      <c r="CM88" t="e">
        <f>AND('BBP complete'!#REF!,"AAAAAH36X1o=")</f>
        <v>#REF!</v>
      </c>
      <c r="CN88" t="e">
        <f>AND('BBP complete'!#REF!,"AAAAAH36X1s=")</f>
        <v>#REF!</v>
      </c>
      <c r="CO88" t="e">
        <f>AND('BBP complete'!D1180,"AAAAAH36X1w=")</f>
        <v>#VALUE!</v>
      </c>
      <c r="CP88" t="e">
        <f>AND('BBP complete'!H1179,"AAAAAH36X10=")</f>
        <v>#VALUE!</v>
      </c>
      <c r="CQ88" t="e">
        <f>AND('BBP complete'!I1178,"AAAAAH36X14=")</f>
        <v>#VALUE!</v>
      </c>
      <c r="CR88" t="e">
        <f>AND('BBP complete'!#REF!,"AAAAAH36X18=")</f>
        <v>#REF!</v>
      </c>
      <c r="CS88" t="e">
        <f>AND('BBP complete'!#REF!,"AAAAAH36X2A=")</f>
        <v>#REF!</v>
      </c>
      <c r="CT88" t="e">
        <f>AND('BBP complete'!#REF!,"AAAAAH36X2E=")</f>
        <v>#REF!</v>
      </c>
      <c r="CU88" t="e">
        <f>AND('BBP complete'!#REF!,"AAAAAH36X2I=")</f>
        <v>#REF!</v>
      </c>
      <c r="CV88" t="e">
        <f>AND('BBP complete'!#REF!,"AAAAAH36X2M=")</f>
        <v>#REF!</v>
      </c>
      <c r="CW88" t="e">
        <f>AND('BBP complete'!C1177,"AAAAAH36X2Q=")</f>
        <v>#VALUE!</v>
      </c>
      <c r="CX88" t="e">
        <f>AND('BBP complete'!L1320,"AAAAAH36X2U=")</f>
        <v>#VALUE!</v>
      </c>
      <c r="CY88" t="e">
        <f>AND('BBP complete'!M1320,"AAAAAH36X2Y=")</f>
        <v>#VALUE!</v>
      </c>
      <c r="CZ88" t="e">
        <f>AND('BBP complete'!N1320,"AAAAAH36X2c=")</f>
        <v>#VALUE!</v>
      </c>
      <c r="DA88" s="60" t="e">
        <v>#VALUE!</v>
      </c>
      <c r="DB88" t="e">
        <f>AND('BBP complete'!B1181,"AAAAAH36X2k=")</f>
        <v>#VALUE!</v>
      </c>
      <c r="DC88" t="e">
        <f>AND('BBP complete'!#REF!,"AAAAAH36X2o=")</f>
        <v>#REF!</v>
      </c>
      <c r="DD88" t="e">
        <f>AND('BBP complete'!#REF!,"AAAAAH36X2s=")</f>
        <v>#REF!</v>
      </c>
      <c r="DE88" t="e">
        <f>AND('BBP complete'!D1181,"AAAAAH36X2w=")</f>
        <v>#VALUE!</v>
      </c>
      <c r="DF88" t="e">
        <f>AND('BBP complete'!H1180,"AAAAAH36X20=")</f>
        <v>#VALUE!</v>
      </c>
      <c r="DG88" t="e">
        <f>AND('BBP complete'!I1179,"AAAAAH36X24=")</f>
        <v>#VALUE!</v>
      </c>
      <c r="DH88" t="e">
        <f>AND('BBP complete'!#REF!,"AAAAAH36X28=")</f>
        <v>#REF!</v>
      </c>
      <c r="DI88" t="e">
        <f>AND('BBP complete'!#REF!,"AAAAAH36X3A=")</f>
        <v>#REF!</v>
      </c>
      <c r="DJ88" t="e">
        <f>AND('BBP complete'!#REF!,"AAAAAH36X3E=")</f>
        <v>#REF!</v>
      </c>
      <c r="DK88" t="e">
        <f>AND('BBP complete'!#REF!,"AAAAAH36X3I=")</f>
        <v>#REF!</v>
      </c>
      <c r="DL88" t="e">
        <f>AND('BBP complete'!#REF!,"AAAAAH36X3M=")</f>
        <v>#REF!</v>
      </c>
      <c r="DM88" t="e">
        <f>AND('BBP complete'!C1178,"AAAAAH36X3Q=")</f>
        <v>#VALUE!</v>
      </c>
      <c r="DN88" t="e">
        <f>AND('BBP complete'!L1321,"AAAAAH36X3U=")</f>
        <v>#VALUE!</v>
      </c>
      <c r="DO88" t="e">
        <f>AND('BBP complete'!M1321,"AAAAAH36X3Y=")</f>
        <v>#VALUE!</v>
      </c>
      <c r="DP88" t="e">
        <f>AND('BBP complete'!N1321,"AAAAAH36X3c=")</f>
        <v>#VALUE!</v>
      </c>
      <c r="DQ88" s="60" t="e">
        <v>#VALUE!</v>
      </c>
      <c r="DR88" t="e">
        <f>AND('BBP complete'!B1182,"AAAAAH36X3k=")</f>
        <v>#VALUE!</v>
      </c>
      <c r="DS88" t="e">
        <f>AND('BBP complete'!#REF!,"AAAAAH36X3o=")</f>
        <v>#REF!</v>
      </c>
      <c r="DT88" t="e">
        <f>AND('BBP complete'!#REF!,"AAAAAH36X3s=")</f>
        <v>#REF!</v>
      </c>
      <c r="DU88" t="e">
        <f>AND('BBP complete'!D1182,"AAAAAH36X3w=")</f>
        <v>#VALUE!</v>
      </c>
      <c r="DV88" t="e">
        <f>AND('BBP complete'!H1181,"AAAAAH36X30=")</f>
        <v>#VALUE!</v>
      </c>
      <c r="DW88" t="e">
        <f>AND('BBP complete'!I1180,"AAAAAH36X34=")</f>
        <v>#VALUE!</v>
      </c>
      <c r="DX88" t="e">
        <f>AND('BBP complete'!#REF!,"AAAAAH36X38=")</f>
        <v>#REF!</v>
      </c>
      <c r="DY88" t="e">
        <f>AND('BBP complete'!#REF!,"AAAAAH36X4A=")</f>
        <v>#REF!</v>
      </c>
      <c r="DZ88" t="e">
        <f>AND('BBP complete'!#REF!,"AAAAAH36X4E=")</f>
        <v>#REF!</v>
      </c>
      <c r="EA88" t="e">
        <f>AND('BBP complete'!#REF!,"AAAAAH36X4I=")</f>
        <v>#REF!</v>
      </c>
      <c r="EB88" t="e">
        <f>AND('BBP complete'!#REF!,"AAAAAH36X4M=")</f>
        <v>#REF!</v>
      </c>
      <c r="EC88" t="e">
        <f>AND('BBP complete'!C1179,"AAAAAH36X4Q=")</f>
        <v>#VALUE!</v>
      </c>
      <c r="ED88" t="e">
        <f>AND('BBP complete'!L1322,"AAAAAH36X4U=")</f>
        <v>#VALUE!</v>
      </c>
      <c r="EE88" t="e">
        <f>AND('BBP complete'!M1322,"AAAAAH36X4Y=")</f>
        <v>#VALUE!</v>
      </c>
      <c r="EF88" t="e">
        <f>AND('BBP complete'!N1322,"AAAAAH36X4c=")</f>
        <v>#VALUE!</v>
      </c>
      <c r="EG88" s="60" t="e">
        <v>#VALUE!</v>
      </c>
      <c r="EH88" t="e">
        <f>AND('BBP complete'!B1183,"AAAAAH36X4k=")</f>
        <v>#VALUE!</v>
      </c>
      <c r="EI88" t="e">
        <f>AND('BBP complete'!#REF!,"AAAAAH36X4o=")</f>
        <v>#REF!</v>
      </c>
      <c r="EJ88" t="e">
        <f>AND('BBP complete'!#REF!,"AAAAAH36X4s=")</f>
        <v>#REF!</v>
      </c>
      <c r="EK88" t="e">
        <f>AND('BBP complete'!D1183,"AAAAAH36X4w=")</f>
        <v>#VALUE!</v>
      </c>
      <c r="EL88" t="e">
        <f>AND('BBP complete'!H1182,"AAAAAH36X40=")</f>
        <v>#VALUE!</v>
      </c>
      <c r="EM88" t="e">
        <f>AND('BBP complete'!I1181,"AAAAAH36X44=")</f>
        <v>#VALUE!</v>
      </c>
      <c r="EN88" t="e">
        <f>AND('BBP complete'!#REF!,"AAAAAH36X48=")</f>
        <v>#REF!</v>
      </c>
      <c r="EO88" t="e">
        <f>AND('BBP complete'!#REF!,"AAAAAH36X5A=")</f>
        <v>#REF!</v>
      </c>
      <c r="EP88" t="e">
        <f>AND('BBP complete'!#REF!,"AAAAAH36X5E=")</f>
        <v>#REF!</v>
      </c>
      <c r="EQ88" t="e">
        <f>AND('BBP complete'!#REF!,"AAAAAH36X5I=")</f>
        <v>#REF!</v>
      </c>
      <c r="ER88" t="e">
        <f>AND('BBP complete'!#REF!,"AAAAAH36X5M=")</f>
        <v>#REF!</v>
      </c>
      <c r="ES88" t="e">
        <f>AND('BBP complete'!C1180,"AAAAAH36X5Q=")</f>
        <v>#VALUE!</v>
      </c>
      <c r="ET88" t="e">
        <f>AND('BBP complete'!L1323,"AAAAAH36X5U=")</f>
        <v>#VALUE!</v>
      </c>
      <c r="EU88" t="e">
        <f>AND('BBP complete'!M1323,"AAAAAH36X5Y=")</f>
        <v>#VALUE!</v>
      </c>
      <c r="EV88" t="e">
        <f>AND('BBP complete'!N1323,"AAAAAH36X5c=")</f>
        <v>#VALUE!</v>
      </c>
      <c r="EW88" s="60" t="e">
        <v>#VALUE!</v>
      </c>
      <c r="EX88" t="e">
        <f>AND('BBP complete'!B1184,"AAAAAH36X5k=")</f>
        <v>#VALUE!</v>
      </c>
      <c r="EY88" t="e">
        <f>AND('BBP complete'!#REF!,"AAAAAH36X5o=")</f>
        <v>#REF!</v>
      </c>
      <c r="EZ88" t="e">
        <f>AND('BBP complete'!#REF!,"AAAAAH36X5s=")</f>
        <v>#REF!</v>
      </c>
      <c r="FA88" t="e">
        <f>AND('BBP complete'!D1184,"AAAAAH36X5w=")</f>
        <v>#VALUE!</v>
      </c>
      <c r="FB88" t="e">
        <f>AND('BBP complete'!H1183,"AAAAAH36X50=")</f>
        <v>#VALUE!</v>
      </c>
      <c r="FC88" t="e">
        <f>AND('BBP complete'!I1182,"AAAAAH36X54=")</f>
        <v>#VALUE!</v>
      </c>
      <c r="FD88" t="e">
        <f>AND('BBP complete'!#REF!,"AAAAAH36X58=")</f>
        <v>#REF!</v>
      </c>
      <c r="FE88" t="e">
        <f>AND('BBP complete'!#REF!,"AAAAAH36X6A=")</f>
        <v>#REF!</v>
      </c>
      <c r="FF88" t="e">
        <f>AND('BBP complete'!#REF!,"AAAAAH36X6E=")</f>
        <v>#REF!</v>
      </c>
      <c r="FG88" t="e">
        <f>AND('BBP complete'!#REF!,"AAAAAH36X6I=")</f>
        <v>#REF!</v>
      </c>
      <c r="FH88" t="e">
        <f>AND('BBP complete'!#REF!,"AAAAAH36X6M=")</f>
        <v>#REF!</v>
      </c>
      <c r="FI88" t="e">
        <f>AND('BBP complete'!C1181,"AAAAAH36X6Q=")</f>
        <v>#VALUE!</v>
      </c>
      <c r="FJ88" t="e">
        <f>AND('BBP complete'!L1324,"AAAAAH36X6U=")</f>
        <v>#VALUE!</v>
      </c>
      <c r="FK88" t="e">
        <f>AND('BBP complete'!M1324,"AAAAAH36X6Y=")</f>
        <v>#VALUE!</v>
      </c>
      <c r="FL88" t="e">
        <f>AND('BBP complete'!N1324,"AAAAAH36X6c=")</f>
        <v>#VALUE!</v>
      </c>
      <c r="FM88" s="60" t="e">
        <v>#VALUE!</v>
      </c>
      <c r="FN88" t="e">
        <f>AND('BBP complete'!B1185,"AAAAAH36X6k=")</f>
        <v>#VALUE!</v>
      </c>
      <c r="FO88" t="e">
        <f>AND('BBP complete'!#REF!,"AAAAAH36X6o=")</f>
        <v>#REF!</v>
      </c>
      <c r="FP88" t="e">
        <f>AND('BBP complete'!#REF!,"AAAAAH36X6s=")</f>
        <v>#REF!</v>
      </c>
      <c r="FQ88" t="e">
        <f>AND('BBP complete'!D1185,"AAAAAH36X6w=")</f>
        <v>#VALUE!</v>
      </c>
      <c r="FR88" t="e">
        <f>AND('BBP complete'!H1184,"AAAAAH36X60=")</f>
        <v>#VALUE!</v>
      </c>
      <c r="FS88" t="e">
        <f>AND('BBP complete'!I1183,"AAAAAH36X64=")</f>
        <v>#VALUE!</v>
      </c>
      <c r="FT88" t="e">
        <f>AND('BBP complete'!#REF!,"AAAAAH36X68=")</f>
        <v>#REF!</v>
      </c>
      <c r="FU88" t="e">
        <f>AND('BBP complete'!#REF!,"AAAAAH36X7A=")</f>
        <v>#REF!</v>
      </c>
      <c r="FV88" t="e">
        <f>AND('BBP complete'!#REF!,"AAAAAH36X7E=")</f>
        <v>#REF!</v>
      </c>
      <c r="FW88" t="e">
        <f>AND('BBP complete'!#REF!,"AAAAAH36X7I=")</f>
        <v>#REF!</v>
      </c>
      <c r="FX88" t="e">
        <f>AND('BBP complete'!#REF!,"AAAAAH36X7M=")</f>
        <v>#REF!</v>
      </c>
      <c r="FY88" t="e">
        <f>AND('BBP complete'!C1182,"AAAAAH36X7Q=")</f>
        <v>#VALUE!</v>
      </c>
      <c r="FZ88" t="e">
        <f>AND('BBP complete'!L1325,"AAAAAH36X7U=")</f>
        <v>#VALUE!</v>
      </c>
      <c r="GA88" t="e">
        <f>AND('BBP complete'!M1325,"AAAAAH36X7Y=")</f>
        <v>#VALUE!</v>
      </c>
      <c r="GB88" t="e">
        <f>AND('BBP complete'!N1325,"AAAAAH36X7c=")</f>
        <v>#VALUE!</v>
      </c>
      <c r="GC88" s="60" t="e">
        <v>#VALUE!</v>
      </c>
      <c r="GD88" t="e">
        <f>AND('BBP complete'!B1186,"AAAAAH36X7k=")</f>
        <v>#VALUE!</v>
      </c>
      <c r="GE88" t="e">
        <f>AND('BBP complete'!#REF!,"AAAAAH36X7o=")</f>
        <v>#REF!</v>
      </c>
      <c r="GF88" t="e">
        <f>AND('BBP complete'!#REF!,"AAAAAH36X7s=")</f>
        <v>#REF!</v>
      </c>
      <c r="GG88" t="e">
        <f>AND('BBP complete'!D1186,"AAAAAH36X7w=")</f>
        <v>#VALUE!</v>
      </c>
      <c r="GH88" t="e">
        <f>AND('BBP complete'!H1185,"AAAAAH36X70=")</f>
        <v>#VALUE!</v>
      </c>
      <c r="GI88" t="e">
        <f>AND('BBP complete'!I1184,"AAAAAH36X74=")</f>
        <v>#VALUE!</v>
      </c>
      <c r="GJ88" t="e">
        <f>AND('BBP complete'!#REF!,"AAAAAH36X78=")</f>
        <v>#REF!</v>
      </c>
      <c r="GK88" t="e">
        <f>AND('BBP complete'!#REF!,"AAAAAH36X8A=")</f>
        <v>#REF!</v>
      </c>
      <c r="GL88" t="e">
        <f>AND('BBP complete'!#REF!,"AAAAAH36X8E=")</f>
        <v>#REF!</v>
      </c>
      <c r="GM88" t="e">
        <f>AND('BBP complete'!#REF!,"AAAAAH36X8I=")</f>
        <v>#REF!</v>
      </c>
      <c r="GN88" t="e">
        <f>AND('BBP complete'!#REF!,"AAAAAH36X8M=")</f>
        <v>#REF!</v>
      </c>
      <c r="GO88" t="e">
        <f>AND('BBP complete'!C1183,"AAAAAH36X8Q=")</f>
        <v>#VALUE!</v>
      </c>
      <c r="GP88" t="e">
        <f>AND('BBP complete'!L1326,"AAAAAH36X8U=")</f>
        <v>#VALUE!</v>
      </c>
      <c r="GQ88" t="e">
        <f>AND('BBP complete'!M1326,"AAAAAH36X8Y=")</f>
        <v>#VALUE!</v>
      </c>
      <c r="GR88" t="e">
        <f>AND('BBP complete'!N1326,"AAAAAH36X8c=")</f>
        <v>#VALUE!</v>
      </c>
      <c r="GS88" s="60" t="e">
        <v>#VALUE!</v>
      </c>
      <c r="GT88" t="e">
        <f>AND('BBP complete'!B1187,"AAAAAH36X8k=")</f>
        <v>#VALUE!</v>
      </c>
      <c r="GU88" t="e">
        <f>AND('BBP complete'!#REF!,"AAAAAH36X8o=")</f>
        <v>#REF!</v>
      </c>
      <c r="GV88" t="e">
        <f>AND('BBP complete'!#REF!,"AAAAAH36X8s=")</f>
        <v>#REF!</v>
      </c>
      <c r="GW88" t="e">
        <f>AND('BBP complete'!D1187,"AAAAAH36X8w=")</f>
        <v>#VALUE!</v>
      </c>
      <c r="GX88" t="e">
        <f>AND('BBP complete'!H1186,"AAAAAH36X80=")</f>
        <v>#VALUE!</v>
      </c>
      <c r="GY88" t="e">
        <f>AND('BBP complete'!I1185,"AAAAAH36X84=")</f>
        <v>#VALUE!</v>
      </c>
      <c r="GZ88" t="e">
        <f>AND('BBP complete'!#REF!,"AAAAAH36X88=")</f>
        <v>#REF!</v>
      </c>
      <c r="HA88" t="e">
        <f>AND('BBP complete'!#REF!,"AAAAAH36X9A=")</f>
        <v>#REF!</v>
      </c>
      <c r="HB88" t="e">
        <f>AND('BBP complete'!#REF!,"AAAAAH36X9E=")</f>
        <v>#REF!</v>
      </c>
      <c r="HC88" t="e">
        <f>AND('BBP complete'!#REF!,"AAAAAH36X9I=")</f>
        <v>#REF!</v>
      </c>
      <c r="HD88" t="e">
        <f>AND('BBP complete'!#REF!,"AAAAAH36X9M=")</f>
        <v>#REF!</v>
      </c>
      <c r="HE88" t="e">
        <f>AND('BBP complete'!C1184,"AAAAAH36X9Q=")</f>
        <v>#VALUE!</v>
      </c>
      <c r="HF88" t="e">
        <f>AND('BBP complete'!L1327,"AAAAAH36X9U=")</f>
        <v>#VALUE!</v>
      </c>
      <c r="HG88" t="e">
        <f>AND('BBP complete'!M1327,"AAAAAH36X9Y=")</f>
        <v>#VALUE!</v>
      </c>
      <c r="HH88" t="e">
        <f>AND('BBP complete'!N1327,"AAAAAH36X9c=")</f>
        <v>#VALUE!</v>
      </c>
      <c r="HI88" s="60" t="e">
        <v>#VALUE!</v>
      </c>
      <c r="HJ88" t="e">
        <f>AND('BBP complete'!B1188,"AAAAAH36X9k=")</f>
        <v>#VALUE!</v>
      </c>
      <c r="HK88" t="e">
        <f>AND('BBP complete'!#REF!,"AAAAAH36X9o=")</f>
        <v>#REF!</v>
      </c>
      <c r="HL88" t="e">
        <f>AND('BBP complete'!#REF!,"AAAAAH36X9s=")</f>
        <v>#REF!</v>
      </c>
      <c r="HM88" t="e">
        <f>AND('BBP complete'!D1188,"AAAAAH36X9w=")</f>
        <v>#VALUE!</v>
      </c>
      <c r="HN88" t="e">
        <f>AND('BBP complete'!H1187,"AAAAAH36X90=")</f>
        <v>#VALUE!</v>
      </c>
      <c r="HO88" t="e">
        <f>AND('BBP complete'!I1186,"AAAAAH36X94=")</f>
        <v>#VALUE!</v>
      </c>
      <c r="HP88" t="e">
        <f>AND('BBP complete'!#REF!,"AAAAAH36X98=")</f>
        <v>#REF!</v>
      </c>
      <c r="HQ88" t="e">
        <f>AND('BBP complete'!#REF!,"AAAAAH36X+A=")</f>
        <v>#REF!</v>
      </c>
      <c r="HR88" t="e">
        <f>AND('BBP complete'!#REF!,"AAAAAH36X+E=")</f>
        <v>#REF!</v>
      </c>
      <c r="HS88" t="e">
        <f>AND('BBP complete'!#REF!,"AAAAAH36X+I=")</f>
        <v>#REF!</v>
      </c>
      <c r="HT88" t="e">
        <f>AND('BBP complete'!#REF!,"AAAAAH36X+M=")</f>
        <v>#REF!</v>
      </c>
      <c r="HU88" t="e">
        <f>AND('BBP complete'!C1185,"AAAAAH36X+Q=")</f>
        <v>#VALUE!</v>
      </c>
      <c r="HV88" t="e">
        <f>AND('BBP complete'!L1328,"AAAAAH36X+U=")</f>
        <v>#VALUE!</v>
      </c>
      <c r="HW88" t="e">
        <f>AND('BBP complete'!M1328,"AAAAAH36X+Y=")</f>
        <v>#VALUE!</v>
      </c>
      <c r="HX88" t="e">
        <f>AND('BBP complete'!N1328,"AAAAAH36X+c=")</f>
        <v>#VALUE!</v>
      </c>
      <c r="HY88" s="60" t="e">
        <v>#VALUE!</v>
      </c>
      <c r="HZ88" t="e">
        <f>AND('BBP complete'!B1189,"AAAAAH36X+k=")</f>
        <v>#VALUE!</v>
      </c>
      <c r="IA88" t="e">
        <f>AND('BBP complete'!#REF!,"AAAAAH36X+o=")</f>
        <v>#REF!</v>
      </c>
      <c r="IB88" t="e">
        <f>AND('BBP complete'!#REF!,"AAAAAH36X+s=")</f>
        <v>#REF!</v>
      </c>
      <c r="IC88" t="e">
        <f>AND('BBP complete'!D1189,"AAAAAH36X+w=")</f>
        <v>#VALUE!</v>
      </c>
      <c r="ID88" t="e">
        <f>AND('BBP complete'!H1188,"AAAAAH36X+0=")</f>
        <v>#VALUE!</v>
      </c>
      <c r="IE88" t="e">
        <f>AND('BBP complete'!I1187,"AAAAAH36X+4=")</f>
        <v>#VALUE!</v>
      </c>
      <c r="IF88" t="e">
        <f>AND('BBP complete'!#REF!,"AAAAAH36X+8=")</f>
        <v>#REF!</v>
      </c>
      <c r="IG88" t="e">
        <f>AND('BBP complete'!#REF!,"AAAAAH36X/A=")</f>
        <v>#REF!</v>
      </c>
      <c r="IH88" t="e">
        <f>AND('BBP complete'!#REF!,"AAAAAH36X/E=")</f>
        <v>#REF!</v>
      </c>
      <c r="II88" t="e">
        <f>AND('BBP complete'!#REF!,"AAAAAH36X/I=")</f>
        <v>#REF!</v>
      </c>
      <c r="IJ88" t="e">
        <f>AND('BBP complete'!#REF!,"AAAAAH36X/M=")</f>
        <v>#REF!</v>
      </c>
      <c r="IK88" t="e">
        <f>AND('BBP complete'!C1186,"AAAAAH36X/Q=")</f>
        <v>#VALUE!</v>
      </c>
      <c r="IL88" t="e">
        <f>AND('BBP complete'!L1329,"AAAAAH36X/U=")</f>
        <v>#VALUE!</v>
      </c>
      <c r="IM88" t="e">
        <f>AND('BBP complete'!M1329,"AAAAAH36X/Y=")</f>
        <v>#VALUE!</v>
      </c>
      <c r="IN88" t="e">
        <f>AND('BBP complete'!N1329,"AAAAAH36X/c=")</f>
        <v>#VALUE!</v>
      </c>
      <c r="IO88" s="60" t="e">
        <v>#VALUE!</v>
      </c>
      <c r="IP88" t="e">
        <f>AND('BBP complete'!B1190,"AAAAAH36X/k=")</f>
        <v>#VALUE!</v>
      </c>
      <c r="IQ88" t="e">
        <f>AND('BBP complete'!#REF!,"AAAAAH36X/o=")</f>
        <v>#REF!</v>
      </c>
      <c r="IR88" t="e">
        <f>AND('BBP complete'!#REF!,"AAAAAH36X/s=")</f>
        <v>#REF!</v>
      </c>
      <c r="IS88" t="e">
        <f>AND('BBP complete'!D1190,"AAAAAH36X/w=")</f>
        <v>#VALUE!</v>
      </c>
      <c r="IT88" t="e">
        <f>AND('BBP complete'!H1189,"AAAAAH36X/0=")</f>
        <v>#VALUE!</v>
      </c>
      <c r="IU88" t="e">
        <f>AND('BBP complete'!I1188,"AAAAAH36X/4=")</f>
        <v>#VALUE!</v>
      </c>
      <c r="IV88" t="e">
        <f>AND('BBP complete'!#REF!,"AAAAAH36X/8=")</f>
        <v>#REF!</v>
      </c>
    </row>
    <row r="89" spans="1:256" ht="15" customHeight="1" x14ac:dyDescent="0.25">
      <c r="A89" t="e">
        <f>AND('BBP complete'!#REF!,"AAAAAHT77wA=")</f>
        <v>#REF!</v>
      </c>
      <c r="B89" t="e">
        <f>AND('BBP complete'!#REF!,"AAAAAHT77wE=")</f>
        <v>#REF!</v>
      </c>
      <c r="C89" t="e">
        <f>AND('BBP complete'!#REF!,"AAAAAHT77wI=")</f>
        <v>#REF!</v>
      </c>
      <c r="D89" t="e">
        <f>AND('BBP complete'!#REF!,"AAAAAHT77wM=")</f>
        <v>#REF!</v>
      </c>
      <c r="E89" t="e">
        <f>AND('BBP complete'!C1187,"AAAAAHT77wQ=")</f>
        <v>#VALUE!</v>
      </c>
      <c r="F89" t="e">
        <f>AND('BBP complete'!L1330,"AAAAAHT77wU=")</f>
        <v>#VALUE!</v>
      </c>
      <c r="G89" t="e">
        <f>AND('BBP complete'!M1330,"AAAAAHT77wY=")</f>
        <v>#VALUE!</v>
      </c>
      <c r="H89" t="e">
        <f>AND('BBP complete'!N1330,"AAAAAHT77wc=")</f>
        <v>#VALUE!</v>
      </c>
      <c r="I89" s="60" t="e">
        <v>#VALUE!</v>
      </c>
      <c r="J89" t="e">
        <f>AND('BBP complete'!B1191,"AAAAAHT77wk=")</f>
        <v>#VALUE!</v>
      </c>
      <c r="K89" t="e">
        <f>AND('BBP complete'!#REF!,"AAAAAHT77wo=")</f>
        <v>#REF!</v>
      </c>
      <c r="L89" t="e">
        <f>AND('BBP complete'!#REF!,"AAAAAHT77ws=")</f>
        <v>#REF!</v>
      </c>
      <c r="M89" t="e">
        <f>AND('BBP complete'!D1191,"AAAAAHT77ww=")</f>
        <v>#VALUE!</v>
      </c>
      <c r="N89" t="e">
        <f>AND('BBP complete'!H1190,"AAAAAHT77w0=")</f>
        <v>#VALUE!</v>
      </c>
      <c r="O89" t="e">
        <f>AND('BBP complete'!I1189,"AAAAAHT77w4=")</f>
        <v>#VALUE!</v>
      </c>
      <c r="P89" t="e">
        <f>AND('BBP complete'!#REF!,"AAAAAHT77w8=")</f>
        <v>#REF!</v>
      </c>
      <c r="Q89" t="e">
        <f>AND('BBP complete'!#REF!,"AAAAAHT77xA=")</f>
        <v>#REF!</v>
      </c>
      <c r="R89" t="e">
        <f>AND('BBP complete'!#REF!,"AAAAAHT77xE=")</f>
        <v>#REF!</v>
      </c>
      <c r="S89" t="e">
        <f>AND('BBP complete'!#REF!,"AAAAAHT77xI=")</f>
        <v>#REF!</v>
      </c>
      <c r="T89" t="e">
        <f>AND('BBP complete'!#REF!,"AAAAAHT77xM=")</f>
        <v>#REF!</v>
      </c>
      <c r="U89" t="e">
        <f>AND('BBP complete'!C1188,"AAAAAHT77xQ=")</f>
        <v>#VALUE!</v>
      </c>
      <c r="V89" t="e">
        <f>AND('BBP complete'!L1331,"AAAAAHT77xU=")</f>
        <v>#VALUE!</v>
      </c>
      <c r="W89" t="e">
        <f>AND('BBP complete'!M1331,"AAAAAHT77xY=")</f>
        <v>#VALUE!</v>
      </c>
      <c r="X89" t="e">
        <f>AND('BBP complete'!N1331,"AAAAAHT77xc=")</f>
        <v>#VALUE!</v>
      </c>
      <c r="Y89" s="60" t="e">
        <v>#VALUE!</v>
      </c>
      <c r="Z89" t="e">
        <f>AND('BBP complete'!B1192,"AAAAAHT77xk=")</f>
        <v>#VALUE!</v>
      </c>
      <c r="AA89" t="e">
        <f>AND('BBP complete'!#REF!,"AAAAAHT77xo=")</f>
        <v>#REF!</v>
      </c>
      <c r="AB89" t="e">
        <f>AND('BBP complete'!#REF!,"AAAAAHT77xs=")</f>
        <v>#REF!</v>
      </c>
      <c r="AC89" t="e">
        <f>AND('BBP complete'!D1192,"AAAAAHT77xw=")</f>
        <v>#VALUE!</v>
      </c>
      <c r="AD89" t="e">
        <f>AND('BBP complete'!H1191,"AAAAAHT77x0=")</f>
        <v>#VALUE!</v>
      </c>
      <c r="AE89" t="e">
        <f>AND('BBP complete'!I1190,"AAAAAHT77x4=")</f>
        <v>#VALUE!</v>
      </c>
      <c r="AF89" t="e">
        <f>AND('BBP complete'!#REF!,"AAAAAHT77x8=")</f>
        <v>#REF!</v>
      </c>
      <c r="AG89" t="e">
        <f>AND('BBP complete'!#REF!,"AAAAAHT77yA=")</f>
        <v>#REF!</v>
      </c>
      <c r="AH89" t="e">
        <f>AND('BBP complete'!#REF!,"AAAAAHT77yE=")</f>
        <v>#REF!</v>
      </c>
      <c r="AI89" t="e">
        <f>AND('BBP complete'!#REF!,"AAAAAHT77yI=")</f>
        <v>#REF!</v>
      </c>
      <c r="AJ89" t="e">
        <f>AND('BBP complete'!#REF!,"AAAAAHT77yM=")</f>
        <v>#REF!</v>
      </c>
      <c r="AK89" t="e">
        <f>AND('BBP complete'!C1189,"AAAAAHT77yQ=")</f>
        <v>#VALUE!</v>
      </c>
      <c r="AL89" t="e">
        <f>AND('BBP complete'!L1332,"AAAAAHT77yU=")</f>
        <v>#VALUE!</v>
      </c>
      <c r="AM89" t="e">
        <f>AND('BBP complete'!M1332,"AAAAAHT77yY=")</f>
        <v>#VALUE!</v>
      </c>
      <c r="AN89" t="e">
        <f>AND('BBP complete'!N1332,"AAAAAHT77yc=")</f>
        <v>#VALUE!</v>
      </c>
      <c r="AO89" s="60" t="e">
        <v>#VALUE!</v>
      </c>
      <c r="AP89" t="e">
        <f>AND('BBP complete'!B1193,"AAAAAHT77yk=")</f>
        <v>#VALUE!</v>
      </c>
      <c r="AQ89" t="e">
        <f>AND('BBP complete'!#REF!,"AAAAAHT77yo=")</f>
        <v>#REF!</v>
      </c>
      <c r="AR89" t="e">
        <f>AND('BBP complete'!#REF!,"AAAAAHT77ys=")</f>
        <v>#REF!</v>
      </c>
      <c r="AS89" t="e">
        <f>AND('BBP complete'!D1193,"AAAAAHT77yw=")</f>
        <v>#VALUE!</v>
      </c>
      <c r="AT89" t="e">
        <f>AND('BBP complete'!H1192,"AAAAAHT77y0=")</f>
        <v>#VALUE!</v>
      </c>
      <c r="AU89" t="e">
        <f>AND('BBP complete'!I1191,"AAAAAHT77y4=")</f>
        <v>#VALUE!</v>
      </c>
      <c r="AV89" t="e">
        <f>AND('BBP complete'!#REF!,"AAAAAHT77y8=")</f>
        <v>#REF!</v>
      </c>
      <c r="AW89" t="e">
        <f>AND('BBP complete'!#REF!,"AAAAAHT77zA=")</f>
        <v>#REF!</v>
      </c>
      <c r="AX89" t="e">
        <f>AND('BBP complete'!#REF!,"AAAAAHT77zE=")</f>
        <v>#REF!</v>
      </c>
      <c r="AY89" t="e">
        <f>AND('BBP complete'!#REF!,"AAAAAHT77zI=")</f>
        <v>#REF!</v>
      </c>
      <c r="AZ89" t="e">
        <f>AND('BBP complete'!#REF!,"AAAAAHT77zM=")</f>
        <v>#REF!</v>
      </c>
      <c r="BA89" t="e">
        <f>AND('BBP complete'!C1190,"AAAAAHT77zQ=")</f>
        <v>#VALUE!</v>
      </c>
      <c r="BB89" t="e">
        <f>AND('BBP complete'!L1333,"AAAAAHT77zU=")</f>
        <v>#VALUE!</v>
      </c>
      <c r="BC89" t="e">
        <f>AND('BBP complete'!M1333,"AAAAAHT77zY=")</f>
        <v>#VALUE!</v>
      </c>
      <c r="BD89" t="e">
        <f>AND('BBP complete'!N1333,"AAAAAHT77zc=")</f>
        <v>#VALUE!</v>
      </c>
      <c r="BE89" s="60" t="e">
        <v>#VALUE!</v>
      </c>
      <c r="BF89" t="e">
        <f>AND('BBP complete'!B1194,"AAAAAHT77zk=")</f>
        <v>#VALUE!</v>
      </c>
      <c r="BG89" t="e">
        <f>AND('BBP complete'!#REF!,"AAAAAHT77zo=")</f>
        <v>#REF!</v>
      </c>
      <c r="BH89" t="e">
        <f>AND('BBP complete'!#REF!,"AAAAAHT77zs=")</f>
        <v>#REF!</v>
      </c>
      <c r="BI89" t="e">
        <f>AND('BBP complete'!D1194,"AAAAAHT77zw=")</f>
        <v>#VALUE!</v>
      </c>
      <c r="BJ89" t="e">
        <f>AND('BBP complete'!H1193,"AAAAAHT77z0=")</f>
        <v>#VALUE!</v>
      </c>
      <c r="BK89" t="e">
        <f>AND('BBP complete'!I1192,"AAAAAHT77z4=")</f>
        <v>#VALUE!</v>
      </c>
      <c r="BL89" t="e">
        <f>AND('BBP complete'!#REF!,"AAAAAHT77z8=")</f>
        <v>#REF!</v>
      </c>
      <c r="BM89" t="e">
        <f>AND('BBP complete'!#REF!,"AAAAAHT770A=")</f>
        <v>#REF!</v>
      </c>
      <c r="BN89" t="e">
        <f>AND('BBP complete'!#REF!,"AAAAAHT770E=")</f>
        <v>#REF!</v>
      </c>
      <c r="BO89" t="e">
        <f>AND('BBP complete'!#REF!,"AAAAAHT770I=")</f>
        <v>#REF!</v>
      </c>
      <c r="BP89" t="e">
        <f>AND('BBP complete'!#REF!,"AAAAAHT770M=")</f>
        <v>#REF!</v>
      </c>
      <c r="BQ89" t="e">
        <f>AND('BBP complete'!C1191,"AAAAAHT770Q=")</f>
        <v>#VALUE!</v>
      </c>
      <c r="BR89" t="e">
        <f>AND('BBP complete'!L1334,"AAAAAHT770U=")</f>
        <v>#VALUE!</v>
      </c>
      <c r="BS89" t="e">
        <f>AND('BBP complete'!M1334,"AAAAAHT770Y=")</f>
        <v>#VALUE!</v>
      </c>
      <c r="BT89" t="e">
        <f>AND('BBP complete'!N1334,"AAAAAHT770c=")</f>
        <v>#VALUE!</v>
      </c>
      <c r="BU89" s="60" t="e">
        <v>#VALUE!</v>
      </c>
      <c r="BV89" t="e">
        <f>AND('BBP complete'!B1195,"AAAAAHT770k=")</f>
        <v>#VALUE!</v>
      </c>
      <c r="BW89" t="e">
        <f>AND('BBP complete'!#REF!,"AAAAAHT770o=")</f>
        <v>#REF!</v>
      </c>
      <c r="BX89" t="e">
        <f>AND('BBP complete'!#REF!,"AAAAAHT770s=")</f>
        <v>#REF!</v>
      </c>
      <c r="BY89" t="e">
        <f>AND('BBP complete'!D1195,"AAAAAHT770w=")</f>
        <v>#VALUE!</v>
      </c>
      <c r="BZ89" t="e">
        <f>AND('BBP complete'!H1194,"AAAAAHT7700=")</f>
        <v>#VALUE!</v>
      </c>
      <c r="CA89" t="e">
        <f>AND('BBP complete'!I1193,"AAAAAHT7704=")</f>
        <v>#VALUE!</v>
      </c>
      <c r="CB89" t="e">
        <f>AND('BBP complete'!#REF!,"AAAAAHT7708=")</f>
        <v>#REF!</v>
      </c>
      <c r="CC89" t="e">
        <f>AND('BBP complete'!#REF!,"AAAAAHT771A=")</f>
        <v>#REF!</v>
      </c>
      <c r="CD89" t="e">
        <f>AND('BBP complete'!#REF!,"AAAAAHT771E=")</f>
        <v>#REF!</v>
      </c>
      <c r="CE89" t="e">
        <f>AND('BBP complete'!#REF!,"AAAAAHT771I=")</f>
        <v>#REF!</v>
      </c>
      <c r="CF89" t="e">
        <f>AND('BBP complete'!#REF!,"AAAAAHT771M=")</f>
        <v>#REF!</v>
      </c>
      <c r="CG89" t="e">
        <f>AND('BBP complete'!C1192,"AAAAAHT771Q=")</f>
        <v>#VALUE!</v>
      </c>
      <c r="CH89" t="e">
        <f>AND('BBP complete'!L1335,"AAAAAHT771U=")</f>
        <v>#VALUE!</v>
      </c>
      <c r="CI89" t="e">
        <f>AND('BBP complete'!M1335,"AAAAAHT771Y=")</f>
        <v>#VALUE!</v>
      </c>
      <c r="CJ89" t="e">
        <f>AND('BBP complete'!N1335,"AAAAAHT771c=")</f>
        <v>#VALUE!</v>
      </c>
      <c r="CK89" s="60" t="e">
        <v>#VALUE!</v>
      </c>
      <c r="CL89" t="e">
        <f>AND('BBP complete'!B1196,"AAAAAHT771k=")</f>
        <v>#VALUE!</v>
      </c>
      <c r="CM89" t="e">
        <f>AND('BBP complete'!#REF!,"AAAAAHT771o=")</f>
        <v>#REF!</v>
      </c>
      <c r="CN89" t="e">
        <f>AND('BBP complete'!#REF!,"AAAAAHT771s=")</f>
        <v>#REF!</v>
      </c>
      <c r="CO89" t="e">
        <f>AND('BBP complete'!D1196,"AAAAAHT771w=")</f>
        <v>#VALUE!</v>
      </c>
      <c r="CP89" t="e">
        <f>AND('BBP complete'!H1195,"AAAAAHT7710=")</f>
        <v>#VALUE!</v>
      </c>
      <c r="CQ89" t="e">
        <f>AND('BBP complete'!I1194,"AAAAAHT7714=")</f>
        <v>#VALUE!</v>
      </c>
      <c r="CR89" t="e">
        <f>AND('BBP complete'!#REF!,"AAAAAHT7718=")</f>
        <v>#REF!</v>
      </c>
      <c r="CS89" t="e">
        <f>AND('BBP complete'!#REF!,"AAAAAHT772A=")</f>
        <v>#REF!</v>
      </c>
      <c r="CT89" t="e">
        <f>AND('BBP complete'!#REF!,"AAAAAHT772E=")</f>
        <v>#REF!</v>
      </c>
      <c r="CU89" t="e">
        <f>AND('BBP complete'!#REF!,"AAAAAHT772I=")</f>
        <v>#REF!</v>
      </c>
      <c r="CV89" t="e">
        <f>AND('BBP complete'!#REF!,"AAAAAHT772M=")</f>
        <v>#REF!</v>
      </c>
      <c r="CW89" t="e">
        <f>AND('BBP complete'!C1193,"AAAAAHT772Q=")</f>
        <v>#VALUE!</v>
      </c>
      <c r="CX89" t="e">
        <f>AND('BBP complete'!L1336,"AAAAAHT772U=")</f>
        <v>#VALUE!</v>
      </c>
      <c r="CY89" t="e">
        <f>AND('BBP complete'!M1336,"AAAAAHT772Y=")</f>
        <v>#VALUE!</v>
      </c>
      <c r="CZ89" t="e">
        <f>AND('BBP complete'!N1336,"AAAAAHT772c=")</f>
        <v>#VALUE!</v>
      </c>
      <c r="DA89" s="60" t="e">
        <v>#VALUE!</v>
      </c>
      <c r="DB89" t="e">
        <f>AND('BBP complete'!B1197,"AAAAAHT772k=")</f>
        <v>#VALUE!</v>
      </c>
      <c r="DC89" t="e">
        <f>AND('BBP complete'!#REF!,"AAAAAHT772o=")</f>
        <v>#REF!</v>
      </c>
      <c r="DD89" t="e">
        <f>AND('BBP complete'!#REF!,"AAAAAHT772s=")</f>
        <v>#REF!</v>
      </c>
      <c r="DE89" t="e">
        <f>AND('BBP complete'!D1197,"AAAAAHT772w=")</f>
        <v>#VALUE!</v>
      </c>
      <c r="DF89" t="e">
        <f>AND('BBP complete'!H1196,"AAAAAHT7720=")</f>
        <v>#VALUE!</v>
      </c>
      <c r="DG89" t="e">
        <f>AND('BBP complete'!I1195,"AAAAAHT7724=")</f>
        <v>#VALUE!</v>
      </c>
      <c r="DH89" t="e">
        <f>AND('BBP complete'!#REF!,"AAAAAHT7728=")</f>
        <v>#REF!</v>
      </c>
      <c r="DI89" t="e">
        <f>AND('BBP complete'!#REF!,"AAAAAHT773A=")</f>
        <v>#REF!</v>
      </c>
      <c r="DJ89" t="e">
        <f>AND('BBP complete'!#REF!,"AAAAAHT773E=")</f>
        <v>#REF!</v>
      </c>
      <c r="DK89" t="e">
        <f>AND('BBP complete'!#REF!,"AAAAAHT773I=")</f>
        <v>#REF!</v>
      </c>
      <c r="DL89" t="e">
        <f>AND('BBP complete'!#REF!,"AAAAAHT773M=")</f>
        <v>#REF!</v>
      </c>
      <c r="DM89" t="e">
        <f>AND('BBP complete'!C1194,"AAAAAHT773Q=")</f>
        <v>#VALUE!</v>
      </c>
      <c r="DN89" t="e">
        <f>AND('BBP complete'!L1337,"AAAAAHT773U=")</f>
        <v>#VALUE!</v>
      </c>
      <c r="DO89" t="e">
        <f>AND('BBP complete'!M1337,"AAAAAHT773Y=")</f>
        <v>#VALUE!</v>
      </c>
      <c r="DP89" t="e">
        <f>AND('BBP complete'!N1337,"AAAAAHT773c=")</f>
        <v>#VALUE!</v>
      </c>
      <c r="DQ89" s="60" t="e">
        <v>#VALUE!</v>
      </c>
      <c r="DR89" t="e">
        <f>AND('BBP complete'!B1198,"AAAAAHT773k=")</f>
        <v>#VALUE!</v>
      </c>
      <c r="DS89" t="e">
        <f>AND('BBP complete'!#REF!,"AAAAAHT773o=")</f>
        <v>#REF!</v>
      </c>
      <c r="DT89" t="e">
        <f>AND('BBP complete'!#REF!,"AAAAAHT773s=")</f>
        <v>#REF!</v>
      </c>
      <c r="DU89" t="e">
        <f>AND('BBP complete'!D1198,"AAAAAHT773w=")</f>
        <v>#VALUE!</v>
      </c>
      <c r="DV89" t="e">
        <f>AND('BBP complete'!H1197,"AAAAAHT7730=")</f>
        <v>#VALUE!</v>
      </c>
      <c r="DW89" t="e">
        <f>AND('BBP complete'!I1196,"AAAAAHT7734=")</f>
        <v>#VALUE!</v>
      </c>
      <c r="DX89" t="e">
        <f>AND('BBP complete'!#REF!,"AAAAAHT7738=")</f>
        <v>#REF!</v>
      </c>
      <c r="DY89" t="e">
        <f>AND('BBP complete'!#REF!,"AAAAAHT774A=")</f>
        <v>#REF!</v>
      </c>
      <c r="DZ89" t="e">
        <f>AND('BBP complete'!#REF!,"AAAAAHT774E=")</f>
        <v>#REF!</v>
      </c>
      <c r="EA89" t="e">
        <f>AND('BBP complete'!#REF!,"AAAAAHT774I=")</f>
        <v>#REF!</v>
      </c>
      <c r="EB89" t="e">
        <f>AND('BBP complete'!#REF!,"AAAAAHT774M=")</f>
        <v>#REF!</v>
      </c>
      <c r="EC89" t="e">
        <f>AND('BBP complete'!C1195,"AAAAAHT774Q=")</f>
        <v>#VALUE!</v>
      </c>
      <c r="ED89" t="e">
        <f>AND('BBP complete'!L1338,"AAAAAHT774U=")</f>
        <v>#VALUE!</v>
      </c>
      <c r="EE89" t="e">
        <f>AND('BBP complete'!M1338,"AAAAAHT774Y=")</f>
        <v>#VALUE!</v>
      </c>
      <c r="EF89" t="e">
        <f>AND('BBP complete'!N1338,"AAAAAHT774c=")</f>
        <v>#VALUE!</v>
      </c>
      <c r="EG89" s="60" t="e">
        <v>#VALUE!</v>
      </c>
      <c r="EH89" t="e">
        <f>AND('BBP complete'!B1199,"AAAAAHT774k=")</f>
        <v>#VALUE!</v>
      </c>
      <c r="EI89" t="e">
        <f>AND('BBP complete'!#REF!,"AAAAAHT774o=")</f>
        <v>#REF!</v>
      </c>
      <c r="EJ89" t="e">
        <f>AND('BBP complete'!#REF!,"AAAAAHT774s=")</f>
        <v>#REF!</v>
      </c>
      <c r="EK89" t="e">
        <f>AND('BBP complete'!D1199,"AAAAAHT774w=")</f>
        <v>#VALUE!</v>
      </c>
      <c r="EL89" t="e">
        <f>AND('BBP complete'!H1198,"AAAAAHT7740=")</f>
        <v>#VALUE!</v>
      </c>
      <c r="EM89" t="e">
        <f>AND('BBP complete'!I1197,"AAAAAHT7744=")</f>
        <v>#VALUE!</v>
      </c>
      <c r="EN89" t="e">
        <f>AND('BBP complete'!#REF!,"AAAAAHT7748=")</f>
        <v>#REF!</v>
      </c>
      <c r="EO89" t="e">
        <f>AND('BBP complete'!#REF!,"AAAAAHT775A=")</f>
        <v>#REF!</v>
      </c>
      <c r="EP89" t="e">
        <f>AND('BBP complete'!#REF!,"AAAAAHT775E=")</f>
        <v>#REF!</v>
      </c>
      <c r="EQ89" t="e">
        <f>AND('BBP complete'!#REF!,"AAAAAHT775I=")</f>
        <v>#REF!</v>
      </c>
      <c r="ER89" t="e">
        <f>AND('BBP complete'!#REF!,"AAAAAHT775M=")</f>
        <v>#REF!</v>
      </c>
      <c r="ES89" t="e">
        <f>AND('BBP complete'!C1196,"AAAAAHT775Q=")</f>
        <v>#VALUE!</v>
      </c>
      <c r="ET89" t="e">
        <f>AND('BBP complete'!L1339,"AAAAAHT775U=")</f>
        <v>#VALUE!</v>
      </c>
      <c r="EU89" t="e">
        <f>AND('BBP complete'!M1339,"AAAAAHT775Y=")</f>
        <v>#VALUE!</v>
      </c>
      <c r="EV89" t="e">
        <f>AND('BBP complete'!N1339,"AAAAAHT775c=")</f>
        <v>#VALUE!</v>
      </c>
      <c r="EW89" s="60" t="e">
        <v>#VALUE!</v>
      </c>
      <c r="EX89" t="e">
        <f>AND('BBP complete'!B1200,"AAAAAHT775k=")</f>
        <v>#VALUE!</v>
      </c>
      <c r="EY89" t="e">
        <f>AND('BBP complete'!#REF!,"AAAAAHT775o=")</f>
        <v>#REF!</v>
      </c>
      <c r="EZ89" t="e">
        <f>AND('BBP complete'!#REF!,"AAAAAHT775s=")</f>
        <v>#REF!</v>
      </c>
      <c r="FA89" t="e">
        <f>AND('BBP complete'!D1200,"AAAAAHT775w=")</f>
        <v>#VALUE!</v>
      </c>
      <c r="FB89" t="e">
        <f>AND('BBP complete'!H1199,"AAAAAHT7750=")</f>
        <v>#VALUE!</v>
      </c>
      <c r="FC89" t="e">
        <f>AND('BBP complete'!I1198,"AAAAAHT7754=")</f>
        <v>#VALUE!</v>
      </c>
      <c r="FD89" t="e">
        <f>AND('BBP complete'!#REF!,"AAAAAHT7758=")</f>
        <v>#REF!</v>
      </c>
      <c r="FE89" t="e">
        <f>AND('BBP complete'!#REF!,"AAAAAHT776A=")</f>
        <v>#REF!</v>
      </c>
      <c r="FF89" t="e">
        <f>AND('BBP complete'!#REF!,"AAAAAHT776E=")</f>
        <v>#REF!</v>
      </c>
      <c r="FG89" t="e">
        <f>AND('BBP complete'!#REF!,"AAAAAHT776I=")</f>
        <v>#REF!</v>
      </c>
      <c r="FH89" t="e">
        <f>AND('BBP complete'!#REF!,"AAAAAHT776M=")</f>
        <v>#REF!</v>
      </c>
      <c r="FI89" t="e">
        <f>AND('BBP complete'!C1197,"AAAAAHT776Q=")</f>
        <v>#VALUE!</v>
      </c>
      <c r="FJ89" t="e">
        <f>AND('BBP complete'!L1340,"AAAAAHT776U=")</f>
        <v>#VALUE!</v>
      </c>
      <c r="FK89" t="e">
        <f>AND('BBP complete'!M1340,"AAAAAHT776Y=")</f>
        <v>#VALUE!</v>
      </c>
      <c r="FL89" t="e">
        <f>AND('BBP complete'!N1340,"AAAAAHT776c=")</f>
        <v>#VALUE!</v>
      </c>
      <c r="FM89" s="60" t="e">
        <v>#VALUE!</v>
      </c>
      <c r="FN89" t="e">
        <f>AND('BBP complete'!B1201,"AAAAAHT776k=")</f>
        <v>#VALUE!</v>
      </c>
      <c r="FO89" t="e">
        <f>AND('BBP complete'!#REF!,"AAAAAHT776o=")</f>
        <v>#REF!</v>
      </c>
      <c r="FP89" t="e">
        <f>AND('BBP complete'!#REF!,"AAAAAHT776s=")</f>
        <v>#REF!</v>
      </c>
      <c r="FQ89" t="e">
        <f>AND('BBP complete'!D1201,"AAAAAHT776w=")</f>
        <v>#VALUE!</v>
      </c>
      <c r="FR89" t="e">
        <f>AND('BBP complete'!H1200,"AAAAAHT7760=")</f>
        <v>#VALUE!</v>
      </c>
      <c r="FS89" t="e">
        <f>AND('BBP complete'!I1199,"AAAAAHT7764=")</f>
        <v>#VALUE!</v>
      </c>
      <c r="FT89" t="e">
        <f>AND('BBP complete'!#REF!,"AAAAAHT7768=")</f>
        <v>#REF!</v>
      </c>
      <c r="FU89" t="e">
        <f>AND('BBP complete'!#REF!,"AAAAAHT777A=")</f>
        <v>#REF!</v>
      </c>
      <c r="FV89" t="e">
        <f>AND('BBP complete'!#REF!,"AAAAAHT777E=")</f>
        <v>#REF!</v>
      </c>
      <c r="FW89" t="e">
        <f>AND('BBP complete'!#REF!,"AAAAAHT777I=")</f>
        <v>#REF!</v>
      </c>
      <c r="FX89" t="e">
        <f>AND('BBP complete'!#REF!,"AAAAAHT777M=")</f>
        <v>#REF!</v>
      </c>
      <c r="FY89" t="e">
        <f>AND('BBP complete'!C1198,"AAAAAHT777Q=")</f>
        <v>#VALUE!</v>
      </c>
      <c r="FZ89" t="e">
        <f>AND('BBP complete'!L1341,"AAAAAHT777U=")</f>
        <v>#VALUE!</v>
      </c>
      <c r="GA89" t="e">
        <f>AND('BBP complete'!M1341,"AAAAAHT777Y=")</f>
        <v>#VALUE!</v>
      </c>
      <c r="GB89" t="e">
        <f>AND('BBP complete'!N1341,"AAAAAHT777c=")</f>
        <v>#VALUE!</v>
      </c>
      <c r="GC89" s="60" t="e">
        <v>#VALUE!</v>
      </c>
      <c r="GD89" t="e">
        <f>AND('BBP complete'!B1202,"AAAAAHT777k=")</f>
        <v>#VALUE!</v>
      </c>
      <c r="GE89" t="e">
        <f>AND('BBP complete'!#REF!,"AAAAAHT777o=")</f>
        <v>#REF!</v>
      </c>
      <c r="GF89" t="e">
        <f>AND('BBP complete'!#REF!,"AAAAAHT777s=")</f>
        <v>#REF!</v>
      </c>
      <c r="GG89" t="e">
        <f>AND('BBP complete'!D1202,"AAAAAHT777w=")</f>
        <v>#VALUE!</v>
      </c>
      <c r="GH89" t="e">
        <f>AND('BBP complete'!H1201,"AAAAAHT7770=")</f>
        <v>#VALUE!</v>
      </c>
      <c r="GI89" t="e">
        <f>AND('BBP complete'!I1200,"AAAAAHT7774=")</f>
        <v>#VALUE!</v>
      </c>
      <c r="GJ89" t="e">
        <f>AND('BBP complete'!#REF!,"AAAAAHT7778=")</f>
        <v>#REF!</v>
      </c>
      <c r="GK89" t="e">
        <f>AND('BBP complete'!#REF!,"AAAAAHT778A=")</f>
        <v>#REF!</v>
      </c>
      <c r="GL89" t="e">
        <f>AND('BBP complete'!#REF!,"AAAAAHT778E=")</f>
        <v>#REF!</v>
      </c>
      <c r="GM89" t="e">
        <f>AND('BBP complete'!#REF!,"AAAAAHT778I=")</f>
        <v>#REF!</v>
      </c>
      <c r="GN89" t="e">
        <f>AND('BBP complete'!#REF!,"AAAAAHT778M=")</f>
        <v>#REF!</v>
      </c>
      <c r="GO89" t="e">
        <f>AND('BBP complete'!C1199,"AAAAAHT778Q=")</f>
        <v>#VALUE!</v>
      </c>
      <c r="GP89" t="e">
        <f>AND('BBP complete'!L1342,"AAAAAHT778U=")</f>
        <v>#VALUE!</v>
      </c>
      <c r="GQ89" t="e">
        <f>AND('BBP complete'!M1342,"AAAAAHT778Y=")</f>
        <v>#VALUE!</v>
      </c>
      <c r="GR89" t="e">
        <f>AND('BBP complete'!N1342,"AAAAAHT778c=")</f>
        <v>#VALUE!</v>
      </c>
      <c r="GS89" s="60" t="e">
        <v>#VALUE!</v>
      </c>
      <c r="GT89" t="e">
        <f>AND('BBP complete'!B1203,"AAAAAHT778k=")</f>
        <v>#VALUE!</v>
      </c>
      <c r="GU89" t="e">
        <f>AND('BBP complete'!#REF!,"AAAAAHT778o=")</f>
        <v>#REF!</v>
      </c>
      <c r="GV89" t="e">
        <f>AND('BBP complete'!#REF!,"AAAAAHT778s=")</f>
        <v>#REF!</v>
      </c>
      <c r="GW89" t="e">
        <f>AND('BBP complete'!D1203,"AAAAAHT778w=")</f>
        <v>#VALUE!</v>
      </c>
      <c r="GX89" t="e">
        <f>AND('BBP complete'!H1202,"AAAAAHT7780=")</f>
        <v>#VALUE!</v>
      </c>
      <c r="GY89" t="e">
        <f>AND('BBP complete'!I1201,"AAAAAHT7784=")</f>
        <v>#VALUE!</v>
      </c>
      <c r="GZ89" t="e">
        <f>AND('BBP complete'!#REF!,"AAAAAHT7788=")</f>
        <v>#REF!</v>
      </c>
      <c r="HA89" t="e">
        <f>AND('BBP complete'!#REF!,"AAAAAHT779A=")</f>
        <v>#REF!</v>
      </c>
      <c r="HB89" t="e">
        <f>AND('BBP complete'!#REF!,"AAAAAHT779E=")</f>
        <v>#REF!</v>
      </c>
      <c r="HC89" t="e">
        <f>AND('BBP complete'!#REF!,"AAAAAHT779I=")</f>
        <v>#REF!</v>
      </c>
      <c r="HD89" t="e">
        <f>AND('BBP complete'!#REF!,"AAAAAHT779M=")</f>
        <v>#REF!</v>
      </c>
      <c r="HE89" t="e">
        <f>AND('BBP complete'!C1200,"AAAAAHT779Q=")</f>
        <v>#VALUE!</v>
      </c>
      <c r="HF89" t="e">
        <f>AND('BBP complete'!L1343,"AAAAAHT779U=")</f>
        <v>#VALUE!</v>
      </c>
      <c r="HG89" t="e">
        <f>AND('BBP complete'!M1343,"AAAAAHT779Y=")</f>
        <v>#VALUE!</v>
      </c>
      <c r="HH89" t="e">
        <f>AND('BBP complete'!N1343,"AAAAAHT779c=")</f>
        <v>#VALUE!</v>
      </c>
      <c r="HI89" s="60" t="e">
        <v>#VALUE!</v>
      </c>
      <c r="HJ89" t="e">
        <f>AND('BBP complete'!B1204,"AAAAAHT779k=")</f>
        <v>#VALUE!</v>
      </c>
      <c r="HK89" t="e">
        <f>AND('BBP complete'!#REF!,"AAAAAHT779o=")</f>
        <v>#REF!</v>
      </c>
      <c r="HL89" t="e">
        <f>AND('BBP complete'!#REF!,"AAAAAHT779s=")</f>
        <v>#REF!</v>
      </c>
      <c r="HM89" t="e">
        <f>AND('BBP complete'!D1204,"AAAAAHT779w=")</f>
        <v>#VALUE!</v>
      </c>
      <c r="HN89" t="e">
        <f>AND('BBP complete'!H1203,"AAAAAHT7790=")</f>
        <v>#VALUE!</v>
      </c>
      <c r="HO89" t="e">
        <f>AND('BBP complete'!I1202,"AAAAAHT7794=")</f>
        <v>#VALUE!</v>
      </c>
      <c r="HP89" t="e">
        <f>AND('BBP complete'!#REF!,"AAAAAHT7798=")</f>
        <v>#REF!</v>
      </c>
      <c r="HQ89" t="e">
        <f>AND('BBP complete'!#REF!,"AAAAAHT77+A=")</f>
        <v>#REF!</v>
      </c>
      <c r="HR89" t="e">
        <f>AND('BBP complete'!#REF!,"AAAAAHT77+E=")</f>
        <v>#REF!</v>
      </c>
      <c r="HS89" t="e">
        <f>AND('BBP complete'!#REF!,"AAAAAHT77+I=")</f>
        <v>#REF!</v>
      </c>
      <c r="HT89" t="e">
        <f>AND('BBP complete'!#REF!,"AAAAAHT77+M=")</f>
        <v>#REF!</v>
      </c>
      <c r="HU89" t="e">
        <f>AND('BBP complete'!C1201,"AAAAAHT77+Q=")</f>
        <v>#VALUE!</v>
      </c>
      <c r="HV89" t="e">
        <f>AND('BBP complete'!L1344,"AAAAAHT77+U=")</f>
        <v>#VALUE!</v>
      </c>
      <c r="HW89" t="e">
        <f>AND('BBP complete'!M1344,"AAAAAHT77+Y=")</f>
        <v>#VALUE!</v>
      </c>
      <c r="HX89" t="e">
        <f>AND('BBP complete'!N1344,"AAAAAHT77+c=")</f>
        <v>#VALUE!</v>
      </c>
      <c r="HY89" s="60" t="e">
        <v>#VALUE!</v>
      </c>
      <c r="HZ89" t="e">
        <f>AND('BBP complete'!B1205,"AAAAAHT77+k=")</f>
        <v>#VALUE!</v>
      </c>
      <c r="IA89" t="e">
        <f>AND('BBP complete'!#REF!,"AAAAAHT77+o=")</f>
        <v>#REF!</v>
      </c>
      <c r="IB89" t="e">
        <f>AND('BBP complete'!#REF!,"AAAAAHT77+s=")</f>
        <v>#REF!</v>
      </c>
      <c r="IC89" t="e">
        <f>AND('BBP complete'!D1205,"AAAAAHT77+w=")</f>
        <v>#VALUE!</v>
      </c>
      <c r="ID89" t="e">
        <f>AND('BBP complete'!H1204,"AAAAAHT77+0=")</f>
        <v>#VALUE!</v>
      </c>
      <c r="IE89" t="e">
        <f>AND('BBP complete'!I1203,"AAAAAHT77+4=")</f>
        <v>#VALUE!</v>
      </c>
      <c r="IF89" t="e">
        <f>AND('BBP complete'!#REF!,"AAAAAHT77+8=")</f>
        <v>#REF!</v>
      </c>
      <c r="IG89" t="e">
        <f>AND('BBP complete'!#REF!,"AAAAAHT77/A=")</f>
        <v>#REF!</v>
      </c>
      <c r="IH89" t="e">
        <f>AND('BBP complete'!#REF!,"AAAAAHT77/E=")</f>
        <v>#REF!</v>
      </c>
      <c r="II89" t="e">
        <f>AND('BBP complete'!#REF!,"AAAAAHT77/I=")</f>
        <v>#REF!</v>
      </c>
      <c r="IJ89" t="e">
        <f>AND('BBP complete'!#REF!,"AAAAAHT77/M=")</f>
        <v>#REF!</v>
      </c>
      <c r="IK89" t="e">
        <f>AND('BBP complete'!C1202,"AAAAAHT77/Q=")</f>
        <v>#VALUE!</v>
      </c>
      <c r="IL89" t="e">
        <f>AND('BBP complete'!L1345,"AAAAAHT77/U=")</f>
        <v>#VALUE!</v>
      </c>
      <c r="IM89" t="e">
        <f>AND('BBP complete'!M1345,"AAAAAHT77/Y=")</f>
        <v>#VALUE!</v>
      </c>
      <c r="IN89" t="e">
        <f>AND('BBP complete'!N1345,"AAAAAHT77/c=")</f>
        <v>#VALUE!</v>
      </c>
      <c r="IO89" s="60" t="e">
        <v>#VALUE!</v>
      </c>
      <c r="IP89" t="e">
        <f>AND('BBP complete'!B1206,"AAAAAHT77/k=")</f>
        <v>#VALUE!</v>
      </c>
      <c r="IQ89" t="e">
        <f>AND('BBP complete'!#REF!,"AAAAAHT77/o=")</f>
        <v>#REF!</v>
      </c>
      <c r="IR89" t="e">
        <f>AND('BBP complete'!#REF!,"AAAAAHT77/s=")</f>
        <v>#REF!</v>
      </c>
      <c r="IS89" t="e">
        <f>AND('BBP complete'!D1206,"AAAAAHT77/w=")</f>
        <v>#VALUE!</v>
      </c>
      <c r="IT89" t="e">
        <f>AND('BBP complete'!H1205,"AAAAAHT77/0=")</f>
        <v>#VALUE!</v>
      </c>
      <c r="IU89" t="e">
        <f>AND('BBP complete'!I1204,"AAAAAHT77/4=")</f>
        <v>#VALUE!</v>
      </c>
      <c r="IV89" t="e">
        <f>AND('BBP complete'!#REF!,"AAAAAHT77/8=")</f>
        <v>#REF!</v>
      </c>
    </row>
    <row r="90" spans="1:256" ht="15" customHeight="1" x14ac:dyDescent="0.25">
      <c r="A90" t="e">
        <f>AND('BBP complete'!#REF!,"AAAAADfZ/gA=")</f>
        <v>#REF!</v>
      </c>
      <c r="B90" t="e">
        <f>AND('BBP complete'!#REF!,"AAAAADfZ/gE=")</f>
        <v>#REF!</v>
      </c>
      <c r="C90" t="e">
        <f>AND('BBP complete'!#REF!,"AAAAADfZ/gI=")</f>
        <v>#REF!</v>
      </c>
      <c r="D90" t="e">
        <f>AND('BBP complete'!#REF!,"AAAAADfZ/gM=")</f>
        <v>#REF!</v>
      </c>
      <c r="E90" t="e">
        <f>AND('BBP complete'!C1203,"AAAAADfZ/gQ=")</f>
        <v>#VALUE!</v>
      </c>
      <c r="F90" t="e">
        <f>AND('BBP complete'!L1346,"AAAAADfZ/gU=")</f>
        <v>#VALUE!</v>
      </c>
      <c r="G90" t="e">
        <f>AND('BBP complete'!M1346,"AAAAADfZ/gY=")</f>
        <v>#VALUE!</v>
      </c>
      <c r="H90" t="e">
        <f>AND('BBP complete'!N1346,"AAAAADfZ/gc=")</f>
        <v>#VALUE!</v>
      </c>
      <c r="I90" s="60" t="e">
        <v>#VALUE!</v>
      </c>
      <c r="J90" t="e">
        <f>AND('BBP complete'!B1207,"AAAAADfZ/gk=")</f>
        <v>#VALUE!</v>
      </c>
      <c r="K90" t="e">
        <f>AND('BBP complete'!#REF!,"AAAAADfZ/go=")</f>
        <v>#REF!</v>
      </c>
      <c r="L90" t="e">
        <f>AND('BBP complete'!#REF!,"AAAAADfZ/gs=")</f>
        <v>#REF!</v>
      </c>
      <c r="M90" t="e">
        <f>AND('BBP complete'!D1207,"AAAAADfZ/gw=")</f>
        <v>#VALUE!</v>
      </c>
      <c r="N90" t="e">
        <f>AND('BBP complete'!H1206,"AAAAADfZ/g0=")</f>
        <v>#VALUE!</v>
      </c>
      <c r="O90" t="e">
        <f>AND('BBP complete'!I1205,"AAAAADfZ/g4=")</f>
        <v>#VALUE!</v>
      </c>
      <c r="P90" t="e">
        <f>AND('BBP complete'!#REF!,"AAAAADfZ/g8=")</f>
        <v>#REF!</v>
      </c>
      <c r="Q90" t="e">
        <f>AND('BBP complete'!#REF!,"AAAAADfZ/hA=")</f>
        <v>#REF!</v>
      </c>
      <c r="R90" t="e">
        <f>AND('BBP complete'!#REF!,"AAAAADfZ/hE=")</f>
        <v>#REF!</v>
      </c>
      <c r="S90" t="e">
        <f>AND('BBP complete'!#REF!,"AAAAADfZ/hI=")</f>
        <v>#REF!</v>
      </c>
      <c r="T90" t="e">
        <f>AND('BBP complete'!#REF!,"AAAAADfZ/hM=")</f>
        <v>#REF!</v>
      </c>
      <c r="U90" t="e">
        <f>AND('BBP complete'!C1204,"AAAAADfZ/hQ=")</f>
        <v>#VALUE!</v>
      </c>
      <c r="V90" t="e">
        <f>AND('BBP complete'!L1347,"AAAAADfZ/hU=")</f>
        <v>#VALUE!</v>
      </c>
      <c r="W90" t="e">
        <f>AND('BBP complete'!M1347,"AAAAADfZ/hY=")</f>
        <v>#VALUE!</v>
      </c>
      <c r="X90" t="e">
        <f>AND('BBP complete'!N1347,"AAAAADfZ/hc=")</f>
        <v>#VALUE!</v>
      </c>
      <c r="Y90" s="60" t="e">
        <v>#VALUE!</v>
      </c>
      <c r="Z90" t="e">
        <f>AND('BBP complete'!B1208,"AAAAADfZ/hk=")</f>
        <v>#VALUE!</v>
      </c>
      <c r="AA90" t="e">
        <f>AND('BBP complete'!#REF!,"AAAAADfZ/ho=")</f>
        <v>#REF!</v>
      </c>
      <c r="AB90" t="e">
        <f>AND('BBP complete'!#REF!,"AAAAADfZ/hs=")</f>
        <v>#REF!</v>
      </c>
      <c r="AC90" t="e">
        <f>AND('BBP complete'!D1208,"AAAAADfZ/hw=")</f>
        <v>#VALUE!</v>
      </c>
      <c r="AD90" t="e">
        <f>AND('BBP complete'!H1207,"AAAAADfZ/h0=")</f>
        <v>#VALUE!</v>
      </c>
      <c r="AE90" t="e">
        <f>AND('BBP complete'!I1206,"AAAAADfZ/h4=")</f>
        <v>#VALUE!</v>
      </c>
      <c r="AF90" t="e">
        <f>AND('BBP complete'!#REF!,"AAAAADfZ/h8=")</f>
        <v>#REF!</v>
      </c>
      <c r="AG90" t="e">
        <f>AND('BBP complete'!#REF!,"AAAAADfZ/iA=")</f>
        <v>#REF!</v>
      </c>
      <c r="AH90" t="e">
        <f>AND('BBP complete'!#REF!,"AAAAADfZ/iE=")</f>
        <v>#REF!</v>
      </c>
      <c r="AI90" t="e">
        <f>AND('BBP complete'!#REF!,"AAAAADfZ/iI=")</f>
        <v>#REF!</v>
      </c>
      <c r="AJ90" t="e">
        <f>AND('BBP complete'!#REF!,"AAAAADfZ/iM=")</f>
        <v>#REF!</v>
      </c>
      <c r="AK90" t="e">
        <f>AND('BBP complete'!C1205,"AAAAADfZ/iQ=")</f>
        <v>#VALUE!</v>
      </c>
      <c r="AL90" t="e">
        <f>AND('BBP complete'!L1348,"AAAAADfZ/iU=")</f>
        <v>#VALUE!</v>
      </c>
      <c r="AM90" t="e">
        <f>AND('BBP complete'!M1348,"AAAAADfZ/iY=")</f>
        <v>#VALUE!</v>
      </c>
      <c r="AN90" t="e">
        <f>AND('BBP complete'!N1348,"AAAAADfZ/ic=")</f>
        <v>#VALUE!</v>
      </c>
      <c r="AO90" s="60" t="e">
        <v>#VALUE!</v>
      </c>
      <c r="AP90" t="e">
        <f>AND('BBP complete'!B1209,"AAAAADfZ/ik=")</f>
        <v>#VALUE!</v>
      </c>
      <c r="AQ90" t="e">
        <f>AND('BBP complete'!#REF!,"AAAAADfZ/io=")</f>
        <v>#REF!</v>
      </c>
      <c r="AR90" t="e">
        <f>AND('BBP complete'!#REF!,"AAAAADfZ/is=")</f>
        <v>#REF!</v>
      </c>
      <c r="AS90" t="e">
        <f>AND('BBP complete'!D1209,"AAAAADfZ/iw=")</f>
        <v>#VALUE!</v>
      </c>
      <c r="AT90" t="e">
        <f>AND('BBP complete'!H1208,"AAAAADfZ/i0=")</f>
        <v>#VALUE!</v>
      </c>
      <c r="AU90" t="e">
        <f>AND('BBP complete'!I1207,"AAAAADfZ/i4=")</f>
        <v>#VALUE!</v>
      </c>
      <c r="AV90" t="e">
        <f>AND('BBP complete'!#REF!,"AAAAADfZ/i8=")</f>
        <v>#REF!</v>
      </c>
      <c r="AW90" t="e">
        <f>AND('BBP complete'!#REF!,"AAAAADfZ/jA=")</f>
        <v>#REF!</v>
      </c>
      <c r="AX90" t="e">
        <f>AND('BBP complete'!#REF!,"AAAAADfZ/jE=")</f>
        <v>#REF!</v>
      </c>
      <c r="AY90" t="e">
        <f>AND('BBP complete'!#REF!,"AAAAADfZ/jI=")</f>
        <v>#REF!</v>
      </c>
      <c r="AZ90" t="e">
        <f>AND('BBP complete'!#REF!,"AAAAADfZ/jM=")</f>
        <v>#REF!</v>
      </c>
      <c r="BA90" t="e">
        <f>AND('BBP complete'!C1206,"AAAAADfZ/jQ=")</f>
        <v>#VALUE!</v>
      </c>
      <c r="BB90" t="e">
        <f>AND('BBP complete'!L1349,"AAAAADfZ/jU=")</f>
        <v>#VALUE!</v>
      </c>
      <c r="BC90" t="e">
        <f>AND('BBP complete'!M1349,"AAAAADfZ/jY=")</f>
        <v>#VALUE!</v>
      </c>
      <c r="BD90" t="e">
        <f>AND('BBP complete'!N1349,"AAAAADfZ/jc=")</f>
        <v>#VALUE!</v>
      </c>
      <c r="BE90" s="60" t="e">
        <v>#VALUE!</v>
      </c>
      <c r="BF90" t="e">
        <f>AND('BBP complete'!B1210,"AAAAADfZ/jk=")</f>
        <v>#VALUE!</v>
      </c>
      <c r="BG90" t="e">
        <f>AND('BBP complete'!#REF!,"AAAAADfZ/jo=")</f>
        <v>#REF!</v>
      </c>
      <c r="BH90" t="e">
        <f>AND('BBP complete'!#REF!,"AAAAADfZ/js=")</f>
        <v>#REF!</v>
      </c>
      <c r="BI90" t="e">
        <f>AND('BBP complete'!D1210,"AAAAADfZ/jw=")</f>
        <v>#VALUE!</v>
      </c>
      <c r="BJ90" t="e">
        <f>AND('BBP complete'!H1209,"AAAAADfZ/j0=")</f>
        <v>#VALUE!</v>
      </c>
      <c r="BK90" t="e">
        <f>AND('BBP complete'!I1208,"AAAAADfZ/j4=")</f>
        <v>#VALUE!</v>
      </c>
      <c r="BL90" t="e">
        <f>AND('BBP complete'!#REF!,"AAAAADfZ/j8=")</f>
        <v>#REF!</v>
      </c>
      <c r="BM90" t="e">
        <f>AND('BBP complete'!#REF!,"AAAAADfZ/kA=")</f>
        <v>#REF!</v>
      </c>
      <c r="BN90" t="e">
        <f>AND('BBP complete'!#REF!,"AAAAADfZ/kE=")</f>
        <v>#REF!</v>
      </c>
      <c r="BO90" t="e">
        <f>AND('BBP complete'!#REF!,"AAAAADfZ/kI=")</f>
        <v>#REF!</v>
      </c>
      <c r="BP90" t="e">
        <f>AND('BBP complete'!#REF!,"AAAAADfZ/kM=")</f>
        <v>#REF!</v>
      </c>
      <c r="BQ90" t="e">
        <f>AND('BBP complete'!C1207,"AAAAADfZ/kQ=")</f>
        <v>#VALUE!</v>
      </c>
      <c r="BR90" t="e">
        <f>AND('BBP complete'!L1350,"AAAAADfZ/kU=")</f>
        <v>#VALUE!</v>
      </c>
      <c r="BS90" t="e">
        <f>AND('BBP complete'!M1350,"AAAAADfZ/kY=")</f>
        <v>#VALUE!</v>
      </c>
      <c r="BT90" t="e">
        <f>AND('BBP complete'!N1350,"AAAAADfZ/kc=")</f>
        <v>#VALUE!</v>
      </c>
      <c r="BU90" s="60" t="e">
        <v>#VALUE!</v>
      </c>
      <c r="BV90" t="e">
        <f>AND('BBP complete'!B1211,"AAAAADfZ/kk=")</f>
        <v>#VALUE!</v>
      </c>
      <c r="BW90" t="e">
        <f>AND('BBP complete'!#REF!,"AAAAADfZ/ko=")</f>
        <v>#REF!</v>
      </c>
      <c r="BX90" t="e">
        <f>AND('BBP complete'!#REF!,"AAAAADfZ/ks=")</f>
        <v>#REF!</v>
      </c>
      <c r="BY90" t="e">
        <f>AND('BBP complete'!D1211,"AAAAADfZ/kw=")</f>
        <v>#VALUE!</v>
      </c>
      <c r="BZ90" t="e">
        <f>AND('BBP complete'!H1210,"AAAAADfZ/k0=")</f>
        <v>#VALUE!</v>
      </c>
      <c r="CA90" t="e">
        <f>AND('BBP complete'!I1209,"AAAAADfZ/k4=")</f>
        <v>#VALUE!</v>
      </c>
      <c r="CB90" t="e">
        <f>AND('BBP complete'!#REF!,"AAAAADfZ/k8=")</f>
        <v>#REF!</v>
      </c>
      <c r="CC90" t="e">
        <f>AND('BBP complete'!#REF!,"AAAAADfZ/lA=")</f>
        <v>#REF!</v>
      </c>
      <c r="CD90" t="e">
        <f>AND('BBP complete'!#REF!,"AAAAADfZ/lE=")</f>
        <v>#REF!</v>
      </c>
      <c r="CE90" t="e">
        <f>AND('BBP complete'!#REF!,"AAAAADfZ/lI=")</f>
        <v>#REF!</v>
      </c>
      <c r="CF90" t="e">
        <f>AND('BBP complete'!#REF!,"AAAAADfZ/lM=")</f>
        <v>#REF!</v>
      </c>
      <c r="CG90" t="e">
        <f>AND('BBP complete'!C1208,"AAAAADfZ/lQ=")</f>
        <v>#VALUE!</v>
      </c>
      <c r="CH90" t="e">
        <f>AND('BBP complete'!L1351,"AAAAADfZ/lU=")</f>
        <v>#VALUE!</v>
      </c>
      <c r="CI90" t="e">
        <f>AND('BBP complete'!M1351,"AAAAADfZ/lY=")</f>
        <v>#VALUE!</v>
      </c>
      <c r="CJ90" t="e">
        <f>AND('BBP complete'!N1351,"AAAAADfZ/lc=")</f>
        <v>#VALUE!</v>
      </c>
      <c r="CK90" s="60" t="e">
        <v>#VALUE!</v>
      </c>
      <c r="CL90" t="e">
        <f>AND('BBP complete'!B1212,"AAAAADfZ/lk=")</f>
        <v>#VALUE!</v>
      </c>
      <c r="CM90" t="e">
        <f>AND('BBP complete'!#REF!,"AAAAADfZ/lo=")</f>
        <v>#REF!</v>
      </c>
      <c r="CN90" t="e">
        <f>AND('BBP complete'!#REF!,"AAAAADfZ/ls=")</f>
        <v>#REF!</v>
      </c>
      <c r="CO90" t="e">
        <f>AND('BBP complete'!D1212,"AAAAADfZ/lw=")</f>
        <v>#VALUE!</v>
      </c>
      <c r="CP90" t="e">
        <f>AND('BBP complete'!H1211,"AAAAADfZ/l0=")</f>
        <v>#VALUE!</v>
      </c>
      <c r="CQ90" t="e">
        <f>AND('BBP complete'!I1210,"AAAAADfZ/l4=")</f>
        <v>#VALUE!</v>
      </c>
      <c r="CR90" t="e">
        <f>AND('BBP complete'!#REF!,"AAAAADfZ/l8=")</f>
        <v>#REF!</v>
      </c>
      <c r="CS90" t="e">
        <f>AND('BBP complete'!#REF!,"AAAAADfZ/mA=")</f>
        <v>#REF!</v>
      </c>
      <c r="CT90" t="e">
        <f>AND('BBP complete'!#REF!,"AAAAADfZ/mE=")</f>
        <v>#REF!</v>
      </c>
      <c r="CU90" t="e">
        <f>AND('BBP complete'!#REF!,"AAAAADfZ/mI=")</f>
        <v>#REF!</v>
      </c>
      <c r="CV90" t="e">
        <f>AND('BBP complete'!#REF!,"AAAAADfZ/mM=")</f>
        <v>#REF!</v>
      </c>
      <c r="CW90" t="e">
        <f>AND('BBP complete'!C1209,"AAAAADfZ/mQ=")</f>
        <v>#VALUE!</v>
      </c>
      <c r="CX90" t="e">
        <f>AND('BBP complete'!L1352,"AAAAADfZ/mU=")</f>
        <v>#VALUE!</v>
      </c>
      <c r="CY90" t="e">
        <f>AND('BBP complete'!M1352,"AAAAADfZ/mY=")</f>
        <v>#VALUE!</v>
      </c>
      <c r="CZ90" t="e">
        <f>AND('BBP complete'!N1352,"AAAAADfZ/mc=")</f>
        <v>#VALUE!</v>
      </c>
      <c r="DA90" s="60" t="e">
        <v>#VALUE!</v>
      </c>
      <c r="DB90" t="e">
        <f>AND('BBP complete'!B1213,"AAAAADfZ/mk=")</f>
        <v>#VALUE!</v>
      </c>
      <c r="DC90" t="e">
        <f>AND('BBP complete'!#REF!,"AAAAADfZ/mo=")</f>
        <v>#REF!</v>
      </c>
      <c r="DD90" t="e">
        <f>AND('BBP complete'!#REF!,"AAAAADfZ/ms=")</f>
        <v>#REF!</v>
      </c>
      <c r="DE90" t="e">
        <f>AND('BBP complete'!D1213,"AAAAADfZ/mw=")</f>
        <v>#VALUE!</v>
      </c>
      <c r="DF90" t="e">
        <f>AND('BBP complete'!H1212,"AAAAADfZ/m0=")</f>
        <v>#VALUE!</v>
      </c>
      <c r="DG90" t="e">
        <f>AND('BBP complete'!I1211,"AAAAADfZ/m4=")</f>
        <v>#VALUE!</v>
      </c>
      <c r="DH90" t="e">
        <f>AND('BBP complete'!#REF!,"AAAAADfZ/m8=")</f>
        <v>#REF!</v>
      </c>
      <c r="DI90" t="e">
        <f>AND('BBP complete'!#REF!,"AAAAADfZ/nA=")</f>
        <v>#REF!</v>
      </c>
      <c r="DJ90" t="e">
        <f>AND('BBP complete'!#REF!,"AAAAADfZ/nE=")</f>
        <v>#REF!</v>
      </c>
      <c r="DK90" t="e">
        <f>AND('BBP complete'!#REF!,"AAAAADfZ/nI=")</f>
        <v>#REF!</v>
      </c>
      <c r="DL90" t="e">
        <f>AND('BBP complete'!#REF!,"AAAAADfZ/nM=")</f>
        <v>#REF!</v>
      </c>
      <c r="DM90" t="e">
        <f>AND('BBP complete'!C1210,"AAAAADfZ/nQ=")</f>
        <v>#VALUE!</v>
      </c>
      <c r="DN90" t="e">
        <f>AND('BBP complete'!L1353,"AAAAADfZ/nU=")</f>
        <v>#VALUE!</v>
      </c>
      <c r="DO90" t="e">
        <f>AND('BBP complete'!M1353,"AAAAADfZ/nY=")</f>
        <v>#VALUE!</v>
      </c>
      <c r="DP90" t="e">
        <f>AND('BBP complete'!N1353,"AAAAADfZ/nc=")</f>
        <v>#VALUE!</v>
      </c>
      <c r="DQ90" s="60" t="e">
        <v>#VALUE!</v>
      </c>
      <c r="DR90" t="e">
        <f>AND('BBP complete'!B1214,"AAAAADfZ/nk=")</f>
        <v>#VALUE!</v>
      </c>
      <c r="DS90" t="e">
        <f>AND('BBP complete'!#REF!,"AAAAADfZ/no=")</f>
        <v>#REF!</v>
      </c>
      <c r="DT90" t="e">
        <f>AND('BBP complete'!#REF!,"AAAAADfZ/ns=")</f>
        <v>#REF!</v>
      </c>
      <c r="DU90" t="e">
        <f>AND('BBP complete'!D1214,"AAAAADfZ/nw=")</f>
        <v>#VALUE!</v>
      </c>
      <c r="DV90" t="e">
        <f>AND('BBP complete'!H1213,"AAAAADfZ/n0=")</f>
        <v>#VALUE!</v>
      </c>
      <c r="DW90" t="e">
        <f>AND('BBP complete'!I1212,"AAAAADfZ/n4=")</f>
        <v>#VALUE!</v>
      </c>
      <c r="DX90" t="e">
        <f>AND('BBP complete'!#REF!,"AAAAADfZ/n8=")</f>
        <v>#REF!</v>
      </c>
      <c r="DY90" t="e">
        <f>AND('BBP complete'!#REF!,"AAAAADfZ/oA=")</f>
        <v>#REF!</v>
      </c>
      <c r="DZ90" t="e">
        <f>AND('BBP complete'!#REF!,"AAAAADfZ/oE=")</f>
        <v>#REF!</v>
      </c>
      <c r="EA90" t="e">
        <f>AND('BBP complete'!#REF!,"AAAAADfZ/oI=")</f>
        <v>#REF!</v>
      </c>
      <c r="EB90" t="e">
        <f>AND('BBP complete'!#REF!,"AAAAADfZ/oM=")</f>
        <v>#REF!</v>
      </c>
      <c r="EC90" t="e">
        <f>AND('BBP complete'!C1211,"AAAAADfZ/oQ=")</f>
        <v>#VALUE!</v>
      </c>
      <c r="ED90" t="e">
        <f>AND('BBP complete'!L1354,"AAAAADfZ/oU=")</f>
        <v>#VALUE!</v>
      </c>
      <c r="EE90" t="e">
        <f>AND('BBP complete'!M1354,"AAAAADfZ/oY=")</f>
        <v>#VALUE!</v>
      </c>
      <c r="EF90" t="e">
        <f>AND('BBP complete'!N1354,"AAAAADfZ/oc=")</f>
        <v>#VALUE!</v>
      </c>
      <c r="EG90" s="60" t="e">
        <v>#VALUE!</v>
      </c>
      <c r="EH90" t="e">
        <f>AND('BBP complete'!B1215,"AAAAADfZ/ok=")</f>
        <v>#VALUE!</v>
      </c>
      <c r="EI90" t="e">
        <f>AND('BBP complete'!#REF!,"AAAAADfZ/oo=")</f>
        <v>#REF!</v>
      </c>
      <c r="EJ90" t="e">
        <f>AND('BBP complete'!#REF!,"AAAAADfZ/os=")</f>
        <v>#REF!</v>
      </c>
      <c r="EK90" t="e">
        <f>AND('BBP complete'!D1215,"AAAAADfZ/ow=")</f>
        <v>#VALUE!</v>
      </c>
      <c r="EL90" t="e">
        <f>AND('BBP complete'!H1214,"AAAAADfZ/o0=")</f>
        <v>#VALUE!</v>
      </c>
      <c r="EM90" t="e">
        <f>AND('BBP complete'!I1213,"AAAAADfZ/o4=")</f>
        <v>#VALUE!</v>
      </c>
      <c r="EN90" t="e">
        <f>AND('BBP complete'!#REF!,"AAAAADfZ/o8=")</f>
        <v>#REF!</v>
      </c>
      <c r="EO90" t="e">
        <f>AND('BBP complete'!#REF!,"AAAAADfZ/pA=")</f>
        <v>#REF!</v>
      </c>
      <c r="EP90" t="e">
        <f>AND('BBP complete'!#REF!,"AAAAADfZ/pE=")</f>
        <v>#REF!</v>
      </c>
      <c r="EQ90" t="e">
        <f>AND('BBP complete'!#REF!,"AAAAADfZ/pI=")</f>
        <v>#REF!</v>
      </c>
      <c r="ER90" t="e">
        <f>AND('BBP complete'!#REF!,"AAAAADfZ/pM=")</f>
        <v>#REF!</v>
      </c>
      <c r="ES90" t="e">
        <f>AND('BBP complete'!C1212,"AAAAADfZ/pQ=")</f>
        <v>#VALUE!</v>
      </c>
      <c r="ET90" t="e">
        <f>AND('BBP complete'!L1355,"AAAAADfZ/pU=")</f>
        <v>#VALUE!</v>
      </c>
      <c r="EU90" t="e">
        <f>AND('BBP complete'!M1355,"AAAAADfZ/pY=")</f>
        <v>#VALUE!</v>
      </c>
      <c r="EV90" t="e">
        <f>AND('BBP complete'!N1355,"AAAAADfZ/pc=")</f>
        <v>#VALUE!</v>
      </c>
      <c r="EW90" s="60" t="e">
        <v>#VALUE!</v>
      </c>
      <c r="EX90" t="e">
        <f>AND('BBP complete'!B1216,"AAAAADfZ/pk=")</f>
        <v>#VALUE!</v>
      </c>
      <c r="EY90" t="e">
        <f>AND('BBP complete'!#REF!,"AAAAADfZ/po=")</f>
        <v>#REF!</v>
      </c>
      <c r="EZ90" t="e">
        <f>AND('BBP complete'!#REF!,"AAAAADfZ/ps=")</f>
        <v>#REF!</v>
      </c>
      <c r="FA90" t="e">
        <f>AND('BBP complete'!D1216,"AAAAADfZ/pw=")</f>
        <v>#VALUE!</v>
      </c>
      <c r="FB90" t="e">
        <f>AND('BBP complete'!H1215,"AAAAADfZ/p0=")</f>
        <v>#VALUE!</v>
      </c>
      <c r="FC90" t="e">
        <f>AND('BBP complete'!I1214,"AAAAADfZ/p4=")</f>
        <v>#VALUE!</v>
      </c>
      <c r="FD90" t="e">
        <f>AND('BBP complete'!#REF!,"AAAAADfZ/p8=")</f>
        <v>#REF!</v>
      </c>
      <c r="FE90" t="e">
        <f>AND('BBP complete'!#REF!,"AAAAADfZ/qA=")</f>
        <v>#REF!</v>
      </c>
      <c r="FF90" t="e">
        <f>AND('BBP complete'!#REF!,"AAAAADfZ/qE=")</f>
        <v>#REF!</v>
      </c>
      <c r="FG90" t="e">
        <f>AND('BBP complete'!#REF!,"AAAAADfZ/qI=")</f>
        <v>#REF!</v>
      </c>
      <c r="FH90" t="e">
        <f>AND('BBP complete'!#REF!,"AAAAADfZ/qM=")</f>
        <v>#REF!</v>
      </c>
      <c r="FI90" t="e">
        <f>AND('BBP complete'!C1213,"AAAAADfZ/qQ=")</f>
        <v>#VALUE!</v>
      </c>
      <c r="FJ90" t="e">
        <f>AND('BBP complete'!L1356,"AAAAADfZ/qU=")</f>
        <v>#VALUE!</v>
      </c>
      <c r="FK90" t="e">
        <f>AND('BBP complete'!M1356,"AAAAADfZ/qY=")</f>
        <v>#VALUE!</v>
      </c>
      <c r="FL90" t="e">
        <f>AND('BBP complete'!N1356,"AAAAADfZ/qc=")</f>
        <v>#VALUE!</v>
      </c>
      <c r="FM90" s="60" t="e">
        <v>#VALUE!</v>
      </c>
      <c r="FN90" t="e">
        <f>AND('BBP complete'!B1217,"AAAAADfZ/qk=")</f>
        <v>#VALUE!</v>
      </c>
      <c r="FO90" t="e">
        <f>AND('BBP complete'!#REF!,"AAAAADfZ/qo=")</f>
        <v>#REF!</v>
      </c>
      <c r="FP90" t="e">
        <f>AND('BBP complete'!#REF!,"AAAAADfZ/qs=")</f>
        <v>#REF!</v>
      </c>
      <c r="FQ90" t="e">
        <f>AND('BBP complete'!D1217,"AAAAADfZ/qw=")</f>
        <v>#VALUE!</v>
      </c>
      <c r="FR90" t="e">
        <f>AND('BBP complete'!H1216,"AAAAADfZ/q0=")</f>
        <v>#VALUE!</v>
      </c>
      <c r="FS90" t="e">
        <f>AND('BBP complete'!I1215,"AAAAADfZ/q4=")</f>
        <v>#VALUE!</v>
      </c>
      <c r="FT90" t="e">
        <f>AND('BBP complete'!#REF!,"AAAAADfZ/q8=")</f>
        <v>#REF!</v>
      </c>
      <c r="FU90" t="e">
        <f>AND('BBP complete'!#REF!,"AAAAADfZ/rA=")</f>
        <v>#REF!</v>
      </c>
      <c r="FV90" t="e">
        <f>AND('BBP complete'!#REF!,"AAAAADfZ/rE=")</f>
        <v>#REF!</v>
      </c>
      <c r="FW90" t="e">
        <f>AND('BBP complete'!#REF!,"AAAAADfZ/rI=")</f>
        <v>#REF!</v>
      </c>
      <c r="FX90" t="e">
        <f>AND('BBP complete'!#REF!,"AAAAADfZ/rM=")</f>
        <v>#REF!</v>
      </c>
      <c r="FY90" t="e">
        <f>AND('BBP complete'!C1214,"AAAAADfZ/rQ=")</f>
        <v>#VALUE!</v>
      </c>
      <c r="FZ90" t="e">
        <f>AND('BBP complete'!L1357,"AAAAADfZ/rU=")</f>
        <v>#VALUE!</v>
      </c>
      <c r="GA90" t="e">
        <f>AND('BBP complete'!M1357,"AAAAADfZ/rY=")</f>
        <v>#VALUE!</v>
      </c>
      <c r="GB90" t="e">
        <f>AND('BBP complete'!N1357,"AAAAADfZ/rc=")</f>
        <v>#VALUE!</v>
      </c>
      <c r="GC90" s="60" t="e">
        <v>#VALUE!</v>
      </c>
      <c r="GD90" t="e">
        <f>AND('BBP complete'!B1218,"AAAAADfZ/rk=")</f>
        <v>#VALUE!</v>
      </c>
      <c r="GE90" t="e">
        <f>AND('BBP complete'!#REF!,"AAAAADfZ/ro=")</f>
        <v>#REF!</v>
      </c>
      <c r="GF90" t="e">
        <f>AND('BBP complete'!#REF!,"AAAAADfZ/rs=")</f>
        <v>#REF!</v>
      </c>
      <c r="GG90" t="e">
        <f>AND('BBP complete'!D1218,"AAAAADfZ/rw=")</f>
        <v>#VALUE!</v>
      </c>
      <c r="GH90" t="e">
        <f>AND('BBP complete'!H1217,"AAAAADfZ/r0=")</f>
        <v>#VALUE!</v>
      </c>
      <c r="GI90" t="e">
        <f>AND('BBP complete'!I1216,"AAAAADfZ/r4=")</f>
        <v>#VALUE!</v>
      </c>
      <c r="GJ90" t="e">
        <f>AND('BBP complete'!#REF!,"AAAAADfZ/r8=")</f>
        <v>#REF!</v>
      </c>
      <c r="GK90" t="e">
        <f>AND('BBP complete'!#REF!,"AAAAADfZ/sA=")</f>
        <v>#REF!</v>
      </c>
      <c r="GL90" t="e">
        <f>AND('BBP complete'!#REF!,"AAAAADfZ/sE=")</f>
        <v>#REF!</v>
      </c>
      <c r="GM90" t="e">
        <f>AND('BBP complete'!#REF!,"AAAAADfZ/sI=")</f>
        <v>#REF!</v>
      </c>
      <c r="GN90" t="e">
        <f>AND('BBP complete'!#REF!,"AAAAADfZ/sM=")</f>
        <v>#REF!</v>
      </c>
      <c r="GO90" t="e">
        <f>AND('BBP complete'!C1215,"AAAAADfZ/sQ=")</f>
        <v>#VALUE!</v>
      </c>
      <c r="GP90" t="e">
        <f>AND('BBP complete'!L1358,"AAAAADfZ/sU=")</f>
        <v>#VALUE!</v>
      </c>
      <c r="GQ90" t="e">
        <f>AND('BBP complete'!M1358,"AAAAADfZ/sY=")</f>
        <v>#VALUE!</v>
      </c>
      <c r="GR90" t="e">
        <f>AND('BBP complete'!N1358,"AAAAADfZ/sc=")</f>
        <v>#VALUE!</v>
      </c>
      <c r="GS90" s="60" t="e">
        <v>#VALUE!</v>
      </c>
      <c r="GT90" t="e">
        <f>AND('BBP complete'!B1219,"AAAAADfZ/sk=")</f>
        <v>#VALUE!</v>
      </c>
      <c r="GU90" t="e">
        <f>AND('BBP complete'!#REF!,"AAAAADfZ/so=")</f>
        <v>#REF!</v>
      </c>
      <c r="GV90" t="e">
        <f>AND('BBP complete'!#REF!,"AAAAADfZ/ss=")</f>
        <v>#REF!</v>
      </c>
      <c r="GW90" t="e">
        <f>AND('BBP complete'!D1219,"AAAAADfZ/sw=")</f>
        <v>#VALUE!</v>
      </c>
      <c r="GX90" t="e">
        <f>AND('BBP complete'!H1218,"AAAAADfZ/s0=")</f>
        <v>#VALUE!</v>
      </c>
      <c r="GY90" t="e">
        <f>AND('BBP complete'!I1217,"AAAAADfZ/s4=")</f>
        <v>#VALUE!</v>
      </c>
      <c r="GZ90" t="e">
        <f>AND('BBP complete'!#REF!,"AAAAADfZ/s8=")</f>
        <v>#REF!</v>
      </c>
      <c r="HA90" t="e">
        <f>AND('BBP complete'!#REF!,"AAAAADfZ/tA=")</f>
        <v>#REF!</v>
      </c>
      <c r="HB90" t="e">
        <f>AND('BBP complete'!#REF!,"AAAAADfZ/tE=")</f>
        <v>#REF!</v>
      </c>
      <c r="HC90" t="e">
        <f>AND('BBP complete'!#REF!,"AAAAADfZ/tI=")</f>
        <v>#REF!</v>
      </c>
      <c r="HD90" t="e">
        <f>AND('BBP complete'!#REF!,"AAAAADfZ/tM=")</f>
        <v>#REF!</v>
      </c>
      <c r="HE90" t="e">
        <f>AND('BBP complete'!C1216,"AAAAADfZ/tQ=")</f>
        <v>#VALUE!</v>
      </c>
      <c r="HF90" t="e">
        <f>AND('BBP complete'!L1359,"AAAAADfZ/tU=")</f>
        <v>#VALUE!</v>
      </c>
      <c r="HG90" t="e">
        <f>AND('BBP complete'!M1359,"AAAAADfZ/tY=")</f>
        <v>#VALUE!</v>
      </c>
      <c r="HH90" t="e">
        <f>AND('BBP complete'!N1359,"AAAAADfZ/tc=")</f>
        <v>#VALUE!</v>
      </c>
      <c r="HI90" s="60" t="e">
        <v>#VALUE!</v>
      </c>
      <c r="HJ90" t="e">
        <f>AND('BBP complete'!B1220,"AAAAADfZ/tk=")</f>
        <v>#VALUE!</v>
      </c>
      <c r="HK90" t="e">
        <f>AND('BBP complete'!#REF!,"AAAAADfZ/to=")</f>
        <v>#REF!</v>
      </c>
      <c r="HL90" t="e">
        <f>AND('BBP complete'!#REF!,"AAAAADfZ/ts=")</f>
        <v>#REF!</v>
      </c>
      <c r="HM90" t="e">
        <f>AND('BBP complete'!D1220,"AAAAADfZ/tw=")</f>
        <v>#VALUE!</v>
      </c>
      <c r="HN90" t="e">
        <f>AND('BBP complete'!H1219,"AAAAADfZ/t0=")</f>
        <v>#VALUE!</v>
      </c>
      <c r="HO90" t="e">
        <f>AND('BBP complete'!I1218,"AAAAADfZ/t4=")</f>
        <v>#VALUE!</v>
      </c>
      <c r="HP90" t="e">
        <f>AND('BBP complete'!#REF!,"AAAAADfZ/t8=")</f>
        <v>#REF!</v>
      </c>
      <c r="HQ90" t="e">
        <f>AND('BBP complete'!#REF!,"AAAAADfZ/uA=")</f>
        <v>#REF!</v>
      </c>
      <c r="HR90" t="e">
        <f>AND('BBP complete'!#REF!,"AAAAADfZ/uE=")</f>
        <v>#REF!</v>
      </c>
      <c r="HS90" t="e">
        <f>AND('BBP complete'!#REF!,"AAAAADfZ/uI=")</f>
        <v>#REF!</v>
      </c>
      <c r="HT90" t="e">
        <f>AND('BBP complete'!#REF!,"AAAAADfZ/uM=")</f>
        <v>#REF!</v>
      </c>
      <c r="HU90" t="e">
        <f>AND('BBP complete'!C1217,"AAAAADfZ/uQ=")</f>
        <v>#VALUE!</v>
      </c>
      <c r="HV90" t="e">
        <f>AND('BBP complete'!L1360,"AAAAADfZ/uU=")</f>
        <v>#VALUE!</v>
      </c>
      <c r="HW90" t="e">
        <f>AND('BBP complete'!M1360,"AAAAADfZ/uY=")</f>
        <v>#VALUE!</v>
      </c>
      <c r="HX90" t="e">
        <f>AND('BBP complete'!N1360,"AAAAADfZ/uc=")</f>
        <v>#VALUE!</v>
      </c>
      <c r="HY90" s="60" t="e">
        <v>#VALUE!</v>
      </c>
      <c r="HZ90" t="e">
        <f>AND('BBP complete'!B1221,"AAAAADfZ/uk=")</f>
        <v>#VALUE!</v>
      </c>
      <c r="IA90" t="e">
        <f>AND('BBP complete'!#REF!,"AAAAADfZ/uo=")</f>
        <v>#REF!</v>
      </c>
      <c r="IB90" t="e">
        <f>AND('BBP complete'!#REF!,"AAAAADfZ/us=")</f>
        <v>#REF!</v>
      </c>
      <c r="IC90" t="e">
        <f>AND('BBP complete'!D1221,"AAAAADfZ/uw=")</f>
        <v>#VALUE!</v>
      </c>
      <c r="ID90" t="e">
        <f>AND('BBP complete'!H1220,"AAAAADfZ/u0=")</f>
        <v>#VALUE!</v>
      </c>
      <c r="IE90" t="e">
        <f>AND('BBP complete'!I1219,"AAAAADfZ/u4=")</f>
        <v>#VALUE!</v>
      </c>
      <c r="IF90" t="e">
        <f>AND('BBP complete'!#REF!,"AAAAADfZ/u8=")</f>
        <v>#REF!</v>
      </c>
      <c r="IG90" t="e">
        <f>AND('BBP complete'!#REF!,"AAAAADfZ/vA=")</f>
        <v>#REF!</v>
      </c>
      <c r="IH90" t="e">
        <f>AND('BBP complete'!#REF!,"AAAAADfZ/vE=")</f>
        <v>#REF!</v>
      </c>
      <c r="II90" t="e">
        <f>AND('BBP complete'!#REF!,"AAAAADfZ/vI=")</f>
        <v>#REF!</v>
      </c>
      <c r="IJ90" t="e">
        <f>AND('BBP complete'!#REF!,"AAAAADfZ/vM=")</f>
        <v>#REF!</v>
      </c>
      <c r="IK90" t="e">
        <f>AND('BBP complete'!C1218,"AAAAADfZ/vQ=")</f>
        <v>#VALUE!</v>
      </c>
      <c r="IL90" t="e">
        <f>AND('BBP complete'!L1361,"AAAAADfZ/vU=")</f>
        <v>#VALUE!</v>
      </c>
      <c r="IM90" t="e">
        <f>AND('BBP complete'!M1361,"AAAAADfZ/vY=")</f>
        <v>#VALUE!</v>
      </c>
      <c r="IN90" t="e">
        <f>AND('BBP complete'!N1361,"AAAAADfZ/vc=")</f>
        <v>#VALUE!</v>
      </c>
      <c r="IO90" s="60" t="e">
        <v>#VALUE!</v>
      </c>
      <c r="IP90" t="e">
        <f>AND('BBP complete'!B1222,"AAAAADfZ/vk=")</f>
        <v>#VALUE!</v>
      </c>
      <c r="IQ90" t="e">
        <f>AND('BBP complete'!#REF!,"AAAAADfZ/vo=")</f>
        <v>#REF!</v>
      </c>
      <c r="IR90" t="e">
        <f>AND('BBP complete'!#REF!,"AAAAADfZ/vs=")</f>
        <v>#REF!</v>
      </c>
      <c r="IS90" t="e">
        <f>AND('BBP complete'!D1222,"AAAAADfZ/vw=")</f>
        <v>#VALUE!</v>
      </c>
      <c r="IT90" t="e">
        <f>AND('BBP complete'!H1221,"AAAAADfZ/v0=")</f>
        <v>#VALUE!</v>
      </c>
      <c r="IU90" t="e">
        <f>AND('BBP complete'!I1220,"AAAAADfZ/v4=")</f>
        <v>#VALUE!</v>
      </c>
      <c r="IV90" t="e">
        <f>AND('BBP complete'!#REF!,"AAAAADfZ/v8=")</f>
        <v>#REF!</v>
      </c>
    </row>
    <row r="91" spans="1:256" ht="15" customHeight="1" x14ac:dyDescent="0.25">
      <c r="A91" t="e">
        <f>AND('BBP complete'!#REF!,"AAAAAGZ57AA=")</f>
        <v>#REF!</v>
      </c>
      <c r="B91" t="e">
        <f>AND('BBP complete'!#REF!,"AAAAAGZ57AE=")</f>
        <v>#REF!</v>
      </c>
      <c r="C91" t="e">
        <f>AND('BBP complete'!#REF!,"AAAAAGZ57AI=")</f>
        <v>#REF!</v>
      </c>
      <c r="D91" t="e">
        <f>AND('BBP complete'!#REF!,"AAAAAGZ57AM=")</f>
        <v>#REF!</v>
      </c>
      <c r="E91" t="e">
        <f>AND('BBP complete'!C1219,"AAAAAGZ57AQ=")</f>
        <v>#VALUE!</v>
      </c>
      <c r="F91" t="e">
        <f>AND('BBP complete'!L1362,"AAAAAGZ57AU=")</f>
        <v>#VALUE!</v>
      </c>
      <c r="G91" t="e">
        <f>AND('BBP complete'!M1362,"AAAAAGZ57AY=")</f>
        <v>#VALUE!</v>
      </c>
      <c r="H91" t="e">
        <f>AND('BBP complete'!N1362,"AAAAAGZ57Ac=")</f>
        <v>#VALUE!</v>
      </c>
      <c r="I91" s="60" t="e">
        <v>#VALUE!</v>
      </c>
      <c r="J91" t="e">
        <f>AND('BBP complete'!B1223,"AAAAAGZ57Ak=")</f>
        <v>#VALUE!</v>
      </c>
      <c r="K91" t="e">
        <f>AND('BBP complete'!#REF!,"AAAAAGZ57Ao=")</f>
        <v>#REF!</v>
      </c>
      <c r="L91" t="e">
        <f>AND('BBP complete'!#REF!,"AAAAAGZ57As=")</f>
        <v>#REF!</v>
      </c>
      <c r="M91" t="e">
        <f>AND('BBP complete'!D1223,"AAAAAGZ57Aw=")</f>
        <v>#VALUE!</v>
      </c>
      <c r="N91" t="e">
        <f>AND('BBP complete'!H1222,"AAAAAGZ57A0=")</f>
        <v>#VALUE!</v>
      </c>
      <c r="O91" t="e">
        <f>AND('BBP complete'!I1221,"AAAAAGZ57A4=")</f>
        <v>#VALUE!</v>
      </c>
      <c r="P91" t="e">
        <f>AND('BBP complete'!#REF!,"AAAAAGZ57A8=")</f>
        <v>#REF!</v>
      </c>
      <c r="Q91" t="e">
        <f>AND('BBP complete'!#REF!,"AAAAAGZ57BA=")</f>
        <v>#REF!</v>
      </c>
      <c r="R91" t="e">
        <f>AND('BBP complete'!#REF!,"AAAAAGZ57BE=")</f>
        <v>#REF!</v>
      </c>
      <c r="S91" t="e">
        <f>AND('BBP complete'!#REF!,"AAAAAGZ57BI=")</f>
        <v>#REF!</v>
      </c>
      <c r="T91" t="e">
        <f>AND('BBP complete'!#REF!,"AAAAAGZ57BM=")</f>
        <v>#REF!</v>
      </c>
      <c r="U91" t="e">
        <f>AND('BBP complete'!C1220,"AAAAAGZ57BQ=")</f>
        <v>#VALUE!</v>
      </c>
      <c r="V91" t="e">
        <f>AND('BBP complete'!L1363,"AAAAAGZ57BU=")</f>
        <v>#VALUE!</v>
      </c>
      <c r="W91" t="e">
        <f>AND('BBP complete'!M1363,"AAAAAGZ57BY=")</f>
        <v>#VALUE!</v>
      </c>
      <c r="X91" t="e">
        <f>AND('BBP complete'!N1363,"AAAAAGZ57Bc=")</f>
        <v>#VALUE!</v>
      </c>
      <c r="Y91" s="60" t="e">
        <v>#VALUE!</v>
      </c>
      <c r="Z91" t="e">
        <f>AND('BBP complete'!B1224,"AAAAAGZ57Bk=")</f>
        <v>#VALUE!</v>
      </c>
      <c r="AA91" t="e">
        <f>AND('BBP complete'!#REF!,"AAAAAGZ57Bo=")</f>
        <v>#REF!</v>
      </c>
      <c r="AB91" t="e">
        <f>AND('BBP complete'!#REF!,"AAAAAGZ57Bs=")</f>
        <v>#REF!</v>
      </c>
      <c r="AC91" t="e">
        <f>AND('BBP complete'!D1224,"AAAAAGZ57Bw=")</f>
        <v>#VALUE!</v>
      </c>
      <c r="AD91" t="e">
        <f>AND('BBP complete'!H1223,"AAAAAGZ57B0=")</f>
        <v>#VALUE!</v>
      </c>
      <c r="AE91" t="e">
        <f>AND('BBP complete'!I1222,"AAAAAGZ57B4=")</f>
        <v>#VALUE!</v>
      </c>
      <c r="AF91" t="e">
        <f>AND('BBP complete'!#REF!,"AAAAAGZ57B8=")</f>
        <v>#REF!</v>
      </c>
      <c r="AG91" t="e">
        <f>AND('BBP complete'!#REF!,"AAAAAGZ57CA=")</f>
        <v>#REF!</v>
      </c>
      <c r="AH91" t="e">
        <f>AND('BBP complete'!#REF!,"AAAAAGZ57CE=")</f>
        <v>#REF!</v>
      </c>
      <c r="AI91" t="e">
        <f>AND('BBP complete'!#REF!,"AAAAAGZ57CI=")</f>
        <v>#REF!</v>
      </c>
      <c r="AJ91" t="e">
        <f>AND('BBP complete'!#REF!,"AAAAAGZ57CM=")</f>
        <v>#REF!</v>
      </c>
      <c r="AK91" t="e">
        <f>AND('BBP complete'!C1221,"AAAAAGZ57CQ=")</f>
        <v>#VALUE!</v>
      </c>
      <c r="AL91" t="e">
        <f>AND('BBP complete'!L1364,"AAAAAGZ57CU=")</f>
        <v>#VALUE!</v>
      </c>
      <c r="AM91" t="e">
        <f>AND('BBP complete'!M1364,"AAAAAGZ57CY=")</f>
        <v>#VALUE!</v>
      </c>
      <c r="AN91" t="e">
        <f>AND('BBP complete'!N1364,"AAAAAGZ57Cc=")</f>
        <v>#VALUE!</v>
      </c>
      <c r="AO91" s="60" t="e">
        <v>#VALUE!</v>
      </c>
      <c r="AP91" t="e">
        <f>AND('BBP complete'!B1225,"AAAAAGZ57Ck=")</f>
        <v>#VALUE!</v>
      </c>
      <c r="AQ91" t="e">
        <f>AND('BBP complete'!F1226,"AAAAAGZ57Co=")</f>
        <v>#VALUE!</v>
      </c>
      <c r="AR91" t="e">
        <f>AND('BBP complete'!G1226,"AAAAAGZ57Cs=")</f>
        <v>#VALUE!</v>
      </c>
      <c r="AS91" t="e">
        <f>AND('BBP complete'!D1225,"AAAAAGZ57Cw=")</f>
        <v>#VALUE!</v>
      </c>
      <c r="AT91" t="e">
        <f>AND('BBP complete'!H1224,"AAAAAGZ57C0=")</f>
        <v>#VALUE!</v>
      </c>
      <c r="AU91" t="e">
        <f>AND('BBP complete'!I1223,"AAAAAGZ57C4=")</f>
        <v>#VALUE!</v>
      </c>
      <c r="AV91" t="e">
        <f>AND('BBP complete'!#REF!,"AAAAAGZ57C8=")</f>
        <v>#REF!</v>
      </c>
      <c r="AW91" t="e">
        <f>AND('BBP complete'!#REF!,"AAAAAGZ57DA=")</f>
        <v>#REF!</v>
      </c>
      <c r="AX91" t="e">
        <f>AND('BBP complete'!#REF!,"AAAAAGZ57DE=")</f>
        <v>#REF!</v>
      </c>
      <c r="AY91" t="e">
        <f>AND('BBP complete'!#REF!,"AAAAAGZ57DI=")</f>
        <v>#REF!</v>
      </c>
      <c r="AZ91" t="e">
        <f>AND('BBP complete'!#REF!,"AAAAAGZ57DM=")</f>
        <v>#REF!</v>
      </c>
      <c r="BA91" t="e">
        <f>AND('BBP complete'!C1222,"AAAAAGZ57DQ=")</f>
        <v>#VALUE!</v>
      </c>
      <c r="BB91" t="e">
        <f>AND('BBP complete'!L1365,"AAAAAGZ57DU=")</f>
        <v>#VALUE!</v>
      </c>
      <c r="BC91" t="e">
        <f>AND('BBP complete'!M1365,"AAAAAGZ57DY=")</f>
        <v>#VALUE!</v>
      </c>
      <c r="BD91" t="e">
        <f>AND('BBP complete'!N1365,"AAAAAGZ57Dc=")</f>
        <v>#VALUE!</v>
      </c>
      <c r="BE91" s="60" t="e">
        <v>#VALUE!</v>
      </c>
      <c r="BF91" t="e">
        <f>AND('BBP complete'!B1226,"AAAAAGZ57Dk=")</f>
        <v>#VALUE!</v>
      </c>
      <c r="BG91" t="e">
        <f>AND('BBP complete'!F1227,"AAAAAGZ57Do=")</f>
        <v>#VALUE!</v>
      </c>
      <c r="BH91" t="e">
        <f>AND('BBP complete'!G1227,"AAAAAGZ57Ds=")</f>
        <v>#VALUE!</v>
      </c>
      <c r="BI91" t="e">
        <f>AND('BBP complete'!D1226,"AAAAAGZ57Dw=")</f>
        <v>#VALUE!</v>
      </c>
      <c r="BJ91" t="e">
        <f>AND('BBP complete'!H1225,"AAAAAGZ57D0=")</f>
        <v>#VALUE!</v>
      </c>
      <c r="BK91" t="e">
        <f>AND('BBP complete'!I1224,"AAAAAGZ57D4=")</f>
        <v>#VALUE!</v>
      </c>
      <c r="BL91" t="e">
        <f>AND('BBP complete'!#REF!,"AAAAAGZ57D8=")</f>
        <v>#REF!</v>
      </c>
      <c r="BM91" t="e">
        <f>AND('BBP complete'!#REF!,"AAAAAGZ57EA=")</f>
        <v>#REF!</v>
      </c>
      <c r="BN91" t="e">
        <f>AND('BBP complete'!#REF!,"AAAAAGZ57EE=")</f>
        <v>#REF!</v>
      </c>
      <c r="BO91" t="e">
        <f>AND('BBP complete'!#REF!,"AAAAAGZ57EI=")</f>
        <v>#REF!</v>
      </c>
      <c r="BP91" t="e">
        <f>AND('BBP complete'!#REF!,"AAAAAGZ57EM=")</f>
        <v>#REF!</v>
      </c>
      <c r="BQ91" t="e">
        <f>AND('BBP complete'!C1223,"AAAAAGZ57EQ=")</f>
        <v>#VALUE!</v>
      </c>
      <c r="BR91" t="e">
        <f>AND('BBP complete'!L1366,"AAAAAGZ57EU=")</f>
        <v>#VALUE!</v>
      </c>
      <c r="BS91" t="e">
        <f>AND('BBP complete'!M1366,"AAAAAGZ57EY=")</f>
        <v>#VALUE!</v>
      </c>
      <c r="BT91" t="e">
        <f>AND('BBP complete'!N1366,"AAAAAGZ57Ec=")</f>
        <v>#VALUE!</v>
      </c>
      <c r="BU91" s="60" t="e">
        <v>#VALUE!</v>
      </c>
      <c r="BV91" t="e">
        <f>AND('BBP complete'!B1227,"AAAAAGZ57Ek=")</f>
        <v>#VALUE!</v>
      </c>
      <c r="BW91" t="e">
        <f>AND('BBP complete'!F1228,"AAAAAGZ57Eo=")</f>
        <v>#VALUE!</v>
      </c>
      <c r="BX91" t="e">
        <f>AND('BBP complete'!G1228,"AAAAAGZ57Es=")</f>
        <v>#VALUE!</v>
      </c>
      <c r="BY91" t="e">
        <f>AND('BBP complete'!D1227,"AAAAAGZ57Ew=")</f>
        <v>#VALUE!</v>
      </c>
      <c r="BZ91" t="e">
        <f>AND('BBP complete'!H1226,"AAAAAGZ57E0=")</f>
        <v>#VALUE!</v>
      </c>
      <c r="CA91" t="e">
        <f>AND('BBP complete'!I1225,"AAAAAGZ57E4=")</f>
        <v>#VALUE!</v>
      </c>
      <c r="CB91" t="e">
        <f>AND('BBP complete'!#REF!,"AAAAAGZ57E8=")</f>
        <v>#REF!</v>
      </c>
      <c r="CC91" t="e">
        <f>AND('BBP complete'!#REF!,"AAAAAGZ57FA=")</f>
        <v>#REF!</v>
      </c>
      <c r="CD91" t="e">
        <f>AND('BBP complete'!#REF!,"AAAAAGZ57FE=")</f>
        <v>#REF!</v>
      </c>
      <c r="CE91" t="e">
        <f>AND('BBP complete'!#REF!,"AAAAAGZ57FI=")</f>
        <v>#REF!</v>
      </c>
      <c r="CF91" t="e">
        <f>AND('BBP complete'!#REF!,"AAAAAGZ57FM=")</f>
        <v>#REF!</v>
      </c>
      <c r="CG91" t="e">
        <f>AND('BBP complete'!C1224,"AAAAAGZ57FQ=")</f>
        <v>#VALUE!</v>
      </c>
      <c r="CH91" t="e">
        <f>AND('BBP complete'!L1367,"AAAAAGZ57FU=")</f>
        <v>#VALUE!</v>
      </c>
      <c r="CI91" t="e">
        <f>AND('BBP complete'!M1367,"AAAAAGZ57FY=")</f>
        <v>#VALUE!</v>
      </c>
      <c r="CJ91" t="e">
        <f>AND('BBP complete'!N1367,"AAAAAGZ57Fc=")</f>
        <v>#VALUE!</v>
      </c>
      <c r="CK91" s="60" t="e">
        <v>#VALUE!</v>
      </c>
      <c r="CL91" t="e">
        <f>AND('BBP complete'!B1228,"AAAAAGZ57Fk=")</f>
        <v>#VALUE!</v>
      </c>
      <c r="CM91" t="e">
        <f>AND('BBP complete'!F1229,"AAAAAGZ57Fo=")</f>
        <v>#VALUE!</v>
      </c>
      <c r="CN91" t="e">
        <f>AND('BBP complete'!G1229,"AAAAAGZ57Fs=")</f>
        <v>#VALUE!</v>
      </c>
      <c r="CO91" t="e">
        <f>AND('BBP complete'!D1228,"AAAAAGZ57Fw=")</f>
        <v>#VALUE!</v>
      </c>
      <c r="CP91" t="e">
        <f>AND('BBP complete'!H1227,"AAAAAGZ57F0=")</f>
        <v>#VALUE!</v>
      </c>
      <c r="CQ91" t="e">
        <f>AND('BBP complete'!I1226,"AAAAAGZ57F4=")</f>
        <v>#VALUE!</v>
      </c>
      <c r="CR91" t="e">
        <f>AND('BBP complete'!#REF!,"AAAAAGZ57F8=")</f>
        <v>#REF!</v>
      </c>
      <c r="CS91" t="e">
        <f>AND('BBP complete'!#REF!,"AAAAAGZ57GA=")</f>
        <v>#REF!</v>
      </c>
      <c r="CT91" t="e">
        <f>AND('BBP complete'!#REF!,"AAAAAGZ57GE=")</f>
        <v>#REF!</v>
      </c>
      <c r="CU91" t="e">
        <f>AND('BBP complete'!#REF!,"AAAAAGZ57GI=")</f>
        <v>#REF!</v>
      </c>
      <c r="CV91" t="e">
        <f>AND('BBP complete'!#REF!,"AAAAAGZ57GM=")</f>
        <v>#REF!</v>
      </c>
      <c r="CW91" t="e">
        <f>AND('BBP complete'!C1225,"AAAAAGZ57GQ=")</f>
        <v>#VALUE!</v>
      </c>
      <c r="CX91" t="e">
        <f>AND('BBP complete'!L1368,"AAAAAGZ57GU=")</f>
        <v>#VALUE!</v>
      </c>
      <c r="CY91" t="e">
        <f>AND('BBP complete'!M1368,"AAAAAGZ57GY=")</f>
        <v>#VALUE!</v>
      </c>
      <c r="CZ91" t="e">
        <f>AND('BBP complete'!N1368,"AAAAAGZ57Gc=")</f>
        <v>#VALUE!</v>
      </c>
      <c r="DA91" s="60" t="e">
        <v>#VALUE!</v>
      </c>
      <c r="DB91" t="e">
        <f>AND('BBP complete'!B1229,"AAAAAGZ57Gk=")</f>
        <v>#VALUE!</v>
      </c>
      <c r="DC91" t="e">
        <f>AND('BBP complete'!F1230,"AAAAAGZ57Go=")</f>
        <v>#VALUE!</v>
      </c>
      <c r="DD91" t="e">
        <f>AND('BBP complete'!G1230,"AAAAAGZ57Gs=")</f>
        <v>#VALUE!</v>
      </c>
      <c r="DE91" t="e">
        <f>AND('BBP complete'!D1229,"AAAAAGZ57Gw=")</f>
        <v>#VALUE!</v>
      </c>
      <c r="DF91" t="e">
        <f>AND('BBP complete'!H1228,"AAAAAGZ57G0=")</f>
        <v>#VALUE!</v>
      </c>
      <c r="DG91" t="e">
        <f>AND('BBP complete'!I1227,"AAAAAGZ57G4=")</f>
        <v>#VALUE!</v>
      </c>
      <c r="DH91" t="e">
        <f>AND('BBP complete'!#REF!,"AAAAAGZ57G8=")</f>
        <v>#REF!</v>
      </c>
      <c r="DI91" t="e">
        <f>AND('BBP complete'!#REF!,"AAAAAGZ57HA=")</f>
        <v>#REF!</v>
      </c>
      <c r="DJ91" t="e">
        <f>AND('BBP complete'!#REF!,"AAAAAGZ57HE=")</f>
        <v>#REF!</v>
      </c>
      <c r="DK91" t="e">
        <f>AND('BBP complete'!#REF!,"AAAAAGZ57HI=")</f>
        <v>#REF!</v>
      </c>
      <c r="DL91" t="e">
        <f>AND('BBP complete'!#REF!,"AAAAAGZ57HM=")</f>
        <v>#REF!</v>
      </c>
      <c r="DM91" t="e">
        <f>AND('BBP complete'!C1226,"AAAAAGZ57HQ=")</f>
        <v>#VALUE!</v>
      </c>
      <c r="DN91" t="e">
        <f>AND('BBP complete'!L1369,"AAAAAGZ57HU=")</f>
        <v>#VALUE!</v>
      </c>
      <c r="DO91" t="e">
        <f>AND('BBP complete'!M1369,"AAAAAGZ57HY=")</f>
        <v>#VALUE!</v>
      </c>
      <c r="DP91" t="e">
        <f>AND('BBP complete'!N1369,"AAAAAGZ57Hc=")</f>
        <v>#VALUE!</v>
      </c>
      <c r="DQ91" s="60" t="e">
        <v>#VALUE!</v>
      </c>
      <c r="DR91" t="e">
        <f>AND('BBP complete'!B1230,"AAAAAGZ57Hk=")</f>
        <v>#VALUE!</v>
      </c>
      <c r="DS91" t="e">
        <f>AND('BBP complete'!F1231,"AAAAAGZ57Ho=")</f>
        <v>#VALUE!</v>
      </c>
      <c r="DT91" t="e">
        <f>AND('BBP complete'!G1231,"AAAAAGZ57Hs=")</f>
        <v>#VALUE!</v>
      </c>
      <c r="DU91" t="e">
        <f>AND('BBP complete'!D1230,"AAAAAGZ57Hw=")</f>
        <v>#VALUE!</v>
      </c>
      <c r="DV91" t="e">
        <f>AND('BBP complete'!H1229,"AAAAAGZ57H0=")</f>
        <v>#VALUE!</v>
      </c>
      <c r="DW91" t="e">
        <f>AND('BBP complete'!I1228,"AAAAAGZ57H4=")</f>
        <v>#VALUE!</v>
      </c>
      <c r="DX91" t="e">
        <f>AND('BBP complete'!#REF!,"AAAAAGZ57H8=")</f>
        <v>#REF!</v>
      </c>
      <c r="DY91" t="e">
        <f>AND('BBP complete'!#REF!,"AAAAAGZ57IA=")</f>
        <v>#REF!</v>
      </c>
      <c r="DZ91" t="e">
        <f>AND('BBP complete'!#REF!,"AAAAAGZ57IE=")</f>
        <v>#REF!</v>
      </c>
      <c r="EA91" t="e">
        <f>AND('BBP complete'!#REF!,"AAAAAGZ57II=")</f>
        <v>#REF!</v>
      </c>
      <c r="EB91" t="e">
        <f>AND('BBP complete'!#REF!,"AAAAAGZ57IM=")</f>
        <v>#REF!</v>
      </c>
      <c r="EC91" t="e">
        <f>AND('BBP complete'!C1227,"AAAAAGZ57IQ=")</f>
        <v>#VALUE!</v>
      </c>
      <c r="ED91" t="e">
        <f>AND('BBP complete'!L1370,"AAAAAGZ57IU=")</f>
        <v>#VALUE!</v>
      </c>
      <c r="EE91" t="e">
        <f>AND('BBP complete'!M1370,"AAAAAGZ57IY=")</f>
        <v>#VALUE!</v>
      </c>
      <c r="EF91" t="e">
        <f>AND('BBP complete'!N1370,"AAAAAGZ57Ic=")</f>
        <v>#VALUE!</v>
      </c>
      <c r="EG91" s="60" t="e">
        <v>#VALUE!</v>
      </c>
      <c r="EH91" t="e">
        <f>AND('BBP complete'!B1231,"AAAAAGZ57Ik=")</f>
        <v>#VALUE!</v>
      </c>
      <c r="EI91" t="e">
        <f>AND('BBP complete'!F1232,"AAAAAGZ57Io=")</f>
        <v>#VALUE!</v>
      </c>
      <c r="EJ91" t="e">
        <f>AND('BBP complete'!G1232,"AAAAAGZ57Is=")</f>
        <v>#VALUE!</v>
      </c>
      <c r="EK91" t="e">
        <f>AND('BBP complete'!D1231,"AAAAAGZ57Iw=")</f>
        <v>#VALUE!</v>
      </c>
      <c r="EL91" t="e">
        <f>AND('BBP complete'!H1230,"AAAAAGZ57I0=")</f>
        <v>#VALUE!</v>
      </c>
      <c r="EM91" t="e">
        <f>AND('BBP complete'!I1229,"AAAAAGZ57I4=")</f>
        <v>#VALUE!</v>
      </c>
      <c r="EN91" t="e">
        <f>AND('BBP complete'!#REF!,"AAAAAGZ57I8=")</f>
        <v>#REF!</v>
      </c>
      <c r="EO91" t="e">
        <f>AND('BBP complete'!#REF!,"AAAAAGZ57JA=")</f>
        <v>#REF!</v>
      </c>
      <c r="EP91" t="e">
        <f>AND('BBP complete'!#REF!,"AAAAAGZ57JE=")</f>
        <v>#REF!</v>
      </c>
      <c r="EQ91" t="e">
        <f>AND('BBP complete'!#REF!,"AAAAAGZ57JI=")</f>
        <v>#REF!</v>
      </c>
      <c r="ER91" t="e">
        <f>AND('BBP complete'!#REF!,"AAAAAGZ57JM=")</f>
        <v>#REF!</v>
      </c>
      <c r="ES91" t="e">
        <f>AND('BBP complete'!C1228,"AAAAAGZ57JQ=")</f>
        <v>#VALUE!</v>
      </c>
      <c r="ET91" t="e">
        <f>AND('BBP complete'!L1371,"AAAAAGZ57JU=")</f>
        <v>#VALUE!</v>
      </c>
      <c r="EU91" t="e">
        <f>AND('BBP complete'!M1371,"AAAAAGZ57JY=")</f>
        <v>#VALUE!</v>
      </c>
      <c r="EV91" t="e">
        <f>AND('BBP complete'!N1371,"AAAAAGZ57Jc=")</f>
        <v>#VALUE!</v>
      </c>
      <c r="EW91" s="60" t="e">
        <v>#VALUE!</v>
      </c>
      <c r="EX91" t="e">
        <f>AND('BBP complete'!B1232,"AAAAAGZ57Jk=")</f>
        <v>#VALUE!</v>
      </c>
      <c r="EY91" t="e">
        <f>AND('BBP complete'!F1233,"AAAAAGZ57Jo=")</f>
        <v>#VALUE!</v>
      </c>
      <c r="EZ91" t="e">
        <f>AND('BBP complete'!G1233,"AAAAAGZ57Js=")</f>
        <v>#VALUE!</v>
      </c>
      <c r="FA91" t="e">
        <f>AND('BBP complete'!D1232,"AAAAAGZ57Jw=")</f>
        <v>#VALUE!</v>
      </c>
      <c r="FB91" t="e">
        <f>AND('BBP complete'!H1231,"AAAAAGZ57J0=")</f>
        <v>#VALUE!</v>
      </c>
      <c r="FC91" t="e">
        <f>AND('BBP complete'!I1230,"AAAAAGZ57J4=")</f>
        <v>#VALUE!</v>
      </c>
      <c r="FD91" t="e">
        <f>AND('BBP complete'!#REF!,"AAAAAGZ57J8=")</f>
        <v>#REF!</v>
      </c>
      <c r="FE91" t="e">
        <f>AND('BBP complete'!#REF!,"AAAAAGZ57KA=")</f>
        <v>#REF!</v>
      </c>
      <c r="FF91" t="e">
        <f>AND('BBP complete'!#REF!,"AAAAAGZ57KE=")</f>
        <v>#REF!</v>
      </c>
      <c r="FG91" t="e">
        <f>AND('BBP complete'!#REF!,"AAAAAGZ57KI=")</f>
        <v>#REF!</v>
      </c>
      <c r="FH91" t="e">
        <f>AND('BBP complete'!#REF!,"AAAAAGZ57KM=")</f>
        <v>#REF!</v>
      </c>
      <c r="FI91" t="e">
        <f>AND('BBP complete'!C1229,"AAAAAGZ57KQ=")</f>
        <v>#VALUE!</v>
      </c>
      <c r="FJ91" t="e">
        <f>AND('BBP complete'!L1372,"AAAAAGZ57KU=")</f>
        <v>#VALUE!</v>
      </c>
      <c r="FK91" t="e">
        <f>AND('BBP complete'!M1372,"AAAAAGZ57KY=")</f>
        <v>#VALUE!</v>
      </c>
      <c r="FL91" t="e">
        <f>AND('BBP complete'!N1372,"AAAAAGZ57Kc=")</f>
        <v>#VALUE!</v>
      </c>
      <c r="FM91" s="60" t="e">
        <v>#VALUE!</v>
      </c>
      <c r="FN91" t="e">
        <f>AND('BBP complete'!B1233,"AAAAAGZ57Kk=")</f>
        <v>#VALUE!</v>
      </c>
      <c r="FO91" t="e">
        <f>AND('BBP complete'!F1234,"AAAAAGZ57Ko=")</f>
        <v>#VALUE!</v>
      </c>
      <c r="FP91" t="e">
        <f>AND('BBP complete'!G1234,"AAAAAGZ57Ks=")</f>
        <v>#VALUE!</v>
      </c>
      <c r="FQ91" t="e">
        <f>AND('BBP complete'!D1233,"AAAAAGZ57Kw=")</f>
        <v>#VALUE!</v>
      </c>
      <c r="FR91" t="e">
        <f>AND('BBP complete'!H1232,"AAAAAGZ57K0=")</f>
        <v>#VALUE!</v>
      </c>
      <c r="FS91" t="e">
        <f>AND('BBP complete'!I1231,"AAAAAGZ57K4=")</f>
        <v>#VALUE!</v>
      </c>
      <c r="FT91" t="e">
        <f>AND('BBP complete'!#REF!,"AAAAAGZ57K8=")</f>
        <v>#REF!</v>
      </c>
      <c r="FU91" t="e">
        <f>AND('BBP complete'!#REF!,"AAAAAGZ57LA=")</f>
        <v>#REF!</v>
      </c>
      <c r="FV91" t="e">
        <f>AND('BBP complete'!#REF!,"AAAAAGZ57LE=")</f>
        <v>#REF!</v>
      </c>
      <c r="FW91" t="e">
        <f>AND('BBP complete'!#REF!,"AAAAAGZ57LI=")</f>
        <v>#REF!</v>
      </c>
      <c r="FX91" t="e">
        <f>AND('BBP complete'!#REF!,"AAAAAGZ57LM=")</f>
        <v>#REF!</v>
      </c>
      <c r="FY91" t="e">
        <f>AND('BBP complete'!C1230,"AAAAAGZ57LQ=")</f>
        <v>#VALUE!</v>
      </c>
      <c r="FZ91" t="e">
        <f>AND('BBP complete'!L1373,"AAAAAGZ57LU=")</f>
        <v>#VALUE!</v>
      </c>
      <c r="GA91" t="e">
        <f>AND('BBP complete'!M1373,"AAAAAGZ57LY=")</f>
        <v>#VALUE!</v>
      </c>
      <c r="GB91" t="e">
        <f>AND('BBP complete'!N1373,"AAAAAGZ57Lc=")</f>
        <v>#VALUE!</v>
      </c>
      <c r="GC91" s="60" t="e">
        <v>#VALUE!</v>
      </c>
      <c r="GD91" t="e">
        <f>AND('BBP complete'!B1234,"AAAAAGZ57Lk=")</f>
        <v>#VALUE!</v>
      </c>
      <c r="GE91" t="e">
        <f>AND('BBP complete'!F1235,"AAAAAGZ57Lo=")</f>
        <v>#VALUE!</v>
      </c>
      <c r="GF91" t="e">
        <f>AND('BBP complete'!G1235,"AAAAAGZ57Ls=")</f>
        <v>#VALUE!</v>
      </c>
      <c r="GG91" t="e">
        <f>AND('BBP complete'!D1234,"AAAAAGZ57Lw=")</f>
        <v>#VALUE!</v>
      </c>
      <c r="GH91" t="e">
        <f>AND('BBP complete'!H1233,"AAAAAGZ57L0=")</f>
        <v>#VALUE!</v>
      </c>
      <c r="GI91" t="e">
        <f>AND('BBP complete'!I1232,"AAAAAGZ57L4=")</f>
        <v>#VALUE!</v>
      </c>
      <c r="GJ91" t="e">
        <f>AND('BBP complete'!#REF!,"AAAAAGZ57L8=")</f>
        <v>#REF!</v>
      </c>
      <c r="GK91" t="e">
        <f>AND('BBP complete'!#REF!,"AAAAAGZ57MA=")</f>
        <v>#REF!</v>
      </c>
      <c r="GL91" t="e">
        <f>AND('BBP complete'!#REF!,"AAAAAGZ57ME=")</f>
        <v>#REF!</v>
      </c>
      <c r="GM91" t="e">
        <f>AND('BBP complete'!#REF!,"AAAAAGZ57MI=")</f>
        <v>#REF!</v>
      </c>
      <c r="GN91" t="e">
        <f>AND('BBP complete'!#REF!,"AAAAAGZ57MM=")</f>
        <v>#REF!</v>
      </c>
      <c r="GO91" t="e">
        <f>AND('BBP complete'!C1231,"AAAAAGZ57MQ=")</f>
        <v>#VALUE!</v>
      </c>
      <c r="GP91" t="e">
        <f>AND('BBP complete'!L1374,"AAAAAGZ57MU=")</f>
        <v>#VALUE!</v>
      </c>
      <c r="GQ91" t="e">
        <f>AND('BBP complete'!M1374,"AAAAAGZ57MY=")</f>
        <v>#VALUE!</v>
      </c>
      <c r="GR91" t="e">
        <f>AND('BBP complete'!N1374,"AAAAAGZ57Mc=")</f>
        <v>#VALUE!</v>
      </c>
      <c r="GS91" s="60" t="e">
        <v>#VALUE!</v>
      </c>
      <c r="GT91" t="e">
        <f>AND('BBP complete'!B1235,"AAAAAGZ57Mk=")</f>
        <v>#VALUE!</v>
      </c>
      <c r="GU91" t="e">
        <f>AND('BBP complete'!F1236,"AAAAAGZ57Mo=")</f>
        <v>#VALUE!</v>
      </c>
      <c r="GV91" t="e">
        <f>AND('BBP complete'!G1236,"AAAAAGZ57Ms=")</f>
        <v>#VALUE!</v>
      </c>
      <c r="GW91" t="e">
        <f>AND('BBP complete'!D1235,"AAAAAGZ57Mw=")</f>
        <v>#VALUE!</v>
      </c>
      <c r="GX91" t="e">
        <f>AND('BBP complete'!H1234,"AAAAAGZ57M0=")</f>
        <v>#VALUE!</v>
      </c>
      <c r="GY91" t="e">
        <f>AND('BBP complete'!I1233,"AAAAAGZ57M4=")</f>
        <v>#VALUE!</v>
      </c>
      <c r="GZ91" t="e">
        <f>AND('BBP complete'!#REF!,"AAAAAGZ57M8=")</f>
        <v>#REF!</v>
      </c>
      <c r="HA91" t="e">
        <f>AND('BBP complete'!#REF!,"AAAAAGZ57NA=")</f>
        <v>#REF!</v>
      </c>
      <c r="HB91" t="e">
        <f>AND('BBP complete'!#REF!,"AAAAAGZ57NE=")</f>
        <v>#REF!</v>
      </c>
      <c r="HC91" t="e">
        <f>AND('BBP complete'!#REF!,"AAAAAGZ57NI=")</f>
        <v>#REF!</v>
      </c>
      <c r="HD91" t="e">
        <f>AND('BBP complete'!#REF!,"AAAAAGZ57NM=")</f>
        <v>#REF!</v>
      </c>
      <c r="HE91" t="e">
        <f>AND('BBP complete'!C1232,"AAAAAGZ57NQ=")</f>
        <v>#VALUE!</v>
      </c>
      <c r="HF91" t="e">
        <f>AND('BBP complete'!L1375,"AAAAAGZ57NU=")</f>
        <v>#VALUE!</v>
      </c>
      <c r="HG91" t="e">
        <f>AND('BBP complete'!M1375,"AAAAAGZ57NY=")</f>
        <v>#VALUE!</v>
      </c>
      <c r="HH91" t="e">
        <f>AND('BBP complete'!N1375,"AAAAAGZ57Nc=")</f>
        <v>#VALUE!</v>
      </c>
      <c r="HI91" s="60" t="e">
        <v>#VALUE!</v>
      </c>
      <c r="HJ91" t="e">
        <f>AND('BBP complete'!B1236,"AAAAAGZ57Nk=")</f>
        <v>#VALUE!</v>
      </c>
      <c r="HK91" t="e">
        <f>AND('BBP complete'!F1237,"AAAAAGZ57No=")</f>
        <v>#VALUE!</v>
      </c>
      <c r="HL91" t="e">
        <f>AND('BBP complete'!G1237,"AAAAAGZ57Ns=")</f>
        <v>#VALUE!</v>
      </c>
      <c r="HM91" t="e">
        <f>AND('BBP complete'!D1236,"AAAAAGZ57Nw=")</f>
        <v>#VALUE!</v>
      </c>
      <c r="HN91" t="e">
        <f>AND('BBP complete'!H1235,"AAAAAGZ57N0=")</f>
        <v>#VALUE!</v>
      </c>
      <c r="HO91" t="e">
        <f>AND('BBP complete'!I1234,"AAAAAGZ57N4=")</f>
        <v>#VALUE!</v>
      </c>
      <c r="HP91" t="e">
        <f>AND('BBP complete'!#REF!,"AAAAAGZ57N8=")</f>
        <v>#REF!</v>
      </c>
      <c r="HQ91" t="e">
        <f>AND('BBP complete'!#REF!,"AAAAAGZ57OA=")</f>
        <v>#REF!</v>
      </c>
      <c r="HR91" t="e">
        <f>AND('BBP complete'!#REF!,"AAAAAGZ57OE=")</f>
        <v>#REF!</v>
      </c>
      <c r="HS91" t="e">
        <f>AND('BBP complete'!#REF!,"AAAAAGZ57OI=")</f>
        <v>#REF!</v>
      </c>
      <c r="HT91" t="e">
        <f>AND('BBP complete'!#REF!,"AAAAAGZ57OM=")</f>
        <v>#REF!</v>
      </c>
      <c r="HU91" t="e">
        <f>AND('BBP complete'!C1233,"AAAAAGZ57OQ=")</f>
        <v>#VALUE!</v>
      </c>
      <c r="HV91" t="e">
        <f>AND('BBP complete'!L1376,"AAAAAGZ57OU=")</f>
        <v>#VALUE!</v>
      </c>
      <c r="HW91" t="e">
        <f>AND('BBP complete'!M1376,"AAAAAGZ57OY=")</f>
        <v>#VALUE!</v>
      </c>
      <c r="HX91" t="e">
        <f>AND('BBP complete'!N1376,"AAAAAGZ57Oc=")</f>
        <v>#VALUE!</v>
      </c>
      <c r="HY91" s="60" t="e">
        <v>#VALUE!</v>
      </c>
      <c r="HZ91" t="e">
        <f>AND('BBP complete'!B1237,"AAAAAGZ57Ok=")</f>
        <v>#VALUE!</v>
      </c>
      <c r="IA91" t="e">
        <f>AND('BBP complete'!F1238,"AAAAAGZ57Oo=")</f>
        <v>#VALUE!</v>
      </c>
      <c r="IB91" t="e">
        <f>AND('BBP complete'!G1238,"AAAAAGZ57Os=")</f>
        <v>#VALUE!</v>
      </c>
      <c r="IC91" t="e">
        <f>AND('BBP complete'!D1237,"AAAAAGZ57Ow=")</f>
        <v>#VALUE!</v>
      </c>
      <c r="ID91" t="e">
        <f>AND('BBP complete'!H1236,"AAAAAGZ57O0=")</f>
        <v>#VALUE!</v>
      </c>
      <c r="IE91" t="e">
        <f>AND('BBP complete'!I1235,"AAAAAGZ57O4=")</f>
        <v>#VALUE!</v>
      </c>
      <c r="IF91" t="e">
        <f>AND('BBP complete'!#REF!,"AAAAAGZ57O8=")</f>
        <v>#REF!</v>
      </c>
      <c r="IG91" t="e">
        <f>AND('BBP complete'!#REF!,"AAAAAGZ57PA=")</f>
        <v>#REF!</v>
      </c>
      <c r="IH91" t="e">
        <f>AND('BBP complete'!#REF!,"AAAAAGZ57PE=")</f>
        <v>#REF!</v>
      </c>
      <c r="II91" t="e">
        <f>AND('BBP complete'!#REF!,"AAAAAGZ57PI=")</f>
        <v>#REF!</v>
      </c>
      <c r="IJ91" t="e">
        <f>AND('BBP complete'!#REF!,"AAAAAGZ57PM=")</f>
        <v>#REF!</v>
      </c>
      <c r="IK91" t="e">
        <f>AND('BBP complete'!C1234,"AAAAAGZ57PQ=")</f>
        <v>#VALUE!</v>
      </c>
      <c r="IL91" t="e">
        <f>AND('BBP complete'!L1426,"AAAAAGZ57PU=")</f>
        <v>#VALUE!</v>
      </c>
      <c r="IM91" t="e">
        <f>AND('BBP complete'!M1426,"AAAAAGZ57PY=")</f>
        <v>#VALUE!</v>
      </c>
      <c r="IN91" t="e">
        <f>AND('BBP complete'!N1426,"AAAAAGZ57Pc=")</f>
        <v>#VALUE!</v>
      </c>
      <c r="IO91" s="60" t="e">
        <v>#VALUE!</v>
      </c>
      <c r="IP91" t="e">
        <f>AND('BBP complete'!B1238,"AAAAAGZ57Pk=")</f>
        <v>#VALUE!</v>
      </c>
      <c r="IQ91" t="e">
        <f>AND('BBP complete'!F1239,"AAAAAGZ57Po=")</f>
        <v>#VALUE!</v>
      </c>
      <c r="IR91" t="e">
        <f>AND('BBP complete'!G1239,"AAAAAGZ57Ps=")</f>
        <v>#VALUE!</v>
      </c>
      <c r="IS91" t="e">
        <f>AND('BBP complete'!D1238,"AAAAAGZ57Pw=")</f>
        <v>#VALUE!</v>
      </c>
      <c r="IT91" t="e">
        <f>AND('BBP complete'!H1237,"AAAAAGZ57P0=")</f>
        <v>#VALUE!</v>
      </c>
      <c r="IU91" t="e">
        <f>AND('BBP complete'!I1236,"AAAAAGZ57P4=")</f>
        <v>#VALUE!</v>
      </c>
      <c r="IV91" t="e">
        <f>AND('BBP complete'!#REF!,"AAAAAGZ57P8=")</f>
        <v>#REF!</v>
      </c>
    </row>
    <row r="92" spans="1:256" ht="15" customHeight="1" x14ac:dyDescent="0.25">
      <c r="A92" t="e">
        <f>AND('BBP complete'!#REF!,"AAAAAF/1/wA=")</f>
        <v>#REF!</v>
      </c>
      <c r="B92" t="e">
        <f>AND('BBP complete'!#REF!,"AAAAAF/1/wE=")</f>
        <v>#REF!</v>
      </c>
      <c r="C92" t="e">
        <f>AND('BBP complete'!#REF!,"AAAAAF/1/wI=")</f>
        <v>#REF!</v>
      </c>
      <c r="D92" t="e">
        <f>AND('BBP complete'!#REF!,"AAAAAF/1/wM=")</f>
        <v>#REF!</v>
      </c>
      <c r="E92" t="e">
        <f>AND('BBP complete'!C1235,"AAAAAF/1/wQ=")</f>
        <v>#VALUE!</v>
      </c>
      <c r="F92" t="e">
        <f>AND('BBP complete'!L1427,"AAAAAF/1/wU=")</f>
        <v>#VALUE!</v>
      </c>
      <c r="G92" t="e">
        <f>AND('BBP complete'!M1427,"AAAAAF/1/wY=")</f>
        <v>#VALUE!</v>
      </c>
      <c r="H92" t="e">
        <f>AND('BBP complete'!N1427,"AAAAAF/1/wc=")</f>
        <v>#VALUE!</v>
      </c>
      <c r="I92" s="60" t="e">
        <v>#VALUE!</v>
      </c>
      <c r="J92" t="e">
        <f>AND('BBP complete'!B1239,"AAAAAF/1/wk=")</f>
        <v>#VALUE!</v>
      </c>
      <c r="K92" t="e">
        <f>AND('BBP complete'!F1240,"AAAAAF/1/wo=")</f>
        <v>#VALUE!</v>
      </c>
      <c r="L92" t="e">
        <f>AND('BBP complete'!G1240,"AAAAAF/1/ws=")</f>
        <v>#VALUE!</v>
      </c>
      <c r="M92" t="e">
        <f>AND('BBP complete'!D1239,"AAAAAF/1/ww=")</f>
        <v>#VALUE!</v>
      </c>
      <c r="N92" t="e">
        <f>AND('BBP complete'!H1238,"AAAAAF/1/w0=")</f>
        <v>#VALUE!</v>
      </c>
      <c r="O92" t="e">
        <f>AND('BBP complete'!I1237,"AAAAAF/1/w4=")</f>
        <v>#VALUE!</v>
      </c>
      <c r="P92" t="e">
        <f>AND('BBP complete'!#REF!,"AAAAAF/1/w8=")</f>
        <v>#REF!</v>
      </c>
      <c r="Q92" t="e">
        <f>AND('BBP complete'!#REF!,"AAAAAF/1/xA=")</f>
        <v>#REF!</v>
      </c>
      <c r="R92" t="e">
        <f>AND('BBP complete'!#REF!,"AAAAAF/1/xE=")</f>
        <v>#REF!</v>
      </c>
      <c r="S92" t="e">
        <f>AND('BBP complete'!#REF!,"AAAAAF/1/xI=")</f>
        <v>#REF!</v>
      </c>
      <c r="T92" t="e">
        <f>AND('BBP complete'!#REF!,"AAAAAF/1/xM=")</f>
        <v>#REF!</v>
      </c>
      <c r="U92" t="e">
        <f>AND('BBP complete'!C1236,"AAAAAF/1/xQ=")</f>
        <v>#VALUE!</v>
      </c>
      <c r="V92" t="e">
        <f>AND('BBP complete'!L1428,"AAAAAF/1/xU=")</f>
        <v>#VALUE!</v>
      </c>
      <c r="W92" t="e">
        <f>AND('BBP complete'!M1428,"AAAAAF/1/xY=")</f>
        <v>#VALUE!</v>
      </c>
      <c r="X92" t="e">
        <f>AND('BBP complete'!N1428,"AAAAAF/1/xc=")</f>
        <v>#VALUE!</v>
      </c>
      <c r="Y92" s="60" t="e">
        <v>#VALUE!</v>
      </c>
      <c r="Z92" t="e">
        <f>AND('BBP complete'!B1240,"AAAAAF/1/xk=")</f>
        <v>#VALUE!</v>
      </c>
      <c r="AA92" t="e">
        <f>AND('BBP complete'!F1241,"AAAAAF/1/xo=")</f>
        <v>#VALUE!</v>
      </c>
      <c r="AB92" t="e">
        <f>AND('BBP complete'!G1241,"AAAAAF/1/xs=")</f>
        <v>#VALUE!</v>
      </c>
      <c r="AC92" t="e">
        <f>AND('BBP complete'!D1240,"AAAAAF/1/xw=")</f>
        <v>#VALUE!</v>
      </c>
      <c r="AD92" t="e">
        <f>AND('BBP complete'!H1239,"AAAAAF/1/x0=")</f>
        <v>#VALUE!</v>
      </c>
      <c r="AE92" t="e">
        <f>AND('BBP complete'!I1238,"AAAAAF/1/x4=")</f>
        <v>#VALUE!</v>
      </c>
      <c r="AF92" t="e">
        <f>AND('BBP complete'!#REF!,"AAAAAF/1/x8=")</f>
        <v>#REF!</v>
      </c>
      <c r="AG92" t="e">
        <f>AND('BBP complete'!#REF!,"AAAAAF/1/yA=")</f>
        <v>#REF!</v>
      </c>
      <c r="AH92" t="e">
        <f>AND('BBP complete'!#REF!,"AAAAAF/1/yE=")</f>
        <v>#REF!</v>
      </c>
      <c r="AI92" t="e">
        <f>AND('BBP complete'!#REF!,"AAAAAF/1/yI=")</f>
        <v>#REF!</v>
      </c>
      <c r="AJ92" t="e">
        <f>AND('BBP complete'!#REF!,"AAAAAF/1/yM=")</f>
        <v>#REF!</v>
      </c>
      <c r="AK92" t="e">
        <f>AND('BBP complete'!C1237,"AAAAAF/1/yQ=")</f>
        <v>#VALUE!</v>
      </c>
      <c r="AL92" t="e">
        <f>AND('BBP complete'!L1429,"AAAAAF/1/yU=")</f>
        <v>#VALUE!</v>
      </c>
      <c r="AM92" t="e">
        <f>AND('BBP complete'!M1429,"AAAAAF/1/yY=")</f>
        <v>#VALUE!</v>
      </c>
      <c r="AN92" t="e">
        <f>AND('BBP complete'!N1429,"AAAAAF/1/yc=")</f>
        <v>#VALUE!</v>
      </c>
      <c r="AO92" s="60" t="e">
        <v>#VALUE!</v>
      </c>
      <c r="AP92" t="e">
        <f>AND('BBP complete'!B1241,"AAAAAF/1/yk=")</f>
        <v>#VALUE!</v>
      </c>
      <c r="AQ92" t="e">
        <f>AND('BBP complete'!F1242,"AAAAAF/1/yo=")</f>
        <v>#VALUE!</v>
      </c>
      <c r="AR92" t="e">
        <f>AND('BBP complete'!G1242,"AAAAAF/1/ys=")</f>
        <v>#VALUE!</v>
      </c>
      <c r="AS92" t="e">
        <f>AND('BBP complete'!D1241,"AAAAAF/1/yw=")</f>
        <v>#VALUE!</v>
      </c>
      <c r="AT92" t="e">
        <f>AND('BBP complete'!H1240,"AAAAAF/1/y0=")</f>
        <v>#VALUE!</v>
      </c>
      <c r="AU92" t="e">
        <f>AND('BBP complete'!I1239,"AAAAAF/1/y4=")</f>
        <v>#VALUE!</v>
      </c>
      <c r="AV92" t="e">
        <f>AND('BBP complete'!#REF!,"AAAAAF/1/y8=")</f>
        <v>#REF!</v>
      </c>
      <c r="AW92" t="e">
        <f>AND('BBP complete'!#REF!,"AAAAAF/1/zA=")</f>
        <v>#REF!</v>
      </c>
      <c r="AX92" t="e">
        <f>AND('BBP complete'!#REF!,"AAAAAF/1/zE=")</f>
        <v>#REF!</v>
      </c>
      <c r="AY92" t="e">
        <f>AND('BBP complete'!#REF!,"AAAAAF/1/zI=")</f>
        <v>#REF!</v>
      </c>
      <c r="AZ92" t="e">
        <f>AND('BBP complete'!#REF!,"AAAAAF/1/zM=")</f>
        <v>#REF!</v>
      </c>
      <c r="BA92" t="e">
        <f>AND('BBP complete'!C1238,"AAAAAF/1/zQ=")</f>
        <v>#VALUE!</v>
      </c>
      <c r="BB92" t="e">
        <f>AND('BBP complete'!L1430,"AAAAAF/1/zU=")</f>
        <v>#VALUE!</v>
      </c>
      <c r="BC92" t="e">
        <f>AND('BBP complete'!M1430,"AAAAAF/1/zY=")</f>
        <v>#VALUE!</v>
      </c>
      <c r="BD92" t="e">
        <f>AND('BBP complete'!N1430,"AAAAAF/1/zc=")</f>
        <v>#VALUE!</v>
      </c>
      <c r="BE92" s="60" t="e">
        <v>#VALUE!</v>
      </c>
      <c r="BF92" t="e">
        <f>AND('BBP complete'!B1242,"AAAAAF/1/zk=")</f>
        <v>#VALUE!</v>
      </c>
      <c r="BG92" t="e">
        <f>AND('BBP complete'!F1243,"AAAAAF/1/zo=")</f>
        <v>#VALUE!</v>
      </c>
      <c r="BH92" t="e">
        <f>AND('BBP complete'!G1243,"AAAAAF/1/zs=")</f>
        <v>#VALUE!</v>
      </c>
      <c r="BI92" t="e">
        <f>AND('BBP complete'!D1242,"AAAAAF/1/zw=")</f>
        <v>#VALUE!</v>
      </c>
      <c r="BJ92" t="e">
        <f>AND('BBP complete'!H1241,"AAAAAF/1/z0=")</f>
        <v>#VALUE!</v>
      </c>
      <c r="BK92" t="e">
        <f>AND('BBP complete'!I1240,"AAAAAF/1/z4=")</f>
        <v>#VALUE!</v>
      </c>
      <c r="BL92" t="e">
        <f>AND('BBP complete'!#REF!,"AAAAAF/1/z8=")</f>
        <v>#REF!</v>
      </c>
      <c r="BM92" t="e">
        <f>AND('BBP complete'!#REF!,"AAAAAF/1/0A=")</f>
        <v>#REF!</v>
      </c>
      <c r="BN92" t="e">
        <f>AND('BBP complete'!#REF!,"AAAAAF/1/0E=")</f>
        <v>#REF!</v>
      </c>
      <c r="BO92" t="e">
        <f>AND('BBP complete'!#REF!,"AAAAAF/1/0I=")</f>
        <v>#REF!</v>
      </c>
      <c r="BP92" t="e">
        <f>AND('BBP complete'!#REF!,"AAAAAF/1/0M=")</f>
        <v>#REF!</v>
      </c>
      <c r="BQ92" t="e">
        <f>AND('BBP complete'!C1239,"AAAAAF/1/0Q=")</f>
        <v>#VALUE!</v>
      </c>
      <c r="BR92" t="e">
        <f>AND('BBP complete'!L1431,"AAAAAF/1/0U=")</f>
        <v>#VALUE!</v>
      </c>
      <c r="BS92" t="e">
        <f>AND('BBP complete'!M1431,"AAAAAF/1/0Y=")</f>
        <v>#VALUE!</v>
      </c>
      <c r="BT92" t="e">
        <f>AND('BBP complete'!N1431,"AAAAAF/1/0c=")</f>
        <v>#VALUE!</v>
      </c>
      <c r="BU92" s="60" t="e">
        <v>#VALUE!</v>
      </c>
      <c r="BV92" t="e">
        <f>AND('BBP complete'!B1243,"AAAAAF/1/0k=")</f>
        <v>#VALUE!</v>
      </c>
      <c r="BW92" t="e">
        <f>AND('BBP complete'!F1244,"AAAAAF/1/0o=")</f>
        <v>#VALUE!</v>
      </c>
      <c r="BX92" t="e">
        <f>AND('BBP complete'!G1244,"AAAAAF/1/0s=")</f>
        <v>#VALUE!</v>
      </c>
      <c r="BY92" t="e">
        <f>AND('BBP complete'!D1243,"AAAAAF/1/0w=")</f>
        <v>#VALUE!</v>
      </c>
      <c r="BZ92" t="e">
        <f>AND('BBP complete'!H1242,"AAAAAF/1/00=")</f>
        <v>#VALUE!</v>
      </c>
      <c r="CA92" t="e">
        <f>AND('BBP complete'!I1241,"AAAAAF/1/04=")</f>
        <v>#VALUE!</v>
      </c>
      <c r="CB92" t="e">
        <f>AND('BBP complete'!#REF!,"AAAAAF/1/08=")</f>
        <v>#REF!</v>
      </c>
      <c r="CC92" t="e">
        <f>AND('BBP complete'!#REF!,"AAAAAF/1/1A=")</f>
        <v>#REF!</v>
      </c>
      <c r="CD92" t="e">
        <f>AND('BBP complete'!#REF!,"AAAAAF/1/1E=")</f>
        <v>#REF!</v>
      </c>
      <c r="CE92" t="e">
        <f>AND('BBP complete'!#REF!,"AAAAAF/1/1I=")</f>
        <v>#REF!</v>
      </c>
      <c r="CF92" t="e">
        <f>AND('BBP complete'!#REF!,"AAAAAF/1/1M=")</f>
        <v>#REF!</v>
      </c>
      <c r="CG92" t="e">
        <f>AND('BBP complete'!C1240,"AAAAAF/1/1Q=")</f>
        <v>#VALUE!</v>
      </c>
      <c r="CH92" t="e">
        <f>AND('BBP complete'!L1432,"AAAAAF/1/1U=")</f>
        <v>#VALUE!</v>
      </c>
      <c r="CI92" t="e">
        <f>AND('BBP complete'!M1432,"AAAAAF/1/1Y=")</f>
        <v>#VALUE!</v>
      </c>
      <c r="CJ92" t="e">
        <f>AND('BBP complete'!N1432,"AAAAAF/1/1c=")</f>
        <v>#VALUE!</v>
      </c>
      <c r="CK92" s="60" t="e">
        <v>#VALUE!</v>
      </c>
      <c r="CL92" t="e">
        <f>AND('BBP complete'!B1244,"AAAAAF/1/1k=")</f>
        <v>#VALUE!</v>
      </c>
      <c r="CM92" t="e">
        <f>AND('BBP complete'!F1245,"AAAAAF/1/1o=")</f>
        <v>#VALUE!</v>
      </c>
      <c r="CN92" t="e">
        <f>AND('BBP complete'!G1245,"AAAAAF/1/1s=")</f>
        <v>#VALUE!</v>
      </c>
      <c r="CO92" t="e">
        <f>AND('BBP complete'!D1244,"AAAAAF/1/1w=")</f>
        <v>#VALUE!</v>
      </c>
      <c r="CP92" t="e">
        <f>AND('BBP complete'!H1243,"AAAAAF/1/10=")</f>
        <v>#VALUE!</v>
      </c>
      <c r="CQ92" t="e">
        <f>AND('BBP complete'!I1242,"AAAAAF/1/14=")</f>
        <v>#VALUE!</v>
      </c>
      <c r="CR92" t="e">
        <f>AND('BBP complete'!#REF!,"AAAAAF/1/18=")</f>
        <v>#REF!</v>
      </c>
      <c r="CS92" t="e">
        <f>AND('BBP complete'!#REF!,"AAAAAF/1/2A=")</f>
        <v>#REF!</v>
      </c>
      <c r="CT92" t="e">
        <f>AND('BBP complete'!#REF!,"AAAAAF/1/2E=")</f>
        <v>#REF!</v>
      </c>
      <c r="CU92" t="e">
        <f>AND('BBP complete'!#REF!,"AAAAAF/1/2I=")</f>
        <v>#REF!</v>
      </c>
      <c r="CV92" t="e">
        <f>AND('BBP complete'!#REF!,"AAAAAF/1/2M=")</f>
        <v>#REF!</v>
      </c>
      <c r="CW92" t="e">
        <f>AND('BBP complete'!C1241,"AAAAAF/1/2Q=")</f>
        <v>#VALUE!</v>
      </c>
      <c r="CX92" t="e">
        <f>AND('BBP complete'!L1433,"AAAAAF/1/2U=")</f>
        <v>#VALUE!</v>
      </c>
      <c r="CY92" t="e">
        <f>AND('BBP complete'!M1433,"AAAAAF/1/2Y=")</f>
        <v>#VALUE!</v>
      </c>
      <c r="CZ92" t="e">
        <f>AND('BBP complete'!N1433,"AAAAAF/1/2c=")</f>
        <v>#VALUE!</v>
      </c>
      <c r="DA92" s="60" t="e">
        <v>#VALUE!</v>
      </c>
      <c r="DB92" t="e">
        <f>AND('BBP complete'!B1245,"AAAAAF/1/2k=")</f>
        <v>#VALUE!</v>
      </c>
      <c r="DC92" t="e">
        <f>AND('BBP complete'!F1246,"AAAAAF/1/2o=")</f>
        <v>#VALUE!</v>
      </c>
      <c r="DD92" t="e">
        <f>AND('BBP complete'!G1246,"AAAAAF/1/2s=")</f>
        <v>#VALUE!</v>
      </c>
      <c r="DE92" t="e">
        <f>AND('BBP complete'!D1245,"AAAAAF/1/2w=")</f>
        <v>#VALUE!</v>
      </c>
      <c r="DF92" t="e">
        <f>AND('BBP complete'!H1244,"AAAAAF/1/20=")</f>
        <v>#VALUE!</v>
      </c>
      <c r="DG92" t="e">
        <f>AND('BBP complete'!I1243,"AAAAAF/1/24=")</f>
        <v>#VALUE!</v>
      </c>
      <c r="DH92" t="e">
        <f>AND('BBP complete'!#REF!,"AAAAAF/1/28=")</f>
        <v>#REF!</v>
      </c>
      <c r="DI92" t="e">
        <f>AND('BBP complete'!#REF!,"AAAAAF/1/3A=")</f>
        <v>#REF!</v>
      </c>
      <c r="DJ92" t="e">
        <f>AND('BBP complete'!#REF!,"AAAAAF/1/3E=")</f>
        <v>#REF!</v>
      </c>
      <c r="DK92" t="e">
        <f>AND('BBP complete'!#REF!,"AAAAAF/1/3I=")</f>
        <v>#REF!</v>
      </c>
      <c r="DL92" t="e">
        <f>AND('BBP complete'!#REF!,"AAAAAF/1/3M=")</f>
        <v>#REF!</v>
      </c>
      <c r="DM92" t="e">
        <f>AND('BBP complete'!C1242,"AAAAAF/1/3Q=")</f>
        <v>#VALUE!</v>
      </c>
      <c r="DN92" t="e">
        <f>AND('BBP complete'!L1434,"AAAAAF/1/3U=")</f>
        <v>#VALUE!</v>
      </c>
      <c r="DO92" t="e">
        <f>AND('BBP complete'!M1434,"AAAAAF/1/3Y=")</f>
        <v>#VALUE!</v>
      </c>
      <c r="DP92" t="e">
        <f>AND('BBP complete'!N1434,"AAAAAF/1/3c=")</f>
        <v>#VALUE!</v>
      </c>
      <c r="DQ92" s="60" t="e">
        <v>#VALUE!</v>
      </c>
      <c r="DR92" t="e">
        <f>AND('BBP complete'!B1246,"AAAAAF/1/3k=")</f>
        <v>#VALUE!</v>
      </c>
      <c r="DS92" t="e">
        <f>AND('BBP complete'!F1247,"AAAAAF/1/3o=")</f>
        <v>#VALUE!</v>
      </c>
      <c r="DT92" t="e">
        <f>AND('BBP complete'!G1247,"AAAAAF/1/3s=")</f>
        <v>#VALUE!</v>
      </c>
      <c r="DU92" t="e">
        <f>AND('BBP complete'!D1246,"AAAAAF/1/3w=")</f>
        <v>#VALUE!</v>
      </c>
      <c r="DV92" t="e">
        <f>AND('BBP complete'!H1245,"AAAAAF/1/30=")</f>
        <v>#VALUE!</v>
      </c>
      <c r="DW92" t="e">
        <f>AND('BBP complete'!I1244,"AAAAAF/1/34=")</f>
        <v>#VALUE!</v>
      </c>
      <c r="DX92" t="e">
        <f>AND('BBP complete'!#REF!,"AAAAAF/1/38=")</f>
        <v>#REF!</v>
      </c>
      <c r="DY92" t="e">
        <f>AND('BBP complete'!#REF!,"AAAAAF/1/4A=")</f>
        <v>#REF!</v>
      </c>
      <c r="DZ92" t="e">
        <f>AND('BBP complete'!#REF!,"AAAAAF/1/4E=")</f>
        <v>#REF!</v>
      </c>
      <c r="EA92" t="e">
        <f>AND('BBP complete'!#REF!,"AAAAAF/1/4I=")</f>
        <v>#REF!</v>
      </c>
      <c r="EB92" t="e">
        <f>AND('BBP complete'!#REF!,"AAAAAF/1/4M=")</f>
        <v>#REF!</v>
      </c>
      <c r="EC92" t="e">
        <f>AND('BBP complete'!C1243,"AAAAAF/1/4Q=")</f>
        <v>#VALUE!</v>
      </c>
      <c r="ED92" t="e">
        <f>AND('BBP complete'!L1435,"AAAAAF/1/4U=")</f>
        <v>#VALUE!</v>
      </c>
      <c r="EE92" t="e">
        <f>AND('BBP complete'!M1435,"AAAAAF/1/4Y=")</f>
        <v>#VALUE!</v>
      </c>
      <c r="EF92" t="e">
        <f>AND('BBP complete'!N1435,"AAAAAF/1/4c=")</f>
        <v>#VALUE!</v>
      </c>
      <c r="EG92" s="60" t="e">
        <v>#VALUE!</v>
      </c>
      <c r="EH92" t="e">
        <f>AND('BBP complete'!B1247,"AAAAAF/1/4k=")</f>
        <v>#VALUE!</v>
      </c>
      <c r="EI92" t="e">
        <f>AND('BBP complete'!F1248,"AAAAAF/1/4o=")</f>
        <v>#VALUE!</v>
      </c>
      <c r="EJ92" t="e">
        <f>AND('BBP complete'!G1248,"AAAAAF/1/4s=")</f>
        <v>#VALUE!</v>
      </c>
      <c r="EK92" t="e">
        <f>AND('BBP complete'!D1247,"AAAAAF/1/4w=")</f>
        <v>#VALUE!</v>
      </c>
      <c r="EL92" t="e">
        <f>AND('BBP complete'!H1246,"AAAAAF/1/40=")</f>
        <v>#VALUE!</v>
      </c>
      <c r="EM92" t="e">
        <f>AND('BBP complete'!I1245,"AAAAAF/1/44=")</f>
        <v>#VALUE!</v>
      </c>
      <c r="EN92" t="e">
        <f>AND('BBP complete'!#REF!,"AAAAAF/1/48=")</f>
        <v>#REF!</v>
      </c>
      <c r="EO92" t="e">
        <f>AND('BBP complete'!#REF!,"AAAAAF/1/5A=")</f>
        <v>#REF!</v>
      </c>
      <c r="EP92" t="e">
        <f>AND('BBP complete'!#REF!,"AAAAAF/1/5E=")</f>
        <v>#REF!</v>
      </c>
      <c r="EQ92" t="e">
        <f>AND('BBP complete'!#REF!,"AAAAAF/1/5I=")</f>
        <v>#REF!</v>
      </c>
      <c r="ER92" t="e">
        <f>AND('BBP complete'!#REF!,"AAAAAF/1/5M=")</f>
        <v>#REF!</v>
      </c>
      <c r="ES92" t="e">
        <f>AND('BBP complete'!C1244,"AAAAAF/1/5Q=")</f>
        <v>#VALUE!</v>
      </c>
      <c r="ET92" t="e">
        <f>AND('BBP complete'!#REF!,"AAAAAF/1/5U=")</f>
        <v>#REF!</v>
      </c>
      <c r="EU92" t="e">
        <f>AND('BBP complete'!#REF!,"AAAAAF/1/5Y=")</f>
        <v>#REF!</v>
      </c>
      <c r="EV92" t="e">
        <f>AND('BBP complete'!#REF!,"AAAAAF/1/5c=")</f>
        <v>#REF!</v>
      </c>
      <c r="EW92" s="60" t="e">
        <v>#VALUE!</v>
      </c>
      <c r="EX92" t="e">
        <f>AND('BBP complete'!B1248,"AAAAAF/1/5k=")</f>
        <v>#VALUE!</v>
      </c>
      <c r="EY92" t="e">
        <f>AND('BBP complete'!F1249,"AAAAAF/1/5o=")</f>
        <v>#VALUE!</v>
      </c>
      <c r="EZ92" t="e">
        <f>AND('BBP complete'!G1249,"AAAAAF/1/5s=")</f>
        <v>#VALUE!</v>
      </c>
      <c r="FA92" t="e">
        <f>AND('BBP complete'!D1248,"AAAAAF/1/5w=")</f>
        <v>#VALUE!</v>
      </c>
      <c r="FB92" t="e">
        <f>AND('BBP complete'!H1247,"AAAAAF/1/50=")</f>
        <v>#VALUE!</v>
      </c>
      <c r="FC92" t="e">
        <f>AND('BBP complete'!I1246,"AAAAAF/1/54=")</f>
        <v>#VALUE!</v>
      </c>
      <c r="FD92" t="e">
        <f>AND('BBP complete'!#REF!,"AAAAAF/1/58=")</f>
        <v>#REF!</v>
      </c>
      <c r="FE92" t="e">
        <f>AND('BBP complete'!#REF!,"AAAAAF/1/6A=")</f>
        <v>#REF!</v>
      </c>
      <c r="FF92" t="e">
        <f>AND('BBP complete'!#REF!,"AAAAAF/1/6E=")</f>
        <v>#REF!</v>
      </c>
      <c r="FG92" t="e">
        <f>AND('BBP complete'!#REF!,"AAAAAF/1/6I=")</f>
        <v>#REF!</v>
      </c>
      <c r="FH92" t="e">
        <f>AND('BBP complete'!#REF!,"AAAAAF/1/6M=")</f>
        <v>#REF!</v>
      </c>
      <c r="FI92" t="e">
        <f>AND('BBP complete'!C1245,"AAAAAF/1/6Q=")</f>
        <v>#VALUE!</v>
      </c>
      <c r="FJ92" t="e">
        <f>AND('BBP complete'!#REF!,"AAAAAF/1/6U=")</f>
        <v>#REF!</v>
      </c>
      <c r="FK92" t="e">
        <f>AND('BBP complete'!#REF!,"AAAAAF/1/6Y=")</f>
        <v>#REF!</v>
      </c>
      <c r="FL92" t="e">
        <f>AND('BBP complete'!#REF!,"AAAAAF/1/6c=")</f>
        <v>#REF!</v>
      </c>
      <c r="FM92" s="60" t="e">
        <v>#VALUE!</v>
      </c>
      <c r="FN92" t="e">
        <f>AND('BBP complete'!B1249,"AAAAAF/1/6k=")</f>
        <v>#VALUE!</v>
      </c>
      <c r="FO92" t="e">
        <f>AND('BBP complete'!F1250,"AAAAAF/1/6o=")</f>
        <v>#VALUE!</v>
      </c>
      <c r="FP92" t="e">
        <f>AND('BBP complete'!G1250,"AAAAAF/1/6s=")</f>
        <v>#VALUE!</v>
      </c>
      <c r="FQ92" t="e">
        <f>AND('BBP complete'!D1249,"AAAAAF/1/6w=")</f>
        <v>#VALUE!</v>
      </c>
      <c r="FR92" t="e">
        <f>AND('BBP complete'!H1248,"AAAAAF/1/60=")</f>
        <v>#VALUE!</v>
      </c>
      <c r="FS92" t="e">
        <f>AND('BBP complete'!I1247,"AAAAAF/1/64=")</f>
        <v>#VALUE!</v>
      </c>
      <c r="FT92" t="e">
        <f>AND('BBP complete'!#REF!,"AAAAAF/1/68=")</f>
        <v>#REF!</v>
      </c>
      <c r="FU92" t="e">
        <f>AND('BBP complete'!#REF!,"AAAAAF/1/7A=")</f>
        <v>#REF!</v>
      </c>
      <c r="FV92" t="e">
        <f>AND('BBP complete'!#REF!,"AAAAAF/1/7E=")</f>
        <v>#REF!</v>
      </c>
      <c r="FW92" t="e">
        <f>AND('BBP complete'!#REF!,"AAAAAF/1/7I=")</f>
        <v>#REF!</v>
      </c>
      <c r="FX92" t="e">
        <f>AND('BBP complete'!#REF!,"AAAAAF/1/7M=")</f>
        <v>#REF!</v>
      </c>
      <c r="FY92" t="e">
        <f>AND('BBP complete'!C1246,"AAAAAF/1/7Q=")</f>
        <v>#VALUE!</v>
      </c>
      <c r="FZ92" t="e">
        <f>AND('BBP complete'!#REF!,"AAAAAF/1/7U=")</f>
        <v>#REF!</v>
      </c>
      <c r="GA92" t="e">
        <f>AND('BBP complete'!#REF!,"AAAAAF/1/7Y=")</f>
        <v>#REF!</v>
      </c>
      <c r="GB92" t="e">
        <f>AND('BBP complete'!#REF!,"AAAAAF/1/7c=")</f>
        <v>#REF!</v>
      </c>
      <c r="GC92" s="60" t="e">
        <v>#VALUE!</v>
      </c>
      <c r="GD92" t="e">
        <f>AND('BBP complete'!B1250,"AAAAAF/1/7k=")</f>
        <v>#VALUE!</v>
      </c>
      <c r="GE92" t="e">
        <f>AND('BBP complete'!F1251,"AAAAAF/1/7o=")</f>
        <v>#VALUE!</v>
      </c>
      <c r="GF92" t="e">
        <f>AND('BBP complete'!G1251,"AAAAAF/1/7s=")</f>
        <v>#VALUE!</v>
      </c>
      <c r="GG92" t="e">
        <f>AND('BBP complete'!D1250,"AAAAAF/1/7w=")</f>
        <v>#VALUE!</v>
      </c>
      <c r="GH92" t="e">
        <f>AND('BBP complete'!H1249,"AAAAAF/1/70=")</f>
        <v>#VALUE!</v>
      </c>
      <c r="GI92" t="e">
        <f>AND('BBP complete'!I1248,"AAAAAF/1/74=")</f>
        <v>#VALUE!</v>
      </c>
      <c r="GJ92" t="e">
        <f>AND('BBP complete'!#REF!,"AAAAAF/1/78=")</f>
        <v>#REF!</v>
      </c>
      <c r="GK92" t="e">
        <f>AND('BBP complete'!#REF!,"AAAAAF/1/8A=")</f>
        <v>#REF!</v>
      </c>
      <c r="GL92" t="e">
        <f>AND('BBP complete'!#REF!,"AAAAAF/1/8E=")</f>
        <v>#REF!</v>
      </c>
      <c r="GM92" t="e">
        <f>AND('BBP complete'!#REF!,"AAAAAF/1/8I=")</f>
        <v>#REF!</v>
      </c>
      <c r="GN92" t="e">
        <f>AND('BBP complete'!#REF!,"AAAAAF/1/8M=")</f>
        <v>#REF!</v>
      </c>
      <c r="GO92" t="e">
        <f>AND('BBP complete'!C1247,"AAAAAF/1/8Q=")</f>
        <v>#VALUE!</v>
      </c>
      <c r="GP92" t="e">
        <f>AND('BBP complete'!#REF!,"AAAAAF/1/8U=")</f>
        <v>#REF!</v>
      </c>
      <c r="GQ92" t="e">
        <f>AND('BBP complete'!#REF!,"AAAAAF/1/8Y=")</f>
        <v>#REF!</v>
      </c>
      <c r="GR92" t="e">
        <f>AND('BBP complete'!#REF!,"AAAAAF/1/8c=")</f>
        <v>#REF!</v>
      </c>
      <c r="GS92" s="60" t="e">
        <v>#VALUE!</v>
      </c>
      <c r="GT92" t="e">
        <f>AND('BBP complete'!B1251,"AAAAAF/1/8k=")</f>
        <v>#VALUE!</v>
      </c>
      <c r="GU92" t="e">
        <f>AND('BBP complete'!F1252,"AAAAAF/1/8o=")</f>
        <v>#VALUE!</v>
      </c>
      <c r="GV92" t="e">
        <f>AND('BBP complete'!G1252,"AAAAAF/1/8s=")</f>
        <v>#VALUE!</v>
      </c>
      <c r="GW92" t="e">
        <f>AND('BBP complete'!D1251,"AAAAAF/1/8w=")</f>
        <v>#VALUE!</v>
      </c>
      <c r="GX92" t="e">
        <f>AND('BBP complete'!H1250,"AAAAAF/1/80=")</f>
        <v>#VALUE!</v>
      </c>
      <c r="GY92" t="e">
        <f>AND('BBP complete'!I1249,"AAAAAF/1/84=")</f>
        <v>#VALUE!</v>
      </c>
      <c r="GZ92" t="e">
        <f>AND('BBP complete'!#REF!,"AAAAAF/1/88=")</f>
        <v>#REF!</v>
      </c>
      <c r="HA92" t="e">
        <f>AND('BBP complete'!#REF!,"AAAAAF/1/9A=")</f>
        <v>#REF!</v>
      </c>
      <c r="HB92" t="e">
        <f>AND('BBP complete'!#REF!,"AAAAAF/1/9E=")</f>
        <v>#REF!</v>
      </c>
      <c r="HC92" t="e">
        <f>AND('BBP complete'!#REF!,"AAAAAF/1/9I=")</f>
        <v>#REF!</v>
      </c>
      <c r="HD92" t="e">
        <f>AND('BBP complete'!#REF!,"AAAAAF/1/9M=")</f>
        <v>#REF!</v>
      </c>
      <c r="HE92" t="e">
        <f>AND('BBP complete'!C1248,"AAAAAF/1/9Q=")</f>
        <v>#VALUE!</v>
      </c>
      <c r="HF92" t="e">
        <f>AND('BBP complete'!#REF!,"AAAAAF/1/9U=")</f>
        <v>#REF!</v>
      </c>
      <c r="HG92" t="e">
        <f>AND('BBP complete'!#REF!,"AAAAAF/1/9Y=")</f>
        <v>#REF!</v>
      </c>
      <c r="HH92" t="e">
        <f>AND('BBP complete'!#REF!,"AAAAAF/1/9c=")</f>
        <v>#REF!</v>
      </c>
      <c r="HI92" s="60" t="e">
        <v>#VALUE!</v>
      </c>
      <c r="HJ92" t="e">
        <f>AND('BBP complete'!B1252,"AAAAAF/1/9k=")</f>
        <v>#VALUE!</v>
      </c>
      <c r="HK92" t="e">
        <f>AND('BBP complete'!F1253,"AAAAAF/1/9o=")</f>
        <v>#VALUE!</v>
      </c>
      <c r="HL92" t="e">
        <f>AND('BBP complete'!G1253,"AAAAAF/1/9s=")</f>
        <v>#VALUE!</v>
      </c>
      <c r="HM92" t="e">
        <f>AND('BBP complete'!D1252,"AAAAAF/1/9w=")</f>
        <v>#VALUE!</v>
      </c>
      <c r="HN92" t="e">
        <f>AND('BBP complete'!H1251,"AAAAAF/1/90=")</f>
        <v>#VALUE!</v>
      </c>
      <c r="HO92" t="e">
        <f>AND('BBP complete'!I1250,"AAAAAF/1/94=")</f>
        <v>#VALUE!</v>
      </c>
      <c r="HP92" t="e">
        <f>AND('BBP complete'!#REF!,"AAAAAF/1/98=")</f>
        <v>#REF!</v>
      </c>
      <c r="HQ92" t="e">
        <f>AND('BBP complete'!#REF!,"AAAAAF/1/+A=")</f>
        <v>#REF!</v>
      </c>
      <c r="HR92" t="e">
        <f>AND('BBP complete'!#REF!,"AAAAAF/1/+E=")</f>
        <v>#REF!</v>
      </c>
      <c r="HS92" t="e">
        <f>AND('BBP complete'!#REF!,"AAAAAF/1/+I=")</f>
        <v>#REF!</v>
      </c>
      <c r="HT92" t="e">
        <f>AND('BBP complete'!#REF!,"AAAAAF/1/+M=")</f>
        <v>#REF!</v>
      </c>
      <c r="HU92" t="e">
        <f>AND('BBP complete'!C1249,"AAAAAF/1/+Q=")</f>
        <v>#VALUE!</v>
      </c>
      <c r="HV92" t="e">
        <f>AND('BBP complete'!#REF!,"AAAAAF/1/+U=")</f>
        <v>#REF!</v>
      </c>
      <c r="HW92" t="e">
        <f>AND('BBP complete'!#REF!,"AAAAAF/1/+Y=")</f>
        <v>#REF!</v>
      </c>
      <c r="HX92" t="e">
        <f>AND('BBP complete'!#REF!,"AAAAAF/1/+c=")</f>
        <v>#REF!</v>
      </c>
      <c r="HY92" s="60" t="e">
        <v>#VALUE!</v>
      </c>
      <c r="HZ92" t="e">
        <f>AND('BBP complete'!B1253,"AAAAAF/1/+k=")</f>
        <v>#VALUE!</v>
      </c>
      <c r="IA92" t="e">
        <f>AND('BBP complete'!F1254,"AAAAAF/1/+o=")</f>
        <v>#VALUE!</v>
      </c>
      <c r="IB92" t="e">
        <f>AND('BBP complete'!G1254,"AAAAAF/1/+s=")</f>
        <v>#VALUE!</v>
      </c>
      <c r="IC92" t="e">
        <f>AND('BBP complete'!D1253,"AAAAAF/1/+w=")</f>
        <v>#VALUE!</v>
      </c>
      <c r="ID92" t="e">
        <f>AND('BBP complete'!H1252,"AAAAAF/1/+0=")</f>
        <v>#VALUE!</v>
      </c>
      <c r="IE92" t="e">
        <f>AND('BBP complete'!I1251,"AAAAAF/1/+4=")</f>
        <v>#VALUE!</v>
      </c>
      <c r="IF92" t="e">
        <f>AND('BBP complete'!#REF!,"AAAAAF/1/+8=")</f>
        <v>#REF!</v>
      </c>
      <c r="IG92" t="e">
        <f>AND('BBP complete'!#REF!,"AAAAAF/1//A=")</f>
        <v>#REF!</v>
      </c>
      <c r="IH92" t="e">
        <f>AND('BBP complete'!#REF!,"AAAAAF/1//E=")</f>
        <v>#REF!</v>
      </c>
      <c r="II92" t="e">
        <f>AND('BBP complete'!#REF!,"AAAAAF/1//I=")</f>
        <v>#REF!</v>
      </c>
      <c r="IJ92" t="e">
        <f>AND('BBP complete'!#REF!,"AAAAAF/1//M=")</f>
        <v>#REF!</v>
      </c>
      <c r="IK92" t="e">
        <f>AND('BBP complete'!C1250,"AAAAAF/1//Q=")</f>
        <v>#VALUE!</v>
      </c>
      <c r="IL92" t="e">
        <f>AND('BBP complete'!#REF!,"AAAAAF/1//U=")</f>
        <v>#REF!</v>
      </c>
      <c r="IM92" t="e">
        <f>AND('BBP complete'!#REF!,"AAAAAF/1//Y=")</f>
        <v>#REF!</v>
      </c>
      <c r="IN92" t="e">
        <f>AND('BBP complete'!#REF!,"AAAAAF/1//c=")</f>
        <v>#REF!</v>
      </c>
      <c r="IO92" s="60" t="e">
        <v>#VALUE!</v>
      </c>
      <c r="IP92" t="e">
        <f>AND('BBP complete'!B1254,"AAAAAF/1//k=")</f>
        <v>#VALUE!</v>
      </c>
      <c r="IQ92" t="e">
        <f>AND('BBP complete'!F1255,"AAAAAF/1//o=")</f>
        <v>#VALUE!</v>
      </c>
      <c r="IR92" t="e">
        <f>AND('BBP complete'!G1255,"AAAAAF/1//s=")</f>
        <v>#VALUE!</v>
      </c>
      <c r="IS92" t="e">
        <f>AND('BBP complete'!D1254,"AAAAAF/1//w=")</f>
        <v>#VALUE!</v>
      </c>
      <c r="IT92" t="e">
        <f>AND('BBP complete'!H1253,"AAAAAF/1//0=")</f>
        <v>#VALUE!</v>
      </c>
      <c r="IU92" t="e">
        <f>AND('BBP complete'!I1252,"AAAAAF/1//4=")</f>
        <v>#VALUE!</v>
      </c>
      <c r="IV92" t="e">
        <f>AND('BBP complete'!#REF!,"AAAAAF/1//8=")</f>
        <v>#REF!</v>
      </c>
    </row>
    <row r="93" spans="1:256" ht="15" customHeight="1" x14ac:dyDescent="0.25">
      <c r="A93" t="e">
        <f>AND('BBP complete'!#REF!,"AAAAAFdX/wA=")</f>
        <v>#REF!</v>
      </c>
      <c r="B93" t="e">
        <f>AND('BBP complete'!#REF!,"AAAAAFdX/wE=")</f>
        <v>#REF!</v>
      </c>
      <c r="C93" t="e">
        <f>AND('BBP complete'!#REF!,"AAAAAFdX/wI=")</f>
        <v>#REF!</v>
      </c>
      <c r="D93" t="e">
        <f>AND('BBP complete'!#REF!,"AAAAAFdX/wM=")</f>
        <v>#REF!</v>
      </c>
      <c r="E93" t="e">
        <f>AND('BBP complete'!C1251,"AAAAAFdX/wQ=")</f>
        <v>#VALUE!</v>
      </c>
      <c r="F93" t="e">
        <f>AND('BBP complete'!#REF!,"AAAAAFdX/wU=")</f>
        <v>#REF!</v>
      </c>
      <c r="G93" t="e">
        <f>AND('BBP complete'!#REF!,"AAAAAFdX/wY=")</f>
        <v>#REF!</v>
      </c>
      <c r="H93" t="e">
        <f>AND('BBP complete'!#REF!,"AAAAAFdX/wc=")</f>
        <v>#REF!</v>
      </c>
      <c r="I93" s="60" t="e">
        <v>#VALUE!</v>
      </c>
      <c r="J93" t="e">
        <f>AND('BBP complete'!B1255,"AAAAAFdX/wk=")</f>
        <v>#VALUE!</v>
      </c>
      <c r="K93" t="e">
        <f>AND('BBP complete'!F1256,"AAAAAFdX/wo=")</f>
        <v>#VALUE!</v>
      </c>
      <c r="L93" t="e">
        <f>AND('BBP complete'!G1256,"AAAAAFdX/ws=")</f>
        <v>#VALUE!</v>
      </c>
      <c r="M93" t="e">
        <f>AND('BBP complete'!D1255,"AAAAAFdX/ww=")</f>
        <v>#VALUE!</v>
      </c>
      <c r="N93" t="e">
        <f>AND('BBP complete'!H1254,"AAAAAFdX/w0=")</f>
        <v>#VALUE!</v>
      </c>
      <c r="O93" t="e">
        <f>AND('BBP complete'!I1253,"AAAAAFdX/w4=")</f>
        <v>#VALUE!</v>
      </c>
      <c r="P93" t="e">
        <f>AND('BBP complete'!#REF!,"AAAAAFdX/w8=")</f>
        <v>#REF!</v>
      </c>
      <c r="Q93" t="e">
        <f>AND('BBP complete'!#REF!,"AAAAAFdX/xA=")</f>
        <v>#REF!</v>
      </c>
      <c r="R93" t="e">
        <f>AND('BBP complete'!#REF!,"AAAAAFdX/xE=")</f>
        <v>#REF!</v>
      </c>
      <c r="S93" t="e">
        <f>AND('BBP complete'!#REF!,"AAAAAFdX/xI=")</f>
        <v>#REF!</v>
      </c>
      <c r="T93" t="e">
        <f>AND('BBP complete'!#REF!,"AAAAAFdX/xM=")</f>
        <v>#REF!</v>
      </c>
      <c r="U93" t="e">
        <f>AND('BBP complete'!C1252,"AAAAAFdX/xQ=")</f>
        <v>#VALUE!</v>
      </c>
      <c r="V93" t="e">
        <f>AND('BBP complete'!#REF!,"AAAAAFdX/xU=")</f>
        <v>#REF!</v>
      </c>
      <c r="W93" t="e">
        <f>AND('BBP complete'!#REF!,"AAAAAFdX/xY=")</f>
        <v>#REF!</v>
      </c>
      <c r="X93" t="e">
        <f>AND('BBP complete'!#REF!,"AAAAAFdX/xc=")</f>
        <v>#REF!</v>
      </c>
      <c r="Y93" s="60" t="e">
        <v>#VALUE!</v>
      </c>
      <c r="Z93" t="e">
        <f>AND('BBP complete'!B1256,"AAAAAFdX/xk=")</f>
        <v>#VALUE!</v>
      </c>
      <c r="AA93" t="e">
        <f>AND('BBP complete'!F1257,"AAAAAFdX/xo=")</f>
        <v>#VALUE!</v>
      </c>
      <c r="AB93" t="e">
        <f>AND('BBP complete'!G1257,"AAAAAFdX/xs=")</f>
        <v>#VALUE!</v>
      </c>
      <c r="AC93" t="e">
        <f>AND('BBP complete'!D1256,"AAAAAFdX/xw=")</f>
        <v>#VALUE!</v>
      </c>
      <c r="AD93" t="e">
        <f>AND('BBP complete'!H1255,"AAAAAFdX/x0=")</f>
        <v>#VALUE!</v>
      </c>
      <c r="AE93" t="e">
        <f>AND('BBP complete'!I1254,"AAAAAFdX/x4=")</f>
        <v>#VALUE!</v>
      </c>
      <c r="AF93" t="e">
        <f>AND('BBP complete'!#REF!,"AAAAAFdX/x8=")</f>
        <v>#REF!</v>
      </c>
      <c r="AG93" t="e">
        <f>AND('BBP complete'!#REF!,"AAAAAFdX/yA=")</f>
        <v>#REF!</v>
      </c>
      <c r="AH93" t="e">
        <f>AND('BBP complete'!#REF!,"AAAAAFdX/yE=")</f>
        <v>#REF!</v>
      </c>
      <c r="AI93" t="e">
        <f>AND('BBP complete'!#REF!,"AAAAAFdX/yI=")</f>
        <v>#REF!</v>
      </c>
      <c r="AJ93" t="e">
        <f>AND('BBP complete'!#REF!,"AAAAAFdX/yM=")</f>
        <v>#REF!</v>
      </c>
      <c r="AK93" t="e">
        <f>AND('BBP complete'!C1253,"AAAAAFdX/yQ=")</f>
        <v>#VALUE!</v>
      </c>
      <c r="AL93" t="e">
        <f>AND('BBP complete'!#REF!,"AAAAAFdX/yU=")</f>
        <v>#REF!</v>
      </c>
      <c r="AM93" t="e">
        <f>AND('BBP complete'!#REF!,"AAAAAFdX/yY=")</f>
        <v>#REF!</v>
      </c>
      <c r="AN93" t="e">
        <f>AND('BBP complete'!#REF!,"AAAAAFdX/yc=")</f>
        <v>#REF!</v>
      </c>
      <c r="AO93" s="60" t="e">
        <v>#VALUE!</v>
      </c>
      <c r="AP93" t="e">
        <f>AND('BBP complete'!B1257,"AAAAAFdX/yk=")</f>
        <v>#VALUE!</v>
      </c>
      <c r="AQ93" t="e">
        <f>AND('BBP complete'!F1258,"AAAAAFdX/yo=")</f>
        <v>#VALUE!</v>
      </c>
      <c r="AR93" t="e">
        <f>AND('BBP complete'!G1258,"AAAAAFdX/ys=")</f>
        <v>#VALUE!</v>
      </c>
      <c r="AS93" t="e">
        <f>AND('BBP complete'!D1257,"AAAAAFdX/yw=")</f>
        <v>#VALUE!</v>
      </c>
      <c r="AT93" t="e">
        <f>AND('BBP complete'!H1256,"AAAAAFdX/y0=")</f>
        <v>#VALUE!</v>
      </c>
      <c r="AU93" t="e">
        <f>AND('BBP complete'!I1255,"AAAAAFdX/y4=")</f>
        <v>#VALUE!</v>
      </c>
      <c r="AV93" t="e">
        <f>AND('BBP complete'!#REF!,"AAAAAFdX/y8=")</f>
        <v>#REF!</v>
      </c>
      <c r="AW93" t="e">
        <f>AND('BBP complete'!#REF!,"AAAAAFdX/zA=")</f>
        <v>#REF!</v>
      </c>
      <c r="AX93" t="e">
        <f>AND('BBP complete'!#REF!,"AAAAAFdX/zE=")</f>
        <v>#REF!</v>
      </c>
      <c r="AY93" t="e">
        <f>AND('BBP complete'!#REF!,"AAAAAFdX/zI=")</f>
        <v>#REF!</v>
      </c>
      <c r="AZ93" t="e">
        <f>AND('BBP complete'!#REF!,"AAAAAFdX/zM=")</f>
        <v>#REF!</v>
      </c>
      <c r="BA93" t="e">
        <f>AND('BBP complete'!C1254,"AAAAAFdX/zQ=")</f>
        <v>#VALUE!</v>
      </c>
      <c r="BB93" t="e">
        <f>AND('BBP complete'!#REF!,"AAAAAFdX/zU=")</f>
        <v>#REF!</v>
      </c>
      <c r="BC93" t="e">
        <f>AND('BBP complete'!#REF!,"AAAAAFdX/zY=")</f>
        <v>#REF!</v>
      </c>
      <c r="BD93" t="e">
        <f>AND('BBP complete'!#REF!,"AAAAAFdX/zc=")</f>
        <v>#REF!</v>
      </c>
      <c r="BE93" s="60" t="e">
        <v>#VALUE!</v>
      </c>
      <c r="BF93" t="e">
        <f>AND('BBP complete'!B1258,"AAAAAFdX/zk=")</f>
        <v>#VALUE!</v>
      </c>
      <c r="BG93" t="e">
        <f>AND('BBP complete'!F1259,"AAAAAFdX/zo=")</f>
        <v>#VALUE!</v>
      </c>
      <c r="BH93" t="e">
        <f>AND('BBP complete'!G1259,"AAAAAFdX/zs=")</f>
        <v>#VALUE!</v>
      </c>
      <c r="BI93" t="e">
        <f>AND('BBP complete'!D1258,"AAAAAFdX/zw=")</f>
        <v>#VALUE!</v>
      </c>
      <c r="BJ93" t="e">
        <f>AND('BBP complete'!H1257,"AAAAAFdX/z0=")</f>
        <v>#VALUE!</v>
      </c>
      <c r="BK93" t="e">
        <f>AND('BBP complete'!I1256,"AAAAAFdX/z4=")</f>
        <v>#VALUE!</v>
      </c>
      <c r="BL93" t="e">
        <f>AND('BBP complete'!#REF!,"AAAAAFdX/z8=")</f>
        <v>#REF!</v>
      </c>
      <c r="BM93" t="e">
        <f>AND('BBP complete'!#REF!,"AAAAAFdX/0A=")</f>
        <v>#REF!</v>
      </c>
      <c r="BN93" t="e">
        <f>AND('BBP complete'!#REF!,"AAAAAFdX/0E=")</f>
        <v>#REF!</v>
      </c>
      <c r="BO93" t="e">
        <f>AND('BBP complete'!#REF!,"AAAAAFdX/0I=")</f>
        <v>#REF!</v>
      </c>
      <c r="BP93" t="e">
        <f>AND('BBP complete'!#REF!,"AAAAAFdX/0M=")</f>
        <v>#REF!</v>
      </c>
      <c r="BQ93" t="e">
        <f>AND('BBP complete'!C1255,"AAAAAFdX/0Q=")</f>
        <v>#VALUE!</v>
      </c>
      <c r="BR93" t="e">
        <f>AND('BBP complete'!M1254,"AAAAAFdX/0U=")</f>
        <v>#VALUE!</v>
      </c>
      <c r="BS93" t="e">
        <f>AND('BBP complete'!N1254,"AAAAAFdX/0Y=")</f>
        <v>#VALUE!</v>
      </c>
      <c r="BT93" t="e">
        <f>AND('BBP complete'!P1268,"AAAAAFdX/0c=")</f>
        <v>#VALUE!</v>
      </c>
      <c r="BU93" s="60" t="e">
        <v>#VALUE!</v>
      </c>
      <c r="BV93" t="e">
        <f>AND('BBP complete'!B1259,"AAAAAFdX/0k=")</f>
        <v>#VALUE!</v>
      </c>
      <c r="BW93" t="e">
        <f>AND('BBP complete'!F1260,"AAAAAFdX/0o=")</f>
        <v>#VALUE!</v>
      </c>
      <c r="BX93" t="e">
        <f>AND('BBP complete'!G1260,"AAAAAFdX/0s=")</f>
        <v>#VALUE!</v>
      </c>
      <c r="BY93" t="e">
        <f>AND('BBP complete'!D1259,"AAAAAFdX/0w=")</f>
        <v>#VALUE!</v>
      </c>
      <c r="BZ93" t="e">
        <f>AND('BBP complete'!H1258,"AAAAAFdX/00=")</f>
        <v>#VALUE!</v>
      </c>
      <c r="CA93" t="e">
        <f>AND('BBP complete'!I1257,"AAAAAFdX/04=")</f>
        <v>#VALUE!</v>
      </c>
      <c r="CB93" t="e">
        <f>AND('BBP complete'!#REF!,"AAAAAFdX/08=")</f>
        <v>#REF!</v>
      </c>
      <c r="CC93" t="e">
        <f>AND('BBP complete'!#REF!,"AAAAAFdX/1A=")</f>
        <v>#REF!</v>
      </c>
      <c r="CD93" t="e">
        <f>AND('BBP complete'!#REF!,"AAAAAFdX/1E=")</f>
        <v>#REF!</v>
      </c>
      <c r="CE93" t="e">
        <f>AND('BBP complete'!#REF!,"AAAAAFdX/1I=")</f>
        <v>#REF!</v>
      </c>
      <c r="CF93" t="e">
        <f>AND('BBP complete'!#REF!,"AAAAAFdX/1M=")</f>
        <v>#REF!</v>
      </c>
      <c r="CG93" t="e">
        <f>AND('BBP complete'!C1256,"AAAAAFdX/1Q=")</f>
        <v>#VALUE!</v>
      </c>
      <c r="CH93" t="e">
        <f>AND('BBP complete'!M1255,"AAAAAFdX/1U=")</f>
        <v>#VALUE!</v>
      </c>
      <c r="CI93" t="e">
        <f>AND('BBP complete'!N1255,"AAAAAFdX/1Y=")</f>
        <v>#VALUE!</v>
      </c>
      <c r="CJ93" t="e">
        <f>AND('BBP complete'!P1269,"AAAAAFdX/1c=")</f>
        <v>#VALUE!</v>
      </c>
      <c r="CK93" s="60" t="e">
        <v>#VALUE!</v>
      </c>
      <c r="CL93" t="e">
        <f>AND('BBP complete'!B1260,"AAAAAFdX/1k=")</f>
        <v>#VALUE!</v>
      </c>
      <c r="CM93" t="e">
        <f>AND('BBP complete'!F1261,"AAAAAFdX/1o=")</f>
        <v>#VALUE!</v>
      </c>
      <c r="CN93" t="e">
        <f>AND('BBP complete'!G1261,"AAAAAFdX/1s=")</f>
        <v>#VALUE!</v>
      </c>
      <c r="CO93" t="e">
        <f>AND('BBP complete'!D1260,"AAAAAFdX/1w=")</f>
        <v>#VALUE!</v>
      </c>
      <c r="CP93" t="e">
        <f>AND('BBP complete'!H1259,"AAAAAFdX/10=")</f>
        <v>#VALUE!</v>
      </c>
      <c r="CQ93" t="e">
        <f>AND('BBP complete'!I1258,"AAAAAFdX/14=")</f>
        <v>#VALUE!</v>
      </c>
      <c r="CR93" t="e">
        <f>AND('BBP complete'!#REF!,"AAAAAFdX/18=")</f>
        <v>#REF!</v>
      </c>
      <c r="CS93" t="e">
        <f>AND('BBP complete'!#REF!,"AAAAAFdX/2A=")</f>
        <v>#REF!</v>
      </c>
      <c r="CT93" t="e">
        <f>AND('BBP complete'!#REF!,"AAAAAFdX/2E=")</f>
        <v>#REF!</v>
      </c>
      <c r="CU93" t="e">
        <f>AND('BBP complete'!#REF!,"AAAAAFdX/2I=")</f>
        <v>#REF!</v>
      </c>
      <c r="CV93" t="e">
        <f>AND('BBP complete'!#REF!,"AAAAAFdX/2M=")</f>
        <v>#REF!</v>
      </c>
      <c r="CW93" t="e">
        <f>AND('BBP complete'!C1257,"AAAAAFdX/2Q=")</f>
        <v>#VALUE!</v>
      </c>
      <c r="CX93" t="e">
        <f>AND('BBP complete'!M1256,"AAAAAFdX/2U=")</f>
        <v>#VALUE!</v>
      </c>
      <c r="CY93" t="e">
        <f>AND('BBP complete'!N1256,"AAAAAFdX/2Y=")</f>
        <v>#VALUE!</v>
      </c>
      <c r="CZ93" t="e">
        <f>AND('BBP complete'!P1270,"AAAAAFdX/2c=")</f>
        <v>#VALUE!</v>
      </c>
      <c r="DA93" s="60" t="e">
        <v>#VALUE!</v>
      </c>
      <c r="DB93" t="e">
        <f>AND('BBP complete'!B1261,"AAAAAFdX/2k=")</f>
        <v>#VALUE!</v>
      </c>
      <c r="DC93" t="e">
        <f>AND('BBP complete'!F1262,"AAAAAFdX/2o=")</f>
        <v>#VALUE!</v>
      </c>
      <c r="DD93" t="e">
        <f>AND('BBP complete'!G1262,"AAAAAFdX/2s=")</f>
        <v>#VALUE!</v>
      </c>
      <c r="DE93" t="e">
        <f>AND('BBP complete'!D1261,"AAAAAFdX/2w=")</f>
        <v>#VALUE!</v>
      </c>
      <c r="DF93" t="e">
        <f>AND('BBP complete'!H1260,"AAAAAFdX/20=")</f>
        <v>#VALUE!</v>
      </c>
      <c r="DG93" t="e">
        <f>AND('BBP complete'!I1259,"AAAAAFdX/24=")</f>
        <v>#VALUE!</v>
      </c>
      <c r="DH93" t="e">
        <f>AND('BBP complete'!#REF!,"AAAAAFdX/28=")</f>
        <v>#REF!</v>
      </c>
      <c r="DI93" t="e">
        <f>AND('BBP complete'!#REF!,"AAAAAFdX/3A=")</f>
        <v>#REF!</v>
      </c>
      <c r="DJ93" t="e">
        <f>AND('BBP complete'!#REF!,"AAAAAFdX/3E=")</f>
        <v>#REF!</v>
      </c>
      <c r="DK93" t="e">
        <f>AND('BBP complete'!#REF!,"AAAAAFdX/3I=")</f>
        <v>#REF!</v>
      </c>
      <c r="DL93" t="e">
        <f>AND('BBP complete'!#REF!,"AAAAAFdX/3M=")</f>
        <v>#REF!</v>
      </c>
      <c r="DM93" t="e">
        <f>AND('BBP complete'!C1258,"AAAAAFdX/3Q=")</f>
        <v>#VALUE!</v>
      </c>
      <c r="DN93" t="e">
        <f>AND('BBP complete'!M1257,"AAAAAFdX/3U=")</f>
        <v>#VALUE!</v>
      </c>
      <c r="DO93" t="e">
        <f>AND('BBP complete'!N1257,"AAAAAFdX/3Y=")</f>
        <v>#VALUE!</v>
      </c>
      <c r="DP93" t="e">
        <f>AND('BBP complete'!P1271,"AAAAAFdX/3c=")</f>
        <v>#VALUE!</v>
      </c>
      <c r="DQ93" s="60" t="e">
        <v>#VALUE!</v>
      </c>
      <c r="DR93" t="e">
        <f>AND('BBP complete'!B1262,"AAAAAFdX/3k=")</f>
        <v>#VALUE!</v>
      </c>
      <c r="DS93" t="e">
        <f>AND('BBP complete'!F1263,"AAAAAFdX/3o=")</f>
        <v>#VALUE!</v>
      </c>
      <c r="DT93" t="e">
        <f>AND('BBP complete'!G1263,"AAAAAFdX/3s=")</f>
        <v>#VALUE!</v>
      </c>
      <c r="DU93" t="e">
        <f>AND('BBP complete'!D1262,"AAAAAFdX/3w=")</f>
        <v>#VALUE!</v>
      </c>
      <c r="DV93" t="e">
        <f>AND('BBP complete'!H1261,"AAAAAFdX/30=")</f>
        <v>#VALUE!</v>
      </c>
      <c r="DW93" t="e">
        <f>AND('BBP complete'!I1260,"AAAAAFdX/34=")</f>
        <v>#VALUE!</v>
      </c>
      <c r="DX93" t="e">
        <f>AND('BBP complete'!#REF!,"AAAAAFdX/38=")</f>
        <v>#REF!</v>
      </c>
      <c r="DY93" t="e">
        <f>AND('BBP complete'!#REF!,"AAAAAFdX/4A=")</f>
        <v>#REF!</v>
      </c>
      <c r="DZ93" t="e">
        <f>AND('BBP complete'!#REF!,"AAAAAFdX/4E=")</f>
        <v>#REF!</v>
      </c>
      <c r="EA93" t="e">
        <f>AND('BBP complete'!#REF!,"AAAAAFdX/4I=")</f>
        <v>#REF!</v>
      </c>
      <c r="EB93" t="e">
        <f>AND('BBP complete'!#REF!,"AAAAAFdX/4M=")</f>
        <v>#REF!</v>
      </c>
      <c r="EC93" t="e">
        <f>AND('BBP complete'!C1259,"AAAAAFdX/4Q=")</f>
        <v>#VALUE!</v>
      </c>
      <c r="ED93" t="e">
        <f>AND('BBP complete'!M1258,"AAAAAFdX/4U=")</f>
        <v>#VALUE!</v>
      </c>
      <c r="EE93" t="e">
        <f>AND('BBP complete'!N1258,"AAAAAFdX/4Y=")</f>
        <v>#VALUE!</v>
      </c>
      <c r="EF93" t="e">
        <f>AND('BBP complete'!P1272,"AAAAAFdX/4c=")</f>
        <v>#VALUE!</v>
      </c>
      <c r="EG93" s="60" t="e">
        <v>#VALUE!</v>
      </c>
      <c r="EH93" t="e">
        <f>AND('BBP complete'!B1263,"AAAAAFdX/4k=")</f>
        <v>#VALUE!</v>
      </c>
      <c r="EI93" t="e">
        <f>AND('BBP complete'!F1264,"AAAAAFdX/4o=")</f>
        <v>#VALUE!</v>
      </c>
      <c r="EJ93" t="e">
        <f>AND('BBP complete'!G1264,"AAAAAFdX/4s=")</f>
        <v>#VALUE!</v>
      </c>
      <c r="EK93" t="e">
        <f>AND('BBP complete'!D1263,"AAAAAFdX/4w=")</f>
        <v>#VALUE!</v>
      </c>
      <c r="EL93" t="e">
        <f>AND('BBP complete'!H1262,"AAAAAFdX/40=")</f>
        <v>#VALUE!</v>
      </c>
      <c r="EM93" t="e">
        <f>AND('BBP complete'!I1261,"AAAAAFdX/44=")</f>
        <v>#VALUE!</v>
      </c>
      <c r="EN93" t="e">
        <f>AND('BBP complete'!#REF!,"AAAAAFdX/48=")</f>
        <v>#REF!</v>
      </c>
      <c r="EO93" t="e">
        <f>AND('BBP complete'!#REF!,"AAAAAFdX/5A=")</f>
        <v>#REF!</v>
      </c>
      <c r="EP93" t="e">
        <f>AND('BBP complete'!#REF!,"AAAAAFdX/5E=")</f>
        <v>#REF!</v>
      </c>
      <c r="EQ93" t="e">
        <f>AND('BBP complete'!#REF!,"AAAAAFdX/5I=")</f>
        <v>#REF!</v>
      </c>
      <c r="ER93" t="e">
        <f>AND('BBP complete'!#REF!,"AAAAAFdX/5M=")</f>
        <v>#REF!</v>
      </c>
      <c r="ES93" t="e">
        <f>AND('BBP complete'!C1260,"AAAAAFdX/5Q=")</f>
        <v>#VALUE!</v>
      </c>
      <c r="ET93" t="e">
        <f>AND('BBP complete'!M1259,"AAAAAFdX/5U=")</f>
        <v>#VALUE!</v>
      </c>
      <c r="EU93" t="e">
        <f>AND('BBP complete'!N1259,"AAAAAFdX/5Y=")</f>
        <v>#VALUE!</v>
      </c>
      <c r="EV93" t="e">
        <f>AND('BBP complete'!P1273,"AAAAAFdX/5c=")</f>
        <v>#VALUE!</v>
      </c>
      <c r="EW93" s="60" t="e">
        <v>#VALUE!</v>
      </c>
      <c r="EX93" t="e">
        <f>AND('BBP complete'!B1264,"AAAAAFdX/5k=")</f>
        <v>#VALUE!</v>
      </c>
      <c r="EY93" t="e">
        <f>AND('BBP complete'!F1265,"AAAAAFdX/5o=")</f>
        <v>#VALUE!</v>
      </c>
      <c r="EZ93" t="e">
        <f>AND('BBP complete'!G1265,"AAAAAFdX/5s=")</f>
        <v>#VALUE!</v>
      </c>
      <c r="FA93" t="e">
        <f>AND('BBP complete'!D1264,"AAAAAFdX/5w=")</f>
        <v>#VALUE!</v>
      </c>
      <c r="FB93" t="e">
        <f>AND('BBP complete'!H1263,"AAAAAFdX/50=")</f>
        <v>#VALUE!</v>
      </c>
      <c r="FC93" t="e">
        <f>AND('BBP complete'!I1262,"AAAAAFdX/54=")</f>
        <v>#VALUE!</v>
      </c>
      <c r="FD93" t="e">
        <f>AND('BBP complete'!#REF!,"AAAAAFdX/58=")</f>
        <v>#REF!</v>
      </c>
      <c r="FE93" t="e">
        <f>AND('BBP complete'!#REF!,"AAAAAFdX/6A=")</f>
        <v>#REF!</v>
      </c>
      <c r="FF93" t="e">
        <f>AND('BBP complete'!#REF!,"AAAAAFdX/6E=")</f>
        <v>#REF!</v>
      </c>
      <c r="FG93" t="e">
        <f>AND('BBP complete'!#REF!,"AAAAAFdX/6I=")</f>
        <v>#REF!</v>
      </c>
      <c r="FH93" t="e">
        <f>AND('BBP complete'!#REF!,"AAAAAFdX/6M=")</f>
        <v>#REF!</v>
      </c>
      <c r="FI93" t="e">
        <f>AND('BBP complete'!C1261,"AAAAAFdX/6Q=")</f>
        <v>#VALUE!</v>
      </c>
      <c r="FJ93" t="e">
        <f>AND('BBP complete'!M1260,"AAAAAFdX/6U=")</f>
        <v>#VALUE!</v>
      </c>
      <c r="FK93" t="e">
        <f>AND('BBP complete'!N1260,"AAAAAFdX/6Y=")</f>
        <v>#VALUE!</v>
      </c>
      <c r="FL93" t="e">
        <f>AND('BBP complete'!P1274,"AAAAAFdX/6c=")</f>
        <v>#VALUE!</v>
      </c>
      <c r="FM93" s="60" t="e">
        <v>#VALUE!</v>
      </c>
      <c r="FN93" t="e">
        <f>AND('BBP complete'!B1265,"AAAAAFdX/6k=")</f>
        <v>#VALUE!</v>
      </c>
      <c r="FO93" t="e">
        <f>AND('BBP complete'!F1266,"AAAAAFdX/6o=")</f>
        <v>#VALUE!</v>
      </c>
      <c r="FP93" t="e">
        <f>AND('BBP complete'!G1266,"AAAAAFdX/6s=")</f>
        <v>#VALUE!</v>
      </c>
      <c r="FQ93" t="e">
        <f>AND('BBP complete'!D1265,"AAAAAFdX/6w=")</f>
        <v>#VALUE!</v>
      </c>
      <c r="FR93" t="e">
        <f>AND('BBP complete'!H1264,"AAAAAFdX/60=")</f>
        <v>#VALUE!</v>
      </c>
      <c r="FS93" t="e">
        <f>AND('BBP complete'!I1263,"AAAAAFdX/64=")</f>
        <v>#VALUE!</v>
      </c>
      <c r="FT93" t="e">
        <f>AND('BBP complete'!#REF!,"AAAAAFdX/68=")</f>
        <v>#REF!</v>
      </c>
      <c r="FU93" t="e">
        <f>AND('BBP complete'!#REF!,"AAAAAFdX/7A=")</f>
        <v>#REF!</v>
      </c>
      <c r="FV93" t="e">
        <f>AND('BBP complete'!#REF!,"AAAAAFdX/7E=")</f>
        <v>#REF!</v>
      </c>
      <c r="FW93" t="e">
        <f>AND('BBP complete'!#REF!,"AAAAAFdX/7I=")</f>
        <v>#REF!</v>
      </c>
      <c r="FX93" t="e">
        <f>AND('BBP complete'!#REF!,"AAAAAFdX/7M=")</f>
        <v>#REF!</v>
      </c>
      <c r="FY93" t="e">
        <f>AND('BBP complete'!C1262,"AAAAAFdX/7Q=")</f>
        <v>#VALUE!</v>
      </c>
      <c r="FZ93" t="e">
        <f>AND('BBP complete'!M1261,"AAAAAFdX/7U=")</f>
        <v>#VALUE!</v>
      </c>
      <c r="GA93" t="e">
        <f>AND('BBP complete'!N1261,"AAAAAFdX/7Y=")</f>
        <v>#VALUE!</v>
      </c>
      <c r="GB93" t="e">
        <f>AND('BBP complete'!P1275,"AAAAAFdX/7c=")</f>
        <v>#VALUE!</v>
      </c>
      <c r="GC93" s="60" t="e">
        <v>#VALUE!</v>
      </c>
      <c r="GD93" t="e">
        <f>AND('BBP complete'!B1266,"AAAAAFdX/7k=")</f>
        <v>#VALUE!</v>
      </c>
      <c r="GE93" t="e">
        <f>AND('BBP complete'!F1267,"AAAAAFdX/7o=")</f>
        <v>#VALUE!</v>
      </c>
      <c r="GF93" t="e">
        <f>AND('BBP complete'!G1267,"AAAAAFdX/7s=")</f>
        <v>#VALUE!</v>
      </c>
      <c r="GG93" t="e">
        <f>AND('BBP complete'!D1266,"AAAAAFdX/7w=")</f>
        <v>#VALUE!</v>
      </c>
      <c r="GH93" t="e">
        <f>AND('BBP complete'!H1265,"AAAAAFdX/70=")</f>
        <v>#VALUE!</v>
      </c>
      <c r="GI93" t="e">
        <f>AND('BBP complete'!I1264,"AAAAAFdX/74=")</f>
        <v>#VALUE!</v>
      </c>
      <c r="GJ93" t="e">
        <f>AND('BBP complete'!#REF!,"AAAAAFdX/78=")</f>
        <v>#REF!</v>
      </c>
      <c r="GK93" t="e">
        <f>AND('BBP complete'!#REF!,"AAAAAFdX/8A=")</f>
        <v>#REF!</v>
      </c>
      <c r="GL93" t="e">
        <f>AND('BBP complete'!#REF!,"AAAAAFdX/8E=")</f>
        <v>#REF!</v>
      </c>
      <c r="GM93" t="e">
        <f>AND('BBP complete'!#REF!,"AAAAAFdX/8I=")</f>
        <v>#REF!</v>
      </c>
      <c r="GN93" t="e">
        <f>AND('BBP complete'!#REF!,"AAAAAFdX/8M=")</f>
        <v>#REF!</v>
      </c>
      <c r="GO93" t="e">
        <f>AND('BBP complete'!C1263,"AAAAAFdX/8Q=")</f>
        <v>#VALUE!</v>
      </c>
      <c r="GP93" t="e">
        <f>AND('BBP complete'!M1262,"AAAAAFdX/8U=")</f>
        <v>#VALUE!</v>
      </c>
      <c r="GQ93" t="e">
        <f>AND('BBP complete'!N1262,"AAAAAFdX/8Y=")</f>
        <v>#VALUE!</v>
      </c>
      <c r="GR93" t="e">
        <f>AND('BBP complete'!P1276,"AAAAAFdX/8c=")</f>
        <v>#VALUE!</v>
      </c>
      <c r="GS93" s="60" t="e">
        <v>#VALUE!</v>
      </c>
      <c r="GT93" t="e">
        <f>AND('BBP complete'!B1267,"AAAAAFdX/8k=")</f>
        <v>#VALUE!</v>
      </c>
      <c r="GU93" t="e">
        <f>AND('BBP complete'!F1268,"AAAAAFdX/8o=")</f>
        <v>#VALUE!</v>
      </c>
      <c r="GV93" t="e">
        <f>AND('BBP complete'!G1268,"AAAAAFdX/8s=")</f>
        <v>#VALUE!</v>
      </c>
      <c r="GW93" t="e">
        <f>AND('BBP complete'!D1267,"AAAAAFdX/8w=")</f>
        <v>#VALUE!</v>
      </c>
      <c r="GX93" t="e">
        <f>AND('BBP complete'!H1266,"AAAAAFdX/80=")</f>
        <v>#VALUE!</v>
      </c>
      <c r="GY93" t="e">
        <f>AND('BBP complete'!I1265,"AAAAAFdX/84=")</f>
        <v>#VALUE!</v>
      </c>
      <c r="GZ93" t="e">
        <f>AND('BBP complete'!#REF!,"AAAAAFdX/88=")</f>
        <v>#REF!</v>
      </c>
      <c r="HA93" t="e">
        <f>AND('BBP complete'!#REF!,"AAAAAFdX/9A=")</f>
        <v>#REF!</v>
      </c>
      <c r="HB93" t="e">
        <f>AND('BBP complete'!#REF!,"AAAAAFdX/9E=")</f>
        <v>#REF!</v>
      </c>
      <c r="HC93" t="e">
        <f>AND('BBP complete'!#REF!,"AAAAAFdX/9I=")</f>
        <v>#REF!</v>
      </c>
      <c r="HD93" t="e">
        <f>AND('BBP complete'!#REF!,"AAAAAFdX/9M=")</f>
        <v>#REF!</v>
      </c>
      <c r="HE93" t="e">
        <f>AND('BBP complete'!C1264,"AAAAAFdX/9Q=")</f>
        <v>#VALUE!</v>
      </c>
      <c r="HF93" t="e">
        <f>AND('BBP complete'!M1263,"AAAAAFdX/9U=")</f>
        <v>#VALUE!</v>
      </c>
      <c r="HG93" t="e">
        <f>AND('BBP complete'!N1263,"AAAAAFdX/9Y=")</f>
        <v>#VALUE!</v>
      </c>
      <c r="HH93" t="e">
        <f>AND('BBP complete'!P1277,"AAAAAFdX/9c=")</f>
        <v>#VALUE!</v>
      </c>
      <c r="HI93" s="60" t="e">
        <v>#VALUE!</v>
      </c>
      <c r="HJ93" t="e">
        <f>AND('BBP complete'!B1268,"AAAAAFdX/9k=")</f>
        <v>#VALUE!</v>
      </c>
      <c r="HK93" t="e">
        <f>AND('BBP complete'!F1269,"AAAAAFdX/9o=")</f>
        <v>#VALUE!</v>
      </c>
      <c r="HL93" t="e">
        <f>AND('BBP complete'!G1269,"AAAAAFdX/9s=")</f>
        <v>#VALUE!</v>
      </c>
      <c r="HM93" t="e">
        <f>AND('BBP complete'!D1268,"AAAAAFdX/9w=")</f>
        <v>#VALUE!</v>
      </c>
      <c r="HN93" t="e">
        <f>AND('BBP complete'!H1267,"AAAAAFdX/90=")</f>
        <v>#VALUE!</v>
      </c>
      <c r="HO93" t="e">
        <f>AND('BBP complete'!I1266,"AAAAAFdX/94=")</f>
        <v>#VALUE!</v>
      </c>
      <c r="HP93" t="e">
        <f>AND('BBP complete'!#REF!,"AAAAAFdX/98=")</f>
        <v>#REF!</v>
      </c>
      <c r="HQ93" t="e">
        <f>AND('BBP complete'!#REF!,"AAAAAFdX/+A=")</f>
        <v>#REF!</v>
      </c>
      <c r="HR93" t="e">
        <f>AND('BBP complete'!#REF!,"AAAAAFdX/+E=")</f>
        <v>#REF!</v>
      </c>
      <c r="HS93" t="e">
        <f>AND('BBP complete'!#REF!,"AAAAAFdX/+I=")</f>
        <v>#REF!</v>
      </c>
      <c r="HT93" t="e">
        <f>AND('BBP complete'!#REF!,"AAAAAFdX/+M=")</f>
        <v>#REF!</v>
      </c>
      <c r="HU93" t="e">
        <f>AND('BBP complete'!C1265,"AAAAAFdX/+Q=")</f>
        <v>#VALUE!</v>
      </c>
      <c r="HV93" t="e">
        <f>AND('BBP complete'!M1264,"AAAAAFdX/+U=")</f>
        <v>#VALUE!</v>
      </c>
      <c r="HW93" t="e">
        <f>AND('BBP complete'!N1264,"AAAAAFdX/+Y=")</f>
        <v>#VALUE!</v>
      </c>
      <c r="HX93" t="e">
        <f>AND('BBP complete'!P1278,"AAAAAFdX/+c=")</f>
        <v>#VALUE!</v>
      </c>
      <c r="HY93" s="60" t="e">
        <v>#VALUE!</v>
      </c>
      <c r="HZ93" t="e">
        <f>AND('BBP complete'!B1269,"AAAAAFdX/+k=")</f>
        <v>#VALUE!</v>
      </c>
      <c r="IA93" t="e">
        <f>AND('BBP complete'!F1270,"AAAAAFdX/+o=")</f>
        <v>#VALUE!</v>
      </c>
      <c r="IB93" t="e">
        <f>AND('BBP complete'!G1270,"AAAAAFdX/+s=")</f>
        <v>#VALUE!</v>
      </c>
      <c r="IC93" t="e">
        <f>AND('BBP complete'!D1269,"AAAAAFdX/+w=")</f>
        <v>#VALUE!</v>
      </c>
      <c r="ID93" t="e">
        <f>AND('BBP complete'!H1268,"AAAAAFdX/+0=")</f>
        <v>#VALUE!</v>
      </c>
      <c r="IE93" t="e">
        <f>AND('BBP complete'!I1267,"AAAAAFdX/+4=")</f>
        <v>#VALUE!</v>
      </c>
      <c r="IF93" t="e">
        <f>AND('BBP complete'!#REF!,"AAAAAFdX/+8=")</f>
        <v>#REF!</v>
      </c>
      <c r="IG93" t="e">
        <f>AND('BBP complete'!#REF!,"AAAAAFdX//A=")</f>
        <v>#REF!</v>
      </c>
      <c r="IH93" t="e">
        <f>AND('BBP complete'!#REF!,"AAAAAFdX//E=")</f>
        <v>#REF!</v>
      </c>
      <c r="II93" t="e">
        <f>AND('BBP complete'!#REF!,"AAAAAFdX//I=")</f>
        <v>#REF!</v>
      </c>
      <c r="IJ93" t="e">
        <f>AND('BBP complete'!#REF!,"AAAAAFdX//M=")</f>
        <v>#REF!</v>
      </c>
      <c r="IK93" t="e">
        <f>AND('BBP complete'!C1266,"AAAAAFdX//Q=")</f>
        <v>#VALUE!</v>
      </c>
      <c r="IL93" t="e">
        <f>AND('BBP complete'!M1265,"AAAAAFdX//U=")</f>
        <v>#VALUE!</v>
      </c>
      <c r="IM93" t="e">
        <f>AND('BBP complete'!N1265,"AAAAAFdX//Y=")</f>
        <v>#VALUE!</v>
      </c>
      <c r="IN93" t="e">
        <f>AND('BBP complete'!P1279,"AAAAAFdX//c=")</f>
        <v>#VALUE!</v>
      </c>
      <c r="IO93" s="60" t="e">
        <v>#VALUE!</v>
      </c>
      <c r="IP93" t="e">
        <f>AND('BBP complete'!B1270,"AAAAAFdX//k=")</f>
        <v>#VALUE!</v>
      </c>
      <c r="IQ93" t="e">
        <f>AND('BBP complete'!F1271,"AAAAAFdX//o=")</f>
        <v>#VALUE!</v>
      </c>
      <c r="IR93" t="e">
        <f>AND('BBP complete'!G1271,"AAAAAFdX//s=")</f>
        <v>#VALUE!</v>
      </c>
      <c r="IS93" t="e">
        <f>AND('BBP complete'!D1270,"AAAAAFdX//w=")</f>
        <v>#VALUE!</v>
      </c>
      <c r="IT93" t="e">
        <f>AND('BBP complete'!H1269,"AAAAAFdX//0=")</f>
        <v>#VALUE!</v>
      </c>
      <c r="IU93" t="e">
        <f>AND('BBP complete'!I1268,"AAAAAFdX//4=")</f>
        <v>#VALUE!</v>
      </c>
      <c r="IV93" t="e">
        <f>AND('BBP complete'!#REF!,"AAAAAFdX//8=")</f>
        <v>#REF!</v>
      </c>
    </row>
    <row r="94" spans="1:256" ht="15" customHeight="1" x14ac:dyDescent="0.25">
      <c r="A94" t="e">
        <f>AND('BBP complete'!#REF!,"AAAAAFppkgA=")</f>
        <v>#REF!</v>
      </c>
      <c r="B94" t="e">
        <f>AND('BBP complete'!#REF!,"AAAAAFppkgE=")</f>
        <v>#REF!</v>
      </c>
      <c r="C94" t="e">
        <f>AND('BBP complete'!#REF!,"AAAAAFppkgI=")</f>
        <v>#REF!</v>
      </c>
      <c r="D94" t="e">
        <f>AND('BBP complete'!#REF!,"AAAAAFppkgM=")</f>
        <v>#REF!</v>
      </c>
      <c r="E94" t="e">
        <f>AND('BBP complete'!C1267,"AAAAAFppkgQ=")</f>
        <v>#VALUE!</v>
      </c>
      <c r="F94" t="e">
        <f>AND('BBP complete'!M1266,"AAAAAFppkgU=")</f>
        <v>#VALUE!</v>
      </c>
      <c r="G94" t="e">
        <f>AND('BBP complete'!N1266,"AAAAAFppkgY=")</f>
        <v>#VALUE!</v>
      </c>
      <c r="H94" t="e">
        <f>AND('BBP complete'!P1280,"AAAAAFppkgc=")</f>
        <v>#VALUE!</v>
      </c>
      <c r="I94" s="60" t="e">
        <v>#VALUE!</v>
      </c>
      <c r="J94" t="e">
        <f>AND('BBP complete'!B1271,"AAAAAFppkgk=")</f>
        <v>#VALUE!</v>
      </c>
      <c r="K94" t="e">
        <f>AND('BBP complete'!F1272,"AAAAAFppkgo=")</f>
        <v>#VALUE!</v>
      </c>
      <c r="L94" t="e">
        <f>AND('BBP complete'!G1272,"AAAAAFppkgs=")</f>
        <v>#VALUE!</v>
      </c>
      <c r="M94" t="e">
        <f>AND('BBP complete'!D1271,"AAAAAFppkgw=")</f>
        <v>#VALUE!</v>
      </c>
      <c r="N94" t="e">
        <f>AND('BBP complete'!H1270,"AAAAAFppkg0=")</f>
        <v>#VALUE!</v>
      </c>
      <c r="O94" t="e">
        <f>AND('BBP complete'!I1269,"AAAAAFppkg4=")</f>
        <v>#VALUE!</v>
      </c>
      <c r="P94" t="e">
        <f>AND('BBP complete'!#REF!,"AAAAAFppkg8=")</f>
        <v>#REF!</v>
      </c>
      <c r="Q94" t="e">
        <f>AND('BBP complete'!#REF!,"AAAAAFppkhA=")</f>
        <v>#REF!</v>
      </c>
      <c r="R94" t="e">
        <f>AND('BBP complete'!#REF!,"AAAAAFppkhE=")</f>
        <v>#REF!</v>
      </c>
      <c r="S94" t="e">
        <f>AND('BBP complete'!#REF!,"AAAAAFppkhI=")</f>
        <v>#REF!</v>
      </c>
      <c r="T94" t="e">
        <f>AND('BBP complete'!#REF!,"AAAAAFppkhM=")</f>
        <v>#REF!</v>
      </c>
      <c r="U94" t="e">
        <f>AND('BBP complete'!C1268,"AAAAAFppkhQ=")</f>
        <v>#VALUE!</v>
      </c>
      <c r="V94" t="e">
        <f>AND('BBP complete'!M1267,"AAAAAFppkhU=")</f>
        <v>#VALUE!</v>
      </c>
      <c r="W94" t="e">
        <f>AND('BBP complete'!N1267,"AAAAAFppkhY=")</f>
        <v>#VALUE!</v>
      </c>
      <c r="X94" t="e">
        <f>AND('BBP complete'!P1281,"AAAAAFppkhc=")</f>
        <v>#VALUE!</v>
      </c>
      <c r="Y94" s="60" t="e">
        <v>#VALUE!</v>
      </c>
      <c r="Z94" t="e">
        <f>AND('BBP complete'!B1272,"AAAAAFppkhk=")</f>
        <v>#VALUE!</v>
      </c>
      <c r="AA94" t="e">
        <f>AND('BBP complete'!F1273,"AAAAAFppkho=")</f>
        <v>#VALUE!</v>
      </c>
      <c r="AB94" t="e">
        <f>AND('BBP complete'!G1273,"AAAAAFppkhs=")</f>
        <v>#VALUE!</v>
      </c>
      <c r="AC94" t="e">
        <f>AND('BBP complete'!D1272,"AAAAAFppkhw=")</f>
        <v>#VALUE!</v>
      </c>
      <c r="AD94" t="e">
        <f>AND('BBP complete'!H1271,"AAAAAFppkh0=")</f>
        <v>#VALUE!</v>
      </c>
      <c r="AE94" t="e">
        <f>AND('BBP complete'!I1270,"AAAAAFppkh4=")</f>
        <v>#VALUE!</v>
      </c>
      <c r="AF94" t="e">
        <f>AND('BBP complete'!#REF!,"AAAAAFppkh8=")</f>
        <v>#REF!</v>
      </c>
      <c r="AG94" t="e">
        <f>AND('BBP complete'!#REF!,"AAAAAFppkiA=")</f>
        <v>#REF!</v>
      </c>
      <c r="AH94" t="e">
        <f>AND('BBP complete'!#REF!,"AAAAAFppkiE=")</f>
        <v>#REF!</v>
      </c>
      <c r="AI94" t="e">
        <f>AND('BBP complete'!#REF!,"AAAAAFppkiI=")</f>
        <v>#REF!</v>
      </c>
      <c r="AJ94" t="e">
        <f>AND('BBP complete'!#REF!,"AAAAAFppkiM=")</f>
        <v>#REF!</v>
      </c>
      <c r="AK94" t="e">
        <f>AND('BBP complete'!C1269,"AAAAAFppkiQ=")</f>
        <v>#VALUE!</v>
      </c>
      <c r="AL94" t="e">
        <f>AND('BBP complete'!M1268,"AAAAAFppkiU=")</f>
        <v>#VALUE!</v>
      </c>
      <c r="AM94" t="e">
        <f>AND('BBP complete'!N1268,"AAAAAFppkiY=")</f>
        <v>#VALUE!</v>
      </c>
      <c r="AN94" t="e">
        <f>AND('BBP complete'!P1282,"AAAAAFppkic=")</f>
        <v>#VALUE!</v>
      </c>
      <c r="AO94" s="60" t="e">
        <v>#VALUE!</v>
      </c>
      <c r="AP94" t="e">
        <f>AND('BBP complete'!B1273,"AAAAAFppkik=")</f>
        <v>#VALUE!</v>
      </c>
      <c r="AQ94" t="e">
        <f>AND('BBP complete'!F1274,"AAAAAFppkio=")</f>
        <v>#VALUE!</v>
      </c>
      <c r="AR94" t="e">
        <f>AND('BBP complete'!G1274,"AAAAAFppkis=")</f>
        <v>#VALUE!</v>
      </c>
      <c r="AS94" t="e">
        <f>AND('BBP complete'!D1273,"AAAAAFppkiw=")</f>
        <v>#VALUE!</v>
      </c>
      <c r="AT94" t="e">
        <f>AND('BBP complete'!H1272,"AAAAAFppki0=")</f>
        <v>#VALUE!</v>
      </c>
      <c r="AU94" t="e">
        <f>AND('BBP complete'!I1271,"AAAAAFppki4=")</f>
        <v>#VALUE!</v>
      </c>
      <c r="AV94" t="e">
        <f>AND('BBP complete'!#REF!,"AAAAAFppki8=")</f>
        <v>#REF!</v>
      </c>
      <c r="AW94" t="e">
        <f>AND('BBP complete'!#REF!,"AAAAAFppkjA=")</f>
        <v>#REF!</v>
      </c>
      <c r="AX94" t="e">
        <f>AND('BBP complete'!#REF!,"AAAAAFppkjE=")</f>
        <v>#REF!</v>
      </c>
      <c r="AY94" t="e">
        <f>AND('BBP complete'!#REF!,"AAAAAFppkjI=")</f>
        <v>#REF!</v>
      </c>
      <c r="AZ94" t="e">
        <f>AND('BBP complete'!#REF!,"AAAAAFppkjM=")</f>
        <v>#REF!</v>
      </c>
      <c r="BA94" t="e">
        <f>AND('BBP complete'!C1270,"AAAAAFppkjQ=")</f>
        <v>#VALUE!</v>
      </c>
      <c r="BB94" t="e">
        <f>AND('BBP complete'!M1269,"AAAAAFppkjU=")</f>
        <v>#VALUE!</v>
      </c>
      <c r="BC94" t="e">
        <f>AND('BBP complete'!N1269,"AAAAAFppkjY=")</f>
        <v>#VALUE!</v>
      </c>
      <c r="BD94" t="e">
        <f>AND('BBP complete'!P1283,"AAAAAFppkjc=")</f>
        <v>#VALUE!</v>
      </c>
      <c r="BE94" s="60" t="e">
        <v>#VALUE!</v>
      </c>
      <c r="BF94" t="e">
        <f>AND('BBP complete'!B1274,"AAAAAFppkjk=")</f>
        <v>#VALUE!</v>
      </c>
      <c r="BG94" t="e">
        <f>AND('BBP complete'!F1275,"AAAAAFppkjo=")</f>
        <v>#VALUE!</v>
      </c>
      <c r="BH94" t="e">
        <f>AND('BBP complete'!G1275,"AAAAAFppkjs=")</f>
        <v>#VALUE!</v>
      </c>
      <c r="BI94" t="e">
        <f>AND('BBP complete'!D1274,"AAAAAFppkjw=")</f>
        <v>#VALUE!</v>
      </c>
      <c r="BJ94" t="e">
        <f>AND('BBP complete'!H1273,"AAAAAFppkj0=")</f>
        <v>#VALUE!</v>
      </c>
      <c r="BK94" t="e">
        <f>AND('BBP complete'!I1272,"AAAAAFppkj4=")</f>
        <v>#VALUE!</v>
      </c>
      <c r="BL94" t="e">
        <f>AND('BBP complete'!#REF!,"AAAAAFppkj8=")</f>
        <v>#REF!</v>
      </c>
      <c r="BM94" t="e">
        <f>AND('BBP complete'!#REF!,"AAAAAFppkkA=")</f>
        <v>#REF!</v>
      </c>
      <c r="BN94" t="e">
        <f>AND('BBP complete'!#REF!,"AAAAAFppkkE=")</f>
        <v>#REF!</v>
      </c>
      <c r="BO94" t="e">
        <f>AND('BBP complete'!#REF!,"AAAAAFppkkI=")</f>
        <v>#REF!</v>
      </c>
      <c r="BP94" t="e">
        <f>AND('BBP complete'!#REF!,"AAAAAFppkkM=")</f>
        <v>#REF!</v>
      </c>
      <c r="BQ94" t="e">
        <f>AND('BBP complete'!C1271,"AAAAAFppkkQ=")</f>
        <v>#VALUE!</v>
      </c>
      <c r="BR94" t="e">
        <f>AND('BBP complete'!M1270,"AAAAAFppkkU=")</f>
        <v>#VALUE!</v>
      </c>
      <c r="BS94" t="e">
        <f>AND('BBP complete'!N1270,"AAAAAFppkkY=")</f>
        <v>#VALUE!</v>
      </c>
      <c r="BT94" t="e">
        <f>AND('BBP complete'!P1284,"AAAAAFppkkc=")</f>
        <v>#VALUE!</v>
      </c>
      <c r="BU94" s="60" t="e">
        <v>#VALUE!</v>
      </c>
      <c r="BV94" t="e">
        <f>AND('BBP complete'!B1275,"AAAAAFppkkk=")</f>
        <v>#VALUE!</v>
      </c>
      <c r="BW94" t="e">
        <f>AND('BBP complete'!F1276,"AAAAAFppkko=")</f>
        <v>#VALUE!</v>
      </c>
      <c r="BX94" t="e">
        <f>AND('BBP complete'!G1276,"AAAAAFppkks=")</f>
        <v>#VALUE!</v>
      </c>
      <c r="BY94" t="e">
        <f>AND('BBP complete'!D1275,"AAAAAFppkkw=")</f>
        <v>#VALUE!</v>
      </c>
      <c r="BZ94" t="e">
        <f>AND('BBP complete'!H1274,"AAAAAFppkk0=")</f>
        <v>#VALUE!</v>
      </c>
      <c r="CA94" t="e">
        <f>AND('BBP complete'!I1273,"AAAAAFppkk4=")</f>
        <v>#VALUE!</v>
      </c>
      <c r="CB94" t="e">
        <f>AND('BBP complete'!#REF!,"AAAAAFppkk8=")</f>
        <v>#REF!</v>
      </c>
      <c r="CC94" t="e">
        <f>AND('BBP complete'!#REF!,"AAAAAFppklA=")</f>
        <v>#REF!</v>
      </c>
      <c r="CD94" t="e">
        <f>AND('BBP complete'!#REF!,"AAAAAFppklE=")</f>
        <v>#REF!</v>
      </c>
      <c r="CE94" t="e">
        <f>AND('BBP complete'!#REF!,"AAAAAFppklI=")</f>
        <v>#REF!</v>
      </c>
      <c r="CF94" t="e">
        <f>AND('BBP complete'!#REF!,"AAAAAFppklM=")</f>
        <v>#REF!</v>
      </c>
      <c r="CG94" t="e">
        <f>AND('BBP complete'!C1272,"AAAAAFppklQ=")</f>
        <v>#VALUE!</v>
      </c>
      <c r="CH94" t="e">
        <f>AND('BBP complete'!M1271,"AAAAAFppklU=")</f>
        <v>#VALUE!</v>
      </c>
      <c r="CI94" t="e">
        <f>AND('BBP complete'!N1271,"AAAAAFppklY=")</f>
        <v>#VALUE!</v>
      </c>
      <c r="CJ94" t="e">
        <f>AND('BBP complete'!P1285,"AAAAAFppklc=")</f>
        <v>#VALUE!</v>
      </c>
      <c r="CK94" s="60" t="e">
        <v>#VALUE!</v>
      </c>
      <c r="CL94" t="e">
        <f>AND('BBP complete'!B1276,"AAAAAFppklk=")</f>
        <v>#VALUE!</v>
      </c>
      <c r="CM94" t="e">
        <f>AND('BBP complete'!F1277,"AAAAAFppklo=")</f>
        <v>#VALUE!</v>
      </c>
      <c r="CN94" t="e">
        <f>AND('BBP complete'!G1277,"AAAAAFppkls=")</f>
        <v>#VALUE!</v>
      </c>
      <c r="CO94" t="e">
        <f>AND('BBP complete'!D1276,"AAAAAFppklw=")</f>
        <v>#VALUE!</v>
      </c>
      <c r="CP94" t="e">
        <f>AND('BBP complete'!H1275,"AAAAAFppkl0=")</f>
        <v>#VALUE!</v>
      </c>
      <c r="CQ94" t="e">
        <f>AND('BBP complete'!I1274,"AAAAAFppkl4=")</f>
        <v>#VALUE!</v>
      </c>
      <c r="CR94" t="e">
        <f>AND('BBP complete'!#REF!,"AAAAAFppkl8=")</f>
        <v>#REF!</v>
      </c>
      <c r="CS94" t="e">
        <f>AND('BBP complete'!#REF!,"AAAAAFppkmA=")</f>
        <v>#REF!</v>
      </c>
      <c r="CT94" t="e">
        <f>AND('BBP complete'!#REF!,"AAAAAFppkmE=")</f>
        <v>#REF!</v>
      </c>
      <c r="CU94" t="e">
        <f>AND('BBP complete'!#REF!,"AAAAAFppkmI=")</f>
        <v>#REF!</v>
      </c>
      <c r="CV94" t="e">
        <f>AND('BBP complete'!#REF!,"AAAAAFppkmM=")</f>
        <v>#REF!</v>
      </c>
      <c r="CW94" t="e">
        <f>AND('BBP complete'!C1273,"AAAAAFppkmQ=")</f>
        <v>#VALUE!</v>
      </c>
      <c r="CX94" t="e">
        <f>AND('BBP complete'!M1272,"AAAAAFppkmU=")</f>
        <v>#VALUE!</v>
      </c>
      <c r="CY94" t="e">
        <f>AND('BBP complete'!N1272,"AAAAAFppkmY=")</f>
        <v>#VALUE!</v>
      </c>
      <c r="CZ94" t="e">
        <f>AND('BBP complete'!P1286,"AAAAAFppkmc=")</f>
        <v>#VALUE!</v>
      </c>
      <c r="DA94" s="60" t="e">
        <v>#VALUE!</v>
      </c>
      <c r="DB94" t="e">
        <f>AND('BBP complete'!B1277,"AAAAAFppkmk=")</f>
        <v>#VALUE!</v>
      </c>
      <c r="DC94" t="e">
        <f>AND('BBP complete'!F1278,"AAAAAFppkmo=")</f>
        <v>#VALUE!</v>
      </c>
      <c r="DD94" t="e">
        <f>AND('BBP complete'!G1278,"AAAAAFppkms=")</f>
        <v>#VALUE!</v>
      </c>
      <c r="DE94" t="e">
        <f>AND('BBP complete'!D1277,"AAAAAFppkmw=")</f>
        <v>#VALUE!</v>
      </c>
      <c r="DF94" t="e">
        <f>AND('BBP complete'!H1276,"AAAAAFppkm0=")</f>
        <v>#VALUE!</v>
      </c>
      <c r="DG94" t="e">
        <f>AND('BBP complete'!I1275,"AAAAAFppkm4=")</f>
        <v>#VALUE!</v>
      </c>
      <c r="DH94" t="e">
        <f>AND('BBP complete'!#REF!,"AAAAAFppkm8=")</f>
        <v>#REF!</v>
      </c>
      <c r="DI94" t="e">
        <f>AND('BBP complete'!#REF!,"AAAAAFppknA=")</f>
        <v>#REF!</v>
      </c>
      <c r="DJ94" t="e">
        <f>AND('BBP complete'!#REF!,"AAAAAFppknE=")</f>
        <v>#REF!</v>
      </c>
      <c r="DK94" t="e">
        <f>AND('BBP complete'!#REF!,"AAAAAFppknI=")</f>
        <v>#REF!</v>
      </c>
      <c r="DL94" t="e">
        <f>AND('BBP complete'!#REF!,"AAAAAFppknM=")</f>
        <v>#REF!</v>
      </c>
      <c r="DM94" t="e">
        <f>AND('BBP complete'!C1274,"AAAAAFppknQ=")</f>
        <v>#VALUE!</v>
      </c>
      <c r="DN94" t="e">
        <f>AND('BBP complete'!M1273,"AAAAAFppknU=")</f>
        <v>#VALUE!</v>
      </c>
      <c r="DO94" t="e">
        <f>AND('BBP complete'!N1273,"AAAAAFppknY=")</f>
        <v>#VALUE!</v>
      </c>
      <c r="DP94" t="e">
        <f>AND('BBP complete'!P1287,"AAAAAFppknc=")</f>
        <v>#VALUE!</v>
      </c>
      <c r="DQ94" s="60" t="e">
        <v>#VALUE!</v>
      </c>
      <c r="DR94" t="e">
        <f>AND('BBP complete'!B1278,"AAAAAFppknk=")</f>
        <v>#VALUE!</v>
      </c>
      <c r="DS94" t="e">
        <f>AND('BBP complete'!F1279,"AAAAAFppkno=")</f>
        <v>#VALUE!</v>
      </c>
      <c r="DT94" t="e">
        <f>AND('BBP complete'!G1279,"AAAAAFppkns=")</f>
        <v>#VALUE!</v>
      </c>
      <c r="DU94" t="e">
        <f>AND('BBP complete'!D1278,"AAAAAFppknw=")</f>
        <v>#VALUE!</v>
      </c>
      <c r="DV94" t="e">
        <f>AND('BBP complete'!H1277,"AAAAAFppkn0=")</f>
        <v>#VALUE!</v>
      </c>
      <c r="DW94" t="e">
        <f>AND('BBP complete'!I1276,"AAAAAFppkn4=")</f>
        <v>#VALUE!</v>
      </c>
      <c r="DX94" t="e">
        <f>AND('BBP complete'!#REF!,"AAAAAFppkn8=")</f>
        <v>#REF!</v>
      </c>
      <c r="DY94" t="e">
        <f>AND('BBP complete'!#REF!,"AAAAAFppkoA=")</f>
        <v>#REF!</v>
      </c>
      <c r="DZ94" t="e">
        <f>AND('BBP complete'!#REF!,"AAAAAFppkoE=")</f>
        <v>#REF!</v>
      </c>
      <c r="EA94" t="e">
        <f>AND('BBP complete'!#REF!,"AAAAAFppkoI=")</f>
        <v>#REF!</v>
      </c>
      <c r="EB94" t="e">
        <f>AND('BBP complete'!#REF!,"AAAAAFppkoM=")</f>
        <v>#REF!</v>
      </c>
      <c r="EC94" t="e">
        <f>AND('BBP complete'!C1275,"AAAAAFppkoQ=")</f>
        <v>#VALUE!</v>
      </c>
      <c r="ED94" t="e">
        <f>AND('BBP complete'!M1274,"AAAAAFppkoU=")</f>
        <v>#VALUE!</v>
      </c>
      <c r="EE94" t="e">
        <f>AND('BBP complete'!N1274,"AAAAAFppkoY=")</f>
        <v>#VALUE!</v>
      </c>
      <c r="EF94" t="e">
        <f>AND('BBP complete'!P1288,"AAAAAFppkoc=")</f>
        <v>#VALUE!</v>
      </c>
      <c r="EG94" s="60" t="e">
        <v>#VALUE!</v>
      </c>
      <c r="EH94" t="e">
        <f>AND('BBP complete'!B1279,"AAAAAFppkok=")</f>
        <v>#VALUE!</v>
      </c>
      <c r="EI94" t="e">
        <f>AND('BBP complete'!F1280,"AAAAAFppkoo=")</f>
        <v>#VALUE!</v>
      </c>
      <c r="EJ94" t="e">
        <f>AND('BBP complete'!G1280,"AAAAAFppkos=")</f>
        <v>#VALUE!</v>
      </c>
      <c r="EK94" t="e">
        <f>AND('BBP complete'!D1279,"AAAAAFppkow=")</f>
        <v>#VALUE!</v>
      </c>
      <c r="EL94" t="e">
        <f>AND('BBP complete'!H1278,"AAAAAFppko0=")</f>
        <v>#VALUE!</v>
      </c>
      <c r="EM94" t="e">
        <f>AND('BBP complete'!I1277,"AAAAAFppko4=")</f>
        <v>#VALUE!</v>
      </c>
      <c r="EN94" t="e">
        <f>AND('BBP complete'!#REF!,"AAAAAFppko8=")</f>
        <v>#REF!</v>
      </c>
      <c r="EO94" t="e">
        <f>AND('BBP complete'!#REF!,"AAAAAFppkpA=")</f>
        <v>#REF!</v>
      </c>
      <c r="EP94" t="e">
        <f>AND('BBP complete'!#REF!,"AAAAAFppkpE=")</f>
        <v>#REF!</v>
      </c>
      <c r="EQ94" t="e">
        <f>AND('BBP complete'!#REF!,"AAAAAFppkpI=")</f>
        <v>#REF!</v>
      </c>
      <c r="ER94" t="e">
        <f>AND('BBP complete'!#REF!,"AAAAAFppkpM=")</f>
        <v>#REF!</v>
      </c>
      <c r="ES94" t="e">
        <f>AND('BBP complete'!C1276,"AAAAAFppkpQ=")</f>
        <v>#VALUE!</v>
      </c>
      <c r="ET94" t="e">
        <f>AND('BBP complete'!M1275,"AAAAAFppkpU=")</f>
        <v>#VALUE!</v>
      </c>
      <c r="EU94" t="e">
        <f>AND('BBP complete'!N1275,"AAAAAFppkpY=")</f>
        <v>#VALUE!</v>
      </c>
      <c r="EV94" t="e">
        <f>AND('BBP complete'!P1289,"AAAAAFppkpc=")</f>
        <v>#VALUE!</v>
      </c>
      <c r="EW94" s="60" t="e">
        <v>#VALUE!</v>
      </c>
      <c r="EX94" t="e">
        <f>AND('BBP complete'!B1280,"AAAAAFppkpk=")</f>
        <v>#VALUE!</v>
      </c>
      <c r="EY94" t="e">
        <f>AND('BBP complete'!F1281,"AAAAAFppkpo=")</f>
        <v>#VALUE!</v>
      </c>
      <c r="EZ94" t="e">
        <f>AND('BBP complete'!G1281,"AAAAAFppkps=")</f>
        <v>#VALUE!</v>
      </c>
      <c r="FA94" t="e">
        <f>AND('BBP complete'!D1280,"AAAAAFppkpw=")</f>
        <v>#VALUE!</v>
      </c>
      <c r="FB94" t="e">
        <f>AND('BBP complete'!H1279,"AAAAAFppkp0=")</f>
        <v>#VALUE!</v>
      </c>
      <c r="FC94" t="e">
        <f>AND('BBP complete'!I1278,"AAAAAFppkp4=")</f>
        <v>#VALUE!</v>
      </c>
      <c r="FD94" t="e">
        <f>AND('BBP complete'!#REF!,"AAAAAFppkp8=")</f>
        <v>#REF!</v>
      </c>
      <c r="FE94" t="e">
        <f>AND('BBP complete'!#REF!,"AAAAAFppkqA=")</f>
        <v>#REF!</v>
      </c>
      <c r="FF94" t="e">
        <f>AND('BBP complete'!#REF!,"AAAAAFppkqE=")</f>
        <v>#REF!</v>
      </c>
      <c r="FG94" t="e">
        <f>AND('BBP complete'!#REF!,"AAAAAFppkqI=")</f>
        <v>#REF!</v>
      </c>
      <c r="FH94" t="e">
        <f>AND('BBP complete'!#REF!,"AAAAAFppkqM=")</f>
        <v>#REF!</v>
      </c>
      <c r="FI94" t="e">
        <f>AND('BBP complete'!C1277,"AAAAAFppkqQ=")</f>
        <v>#VALUE!</v>
      </c>
      <c r="FJ94" t="e">
        <f>AND('BBP complete'!M1276,"AAAAAFppkqU=")</f>
        <v>#VALUE!</v>
      </c>
      <c r="FK94" t="e">
        <f>AND('BBP complete'!N1276,"AAAAAFppkqY=")</f>
        <v>#VALUE!</v>
      </c>
      <c r="FL94" t="e">
        <f>AND('BBP complete'!P1290,"AAAAAFppkqc=")</f>
        <v>#VALUE!</v>
      </c>
      <c r="FM94" s="60" t="e">
        <v>#VALUE!</v>
      </c>
      <c r="FN94" t="e">
        <f>AND('BBP complete'!B1281,"AAAAAFppkqk=")</f>
        <v>#VALUE!</v>
      </c>
      <c r="FO94" t="e">
        <f>AND('BBP complete'!F1282,"AAAAAFppkqo=")</f>
        <v>#VALUE!</v>
      </c>
      <c r="FP94" t="e">
        <f>AND('BBP complete'!G1282,"AAAAAFppkqs=")</f>
        <v>#VALUE!</v>
      </c>
      <c r="FQ94" t="e">
        <f>AND('BBP complete'!D1281,"AAAAAFppkqw=")</f>
        <v>#VALUE!</v>
      </c>
      <c r="FR94" t="e">
        <f>AND('BBP complete'!H1280,"AAAAAFppkq0=")</f>
        <v>#VALUE!</v>
      </c>
      <c r="FS94" t="e">
        <f>AND('BBP complete'!I1279,"AAAAAFppkq4=")</f>
        <v>#VALUE!</v>
      </c>
      <c r="FT94" t="e">
        <f>AND('BBP complete'!#REF!,"AAAAAFppkq8=")</f>
        <v>#REF!</v>
      </c>
      <c r="FU94" t="e">
        <f>AND('BBP complete'!#REF!,"AAAAAFppkrA=")</f>
        <v>#REF!</v>
      </c>
      <c r="FV94" t="e">
        <f>AND('BBP complete'!#REF!,"AAAAAFppkrE=")</f>
        <v>#REF!</v>
      </c>
      <c r="FW94" t="e">
        <f>AND('BBP complete'!#REF!,"AAAAAFppkrI=")</f>
        <v>#REF!</v>
      </c>
      <c r="FX94" t="e">
        <f>AND('BBP complete'!#REF!,"AAAAAFppkrM=")</f>
        <v>#REF!</v>
      </c>
      <c r="FY94" t="e">
        <f>AND('BBP complete'!C1278,"AAAAAFppkrQ=")</f>
        <v>#VALUE!</v>
      </c>
      <c r="FZ94" t="e">
        <f>AND('BBP complete'!M1277,"AAAAAFppkrU=")</f>
        <v>#VALUE!</v>
      </c>
      <c r="GA94" t="e">
        <f>AND('BBP complete'!N1277,"AAAAAFppkrY=")</f>
        <v>#VALUE!</v>
      </c>
      <c r="GB94" t="e">
        <f>AND('BBP complete'!P1291,"AAAAAFppkrc=")</f>
        <v>#VALUE!</v>
      </c>
      <c r="GC94" s="60" t="e">
        <v>#VALUE!</v>
      </c>
      <c r="GD94" t="e">
        <f>AND('BBP complete'!B1282,"AAAAAFppkrk=")</f>
        <v>#VALUE!</v>
      </c>
      <c r="GE94" t="e">
        <f>AND('BBP complete'!F1283,"AAAAAFppkro=")</f>
        <v>#VALUE!</v>
      </c>
      <c r="GF94" t="e">
        <f>AND('BBP complete'!G1283,"AAAAAFppkrs=")</f>
        <v>#VALUE!</v>
      </c>
      <c r="GG94" t="e">
        <f>AND('BBP complete'!D1282,"AAAAAFppkrw=")</f>
        <v>#VALUE!</v>
      </c>
      <c r="GH94" t="e">
        <f>AND('BBP complete'!H1281,"AAAAAFppkr0=")</f>
        <v>#VALUE!</v>
      </c>
      <c r="GI94" t="e">
        <f>AND('BBP complete'!I1280,"AAAAAFppkr4=")</f>
        <v>#VALUE!</v>
      </c>
      <c r="GJ94" t="e">
        <f>AND('BBP complete'!#REF!,"AAAAAFppkr8=")</f>
        <v>#REF!</v>
      </c>
      <c r="GK94" t="e">
        <f>AND('BBP complete'!#REF!,"AAAAAFppksA=")</f>
        <v>#REF!</v>
      </c>
      <c r="GL94" t="e">
        <f>AND('BBP complete'!#REF!,"AAAAAFppksE=")</f>
        <v>#REF!</v>
      </c>
      <c r="GM94" t="e">
        <f>AND('BBP complete'!#REF!,"AAAAAFppksI=")</f>
        <v>#REF!</v>
      </c>
      <c r="GN94" t="e">
        <f>AND('BBP complete'!#REF!,"AAAAAFppksM=")</f>
        <v>#REF!</v>
      </c>
      <c r="GO94" t="e">
        <f>AND('BBP complete'!C1279,"AAAAAFppksQ=")</f>
        <v>#VALUE!</v>
      </c>
      <c r="GP94" t="e">
        <f>AND('BBP complete'!M1278,"AAAAAFppksU=")</f>
        <v>#VALUE!</v>
      </c>
      <c r="GQ94" t="e">
        <f>AND('BBP complete'!N1278,"AAAAAFppksY=")</f>
        <v>#VALUE!</v>
      </c>
      <c r="GR94" t="e">
        <f>AND('BBP complete'!P1292,"AAAAAFppksc=")</f>
        <v>#VALUE!</v>
      </c>
      <c r="GS94" s="60" t="e">
        <v>#VALUE!</v>
      </c>
      <c r="GT94" t="e">
        <f>AND('BBP complete'!B1283,"AAAAAFppksk=")</f>
        <v>#VALUE!</v>
      </c>
      <c r="GU94" t="e">
        <f>AND('BBP complete'!F1284,"AAAAAFppkso=")</f>
        <v>#VALUE!</v>
      </c>
      <c r="GV94" t="e">
        <f>AND('BBP complete'!G1284,"AAAAAFppkss=")</f>
        <v>#VALUE!</v>
      </c>
      <c r="GW94" t="e">
        <f>AND('BBP complete'!D1283,"AAAAAFppksw=")</f>
        <v>#VALUE!</v>
      </c>
      <c r="GX94" t="e">
        <f>AND('BBP complete'!H1282,"AAAAAFppks0=")</f>
        <v>#VALUE!</v>
      </c>
      <c r="GY94" t="e">
        <f>AND('BBP complete'!I1281,"AAAAAFppks4=")</f>
        <v>#VALUE!</v>
      </c>
      <c r="GZ94" t="e">
        <f>AND('BBP complete'!#REF!,"AAAAAFppks8=")</f>
        <v>#REF!</v>
      </c>
      <c r="HA94" t="e">
        <f>AND('BBP complete'!#REF!,"AAAAAFppktA=")</f>
        <v>#REF!</v>
      </c>
      <c r="HB94" t="e">
        <f>AND('BBP complete'!#REF!,"AAAAAFppktE=")</f>
        <v>#REF!</v>
      </c>
      <c r="HC94" t="e">
        <f>AND('BBP complete'!#REF!,"AAAAAFppktI=")</f>
        <v>#REF!</v>
      </c>
      <c r="HD94" t="e">
        <f>AND('BBP complete'!#REF!,"AAAAAFppktM=")</f>
        <v>#REF!</v>
      </c>
      <c r="HE94" t="e">
        <f>AND('BBP complete'!C1280,"AAAAAFppktQ=")</f>
        <v>#VALUE!</v>
      </c>
      <c r="HF94" t="e">
        <f>AND('BBP complete'!M1279,"AAAAAFppktU=")</f>
        <v>#VALUE!</v>
      </c>
      <c r="HG94" t="e">
        <f>AND('BBP complete'!N1279,"AAAAAFppktY=")</f>
        <v>#VALUE!</v>
      </c>
      <c r="HH94" t="e">
        <f>AND('BBP complete'!P1293,"AAAAAFppktc=")</f>
        <v>#VALUE!</v>
      </c>
      <c r="HI94" s="60" t="e">
        <v>#VALUE!</v>
      </c>
      <c r="HJ94" t="e">
        <f>AND('BBP complete'!B1284,"AAAAAFppktk=")</f>
        <v>#VALUE!</v>
      </c>
      <c r="HK94" t="e">
        <f>AND('BBP complete'!F1285,"AAAAAFppkto=")</f>
        <v>#VALUE!</v>
      </c>
      <c r="HL94" t="e">
        <f>AND('BBP complete'!G1285,"AAAAAFppkts=")</f>
        <v>#VALUE!</v>
      </c>
      <c r="HM94" t="e">
        <f>AND('BBP complete'!D1284,"AAAAAFppktw=")</f>
        <v>#VALUE!</v>
      </c>
      <c r="HN94" t="e">
        <f>AND('BBP complete'!H1283,"AAAAAFppkt0=")</f>
        <v>#VALUE!</v>
      </c>
      <c r="HO94" t="e">
        <f>AND('BBP complete'!I1282,"AAAAAFppkt4=")</f>
        <v>#VALUE!</v>
      </c>
      <c r="HP94" t="e">
        <f>AND('BBP complete'!#REF!,"AAAAAFppkt8=")</f>
        <v>#REF!</v>
      </c>
      <c r="HQ94" t="e">
        <f>AND('BBP complete'!#REF!,"AAAAAFppkuA=")</f>
        <v>#REF!</v>
      </c>
      <c r="HR94" t="e">
        <f>AND('BBP complete'!#REF!,"AAAAAFppkuE=")</f>
        <v>#REF!</v>
      </c>
      <c r="HS94" t="e">
        <f>AND('BBP complete'!#REF!,"AAAAAFppkuI=")</f>
        <v>#REF!</v>
      </c>
      <c r="HT94" t="e">
        <f>AND('BBP complete'!#REF!,"AAAAAFppkuM=")</f>
        <v>#REF!</v>
      </c>
      <c r="HU94" t="e">
        <f>AND('BBP complete'!C1281,"AAAAAFppkuQ=")</f>
        <v>#VALUE!</v>
      </c>
      <c r="HV94" t="e">
        <f>AND('BBP complete'!M1280,"AAAAAFppkuU=")</f>
        <v>#VALUE!</v>
      </c>
      <c r="HW94" t="e">
        <f>AND('BBP complete'!N1280,"AAAAAFppkuY=")</f>
        <v>#VALUE!</v>
      </c>
      <c r="HX94" t="e">
        <f>AND('BBP complete'!P1294,"AAAAAFppkuc=")</f>
        <v>#VALUE!</v>
      </c>
      <c r="HY94" s="60" t="e">
        <v>#VALUE!</v>
      </c>
      <c r="HZ94" t="e">
        <f>AND('BBP complete'!B1285,"AAAAAFppkuk=")</f>
        <v>#VALUE!</v>
      </c>
      <c r="IA94" t="e">
        <f>AND('BBP complete'!F1286,"AAAAAFppkuo=")</f>
        <v>#VALUE!</v>
      </c>
      <c r="IB94" t="e">
        <f>AND('BBP complete'!G1286,"AAAAAFppkus=")</f>
        <v>#VALUE!</v>
      </c>
      <c r="IC94" t="e">
        <f>AND('BBP complete'!D1285,"AAAAAFppkuw=")</f>
        <v>#VALUE!</v>
      </c>
      <c r="ID94" t="e">
        <f>AND('BBP complete'!H1284,"AAAAAFppku0=")</f>
        <v>#VALUE!</v>
      </c>
      <c r="IE94" t="e">
        <f>AND('BBP complete'!I1283,"AAAAAFppku4=")</f>
        <v>#VALUE!</v>
      </c>
      <c r="IF94" t="e">
        <f>AND('BBP complete'!#REF!,"AAAAAFppku8=")</f>
        <v>#REF!</v>
      </c>
      <c r="IG94" t="e">
        <f>AND('BBP complete'!#REF!,"AAAAAFppkvA=")</f>
        <v>#REF!</v>
      </c>
      <c r="IH94" t="e">
        <f>AND('BBP complete'!#REF!,"AAAAAFppkvE=")</f>
        <v>#REF!</v>
      </c>
      <c r="II94" t="e">
        <f>AND('BBP complete'!#REF!,"AAAAAFppkvI=")</f>
        <v>#REF!</v>
      </c>
      <c r="IJ94" t="e">
        <f>AND('BBP complete'!#REF!,"AAAAAFppkvM=")</f>
        <v>#REF!</v>
      </c>
      <c r="IK94" t="e">
        <f>AND('BBP complete'!C1282,"AAAAAFppkvQ=")</f>
        <v>#VALUE!</v>
      </c>
      <c r="IL94" t="e">
        <f>AND('BBP complete'!M1281,"AAAAAFppkvU=")</f>
        <v>#VALUE!</v>
      </c>
      <c r="IM94" t="e">
        <f>AND('BBP complete'!N1281,"AAAAAFppkvY=")</f>
        <v>#VALUE!</v>
      </c>
      <c r="IN94" t="e">
        <f>AND('BBP complete'!P1295,"AAAAAFppkvc=")</f>
        <v>#VALUE!</v>
      </c>
      <c r="IO94" s="60" t="e">
        <v>#VALUE!</v>
      </c>
      <c r="IP94" t="e">
        <f>AND('BBP complete'!B1286,"AAAAAFppkvk=")</f>
        <v>#VALUE!</v>
      </c>
      <c r="IQ94" t="e">
        <f>AND('BBP complete'!F1287,"AAAAAFppkvo=")</f>
        <v>#VALUE!</v>
      </c>
      <c r="IR94" t="e">
        <f>AND('BBP complete'!G1287,"AAAAAFppkvs=")</f>
        <v>#VALUE!</v>
      </c>
      <c r="IS94" t="e">
        <f>AND('BBP complete'!D1286,"AAAAAFppkvw=")</f>
        <v>#VALUE!</v>
      </c>
      <c r="IT94" t="e">
        <f>AND('BBP complete'!H1285,"AAAAAFppkv0=")</f>
        <v>#VALUE!</v>
      </c>
      <c r="IU94" t="e">
        <f>AND('BBP complete'!I1284,"AAAAAFppkv4=")</f>
        <v>#VALUE!</v>
      </c>
      <c r="IV94" t="e">
        <f>AND('BBP complete'!#REF!,"AAAAAFppkv8=")</f>
        <v>#REF!</v>
      </c>
    </row>
    <row r="95" spans="1:256" ht="15" customHeight="1" x14ac:dyDescent="0.25">
      <c r="A95" t="e">
        <f>AND('BBP complete'!#REF!,"AAAAAD+/+gA=")</f>
        <v>#REF!</v>
      </c>
      <c r="B95" t="e">
        <f>AND('BBP complete'!#REF!,"AAAAAD+/+gE=")</f>
        <v>#REF!</v>
      </c>
      <c r="C95" t="e">
        <f>AND('BBP complete'!#REF!,"AAAAAD+/+gI=")</f>
        <v>#REF!</v>
      </c>
      <c r="D95" t="e">
        <f>AND('BBP complete'!#REF!,"AAAAAD+/+gM=")</f>
        <v>#REF!</v>
      </c>
      <c r="E95" t="e">
        <f>AND('BBP complete'!C1283,"AAAAAD+/+gQ=")</f>
        <v>#VALUE!</v>
      </c>
      <c r="F95" t="e">
        <f>AND('BBP complete'!M1282,"AAAAAD+/+gU=")</f>
        <v>#VALUE!</v>
      </c>
      <c r="G95" t="e">
        <f>AND('BBP complete'!N1282,"AAAAAD+/+gY=")</f>
        <v>#VALUE!</v>
      </c>
      <c r="H95" t="e">
        <f>AND('BBP complete'!P1296,"AAAAAD+/+gc=")</f>
        <v>#VALUE!</v>
      </c>
      <c r="I95" s="60" t="e">
        <v>#VALUE!</v>
      </c>
      <c r="J95" t="e">
        <f>AND('BBP complete'!B1287,"AAAAAD+/+gk=")</f>
        <v>#VALUE!</v>
      </c>
      <c r="K95" t="e">
        <f>AND('BBP complete'!F1288,"AAAAAD+/+go=")</f>
        <v>#VALUE!</v>
      </c>
      <c r="L95" t="e">
        <f>AND('BBP complete'!G1288,"AAAAAD+/+gs=")</f>
        <v>#VALUE!</v>
      </c>
      <c r="M95" t="e">
        <f>AND('BBP complete'!D1287,"AAAAAD+/+gw=")</f>
        <v>#VALUE!</v>
      </c>
      <c r="N95" t="e">
        <f>AND('BBP complete'!H1286,"AAAAAD+/+g0=")</f>
        <v>#VALUE!</v>
      </c>
      <c r="O95" t="e">
        <f>AND('BBP complete'!I1285,"AAAAAD+/+g4=")</f>
        <v>#VALUE!</v>
      </c>
      <c r="P95" t="e">
        <f>AND('BBP complete'!#REF!,"AAAAAD+/+g8=")</f>
        <v>#REF!</v>
      </c>
      <c r="Q95" t="e">
        <f>AND('BBP complete'!#REF!,"AAAAAD+/+hA=")</f>
        <v>#REF!</v>
      </c>
      <c r="R95" t="e">
        <f>AND('BBP complete'!#REF!,"AAAAAD+/+hE=")</f>
        <v>#REF!</v>
      </c>
      <c r="S95" t="e">
        <f>AND('BBP complete'!#REF!,"AAAAAD+/+hI=")</f>
        <v>#REF!</v>
      </c>
      <c r="T95" t="e">
        <f>AND('BBP complete'!#REF!,"AAAAAD+/+hM=")</f>
        <v>#REF!</v>
      </c>
      <c r="U95" t="e">
        <f>AND('BBP complete'!C1284,"AAAAAD+/+hQ=")</f>
        <v>#VALUE!</v>
      </c>
      <c r="V95" t="e">
        <f>AND('BBP complete'!M1283,"AAAAAD+/+hU=")</f>
        <v>#VALUE!</v>
      </c>
      <c r="W95" t="e">
        <f>AND('BBP complete'!N1283,"AAAAAD+/+hY=")</f>
        <v>#VALUE!</v>
      </c>
      <c r="X95" t="e">
        <f>AND('BBP complete'!P1297,"AAAAAD+/+hc=")</f>
        <v>#VALUE!</v>
      </c>
      <c r="Y95" s="60" t="e">
        <v>#VALUE!</v>
      </c>
      <c r="Z95" t="e">
        <f>AND('BBP complete'!B1288,"AAAAAD+/+hk=")</f>
        <v>#VALUE!</v>
      </c>
      <c r="AA95" t="e">
        <f>AND('BBP complete'!F1289,"AAAAAD+/+ho=")</f>
        <v>#VALUE!</v>
      </c>
      <c r="AB95" t="e">
        <f>AND('BBP complete'!G1289,"AAAAAD+/+hs=")</f>
        <v>#VALUE!</v>
      </c>
      <c r="AC95" t="e">
        <f>AND('BBP complete'!D1288,"AAAAAD+/+hw=")</f>
        <v>#VALUE!</v>
      </c>
      <c r="AD95" t="e">
        <f>AND('BBP complete'!H1287,"AAAAAD+/+h0=")</f>
        <v>#VALUE!</v>
      </c>
      <c r="AE95" t="e">
        <f>AND('BBP complete'!I1286,"AAAAAD+/+h4=")</f>
        <v>#VALUE!</v>
      </c>
      <c r="AF95" t="e">
        <f>AND('BBP complete'!#REF!,"AAAAAD+/+h8=")</f>
        <v>#REF!</v>
      </c>
      <c r="AG95" t="e">
        <f>AND('BBP complete'!#REF!,"AAAAAD+/+iA=")</f>
        <v>#REF!</v>
      </c>
      <c r="AH95" t="e">
        <f>AND('BBP complete'!#REF!,"AAAAAD+/+iE=")</f>
        <v>#REF!</v>
      </c>
      <c r="AI95" t="e">
        <f>AND('BBP complete'!#REF!,"AAAAAD+/+iI=")</f>
        <v>#REF!</v>
      </c>
      <c r="AJ95" t="e">
        <f>AND('BBP complete'!#REF!,"AAAAAD+/+iM=")</f>
        <v>#REF!</v>
      </c>
      <c r="AK95" t="e">
        <f>AND('BBP complete'!C1285,"AAAAAD+/+iQ=")</f>
        <v>#VALUE!</v>
      </c>
      <c r="AL95" t="e">
        <f>AND('BBP complete'!M1284,"AAAAAD+/+iU=")</f>
        <v>#VALUE!</v>
      </c>
      <c r="AM95" t="e">
        <f>AND('BBP complete'!N1284,"AAAAAD+/+iY=")</f>
        <v>#VALUE!</v>
      </c>
      <c r="AN95" t="e">
        <f>AND('BBP complete'!P1298,"AAAAAD+/+ic=")</f>
        <v>#VALUE!</v>
      </c>
      <c r="AO95" s="60" t="e">
        <v>#VALUE!</v>
      </c>
      <c r="AP95" t="e">
        <f>AND('BBP complete'!B1289,"AAAAAD+/+ik=")</f>
        <v>#VALUE!</v>
      </c>
      <c r="AQ95" t="e">
        <f>AND('BBP complete'!F1290,"AAAAAD+/+io=")</f>
        <v>#VALUE!</v>
      </c>
      <c r="AR95" t="e">
        <f>AND('BBP complete'!G1290,"AAAAAD+/+is=")</f>
        <v>#VALUE!</v>
      </c>
      <c r="AS95" t="e">
        <f>AND('BBP complete'!D1289,"AAAAAD+/+iw=")</f>
        <v>#VALUE!</v>
      </c>
      <c r="AT95" t="e">
        <f>AND('BBP complete'!H1288,"AAAAAD+/+i0=")</f>
        <v>#VALUE!</v>
      </c>
      <c r="AU95" t="e">
        <f>AND('BBP complete'!I1287,"AAAAAD+/+i4=")</f>
        <v>#VALUE!</v>
      </c>
      <c r="AV95" t="e">
        <f>AND('BBP complete'!#REF!,"AAAAAD+/+i8=")</f>
        <v>#REF!</v>
      </c>
      <c r="AW95" t="e">
        <f>AND('BBP complete'!#REF!,"AAAAAD+/+jA=")</f>
        <v>#REF!</v>
      </c>
      <c r="AX95" t="e">
        <f>AND('BBP complete'!#REF!,"AAAAAD+/+jE=")</f>
        <v>#REF!</v>
      </c>
      <c r="AY95" t="e">
        <f>AND('BBP complete'!#REF!,"AAAAAD+/+jI=")</f>
        <v>#REF!</v>
      </c>
      <c r="AZ95" t="e">
        <f>AND('BBP complete'!#REF!,"AAAAAD+/+jM=")</f>
        <v>#REF!</v>
      </c>
      <c r="BA95" t="e">
        <f>AND('BBP complete'!C1286,"AAAAAD+/+jQ=")</f>
        <v>#VALUE!</v>
      </c>
      <c r="BB95" t="e">
        <f>AND('BBP complete'!M1285,"AAAAAD+/+jU=")</f>
        <v>#VALUE!</v>
      </c>
      <c r="BC95" t="e">
        <f>AND('BBP complete'!N1285,"AAAAAD+/+jY=")</f>
        <v>#VALUE!</v>
      </c>
      <c r="BD95" t="e">
        <f>AND('BBP complete'!P1299,"AAAAAD+/+jc=")</f>
        <v>#VALUE!</v>
      </c>
      <c r="BE95" s="60" t="e">
        <v>#VALUE!</v>
      </c>
      <c r="BF95" t="e">
        <f>AND('BBP complete'!B1290,"AAAAAD+/+jk=")</f>
        <v>#VALUE!</v>
      </c>
      <c r="BG95" t="e">
        <f>AND('BBP complete'!F1291,"AAAAAD+/+jo=")</f>
        <v>#VALUE!</v>
      </c>
      <c r="BH95" t="e">
        <f>AND('BBP complete'!G1291,"AAAAAD+/+js=")</f>
        <v>#VALUE!</v>
      </c>
      <c r="BI95" t="e">
        <f>AND('BBP complete'!D1290,"AAAAAD+/+jw=")</f>
        <v>#VALUE!</v>
      </c>
      <c r="BJ95" t="e">
        <f>AND('BBP complete'!H1289,"AAAAAD+/+j0=")</f>
        <v>#VALUE!</v>
      </c>
      <c r="BK95" t="e">
        <f>AND('BBP complete'!I1288,"AAAAAD+/+j4=")</f>
        <v>#VALUE!</v>
      </c>
      <c r="BL95" t="e">
        <f>AND('BBP complete'!#REF!,"AAAAAD+/+j8=")</f>
        <v>#REF!</v>
      </c>
      <c r="BM95" t="e">
        <f>AND('BBP complete'!#REF!,"AAAAAD+/+kA=")</f>
        <v>#REF!</v>
      </c>
      <c r="BN95" t="e">
        <f>AND('BBP complete'!#REF!,"AAAAAD+/+kE=")</f>
        <v>#REF!</v>
      </c>
      <c r="BO95" t="e">
        <f>AND('BBP complete'!#REF!,"AAAAAD+/+kI=")</f>
        <v>#REF!</v>
      </c>
      <c r="BP95" t="e">
        <f>AND('BBP complete'!#REF!,"AAAAAD+/+kM=")</f>
        <v>#REF!</v>
      </c>
      <c r="BQ95" t="e">
        <f>AND('BBP complete'!C1287,"AAAAAD+/+kQ=")</f>
        <v>#VALUE!</v>
      </c>
      <c r="BR95" t="e">
        <f>AND('BBP complete'!M1286,"AAAAAD+/+kU=")</f>
        <v>#VALUE!</v>
      </c>
      <c r="BS95" t="e">
        <f>AND('BBP complete'!N1286,"AAAAAD+/+kY=")</f>
        <v>#VALUE!</v>
      </c>
      <c r="BT95" t="e">
        <f>AND('BBP complete'!P1300,"AAAAAD+/+kc=")</f>
        <v>#VALUE!</v>
      </c>
      <c r="BU95" s="60" t="e">
        <v>#VALUE!</v>
      </c>
      <c r="BV95" t="e">
        <f>AND('BBP complete'!B1291,"AAAAAD+/+kk=")</f>
        <v>#VALUE!</v>
      </c>
      <c r="BW95" t="e">
        <f>AND('BBP complete'!F1292,"AAAAAD+/+ko=")</f>
        <v>#VALUE!</v>
      </c>
      <c r="BX95" t="e">
        <f>AND('BBP complete'!G1292,"AAAAAD+/+ks=")</f>
        <v>#VALUE!</v>
      </c>
      <c r="BY95" t="e">
        <f>AND('BBP complete'!D1291,"AAAAAD+/+kw=")</f>
        <v>#VALUE!</v>
      </c>
      <c r="BZ95" t="e">
        <f>AND('BBP complete'!H1290,"AAAAAD+/+k0=")</f>
        <v>#VALUE!</v>
      </c>
      <c r="CA95" t="e">
        <f>AND('BBP complete'!I1289,"AAAAAD+/+k4=")</f>
        <v>#VALUE!</v>
      </c>
      <c r="CB95" t="e">
        <f>AND('BBP complete'!#REF!,"AAAAAD+/+k8=")</f>
        <v>#REF!</v>
      </c>
      <c r="CC95" t="e">
        <f>AND('BBP complete'!#REF!,"AAAAAD+/+lA=")</f>
        <v>#REF!</v>
      </c>
      <c r="CD95" t="e">
        <f>AND('BBP complete'!#REF!,"AAAAAD+/+lE=")</f>
        <v>#REF!</v>
      </c>
      <c r="CE95" t="e">
        <f>AND('BBP complete'!#REF!,"AAAAAD+/+lI=")</f>
        <v>#REF!</v>
      </c>
      <c r="CF95" t="e">
        <f>AND('BBP complete'!#REF!,"AAAAAD+/+lM=")</f>
        <v>#REF!</v>
      </c>
      <c r="CG95" t="e">
        <f>AND('BBP complete'!C1288,"AAAAAD+/+lQ=")</f>
        <v>#VALUE!</v>
      </c>
      <c r="CH95" t="e">
        <f>AND('BBP complete'!M1287,"AAAAAD+/+lU=")</f>
        <v>#VALUE!</v>
      </c>
      <c r="CI95" t="e">
        <f>AND('BBP complete'!N1287,"AAAAAD+/+lY=")</f>
        <v>#VALUE!</v>
      </c>
      <c r="CJ95" t="e">
        <f>AND('BBP complete'!P1301,"AAAAAD+/+lc=")</f>
        <v>#VALUE!</v>
      </c>
      <c r="CK95" s="60" t="e">
        <v>#VALUE!</v>
      </c>
      <c r="CL95" t="e">
        <f>AND('BBP complete'!B1292,"AAAAAD+/+lk=")</f>
        <v>#VALUE!</v>
      </c>
      <c r="CM95" t="e">
        <f>AND('BBP complete'!F1293,"AAAAAD+/+lo=")</f>
        <v>#VALUE!</v>
      </c>
      <c r="CN95" t="e">
        <f>AND('BBP complete'!G1293,"AAAAAD+/+ls=")</f>
        <v>#VALUE!</v>
      </c>
      <c r="CO95" t="e">
        <f>AND('BBP complete'!D1292,"AAAAAD+/+lw=")</f>
        <v>#VALUE!</v>
      </c>
      <c r="CP95" t="e">
        <f>AND('BBP complete'!H1291,"AAAAAD+/+l0=")</f>
        <v>#VALUE!</v>
      </c>
      <c r="CQ95" t="e">
        <f>AND('BBP complete'!I1290,"AAAAAD+/+l4=")</f>
        <v>#VALUE!</v>
      </c>
      <c r="CR95" t="e">
        <f>AND('BBP complete'!#REF!,"AAAAAD+/+l8=")</f>
        <v>#REF!</v>
      </c>
      <c r="CS95" t="e">
        <f>AND('BBP complete'!#REF!,"AAAAAD+/+mA=")</f>
        <v>#REF!</v>
      </c>
      <c r="CT95" t="e">
        <f>AND('BBP complete'!#REF!,"AAAAAD+/+mE=")</f>
        <v>#REF!</v>
      </c>
      <c r="CU95" t="e">
        <f>AND('BBP complete'!#REF!,"AAAAAD+/+mI=")</f>
        <v>#REF!</v>
      </c>
      <c r="CV95" t="e">
        <f>AND('BBP complete'!#REF!,"AAAAAD+/+mM=")</f>
        <v>#REF!</v>
      </c>
      <c r="CW95" t="e">
        <f>AND('BBP complete'!C1289,"AAAAAD+/+mQ=")</f>
        <v>#VALUE!</v>
      </c>
      <c r="CX95" t="e">
        <f>AND('BBP complete'!M1288,"AAAAAD+/+mU=")</f>
        <v>#VALUE!</v>
      </c>
      <c r="CY95" t="e">
        <f>AND('BBP complete'!N1288,"AAAAAD+/+mY=")</f>
        <v>#VALUE!</v>
      </c>
      <c r="CZ95" t="e">
        <f>AND('BBP complete'!P1302,"AAAAAD+/+mc=")</f>
        <v>#VALUE!</v>
      </c>
      <c r="DA95" s="60" t="e">
        <v>#VALUE!</v>
      </c>
      <c r="DB95" t="e">
        <f>AND('BBP complete'!B1293,"AAAAAD+/+mk=")</f>
        <v>#VALUE!</v>
      </c>
      <c r="DC95" t="e">
        <f>AND('BBP complete'!F1294,"AAAAAD+/+mo=")</f>
        <v>#VALUE!</v>
      </c>
      <c r="DD95" t="e">
        <f>AND('BBP complete'!G1294,"AAAAAD+/+ms=")</f>
        <v>#VALUE!</v>
      </c>
      <c r="DE95" t="e">
        <f>AND('BBP complete'!D1293,"AAAAAD+/+mw=")</f>
        <v>#VALUE!</v>
      </c>
      <c r="DF95" t="e">
        <f>AND('BBP complete'!H1292,"AAAAAD+/+m0=")</f>
        <v>#VALUE!</v>
      </c>
      <c r="DG95" t="e">
        <f>AND('BBP complete'!I1291,"AAAAAD+/+m4=")</f>
        <v>#VALUE!</v>
      </c>
      <c r="DH95" t="e">
        <f>AND('BBP complete'!#REF!,"AAAAAD+/+m8=")</f>
        <v>#REF!</v>
      </c>
      <c r="DI95" t="e">
        <f>AND('BBP complete'!#REF!,"AAAAAD+/+nA=")</f>
        <v>#REF!</v>
      </c>
      <c r="DJ95" t="e">
        <f>AND('BBP complete'!#REF!,"AAAAAD+/+nE=")</f>
        <v>#REF!</v>
      </c>
      <c r="DK95" t="e">
        <f>AND('BBP complete'!#REF!,"AAAAAD+/+nI=")</f>
        <v>#REF!</v>
      </c>
      <c r="DL95" t="e">
        <f>AND('BBP complete'!#REF!,"AAAAAD+/+nM=")</f>
        <v>#REF!</v>
      </c>
      <c r="DM95" t="e">
        <f>AND('BBP complete'!C1290,"AAAAAD+/+nQ=")</f>
        <v>#VALUE!</v>
      </c>
      <c r="DN95" t="e">
        <f>AND('BBP complete'!M1289,"AAAAAD+/+nU=")</f>
        <v>#VALUE!</v>
      </c>
      <c r="DO95" t="e">
        <f>AND('BBP complete'!N1289,"AAAAAD+/+nY=")</f>
        <v>#VALUE!</v>
      </c>
      <c r="DP95" t="e">
        <f>AND('BBP complete'!P1303,"AAAAAD+/+nc=")</f>
        <v>#VALUE!</v>
      </c>
      <c r="DQ95" s="60" t="e">
        <v>#VALUE!</v>
      </c>
      <c r="DR95" t="e">
        <f>AND('BBP complete'!B1294,"AAAAAD+/+nk=")</f>
        <v>#VALUE!</v>
      </c>
      <c r="DS95" t="e">
        <f>AND('BBP complete'!F1295,"AAAAAD+/+no=")</f>
        <v>#VALUE!</v>
      </c>
      <c r="DT95" t="e">
        <f>AND('BBP complete'!G1295,"AAAAAD+/+ns=")</f>
        <v>#VALUE!</v>
      </c>
      <c r="DU95" t="e">
        <f>AND('BBP complete'!D1294,"AAAAAD+/+nw=")</f>
        <v>#VALUE!</v>
      </c>
      <c r="DV95" t="e">
        <f>AND('BBP complete'!H1293,"AAAAAD+/+n0=")</f>
        <v>#VALUE!</v>
      </c>
      <c r="DW95" t="e">
        <f>AND('BBP complete'!I1292,"AAAAAD+/+n4=")</f>
        <v>#VALUE!</v>
      </c>
      <c r="DX95" t="e">
        <f>AND('BBP complete'!#REF!,"AAAAAD+/+n8=")</f>
        <v>#REF!</v>
      </c>
      <c r="DY95" t="e">
        <f>AND('BBP complete'!#REF!,"AAAAAD+/+oA=")</f>
        <v>#REF!</v>
      </c>
      <c r="DZ95" t="e">
        <f>AND('BBP complete'!#REF!,"AAAAAD+/+oE=")</f>
        <v>#REF!</v>
      </c>
      <c r="EA95" t="e">
        <f>AND('BBP complete'!#REF!,"AAAAAD+/+oI=")</f>
        <v>#REF!</v>
      </c>
      <c r="EB95" t="e">
        <f>AND('BBP complete'!#REF!,"AAAAAD+/+oM=")</f>
        <v>#REF!</v>
      </c>
      <c r="EC95" t="e">
        <f>AND('BBP complete'!C1291,"AAAAAD+/+oQ=")</f>
        <v>#VALUE!</v>
      </c>
      <c r="ED95" t="e">
        <f>AND('BBP complete'!M1290,"AAAAAD+/+oU=")</f>
        <v>#VALUE!</v>
      </c>
      <c r="EE95" t="e">
        <f>AND('BBP complete'!N1290,"AAAAAD+/+oY=")</f>
        <v>#VALUE!</v>
      </c>
      <c r="EF95" t="e">
        <f>AND('BBP complete'!P1304,"AAAAAD+/+oc=")</f>
        <v>#VALUE!</v>
      </c>
      <c r="EG95" s="60" t="e">
        <v>#VALUE!</v>
      </c>
      <c r="EH95" t="e">
        <f>AND('BBP complete'!B1295,"AAAAAD+/+ok=")</f>
        <v>#VALUE!</v>
      </c>
      <c r="EI95" t="e">
        <f>AND('BBP complete'!F1296,"AAAAAD+/+oo=")</f>
        <v>#VALUE!</v>
      </c>
      <c r="EJ95" t="e">
        <f>AND('BBP complete'!G1296,"AAAAAD+/+os=")</f>
        <v>#VALUE!</v>
      </c>
      <c r="EK95" t="e">
        <f>AND('BBP complete'!D1295,"AAAAAD+/+ow=")</f>
        <v>#VALUE!</v>
      </c>
      <c r="EL95" t="e">
        <f>AND('BBP complete'!H1294,"AAAAAD+/+o0=")</f>
        <v>#VALUE!</v>
      </c>
      <c r="EM95" t="e">
        <f>AND('BBP complete'!I1293,"AAAAAD+/+o4=")</f>
        <v>#VALUE!</v>
      </c>
      <c r="EN95" t="e">
        <f>AND('BBP complete'!#REF!,"AAAAAD+/+o8=")</f>
        <v>#REF!</v>
      </c>
      <c r="EO95" t="e">
        <f>AND('BBP complete'!#REF!,"AAAAAD+/+pA=")</f>
        <v>#REF!</v>
      </c>
      <c r="EP95" t="e">
        <f>AND('BBP complete'!#REF!,"AAAAAD+/+pE=")</f>
        <v>#REF!</v>
      </c>
      <c r="EQ95" t="e">
        <f>AND('BBP complete'!#REF!,"AAAAAD+/+pI=")</f>
        <v>#REF!</v>
      </c>
      <c r="ER95" t="e">
        <f>AND('BBP complete'!#REF!,"AAAAAD+/+pM=")</f>
        <v>#REF!</v>
      </c>
      <c r="ES95" t="e">
        <f>AND('BBP complete'!C1292,"AAAAAD+/+pQ=")</f>
        <v>#VALUE!</v>
      </c>
      <c r="ET95" t="e">
        <f>AND('BBP complete'!M1291,"AAAAAD+/+pU=")</f>
        <v>#VALUE!</v>
      </c>
      <c r="EU95" t="e">
        <f>AND('BBP complete'!N1291,"AAAAAD+/+pY=")</f>
        <v>#VALUE!</v>
      </c>
      <c r="EV95" t="e">
        <f>AND('BBP complete'!P1305,"AAAAAD+/+pc=")</f>
        <v>#VALUE!</v>
      </c>
      <c r="EW95" s="60" t="e">
        <v>#VALUE!</v>
      </c>
      <c r="EX95" t="e">
        <f>AND('BBP complete'!B1296,"AAAAAD+/+pk=")</f>
        <v>#VALUE!</v>
      </c>
      <c r="EY95" t="e">
        <f>AND('BBP complete'!F1297,"AAAAAD+/+po=")</f>
        <v>#VALUE!</v>
      </c>
      <c r="EZ95" t="e">
        <f>AND('BBP complete'!G1297,"AAAAAD+/+ps=")</f>
        <v>#VALUE!</v>
      </c>
      <c r="FA95" t="e">
        <f>AND('BBP complete'!D1296,"AAAAAD+/+pw=")</f>
        <v>#VALUE!</v>
      </c>
      <c r="FB95" t="e">
        <f>AND('BBP complete'!H1295,"AAAAAD+/+p0=")</f>
        <v>#VALUE!</v>
      </c>
      <c r="FC95" t="e">
        <f>AND('BBP complete'!I1294,"AAAAAD+/+p4=")</f>
        <v>#VALUE!</v>
      </c>
      <c r="FD95" t="e">
        <f>AND('BBP complete'!#REF!,"AAAAAD+/+p8=")</f>
        <v>#REF!</v>
      </c>
      <c r="FE95" t="e">
        <f>AND('BBP complete'!#REF!,"AAAAAD+/+qA=")</f>
        <v>#REF!</v>
      </c>
      <c r="FF95" t="e">
        <f>AND('BBP complete'!#REF!,"AAAAAD+/+qE=")</f>
        <v>#REF!</v>
      </c>
      <c r="FG95" t="e">
        <f>AND('BBP complete'!#REF!,"AAAAAD+/+qI=")</f>
        <v>#REF!</v>
      </c>
      <c r="FH95" t="e">
        <f>AND('BBP complete'!#REF!,"AAAAAD+/+qM=")</f>
        <v>#REF!</v>
      </c>
      <c r="FI95" t="e">
        <f>AND('BBP complete'!C1293,"AAAAAD+/+qQ=")</f>
        <v>#VALUE!</v>
      </c>
      <c r="FJ95" t="e">
        <f>AND('BBP complete'!M1292,"AAAAAD+/+qU=")</f>
        <v>#VALUE!</v>
      </c>
      <c r="FK95" t="e">
        <f>AND('BBP complete'!N1292,"AAAAAD+/+qY=")</f>
        <v>#VALUE!</v>
      </c>
      <c r="FL95" t="e">
        <f>AND('BBP complete'!P1306,"AAAAAD+/+qc=")</f>
        <v>#VALUE!</v>
      </c>
      <c r="FM95" s="60" t="e">
        <v>#VALUE!</v>
      </c>
      <c r="FN95" t="e">
        <f>AND('BBP complete'!B1297,"AAAAAD+/+qk=")</f>
        <v>#VALUE!</v>
      </c>
      <c r="FO95" t="e">
        <f>AND('BBP complete'!F1298,"AAAAAD+/+qo=")</f>
        <v>#VALUE!</v>
      </c>
      <c r="FP95" t="e">
        <f>AND('BBP complete'!G1298,"AAAAAD+/+qs=")</f>
        <v>#VALUE!</v>
      </c>
      <c r="FQ95" t="e">
        <f>AND('BBP complete'!D1297,"AAAAAD+/+qw=")</f>
        <v>#VALUE!</v>
      </c>
      <c r="FR95" t="e">
        <f>AND('BBP complete'!H1296,"AAAAAD+/+q0=")</f>
        <v>#VALUE!</v>
      </c>
      <c r="FS95" t="e">
        <f>AND('BBP complete'!I1295,"AAAAAD+/+q4=")</f>
        <v>#VALUE!</v>
      </c>
      <c r="FT95" t="e">
        <f>AND('BBP complete'!#REF!,"AAAAAD+/+q8=")</f>
        <v>#REF!</v>
      </c>
      <c r="FU95" t="e">
        <f>AND('BBP complete'!#REF!,"AAAAAD+/+rA=")</f>
        <v>#REF!</v>
      </c>
      <c r="FV95" t="e">
        <f>AND('BBP complete'!#REF!,"AAAAAD+/+rE=")</f>
        <v>#REF!</v>
      </c>
      <c r="FW95" t="e">
        <f>AND('BBP complete'!#REF!,"AAAAAD+/+rI=")</f>
        <v>#REF!</v>
      </c>
      <c r="FX95" t="e">
        <f>AND('BBP complete'!#REF!,"AAAAAD+/+rM=")</f>
        <v>#REF!</v>
      </c>
      <c r="FY95" t="e">
        <f>AND('BBP complete'!C1294,"AAAAAD+/+rQ=")</f>
        <v>#VALUE!</v>
      </c>
      <c r="FZ95" t="e">
        <f>AND('BBP complete'!M1293,"AAAAAD+/+rU=")</f>
        <v>#VALUE!</v>
      </c>
      <c r="GA95" t="e">
        <f>AND('BBP complete'!N1293,"AAAAAD+/+rY=")</f>
        <v>#VALUE!</v>
      </c>
      <c r="GB95" t="e">
        <f>AND('BBP complete'!P1307,"AAAAAD+/+rc=")</f>
        <v>#VALUE!</v>
      </c>
      <c r="GC95" s="60" t="e">
        <v>#VALUE!</v>
      </c>
      <c r="GD95" t="e">
        <f>AND('BBP complete'!B1298,"AAAAAD+/+rk=")</f>
        <v>#VALUE!</v>
      </c>
      <c r="GE95" t="e">
        <f>AND('BBP complete'!F1299,"AAAAAD+/+ro=")</f>
        <v>#VALUE!</v>
      </c>
      <c r="GF95" t="e">
        <f>AND('BBP complete'!G1299,"AAAAAD+/+rs=")</f>
        <v>#VALUE!</v>
      </c>
      <c r="GG95" t="e">
        <f>AND('BBP complete'!D1298,"AAAAAD+/+rw=")</f>
        <v>#VALUE!</v>
      </c>
      <c r="GH95" t="e">
        <f>AND('BBP complete'!H1297,"AAAAAD+/+r0=")</f>
        <v>#VALUE!</v>
      </c>
      <c r="GI95" t="e">
        <f>AND('BBP complete'!I1296,"AAAAAD+/+r4=")</f>
        <v>#VALUE!</v>
      </c>
      <c r="GJ95" t="e">
        <f>AND('BBP complete'!#REF!,"AAAAAD+/+r8=")</f>
        <v>#REF!</v>
      </c>
      <c r="GK95" t="e">
        <f>AND('BBP complete'!#REF!,"AAAAAD+/+sA=")</f>
        <v>#REF!</v>
      </c>
      <c r="GL95" t="e">
        <f>AND('BBP complete'!#REF!,"AAAAAD+/+sE=")</f>
        <v>#REF!</v>
      </c>
      <c r="GM95" t="e">
        <f>AND('BBP complete'!#REF!,"AAAAAD+/+sI=")</f>
        <v>#REF!</v>
      </c>
      <c r="GN95" t="e">
        <f>AND('BBP complete'!#REF!,"AAAAAD+/+sM=")</f>
        <v>#REF!</v>
      </c>
      <c r="GO95" t="e">
        <f>AND('BBP complete'!C1295,"AAAAAD+/+sQ=")</f>
        <v>#VALUE!</v>
      </c>
      <c r="GP95" t="e">
        <f>AND('BBP complete'!M1294,"AAAAAD+/+sU=")</f>
        <v>#VALUE!</v>
      </c>
      <c r="GQ95" t="e">
        <f>AND('BBP complete'!N1294,"AAAAAD+/+sY=")</f>
        <v>#VALUE!</v>
      </c>
      <c r="GR95" t="e">
        <f>AND('BBP complete'!P1308,"AAAAAD+/+sc=")</f>
        <v>#VALUE!</v>
      </c>
      <c r="GS95" s="60" t="e">
        <v>#VALUE!</v>
      </c>
      <c r="GT95" t="e">
        <f>AND('BBP complete'!B1299,"AAAAAD+/+sk=")</f>
        <v>#VALUE!</v>
      </c>
      <c r="GU95" t="e">
        <f>AND('BBP complete'!F1300,"AAAAAD+/+so=")</f>
        <v>#VALUE!</v>
      </c>
      <c r="GV95" t="e">
        <f>AND('BBP complete'!G1300,"AAAAAD+/+ss=")</f>
        <v>#VALUE!</v>
      </c>
      <c r="GW95" t="e">
        <f>AND('BBP complete'!D1299,"AAAAAD+/+sw=")</f>
        <v>#VALUE!</v>
      </c>
      <c r="GX95" t="e">
        <f>AND('BBP complete'!H1298,"AAAAAD+/+s0=")</f>
        <v>#VALUE!</v>
      </c>
      <c r="GY95" t="e">
        <f>AND('BBP complete'!I1297,"AAAAAD+/+s4=")</f>
        <v>#VALUE!</v>
      </c>
      <c r="GZ95" t="e">
        <f>AND('BBP complete'!#REF!,"AAAAAD+/+s8=")</f>
        <v>#REF!</v>
      </c>
      <c r="HA95" t="e">
        <f>AND('BBP complete'!#REF!,"AAAAAD+/+tA=")</f>
        <v>#REF!</v>
      </c>
      <c r="HB95" t="e">
        <f>AND('BBP complete'!#REF!,"AAAAAD+/+tE=")</f>
        <v>#REF!</v>
      </c>
      <c r="HC95" t="e">
        <f>AND('BBP complete'!#REF!,"AAAAAD+/+tI=")</f>
        <v>#REF!</v>
      </c>
      <c r="HD95" t="e">
        <f>AND('BBP complete'!#REF!,"AAAAAD+/+tM=")</f>
        <v>#REF!</v>
      </c>
      <c r="HE95" t="e">
        <f>AND('BBP complete'!C1296,"AAAAAD+/+tQ=")</f>
        <v>#VALUE!</v>
      </c>
      <c r="HF95" t="e">
        <f>AND('BBP complete'!M1295,"AAAAAD+/+tU=")</f>
        <v>#VALUE!</v>
      </c>
      <c r="HG95" t="e">
        <f>AND('BBP complete'!N1295,"AAAAAD+/+tY=")</f>
        <v>#VALUE!</v>
      </c>
      <c r="HH95" t="e">
        <f>AND('BBP complete'!P1309,"AAAAAD+/+tc=")</f>
        <v>#VALUE!</v>
      </c>
      <c r="HI95" s="60" t="e">
        <v>#VALUE!</v>
      </c>
      <c r="HJ95" t="e">
        <f>AND('BBP complete'!B1300,"AAAAAD+/+tk=")</f>
        <v>#VALUE!</v>
      </c>
      <c r="HK95" t="e">
        <f>AND('BBP complete'!F1301,"AAAAAD+/+to=")</f>
        <v>#VALUE!</v>
      </c>
      <c r="HL95" t="e">
        <f>AND('BBP complete'!G1301,"AAAAAD+/+ts=")</f>
        <v>#VALUE!</v>
      </c>
      <c r="HM95" t="e">
        <f>AND('BBP complete'!D1300,"AAAAAD+/+tw=")</f>
        <v>#VALUE!</v>
      </c>
      <c r="HN95" t="e">
        <f>AND('BBP complete'!H1299,"AAAAAD+/+t0=")</f>
        <v>#VALUE!</v>
      </c>
      <c r="HO95" t="e">
        <f>AND('BBP complete'!I1298,"AAAAAD+/+t4=")</f>
        <v>#VALUE!</v>
      </c>
      <c r="HP95" t="e">
        <f>AND('BBP complete'!#REF!,"AAAAAD+/+t8=")</f>
        <v>#REF!</v>
      </c>
      <c r="HQ95" t="e">
        <f>AND('BBP complete'!#REF!,"AAAAAD+/+uA=")</f>
        <v>#REF!</v>
      </c>
      <c r="HR95" t="e">
        <f>AND('BBP complete'!#REF!,"AAAAAD+/+uE=")</f>
        <v>#REF!</v>
      </c>
      <c r="HS95" t="e">
        <f>AND('BBP complete'!#REF!,"AAAAAD+/+uI=")</f>
        <v>#REF!</v>
      </c>
      <c r="HT95" t="e">
        <f>AND('BBP complete'!#REF!,"AAAAAD+/+uM=")</f>
        <v>#REF!</v>
      </c>
      <c r="HU95" t="e">
        <f>AND('BBP complete'!C1297,"AAAAAD+/+uQ=")</f>
        <v>#VALUE!</v>
      </c>
      <c r="HV95" t="e">
        <f>AND('BBP complete'!M1296,"AAAAAD+/+uU=")</f>
        <v>#VALUE!</v>
      </c>
      <c r="HW95" t="e">
        <f>AND('BBP complete'!N1296,"AAAAAD+/+uY=")</f>
        <v>#VALUE!</v>
      </c>
      <c r="HX95" t="e">
        <f>AND('BBP complete'!P1310,"AAAAAD+/+uc=")</f>
        <v>#VALUE!</v>
      </c>
      <c r="HY95" s="60" t="e">
        <v>#VALUE!</v>
      </c>
      <c r="HZ95" t="e">
        <f>AND('BBP complete'!B1301,"AAAAAD+/+uk=")</f>
        <v>#VALUE!</v>
      </c>
      <c r="IA95" t="e">
        <f>AND('BBP complete'!F1302,"AAAAAD+/+uo=")</f>
        <v>#VALUE!</v>
      </c>
      <c r="IB95" t="e">
        <f>AND('BBP complete'!G1302,"AAAAAD+/+us=")</f>
        <v>#VALUE!</v>
      </c>
      <c r="IC95" t="e">
        <f>AND('BBP complete'!D1301,"AAAAAD+/+uw=")</f>
        <v>#VALUE!</v>
      </c>
      <c r="ID95" t="e">
        <f>AND('BBP complete'!H1300,"AAAAAD+/+u0=")</f>
        <v>#VALUE!</v>
      </c>
      <c r="IE95" t="e">
        <f>AND('BBP complete'!I1299,"AAAAAD+/+u4=")</f>
        <v>#VALUE!</v>
      </c>
      <c r="IF95" t="e">
        <f>AND('BBP complete'!#REF!,"AAAAAD+/+u8=")</f>
        <v>#REF!</v>
      </c>
      <c r="IG95" t="e">
        <f>AND('BBP complete'!#REF!,"AAAAAD+/+vA=")</f>
        <v>#REF!</v>
      </c>
      <c r="IH95" t="e">
        <f>AND('BBP complete'!#REF!,"AAAAAD+/+vE=")</f>
        <v>#REF!</v>
      </c>
      <c r="II95" t="e">
        <f>AND('BBP complete'!#REF!,"AAAAAD+/+vI=")</f>
        <v>#REF!</v>
      </c>
      <c r="IJ95" t="e">
        <f>AND('BBP complete'!#REF!,"AAAAAD+/+vM=")</f>
        <v>#REF!</v>
      </c>
      <c r="IK95" t="e">
        <f>AND('BBP complete'!C1298,"AAAAAD+/+vQ=")</f>
        <v>#VALUE!</v>
      </c>
      <c r="IL95" t="e">
        <f>AND('BBP complete'!M1297,"AAAAAD+/+vU=")</f>
        <v>#VALUE!</v>
      </c>
      <c r="IM95" t="e">
        <f>AND('BBP complete'!N1297,"AAAAAD+/+vY=")</f>
        <v>#VALUE!</v>
      </c>
      <c r="IN95" t="e">
        <f>AND('BBP complete'!P1311,"AAAAAD+/+vc=")</f>
        <v>#VALUE!</v>
      </c>
      <c r="IO95" s="60" t="e">
        <v>#VALUE!</v>
      </c>
      <c r="IP95" t="e">
        <f>AND('BBP complete'!B1302,"AAAAAD+/+vk=")</f>
        <v>#VALUE!</v>
      </c>
      <c r="IQ95" t="e">
        <f>AND('BBP complete'!F1303,"AAAAAD+/+vo=")</f>
        <v>#VALUE!</v>
      </c>
      <c r="IR95" t="e">
        <f>AND('BBP complete'!G1303,"AAAAAD+/+vs=")</f>
        <v>#VALUE!</v>
      </c>
      <c r="IS95" t="e">
        <f>AND('BBP complete'!D1302,"AAAAAD+/+vw=")</f>
        <v>#VALUE!</v>
      </c>
      <c r="IT95" t="e">
        <f>AND('BBP complete'!H1301,"AAAAAD+/+v0=")</f>
        <v>#VALUE!</v>
      </c>
      <c r="IU95" t="e">
        <f>AND('BBP complete'!I1300,"AAAAAD+/+v4=")</f>
        <v>#VALUE!</v>
      </c>
      <c r="IV95" t="e">
        <f>AND('BBP complete'!#REF!,"AAAAAD+/+v8=")</f>
        <v>#REF!</v>
      </c>
    </row>
    <row r="96" spans="1:256" ht="15" customHeight="1" x14ac:dyDescent="0.25">
      <c r="A96" t="e">
        <f>AND('BBP complete'!#REF!,"AAAAAHfZmwA=")</f>
        <v>#REF!</v>
      </c>
      <c r="B96" t="e">
        <f>AND('BBP complete'!#REF!,"AAAAAHfZmwE=")</f>
        <v>#REF!</v>
      </c>
      <c r="C96" t="e">
        <f>AND('BBP complete'!#REF!,"AAAAAHfZmwI=")</f>
        <v>#REF!</v>
      </c>
      <c r="D96" t="e">
        <f>AND('BBP complete'!#REF!,"AAAAAHfZmwM=")</f>
        <v>#REF!</v>
      </c>
      <c r="E96" t="e">
        <f>AND('BBP complete'!C1299,"AAAAAHfZmwQ=")</f>
        <v>#VALUE!</v>
      </c>
      <c r="F96" t="e">
        <f>AND('BBP complete'!M1298,"AAAAAHfZmwU=")</f>
        <v>#VALUE!</v>
      </c>
      <c r="G96" t="e">
        <f>AND('BBP complete'!N1298,"AAAAAHfZmwY=")</f>
        <v>#VALUE!</v>
      </c>
      <c r="H96" t="e">
        <f>AND('BBP complete'!P1312,"AAAAAHfZmwc=")</f>
        <v>#VALUE!</v>
      </c>
      <c r="I96" s="60" t="e">
        <v>#VALUE!</v>
      </c>
      <c r="J96" t="e">
        <f>AND('BBP complete'!B1303,"AAAAAHfZmwk=")</f>
        <v>#VALUE!</v>
      </c>
      <c r="K96" t="e">
        <f>AND('BBP complete'!F1304,"AAAAAHfZmwo=")</f>
        <v>#VALUE!</v>
      </c>
      <c r="L96" t="e">
        <f>AND('BBP complete'!G1304,"AAAAAHfZmws=")</f>
        <v>#VALUE!</v>
      </c>
      <c r="M96" t="e">
        <f>AND('BBP complete'!D1303,"AAAAAHfZmww=")</f>
        <v>#VALUE!</v>
      </c>
      <c r="N96" t="e">
        <f>AND('BBP complete'!H1302,"AAAAAHfZmw0=")</f>
        <v>#VALUE!</v>
      </c>
      <c r="O96" t="e">
        <f>AND('BBP complete'!I1301,"AAAAAHfZmw4=")</f>
        <v>#VALUE!</v>
      </c>
      <c r="P96" t="e">
        <f>AND('BBP complete'!#REF!,"AAAAAHfZmw8=")</f>
        <v>#REF!</v>
      </c>
      <c r="Q96" t="e">
        <f>AND('BBP complete'!#REF!,"AAAAAHfZmxA=")</f>
        <v>#REF!</v>
      </c>
      <c r="R96" t="e">
        <f>AND('BBP complete'!#REF!,"AAAAAHfZmxE=")</f>
        <v>#REF!</v>
      </c>
      <c r="S96" t="e">
        <f>AND('BBP complete'!#REF!,"AAAAAHfZmxI=")</f>
        <v>#REF!</v>
      </c>
      <c r="T96" t="e">
        <f>AND('BBP complete'!#REF!,"AAAAAHfZmxM=")</f>
        <v>#REF!</v>
      </c>
      <c r="U96" t="e">
        <f>AND('BBP complete'!C1300,"AAAAAHfZmxQ=")</f>
        <v>#VALUE!</v>
      </c>
      <c r="V96" t="e">
        <f>AND('BBP complete'!M1299,"AAAAAHfZmxU=")</f>
        <v>#VALUE!</v>
      </c>
      <c r="W96" t="e">
        <f>AND('BBP complete'!N1299,"AAAAAHfZmxY=")</f>
        <v>#VALUE!</v>
      </c>
      <c r="X96" t="e">
        <f>AND('BBP complete'!P1313,"AAAAAHfZmxc=")</f>
        <v>#VALUE!</v>
      </c>
      <c r="Y96" s="60" t="e">
        <v>#VALUE!</v>
      </c>
      <c r="Z96" t="e">
        <f>AND('BBP complete'!B1304,"AAAAAHfZmxk=")</f>
        <v>#VALUE!</v>
      </c>
      <c r="AA96" t="e">
        <f>AND('BBP complete'!F1305,"AAAAAHfZmxo=")</f>
        <v>#VALUE!</v>
      </c>
      <c r="AB96" t="e">
        <f>AND('BBP complete'!G1305,"AAAAAHfZmxs=")</f>
        <v>#VALUE!</v>
      </c>
      <c r="AC96" t="e">
        <f>AND('BBP complete'!D1304,"AAAAAHfZmxw=")</f>
        <v>#VALUE!</v>
      </c>
      <c r="AD96" t="e">
        <f>AND('BBP complete'!H1303,"AAAAAHfZmx0=")</f>
        <v>#VALUE!</v>
      </c>
      <c r="AE96" t="e">
        <f>AND('BBP complete'!I1302,"AAAAAHfZmx4=")</f>
        <v>#VALUE!</v>
      </c>
      <c r="AF96" t="e">
        <f>AND('BBP complete'!#REF!,"AAAAAHfZmx8=")</f>
        <v>#REF!</v>
      </c>
      <c r="AG96" t="e">
        <f>AND('BBP complete'!#REF!,"AAAAAHfZmyA=")</f>
        <v>#REF!</v>
      </c>
      <c r="AH96" t="e">
        <f>AND('BBP complete'!#REF!,"AAAAAHfZmyE=")</f>
        <v>#REF!</v>
      </c>
      <c r="AI96" t="e">
        <f>AND('BBP complete'!#REF!,"AAAAAHfZmyI=")</f>
        <v>#REF!</v>
      </c>
      <c r="AJ96" t="e">
        <f>AND('BBP complete'!#REF!,"AAAAAHfZmyM=")</f>
        <v>#REF!</v>
      </c>
      <c r="AK96" t="e">
        <f>AND('BBP complete'!C1301,"AAAAAHfZmyQ=")</f>
        <v>#VALUE!</v>
      </c>
      <c r="AL96" t="e">
        <f>AND('BBP complete'!M1300,"AAAAAHfZmyU=")</f>
        <v>#VALUE!</v>
      </c>
      <c r="AM96" t="e">
        <f>AND('BBP complete'!N1300,"AAAAAHfZmyY=")</f>
        <v>#VALUE!</v>
      </c>
      <c r="AN96" t="e">
        <f>AND('BBP complete'!P1314,"AAAAAHfZmyc=")</f>
        <v>#VALUE!</v>
      </c>
      <c r="AO96" s="60" t="e">
        <v>#VALUE!</v>
      </c>
      <c r="AP96" t="e">
        <f>AND('BBP complete'!B1305,"AAAAAHfZmyk=")</f>
        <v>#VALUE!</v>
      </c>
      <c r="AQ96" t="e">
        <f>AND('BBP complete'!F1306,"AAAAAHfZmyo=")</f>
        <v>#VALUE!</v>
      </c>
      <c r="AR96" t="e">
        <f>AND('BBP complete'!G1306,"AAAAAHfZmys=")</f>
        <v>#VALUE!</v>
      </c>
      <c r="AS96" t="e">
        <f>AND('BBP complete'!D1305,"AAAAAHfZmyw=")</f>
        <v>#VALUE!</v>
      </c>
      <c r="AT96" t="e">
        <f>AND('BBP complete'!H1304,"AAAAAHfZmy0=")</f>
        <v>#VALUE!</v>
      </c>
      <c r="AU96" t="e">
        <f>AND('BBP complete'!I1303,"AAAAAHfZmy4=")</f>
        <v>#VALUE!</v>
      </c>
      <c r="AV96" t="e">
        <f>AND('BBP complete'!#REF!,"AAAAAHfZmy8=")</f>
        <v>#REF!</v>
      </c>
      <c r="AW96" t="e">
        <f>AND('BBP complete'!#REF!,"AAAAAHfZmzA=")</f>
        <v>#REF!</v>
      </c>
      <c r="AX96" t="e">
        <f>AND('BBP complete'!#REF!,"AAAAAHfZmzE=")</f>
        <v>#REF!</v>
      </c>
      <c r="AY96" t="e">
        <f>AND('BBP complete'!#REF!,"AAAAAHfZmzI=")</f>
        <v>#REF!</v>
      </c>
      <c r="AZ96" t="e">
        <f>AND('BBP complete'!#REF!,"AAAAAHfZmzM=")</f>
        <v>#REF!</v>
      </c>
      <c r="BA96" t="e">
        <f>AND('BBP complete'!C1302,"AAAAAHfZmzQ=")</f>
        <v>#VALUE!</v>
      </c>
      <c r="BB96" t="e">
        <f>AND('BBP complete'!M1301,"AAAAAHfZmzU=")</f>
        <v>#VALUE!</v>
      </c>
      <c r="BC96" t="e">
        <f>AND('BBP complete'!N1301,"AAAAAHfZmzY=")</f>
        <v>#VALUE!</v>
      </c>
      <c r="BD96" t="e">
        <f>AND('BBP complete'!P1315,"AAAAAHfZmzc=")</f>
        <v>#VALUE!</v>
      </c>
      <c r="BE96" s="60" t="e">
        <v>#VALUE!</v>
      </c>
      <c r="BF96" t="e">
        <f>AND('BBP complete'!B1306,"AAAAAHfZmzk=")</f>
        <v>#VALUE!</v>
      </c>
      <c r="BG96" t="e">
        <f>AND('BBP complete'!F1307,"AAAAAHfZmzo=")</f>
        <v>#VALUE!</v>
      </c>
      <c r="BH96" t="e">
        <f>AND('BBP complete'!G1307,"AAAAAHfZmzs=")</f>
        <v>#VALUE!</v>
      </c>
      <c r="BI96" t="e">
        <f>AND('BBP complete'!D1306,"AAAAAHfZmzw=")</f>
        <v>#VALUE!</v>
      </c>
      <c r="BJ96" t="e">
        <f>AND('BBP complete'!H1305,"AAAAAHfZmz0=")</f>
        <v>#VALUE!</v>
      </c>
      <c r="BK96" t="e">
        <f>AND('BBP complete'!I1304,"AAAAAHfZmz4=")</f>
        <v>#VALUE!</v>
      </c>
      <c r="BL96" t="e">
        <f>AND('BBP complete'!#REF!,"AAAAAHfZmz8=")</f>
        <v>#REF!</v>
      </c>
      <c r="BM96" t="e">
        <f>AND('BBP complete'!#REF!,"AAAAAHfZm0A=")</f>
        <v>#REF!</v>
      </c>
      <c r="BN96" t="e">
        <f>AND('BBP complete'!#REF!,"AAAAAHfZm0E=")</f>
        <v>#REF!</v>
      </c>
      <c r="BO96" t="e">
        <f>AND('BBP complete'!#REF!,"AAAAAHfZm0I=")</f>
        <v>#REF!</v>
      </c>
      <c r="BP96" t="e">
        <f>AND('BBP complete'!#REF!,"AAAAAHfZm0M=")</f>
        <v>#REF!</v>
      </c>
      <c r="BQ96" t="e">
        <f>AND('BBP complete'!C1303,"AAAAAHfZm0Q=")</f>
        <v>#VALUE!</v>
      </c>
      <c r="BR96" t="e">
        <f>AND('BBP complete'!M1302,"AAAAAHfZm0U=")</f>
        <v>#VALUE!</v>
      </c>
      <c r="BS96" t="e">
        <f>AND('BBP complete'!N1302,"AAAAAHfZm0Y=")</f>
        <v>#VALUE!</v>
      </c>
      <c r="BT96" t="e">
        <f>AND('BBP complete'!P1316,"AAAAAHfZm0c=")</f>
        <v>#VALUE!</v>
      </c>
      <c r="BU96" s="60" t="e">
        <v>#VALUE!</v>
      </c>
      <c r="BV96" t="e">
        <f>AND('BBP complete'!B1307,"AAAAAHfZm0k=")</f>
        <v>#VALUE!</v>
      </c>
      <c r="BW96" t="e">
        <f>AND('BBP complete'!F1308,"AAAAAHfZm0o=")</f>
        <v>#VALUE!</v>
      </c>
      <c r="BX96" t="e">
        <f>AND('BBP complete'!G1308,"AAAAAHfZm0s=")</f>
        <v>#VALUE!</v>
      </c>
      <c r="BY96" t="e">
        <f>AND('BBP complete'!D1307,"AAAAAHfZm0w=")</f>
        <v>#VALUE!</v>
      </c>
      <c r="BZ96" t="e">
        <f>AND('BBP complete'!H1306,"AAAAAHfZm00=")</f>
        <v>#VALUE!</v>
      </c>
      <c r="CA96" t="e">
        <f>AND('BBP complete'!I1305,"AAAAAHfZm04=")</f>
        <v>#VALUE!</v>
      </c>
      <c r="CB96" t="e">
        <f>AND('BBP complete'!#REF!,"AAAAAHfZm08=")</f>
        <v>#REF!</v>
      </c>
      <c r="CC96" t="e">
        <f>AND('BBP complete'!#REF!,"AAAAAHfZm1A=")</f>
        <v>#REF!</v>
      </c>
      <c r="CD96" t="e">
        <f>AND('BBP complete'!#REF!,"AAAAAHfZm1E=")</f>
        <v>#REF!</v>
      </c>
      <c r="CE96" t="e">
        <f>AND('BBP complete'!#REF!,"AAAAAHfZm1I=")</f>
        <v>#REF!</v>
      </c>
      <c r="CF96" t="e">
        <f>AND('BBP complete'!#REF!,"AAAAAHfZm1M=")</f>
        <v>#REF!</v>
      </c>
      <c r="CG96" t="e">
        <f>AND('BBP complete'!C1304,"AAAAAHfZm1Q=")</f>
        <v>#VALUE!</v>
      </c>
      <c r="CH96" t="e">
        <f>AND('BBP complete'!#REF!,"AAAAAHfZm1U=")</f>
        <v>#REF!</v>
      </c>
      <c r="CI96" t="e">
        <f>AND('BBP complete'!#REF!,"AAAAAHfZm1Y=")</f>
        <v>#REF!</v>
      </c>
      <c r="CJ96" t="e">
        <f>AND('BBP complete'!#REF!,"AAAAAHfZm1c=")</f>
        <v>#REF!</v>
      </c>
      <c r="CK96" s="60" t="e">
        <v>#VALUE!</v>
      </c>
      <c r="CL96" t="e">
        <f>AND('BBP complete'!B1308,"AAAAAHfZm1k=")</f>
        <v>#VALUE!</v>
      </c>
      <c r="CM96" t="e">
        <f>AND('BBP complete'!F1309,"AAAAAHfZm1o=")</f>
        <v>#VALUE!</v>
      </c>
      <c r="CN96" t="e">
        <f>AND('BBP complete'!G1309,"AAAAAHfZm1s=")</f>
        <v>#VALUE!</v>
      </c>
      <c r="CO96" t="e">
        <f>AND('BBP complete'!D1308,"AAAAAHfZm1w=")</f>
        <v>#VALUE!</v>
      </c>
      <c r="CP96" t="e">
        <f>AND('BBP complete'!H1307,"AAAAAHfZm10=")</f>
        <v>#VALUE!</v>
      </c>
      <c r="CQ96" t="e">
        <f>AND('BBP complete'!I1306,"AAAAAHfZm14=")</f>
        <v>#VALUE!</v>
      </c>
      <c r="CR96" t="e">
        <f>AND('BBP complete'!#REF!,"AAAAAHfZm18=")</f>
        <v>#REF!</v>
      </c>
      <c r="CS96" t="e">
        <f>AND('BBP complete'!#REF!,"AAAAAHfZm2A=")</f>
        <v>#REF!</v>
      </c>
      <c r="CT96" t="e">
        <f>AND('BBP complete'!#REF!,"AAAAAHfZm2E=")</f>
        <v>#REF!</v>
      </c>
      <c r="CU96" t="e">
        <f>AND('BBP complete'!#REF!,"AAAAAHfZm2I=")</f>
        <v>#REF!</v>
      </c>
      <c r="CV96" t="e">
        <f>AND('BBP complete'!#REF!,"AAAAAHfZm2M=")</f>
        <v>#REF!</v>
      </c>
      <c r="CW96" t="e">
        <f>AND('BBP complete'!C1305,"AAAAAHfZm2Q=")</f>
        <v>#VALUE!</v>
      </c>
      <c r="CX96" t="e">
        <f>AND('BBP complete'!#REF!,"AAAAAHfZm2U=")</f>
        <v>#REF!</v>
      </c>
      <c r="CY96" t="e">
        <f>AND('BBP complete'!#REF!,"AAAAAHfZm2Y=")</f>
        <v>#REF!</v>
      </c>
      <c r="CZ96" t="e">
        <f>AND('BBP complete'!#REF!,"AAAAAHfZm2c=")</f>
        <v>#REF!</v>
      </c>
      <c r="DA96" s="60" t="e">
        <v>#VALUE!</v>
      </c>
      <c r="DB96" t="e">
        <f>AND('BBP complete'!B1309,"AAAAAHfZm2k=")</f>
        <v>#VALUE!</v>
      </c>
      <c r="DC96" t="e">
        <f>AND('BBP complete'!F1310,"AAAAAHfZm2o=")</f>
        <v>#VALUE!</v>
      </c>
      <c r="DD96" t="e">
        <f>AND('BBP complete'!G1310,"AAAAAHfZm2s=")</f>
        <v>#VALUE!</v>
      </c>
      <c r="DE96" t="e">
        <f>AND('BBP complete'!D1309,"AAAAAHfZm2w=")</f>
        <v>#VALUE!</v>
      </c>
      <c r="DF96" t="e">
        <f>AND('BBP complete'!H1308,"AAAAAHfZm20=")</f>
        <v>#VALUE!</v>
      </c>
      <c r="DG96" t="e">
        <f>AND('BBP complete'!I1307,"AAAAAHfZm24=")</f>
        <v>#VALUE!</v>
      </c>
      <c r="DH96" t="e">
        <f>AND('BBP complete'!#REF!,"AAAAAHfZm28=")</f>
        <v>#REF!</v>
      </c>
      <c r="DI96" t="e">
        <f>AND('BBP complete'!#REF!,"AAAAAHfZm3A=")</f>
        <v>#REF!</v>
      </c>
      <c r="DJ96" t="e">
        <f>AND('BBP complete'!#REF!,"AAAAAHfZm3E=")</f>
        <v>#REF!</v>
      </c>
      <c r="DK96" t="e">
        <f>AND('BBP complete'!#REF!,"AAAAAHfZm3I=")</f>
        <v>#REF!</v>
      </c>
      <c r="DL96" t="e">
        <f>AND('BBP complete'!#REF!,"AAAAAHfZm3M=")</f>
        <v>#REF!</v>
      </c>
      <c r="DM96" t="e">
        <f>AND('BBP complete'!C1306,"AAAAAHfZm3Q=")</f>
        <v>#VALUE!</v>
      </c>
      <c r="DN96" t="e">
        <f>AND('BBP complete'!#REF!,"AAAAAHfZm3U=")</f>
        <v>#REF!</v>
      </c>
      <c r="DO96" t="e">
        <f>AND('BBP complete'!#REF!,"AAAAAHfZm3Y=")</f>
        <v>#REF!</v>
      </c>
      <c r="DP96" t="e">
        <f>AND('BBP complete'!#REF!,"AAAAAHfZm3c=")</f>
        <v>#REF!</v>
      </c>
      <c r="DQ96" s="60" t="e">
        <v>#VALUE!</v>
      </c>
      <c r="DR96" t="e">
        <f>AND('BBP complete'!B1310,"AAAAAHfZm3k=")</f>
        <v>#VALUE!</v>
      </c>
      <c r="DS96" t="e">
        <f>AND('BBP complete'!F1311,"AAAAAHfZm3o=")</f>
        <v>#VALUE!</v>
      </c>
      <c r="DT96" t="e">
        <f>AND('BBP complete'!G1311,"AAAAAHfZm3s=")</f>
        <v>#VALUE!</v>
      </c>
      <c r="DU96" t="e">
        <f>AND('BBP complete'!D1310,"AAAAAHfZm3w=")</f>
        <v>#VALUE!</v>
      </c>
      <c r="DV96" t="e">
        <f>AND('BBP complete'!H1309,"AAAAAHfZm30=")</f>
        <v>#VALUE!</v>
      </c>
      <c r="DW96" t="e">
        <f>AND('BBP complete'!I1308,"AAAAAHfZm34=")</f>
        <v>#VALUE!</v>
      </c>
      <c r="DX96" t="e">
        <f>AND('BBP complete'!#REF!,"AAAAAHfZm38=")</f>
        <v>#REF!</v>
      </c>
      <c r="DY96" t="e">
        <f>AND('BBP complete'!#REF!,"AAAAAHfZm4A=")</f>
        <v>#REF!</v>
      </c>
      <c r="DZ96" t="e">
        <f>AND('BBP complete'!#REF!,"AAAAAHfZm4E=")</f>
        <v>#REF!</v>
      </c>
      <c r="EA96" t="e">
        <f>AND('BBP complete'!#REF!,"AAAAAHfZm4I=")</f>
        <v>#REF!</v>
      </c>
      <c r="EB96" t="e">
        <f>AND('BBP complete'!#REF!,"AAAAAHfZm4M=")</f>
        <v>#REF!</v>
      </c>
      <c r="EC96" t="e">
        <f>AND('BBP complete'!C1307,"AAAAAHfZm4Q=")</f>
        <v>#VALUE!</v>
      </c>
      <c r="ED96" t="e">
        <f>AND('BBP complete'!#REF!,"AAAAAHfZm4U=")</f>
        <v>#REF!</v>
      </c>
      <c r="EE96" t="e">
        <f>AND('BBP complete'!#REF!,"AAAAAHfZm4Y=")</f>
        <v>#REF!</v>
      </c>
      <c r="EF96" t="e">
        <f>AND('BBP complete'!#REF!,"AAAAAHfZm4c=")</f>
        <v>#REF!</v>
      </c>
      <c r="EG96" s="60" t="e">
        <v>#VALUE!</v>
      </c>
      <c r="EH96" t="e">
        <f>AND('BBP complete'!B1311,"AAAAAHfZm4k=")</f>
        <v>#VALUE!</v>
      </c>
      <c r="EI96" t="e">
        <f>AND('BBP complete'!F1312,"AAAAAHfZm4o=")</f>
        <v>#VALUE!</v>
      </c>
      <c r="EJ96" t="e">
        <f>AND('BBP complete'!G1312,"AAAAAHfZm4s=")</f>
        <v>#VALUE!</v>
      </c>
      <c r="EK96" t="e">
        <f>AND('BBP complete'!D1311,"AAAAAHfZm4w=")</f>
        <v>#VALUE!</v>
      </c>
      <c r="EL96" t="e">
        <f>AND('BBP complete'!H1310,"AAAAAHfZm40=")</f>
        <v>#VALUE!</v>
      </c>
      <c r="EM96" t="e">
        <f>AND('BBP complete'!I1309,"AAAAAHfZm44=")</f>
        <v>#VALUE!</v>
      </c>
      <c r="EN96" t="e">
        <f>AND('BBP complete'!#REF!,"AAAAAHfZm48=")</f>
        <v>#REF!</v>
      </c>
      <c r="EO96" t="e">
        <f>AND('BBP complete'!#REF!,"AAAAAHfZm5A=")</f>
        <v>#REF!</v>
      </c>
      <c r="EP96" t="e">
        <f>AND('BBP complete'!#REF!,"AAAAAHfZm5E=")</f>
        <v>#REF!</v>
      </c>
      <c r="EQ96" t="e">
        <f>AND('BBP complete'!#REF!,"AAAAAHfZm5I=")</f>
        <v>#REF!</v>
      </c>
      <c r="ER96" t="e">
        <f>AND('BBP complete'!#REF!,"AAAAAHfZm5M=")</f>
        <v>#REF!</v>
      </c>
      <c r="ES96" t="e">
        <f>AND('BBP complete'!C1308,"AAAAAHfZm5Q=")</f>
        <v>#VALUE!</v>
      </c>
      <c r="ET96" t="e">
        <f>AND('BBP complete'!#REF!,"AAAAAHfZm5U=")</f>
        <v>#REF!</v>
      </c>
      <c r="EU96" t="e">
        <f>AND('BBP complete'!#REF!,"AAAAAHfZm5Y=")</f>
        <v>#REF!</v>
      </c>
      <c r="EV96" t="e">
        <f>AND('BBP complete'!#REF!,"AAAAAHfZm5c=")</f>
        <v>#REF!</v>
      </c>
      <c r="EW96" s="60" t="e">
        <v>#VALUE!</v>
      </c>
      <c r="EX96" t="e">
        <f>AND('BBP complete'!B1312,"AAAAAHfZm5k=")</f>
        <v>#VALUE!</v>
      </c>
      <c r="EY96" t="e">
        <f>AND('BBP complete'!F1313,"AAAAAHfZm5o=")</f>
        <v>#VALUE!</v>
      </c>
      <c r="EZ96" t="e">
        <f>AND('BBP complete'!G1313,"AAAAAHfZm5s=")</f>
        <v>#VALUE!</v>
      </c>
      <c r="FA96" t="e">
        <f>AND('BBP complete'!D1312,"AAAAAHfZm5w=")</f>
        <v>#VALUE!</v>
      </c>
      <c r="FB96" t="e">
        <f>AND('BBP complete'!H1311,"AAAAAHfZm50=")</f>
        <v>#VALUE!</v>
      </c>
      <c r="FC96" t="e">
        <f>AND('BBP complete'!I1310,"AAAAAHfZm54=")</f>
        <v>#VALUE!</v>
      </c>
      <c r="FD96" t="e">
        <f>AND('BBP complete'!#REF!,"AAAAAHfZm58=")</f>
        <v>#REF!</v>
      </c>
      <c r="FE96" t="e">
        <f>AND('BBP complete'!#REF!,"AAAAAHfZm6A=")</f>
        <v>#REF!</v>
      </c>
      <c r="FF96" t="e">
        <f>AND('BBP complete'!#REF!,"AAAAAHfZm6E=")</f>
        <v>#REF!</v>
      </c>
      <c r="FG96" t="e">
        <f>AND('BBP complete'!#REF!,"AAAAAHfZm6I=")</f>
        <v>#REF!</v>
      </c>
      <c r="FH96" t="e">
        <f>AND('BBP complete'!#REF!,"AAAAAHfZm6M=")</f>
        <v>#REF!</v>
      </c>
      <c r="FI96" t="e">
        <f>AND('BBP complete'!C1309,"AAAAAHfZm6Q=")</f>
        <v>#VALUE!</v>
      </c>
      <c r="FJ96" t="e">
        <f>AND('BBP complete'!#REF!,"AAAAAHfZm6U=")</f>
        <v>#REF!</v>
      </c>
      <c r="FK96" t="e">
        <f>AND('BBP complete'!#REF!,"AAAAAHfZm6Y=")</f>
        <v>#REF!</v>
      </c>
      <c r="FL96" t="e">
        <f>AND('BBP complete'!#REF!,"AAAAAHfZm6c=")</f>
        <v>#REF!</v>
      </c>
      <c r="FM96" s="60" t="e">
        <v>#VALUE!</v>
      </c>
      <c r="FN96" t="e">
        <f>AND('BBP complete'!B1313,"AAAAAHfZm6k=")</f>
        <v>#VALUE!</v>
      </c>
      <c r="FO96" t="e">
        <f>AND('BBP complete'!F1314,"AAAAAHfZm6o=")</f>
        <v>#VALUE!</v>
      </c>
      <c r="FP96" t="e">
        <f>AND('BBP complete'!G1314,"AAAAAHfZm6s=")</f>
        <v>#VALUE!</v>
      </c>
      <c r="FQ96" t="e">
        <f>AND('BBP complete'!D1313,"AAAAAHfZm6w=")</f>
        <v>#VALUE!</v>
      </c>
      <c r="FR96" t="e">
        <f>AND('BBP complete'!H1312,"AAAAAHfZm60=")</f>
        <v>#VALUE!</v>
      </c>
      <c r="FS96" t="e">
        <f>AND('BBP complete'!I1311,"AAAAAHfZm64=")</f>
        <v>#VALUE!</v>
      </c>
      <c r="FT96" t="e">
        <f>AND('BBP complete'!#REF!,"AAAAAHfZm68=")</f>
        <v>#REF!</v>
      </c>
      <c r="FU96" t="e">
        <f>AND('BBP complete'!#REF!,"AAAAAHfZm7A=")</f>
        <v>#REF!</v>
      </c>
      <c r="FV96" t="e">
        <f>AND('BBP complete'!#REF!,"AAAAAHfZm7E=")</f>
        <v>#REF!</v>
      </c>
      <c r="FW96" t="e">
        <f>AND('BBP complete'!#REF!,"AAAAAHfZm7I=")</f>
        <v>#REF!</v>
      </c>
      <c r="FX96" t="e">
        <f>AND('BBP complete'!#REF!,"AAAAAHfZm7M=")</f>
        <v>#REF!</v>
      </c>
      <c r="FY96" t="e">
        <f>AND('BBP complete'!C1310,"AAAAAHfZm7Q=")</f>
        <v>#VALUE!</v>
      </c>
      <c r="FZ96" t="e">
        <f>AND('BBP complete'!#REF!,"AAAAAHfZm7U=")</f>
        <v>#REF!</v>
      </c>
      <c r="GA96" t="e">
        <f>AND('BBP complete'!#REF!,"AAAAAHfZm7Y=")</f>
        <v>#REF!</v>
      </c>
      <c r="GB96" t="e">
        <f>AND('BBP complete'!#REF!,"AAAAAHfZm7c=")</f>
        <v>#REF!</v>
      </c>
      <c r="GC96" s="60" t="e">
        <v>#VALUE!</v>
      </c>
      <c r="GD96" t="e">
        <f>AND('BBP complete'!B1314,"AAAAAHfZm7k=")</f>
        <v>#VALUE!</v>
      </c>
      <c r="GE96" t="e">
        <f>AND('BBP complete'!F1315,"AAAAAHfZm7o=")</f>
        <v>#VALUE!</v>
      </c>
      <c r="GF96" t="e">
        <f>AND('BBP complete'!G1315,"AAAAAHfZm7s=")</f>
        <v>#VALUE!</v>
      </c>
      <c r="GG96" t="e">
        <f>AND('BBP complete'!D1314,"AAAAAHfZm7w=")</f>
        <v>#VALUE!</v>
      </c>
      <c r="GH96" t="e">
        <f>AND('BBP complete'!H1313,"AAAAAHfZm70=")</f>
        <v>#VALUE!</v>
      </c>
      <c r="GI96" t="e">
        <f>AND('BBP complete'!I1312,"AAAAAHfZm74=")</f>
        <v>#VALUE!</v>
      </c>
      <c r="GJ96" t="e">
        <f>AND('BBP complete'!#REF!,"AAAAAHfZm78=")</f>
        <v>#REF!</v>
      </c>
      <c r="GK96" t="e">
        <f>AND('BBP complete'!#REF!,"AAAAAHfZm8A=")</f>
        <v>#REF!</v>
      </c>
      <c r="GL96" t="e">
        <f>AND('BBP complete'!#REF!,"AAAAAHfZm8E=")</f>
        <v>#REF!</v>
      </c>
      <c r="GM96" t="e">
        <f>AND('BBP complete'!#REF!,"AAAAAHfZm8I=")</f>
        <v>#REF!</v>
      </c>
      <c r="GN96" t="e">
        <f>AND('BBP complete'!#REF!,"AAAAAHfZm8M=")</f>
        <v>#REF!</v>
      </c>
      <c r="GO96" t="e">
        <f>AND('BBP complete'!C1311,"AAAAAHfZm8Q=")</f>
        <v>#VALUE!</v>
      </c>
      <c r="GP96" t="e">
        <f>AND('BBP complete'!#REF!,"AAAAAHfZm8U=")</f>
        <v>#REF!</v>
      </c>
      <c r="GQ96" t="e">
        <f>AND('BBP complete'!#REF!,"AAAAAHfZm8Y=")</f>
        <v>#REF!</v>
      </c>
      <c r="GR96" t="e">
        <f>AND('BBP complete'!#REF!,"AAAAAHfZm8c=")</f>
        <v>#REF!</v>
      </c>
      <c r="GS96" s="60" t="e">
        <v>#VALUE!</v>
      </c>
      <c r="GT96" t="e">
        <f>AND('BBP complete'!B1315,"AAAAAHfZm8k=")</f>
        <v>#VALUE!</v>
      </c>
      <c r="GU96" t="e">
        <f>AND('BBP complete'!F1316,"AAAAAHfZm8o=")</f>
        <v>#VALUE!</v>
      </c>
      <c r="GV96" t="e">
        <f>AND('BBP complete'!G1316,"AAAAAHfZm8s=")</f>
        <v>#VALUE!</v>
      </c>
      <c r="GW96" t="e">
        <f>AND('BBP complete'!D1315,"AAAAAHfZm8w=")</f>
        <v>#VALUE!</v>
      </c>
      <c r="GX96" t="e">
        <f>AND('BBP complete'!H1314,"AAAAAHfZm80=")</f>
        <v>#VALUE!</v>
      </c>
      <c r="GY96" t="e">
        <f>AND('BBP complete'!I1313,"AAAAAHfZm84=")</f>
        <v>#VALUE!</v>
      </c>
      <c r="GZ96" t="e">
        <f>AND('BBP complete'!#REF!,"AAAAAHfZm88=")</f>
        <v>#REF!</v>
      </c>
      <c r="HA96" t="e">
        <f>AND('BBP complete'!#REF!,"AAAAAHfZm9A=")</f>
        <v>#REF!</v>
      </c>
      <c r="HB96" t="e">
        <f>AND('BBP complete'!#REF!,"AAAAAHfZm9E=")</f>
        <v>#REF!</v>
      </c>
      <c r="HC96" t="e">
        <f>AND('BBP complete'!#REF!,"AAAAAHfZm9I=")</f>
        <v>#REF!</v>
      </c>
      <c r="HD96" t="e">
        <f>AND('BBP complete'!#REF!,"AAAAAHfZm9M=")</f>
        <v>#REF!</v>
      </c>
      <c r="HE96" t="e">
        <f>AND('BBP complete'!C1312,"AAAAAHfZm9Q=")</f>
        <v>#VALUE!</v>
      </c>
      <c r="HF96" t="e">
        <f>AND('BBP complete'!#REF!,"AAAAAHfZm9U=")</f>
        <v>#REF!</v>
      </c>
      <c r="HG96" t="e">
        <f>AND('BBP complete'!#REF!,"AAAAAHfZm9Y=")</f>
        <v>#REF!</v>
      </c>
      <c r="HH96" t="e">
        <f>AND('BBP complete'!#REF!,"AAAAAHfZm9c=")</f>
        <v>#REF!</v>
      </c>
      <c r="HI96" s="60" t="e">
        <v>#VALUE!</v>
      </c>
      <c r="HJ96" t="e">
        <f>AND('BBP complete'!B1316,"AAAAAHfZm9k=")</f>
        <v>#VALUE!</v>
      </c>
      <c r="HK96" t="e">
        <f>AND('BBP complete'!F1317,"AAAAAHfZm9o=")</f>
        <v>#VALUE!</v>
      </c>
      <c r="HL96" t="e">
        <f>AND('BBP complete'!G1317,"AAAAAHfZm9s=")</f>
        <v>#VALUE!</v>
      </c>
      <c r="HM96" t="e">
        <f>AND('BBP complete'!D1316,"AAAAAHfZm9w=")</f>
        <v>#VALUE!</v>
      </c>
      <c r="HN96" t="e">
        <f>AND('BBP complete'!H1315,"AAAAAHfZm90=")</f>
        <v>#VALUE!</v>
      </c>
      <c r="HO96" t="e">
        <f>AND('BBP complete'!I1314,"AAAAAHfZm94=")</f>
        <v>#VALUE!</v>
      </c>
      <c r="HP96" t="e">
        <f>AND('BBP complete'!#REF!,"AAAAAHfZm98=")</f>
        <v>#REF!</v>
      </c>
      <c r="HQ96" t="e">
        <f>AND('BBP complete'!#REF!,"AAAAAHfZm+A=")</f>
        <v>#REF!</v>
      </c>
      <c r="HR96" t="e">
        <f>AND('BBP complete'!#REF!,"AAAAAHfZm+E=")</f>
        <v>#REF!</v>
      </c>
      <c r="HS96" t="e">
        <f>AND('BBP complete'!#REF!,"AAAAAHfZm+I=")</f>
        <v>#REF!</v>
      </c>
      <c r="HT96" t="e">
        <f>AND('BBP complete'!#REF!,"AAAAAHfZm+M=")</f>
        <v>#REF!</v>
      </c>
      <c r="HU96" t="e">
        <f>AND('BBP complete'!C1313,"AAAAAHfZm+Q=")</f>
        <v>#VALUE!</v>
      </c>
      <c r="HV96" t="e">
        <f>AND('BBP complete'!#REF!,"AAAAAHfZm+U=")</f>
        <v>#REF!</v>
      </c>
      <c r="HW96" t="e">
        <f>AND('BBP complete'!#REF!,"AAAAAHfZm+Y=")</f>
        <v>#REF!</v>
      </c>
      <c r="HX96" t="e">
        <f>AND('BBP complete'!#REF!,"AAAAAHfZm+c=")</f>
        <v>#REF!</v>
      </c>
      <c r="HY96" s="60" t="e">
        <v>#VALUE!</v>
      </c>
      <c r="HZ96" t="e">
        <f>AND('BBP complete'!B1317,"AAAAAHfZm+k=")</f>
        <v>#VALUE!</v>
      </c>
      <c r="IA96" t="e">
        <f>AND('BBP complete'!F1318,"AAAAAHfZm+o=")</f>
        <v>#VALUE!</v>
      </c>
      <c r="IB96" t="e">
        <f>AND('BBP complete'!G1318,"AAAAAHfZm+s=")</f>
        <v>#VALUE!</v>
      </c>
      <c r="IC96" t="e">
        <f>AND('BBP complete'!D1317,"AAAAAHfZm+w=")</f>
        <v>#VALUE!</v>
      </c>
      <c r="ID96" t="e">
        <f>AND('BBP complete'!H1316,"AAAAAHfZm+0=")</f>
        <v>#VALUE!</v>
      </c>
      <c r="IE96" t="e">
        <f>AND('BBP complete'!I1315,"AAAAAHfZm+4=")</f>
        <v>#VALUE!</v>
      </c>
      <c r="IF96" t="e">
        <f>AND('BBP complete'!#REF!,"AAAAAHfZm+8=")</f>
        <v>#REF!</v>
      </c>
      <c r="IG96" t="e">
        <f>AND('BBP complete'!#REF!,"AAAAAHfZm/A=")</f>
        <v>#REF!</v>
      </c>
      <c r="IH96" t="e">
        <f>AND('BBP complete'!#REF!,"AAAAAHfZm/E=")</f>
        <v>#REF!</v>
      </c>
      <c r="II96" t="e">
        <f>AND('BBP complete'!#REF!,"AAAAAHfZm/I=")</f>
        <v>#REF!</v>
      </c>
      <c r="IJ96" t="e">
        <f>AND('BBP complete'!#REF!,"AAAAAHfZm/M=")</f>
        <v>#REF!</v>
      </c>
      <c r="IK96" t="e">
        <f>AND('BBP complete'!C1314,"AAAAAHfZm/Q=")</f>
        <v>#VALUE!</v>
      </c>
      <c r="IL96" t="e">
        <f>AND('BBP complete'!#REF!,"AAAAAHfZm/U=")</f>
        <v>#REF!</v>
      </c>
      <c r="IM96" t="e">
        <f>AND('BBP complete'!#REF!,"AAAAAHfZm/Y=")</f>
        <v>#REF!</v>
      </c>
      <c r="IN96" t="e">
        <f>AND('BBP complete'!#REF!,"AAAAAHfZm/c=")</f>
        <v>#REF!</v>
      </c>
      <c r="IO96" s="60" t="e">
        <v>#VALUE!</v>
      </c>
      <c r="IP96" t="e">
        <f>AND('BBP complete'!B1318,"AAAAAHfZm/k=")</f>
        <v>#VALUE!</v>
      </c>
      <c r="IQ96" t="e">
        <f>AND('BBP complete'!F1319,"AAAAAHfZm/o=")</f>
        <v>#VALUE!</v>
      </c>
      <c r="IR96" t="e">
        <f>AND('BBP complete'!G1319,"AAAAAHfZm/s=")</f>
        <v>#VALUE!</v>
      </c>
      <c r="IS96" t="e">
        <f>AND('BBP complete'!D1318,"AAAAAHfZm/w=")</f>
        <v>#VALUE!</v>
      </c>
      <c r="IT96" t="e">
        <f>AND('BBP complete'!H1317,"AAAAAHfZm/0=")</f>
        <v>#VALUE!</v>
      </c>
      <c r="IU96" t="e">
        <f>AND('BBP complete'!I1316,"AAAAAHfZm/4=")</f>
        <v>#VALUE!</v>
      </c>
      <c r="IV96" t="e">
        <f>AND('BBP complete'!#REF!,"AAAAAHfZm/8=")</f>
        <v>#REF!</v>
      </c>
    </row>
    <row r="97" spans="1:256" ht="15" customHeight="1" x14ac:dyDescent="0.25">
      <c r="A97" t="e">
        <f>AND('BBP complete'!#REF!,"AAAAAH1rtwA=")</f>
        <v>#REF!</v>
      </c>
      <c r="B97" t="e">
        <f>AND('BBP complete'!#REF!,"AAAAAH1rtwE=")</f>
        <v>#REF!</v>
      </c>
      <c r="C97" t="e">
        <f>AND('BBP complete'!#REF!,"AAAAAH1rtwI=")</f>
        <v>#REF!</v>
      </c>
      <c r="D97" t="e">
        <f>AND('BBP complete'!#REF!,"AAAAAH1rtwM=")</f>
        <v>#REF!</v>
      </c>
      <c r="E97" t="e">
        <f>AND('BBP complete'!C1315,"AAAAAH1rtwQ=")</f>
        <v>#VALUE!</v>
      </c>
      <c r="F97" t="e">
        <f>AND('BBP complete'!#REF!,"AAAAAH1rtwU=")</f>
        <v>#REF!</v>
      </c>
      <c r="G97" t="e">
        <f>AND('BBP complete'!#REF!,"AAAAAH1rtwY=")</f>
        <v>#REF!</v>
      </c>
      <c r="H97" t="e">
        <f>AND('BBP complete'!#REF!,"AAAAAH1rtwc=")</f>
        <v>#REF!</v>
      </c>
      <c r="I97" s="60" t="e">
        <v>#VALUE!</v>
      </c>
      <c r="J97" t="e">
        <f>AND('BBP complete'!B1319,"AAAAAH1rtwk=")</f>
        <v>#VALUE!</v>
      </c>
      <c r="K97" t="e">
        <f>AND('BBP complete'!F1320,"AAAAAH1rtwo=")</f>
        <v>#VALUE!</v>
      </c>
      <c r="L97" t="e">
        <f>AND('BBP complete'!G1320,"AAAAAH1rtws=")</f>
        <v>#VALUE!</v>
      </c>
      <c r="M97" t="e">
        <f>AND('BBP complete'!D1319,"AAAAAH1rtww=")</f>
        <v>#VALUE!</v>
      </c>
      <c r="N97" t="e">
        <f>AND('BBP complete'!H1318,"AAAAAH1rtw0=")</f>
        <v>#VALUE!</v>
      </c>
      <c r="O97" t="e">
        <f>AND('BBP complete'!I1317,"AAAAAH1rtw4=")</f>
        <v>#VALUE!</v>
      </c>
      <c r="P97" t="e">
        <f>AND('BBP complete'!#REF!,"AAAAAH1rtw8=")</f>
        <v>#REF!</v>
      </c>
      <c r="Q97" t="e">
        <f>AND('BBP complete'!#REF!,"AAAAAH1rtxA=")</f>
        <v>#REF!</v>
      </c>
      <c r="R97" t="e">
        <f>AND('BBP complete'!#REF!,"AAAAAH1rtxE=")</f>
        <v>#REF!</v>
      </c>
      <c r="S97" t="e">
        <f>AND('BBP complete'!#REF!,"AAAAAH1rtxI=")</f>
        <v>#REF!</v>
      </c>
      <c r="T97" t="e">
        <f>AND('BBP complete'!#REF!,"AAAAAH1rtxM=")</f>
        <v>#REF!</v>
      </c>
      <c r="U97" t="e">
        <f>AND('BBP complete'!C1316,"AAAAAH1rtxQ=")</f>
        <v>#VALUE!</v>
      </c>
      <c r="V97" t="e">
        <f>AND('BBP complete'!#REF!,"AAAAAH1rtxU=")</f>
        <v>#REF!</v>
      </c>
      <c r="W97" t="e">
        <f>AND('BBP complete'!#REF!,"AAAAAH1rtxY=")</f>
        <v>#REF!</v>
      </c>
      <c r="X97" t="e">
        <f>AND('BBP complete'!#REF!,"AAAAAH1rtxc=")</f>
        <v>#REF!</v>
      </c>
      <c r="Y97" s="60" t="e">
        <v>#VALUE!</v>
      </c>
      <c r="Z97" t="e">
        <f>AND('BBP complete'!B1320,"AAAAAH1rtxk=")</f>
        <v>#VALUE!</v>
      </c>
      <c r="AA97" t="e">
        <f>AND('BBP complete'!F1321,"AAAAAH1rtxo=")</f>
        <v>#VALUE!</v>
      </c>
      <c r="AB97" t="e">
        <f>AND('BBP complete'!G1321,"AAAAAH1rtxs=")</f>
        <v>#VALUE!</v>
      </c>
      <c r="AC97" t="e">
        <f>AND('BBP complete'!D1320,"AAAAAH1rtxw=")</f>
        <v>#VALUE!</v>
      </c>
      <c r="AD97" t="e">
        <f>AND('BBP complete'!H1319,"AAAAAH1rtx0=")</f>
        <v>#VALUE!</v>
      </c>
      <c r="AE97" t="e">
        <f>AND('BBP complete'!I1318,"AAAAAH1rtx4=")</f>
        <v>#VALUE!</v>
      </c>
      <c r="AF97" t="e">
        <f>AND('BBP complete'!#REF!,"AAAAAH1rtx8=")</f>
        <v>#REF!</v>
      </c>
      <c r="AG97" t="e">
        <f>AND('BBP complete'!#REF!,"AAAAAH1rtyA=")</f>
        <v>#REF!</v>
      </c>
      <c r="AH97" t="e">
        <f>AND('BBP complete'!#REF!,"AAAAAH1rtyE=")</f>
        <v>#REF!</v>
      </c>
      <c r="AI97" t="e">
        <f>AND('BBP complete'!#REF!,"AAAAAH1rtyI=")</f>
        <v>#REF!</v>
      </c>
      <c r="AJ97" t="e">
        <f>AND('BBP complete'!#REF!,"AAAAAH1rtyM=")</f>
        <v>#REF!</v>
      </c>
      <c r="AK97" t="e">
        <f>AND('BBP complete'!C1317,"AAAAAH1rtyQ=")</f>
        <v>#VALUE!</v>
      </c>
      <c r="AL97" t="e">
        <f>AND('BBP complete'!#REF!,"AAAAAH1rtyU=")</f>
        <v>#REF!</v>
      </c>
      <c r="AM97" t="e">
        <f>AND('BBP complete'!#REF!,"AAAAAH1rtyY=")</f>
        <v>#REF!</v>
      </c>
      <c r="AN97" t="e">
        <f>AND('BBP complete'!#REF!,"AAAAAH1rtyc=")</f>
        <v>#REF!</v>
      </c>
      <c r="AO97" s="60" t="e">
        <v>#VALUE!</v>
      </c>
      <c r="AP97" t="e">
        <f>AND('BBP complete'!B1321,"AAAAAH1rtyk=")</f>
        <v>#VALUE!</v>
      </c>
      <c r="AQ97" t="e">
        <f>AND('BBP complete'!F1322,"AAAAAH1rtyo=")</f>
        <v>#VALUE!</v>
      </c>
      <c r="AR97" t="e">
        <f>AND('BBP complete'!G1322,"AAAAAH1rtys=")</f>
        <v>#VALUE!</v>
      </c>
      <c r="AS97" t="e">
        <f>AND('BBP complete'!D1321,"AAAAAH1rtyw=")</f>
        <v>#VALUE!</v>
      </c>
      <c r="AT97" t="e">
        <f>AND('BBP complete'!H1320,"AAAAAH1rty0=")</f>
        <v>#VALUE!</v>
      </c>
      <c r="AU97" t="e">
        <f>AND('BBP complete'!I1319,"AAAAAH1rty4=")</f>
        <v>#VALUE!</v>
      </c>
      <c r="AV97" t="e">
        <f>AND('BBP complete'!#REF!,"AAAAAH1rty8=")</f>
        <v>#REF!</v>
      </c>
      <c r="AW97" t="e">
        <f>AND('BBP complete'!#REF!,"AAAAAH1rtzA=")</f>
        <v>#REF!</v>
      </c>
      <c r="AX97" t="e">
        <f>AND('BBP complete'!#REF!,"AAAAAH1rtzE=")</f>
        <v>#REF!</v>
      </c>
      <c r="AY97" t="e">
        <f>AND('BBP complete'!#REF!,"AAAAAH1rtzI=")</f>
        <v>#REF!</v>
      </c>
      <c r="AZ97" t="e">
        <f>AND('BBP complete'!#REF!,"AAAAAH1rtzM=")</f>
        <v>#REF!</v>
      </c>
      <c r="BA97" t="e">
        <f>AND('BBP complete'!C1318,"AAAAAH1rtzQ=")</f>
        <v>#VALUE!</v>
      </c>
      <c r="BB97" t="e">
        <f>AND('BBP complete'!#REF!,"AAAAAH1rtzU=")</f>
        <v>#REF!</v>
      </c>
      <c r="BC97" t="e">
        <f>AND('BBP complete'!#REF!,"AAAAAH1rtzY=")</f>
        <v>#REF!</v>
      </c>
      <c r="BD97" t="e">
        <f>AND('BBP complete'!#REF!,"AAAAAH1rtzc=")</f>
        <v>#REF!</v>
      </c>
      <c r="BE97" s="60" t="e">
        <v>#VALUE!</v>
      </c>
      <c r="BF97" t="e">
        <f>AND('BBP complete'!B1322,"AAAAAH1rtzk=")</f>
        <v>#VALUE!</v>
      </c>
      <c r="BG97" t="e">
        <f>AND('BBP complete'!F1323,"AAAAAH1rtzo=")</f>
        <v>#VALUE!</v>
      </c>
      <c r="BH97" t="e">
        <f>AND('BBP complete'!G1323,"AAAAAH1rtzs=")</f>
        <v>#VALUE!</v>
      </c>
      <c r="BI97" t="e">
        <f>AND('BBP complete'!D1322,"AAAAAH1rtzw=")</f>
        <v>#VALUE!</v>
      </c>
      <c r="BJ97" t="e">
        <f>AND('BBP complete'!H1321,"AAAAAH1rtz0=")</f>
        <v>#VALUE!</v>
      </c>
      <c r="BK97" t="e">
        <f>AND('BBP complete'!I1320,"AAAAAH1rtz4=")</f>
        <v>#VALUE!</v>
      </c>
      <c r="BL97" t="e">
        <f>AND('BBP complete'!#REF!,"AAAAAH1rtz8=")</f>
        <v>#REF!</v>
      </c>
      <c r="BM97" t="e">
        <f>AND('BBP complete'!#REF!,"AAAAAH1rt0A=")</f>
        <v>#REF!</v>
      </c>
      <c r="BN97" t="e">
        <f>AND('BBP complete'!#REF!,"AAAAAH1rt0E=")</f>
        <v>#REF!</v>
      </c>
      <c r="BO97" t="e">
        <f>AND('BBP complete'!#REF!,"AAAAAH1rt0I=")</f>
        <v>#REF!</v>
      </c>
      <c r="BP97" t="e">
        <f>AND('BBP complete'!#REF!,"AAAAAH1rt0M=")</f>
        <v>#REF!</v>
      </c>
      <c r="BQ97" t="e">
        <f>AND('BBP complete'!C1319,"AAAAAH1rt0Q=")</f>
        <v>#VALUE!</v>
      </c>
      <c r="BR97" t="e">
        <f>AND('BBP complete'!#REF!,"AAAAAH1rt0U=")</f>
        <v>#REF!</v>
      </c>
      <c r="BS97" t="e">
        <f>AND('BBP complete'!#REF!,"AAAAAH1rt0Y=")</f>
        <v>#REF!</v>
      </c>
      <c r="BT97" t="e">
        <f>AND('BBP complete'!#REF!,"AAAAAH1rt0c=")</f>
        <v>#REF!</v>
      </c>
      <c r="BU97" s="60" t="e">
        <v>#VALUE!</v>
      </c>
      <c r="BV97" t="e">
        <f>AND('BBP complete'!B1323,"AAAAAH1rt0k=")</f>
        <v>#VALUE!</v>
      </c>
      <c r="BW97" t="e">
        <f>AND('BBP complete'!F1324,"AAAAAH1rt0o=")</f>
        <v>#VALUE!</v>
      </c>
      <c r="BX97" t="e">
        <f>AND('BBP complete'!G1324,"AAAAAH1rt0s=")</f>
        <v>#VALUE!</v>
      </c>
      <c r="BY97" t="e">
        <f>AND('BBP complete'!D1323,"AAAAAH1rt0w=")</f>
        <v>#VALUE!</v>
      </c>
      <c r="BZ97" t="e">
        <f>AND('BBP complete'!H1322,"AAAAAH1rt00=")</f>
        <v>#VALUE!</v>
      </c>
      <c r="CA97" t="e">
        <f>AND('BBP complete'!I1321,"AAAAAH1rt04=")</f>
        <v>#VALUE!</v>
      </c>
      <c r="CB97" t="e">
        <f>AND('BBP complete'!#REF!,"AAAAAH1rt08=")</f>
        <v>#REF!</v>
      </c>
      <c r="CC97" t="e">
        <f>AND('BBP complete'!#REF!,"AAAAAH1rt1A=")</f>
        <v>#REF!</v>
      </c>
      <c r="CD97" t="e">
        <f>AND('BBP complete'!#REF!,"AAAAAH1rt1E=")</f>
        <v>#REF!</v>
      </c>
      <c r="CE97" t="e">
        <f>AND('BBP complete'!#REF!,"AAAAAH1rt1I=")</f>
        <v>#REF!</v>
      </c>
      <c r="CF97" t="e">
        <f>AND('BBP complete'!#REF!,"AAAAAH1rt1M=")</f>
        <v>#REF!</v>
      </c>
      <c r="CG97" t="e">
        <f>AND('BBP complete'!C1320,"AAAAAH1rt1Q=")</f>
        <v>#VALUE!</v>
      </c>
      <c r="CH97" t="e">
        <f>AND('BBP complete'!#REF!,"AAAAAH1rt1U=")</f>
        <v>#REF!</v>
      </c>
      <c r="CI97" t="e">
        <f>AND('BBP complete'!#REF!,"AAAAAH1rt1Y=")</f>
        <v>#REF!</v>
      </c>
      <c r="CJ97" t="e">
        <f>AND('BBP complete'!#REF!,"AAAAAH1rt1c=")</f>
        <v>#REF!</v>
      </c>
      <c r="CK97" s="60" t="e">
        <v>#VALUE!</v>
      </c>
      <c r="CL97" t="e">
        <f>AND('BBP complete'!B1324,"AAAAAH1rt1k=")</f>
        <v>#VALUE!</v>
      </c>
      <c r="CM97" t="e">
        <f>AND('BBP complete'!F1325,"AAAAAH1rt1o=")</f>
        <v>#VALUE!</v>
      </c>
      <c r="CN97" t="e">
        <f>AND('BBP complete'!G1325,"AAAAAH1rt1s=")</f>
        <v>#VALUE!</v>
      </c>
      <c r="CO97" t="e">
        <f>AND('BBP complete'!D1324,"AAAAAH1rt1w=")</f>
        <v>#VALUE!</v>
      </c>
      <c r="CP97" t="e">
        <f>AND('BBP complete'!H1323,"AAAAAH1rt10=")</f>
        <v>#VALUE!</v>
      </c>
      <c r="CQ97" t="e">
        <f>AND('BBP complete'!I1322,"AAAAAH1rt14=")</f>
        <v>#VALUE!</v>
      </c>
      <c r="CR97" t="e">
        <f>AND('BBP complete'!#REF!,"AAAAAH1rt18=")</f>
        <v>#REF!</v>
      </c>
      <c r="CS97" t="e">
        <f>AND('BBP complete'!#REF!,"AAAAAH1rt2A=")</f>
        <v>#REF!</v>
      </c>
      <c r="CT97" t="e">
        <f>AND('BBP complete'!#REF!,"AAAAAH1rt2E=")</f>
        <v>#REF!</v>
      </c>
      <c r="CU97" t="e">
        <f>AND('BBP complete'!#REF!,"AAAAAH1rt2I=")</f>
        <v>#REF!</v>
      </c>
      <c r="CV97" t="e">
        <f>AND('BBP complete'!#REF!,"AAAAAH1rt2M=")</f>
        <v>#REF!</v>
      </c>
      <c r="CW97" t="e">
        <f>AND('BBP complete'!C1321,"AAAAAH1rt2Q=")</f>
        <v>#VALUE!</v>
      </c>
      <c r="CX97" t="e">
        <f>AND('BBP complete'!#REF!,"AAAAAH1rt2U=")</f>
        <v>#REF!</v>
      </c>
      <c r="CY97" t="e">
        <f>AND('BBP complete'!#REF!,"AAAAAH1rt2Y=")</f>
        <v>#REF!</v>
      </c>
      <c r="CZ97" t="e">
        <f>AND('BBP complete'!#REF!,"AAAAAH1rt2c=")</f>
        <v>#REF!</v>
      </c>
      <c r="DA97" s="60" t="e">
        <v>#VALUE!</v>
      </c>
      <c r="DB97" t="e">
        <f>AND('BBP complete'!B1325,"AAAAAH1rt2k=")</f>
        <v>#VALUE!</v>
      </c>
      <c r="DC97" t="e">
        <f>AND('BBP complete'!F1326,"AAAAAH1rt2o=")</f>
        <v>#VALUE!</v>
      </c>
      <c r="DD97" t="e">
        <f>AND('BBP complete'!G1326,"AAAAAH1rt2s=")</f>
        <v>#VALUE!</v>
      </c>
      <c r="DE97" t="e">
        <f>AND('BBP complete'!D1325,"AAAAAH1rt2w=")</f>
        <v>#VALUE!</v>
      </c>
      <c r="DF97" t="e">
        <f>AND('BBP complete'!H1324,"AAAAAH1rt20=")</f>
        <v>#VALUE!</v>
      </c>
      <c r="DG97" t="e">
        <f>AND('BBP complete'!I1323,"AAAAAH1rt24=")</f>
        <v>#VALUE!</v>
      </c>
      <c r="DH97" t="e">
        <f>AND('BBP complete'!#REF!,"AAAAAH1rt28=")</f>
        <v>#REF!</v>
      </c>
      <c r="DI97" t="e">
        <f>AND('BBP complete'!#REF!,"AAAAAH1rt3A=")</f>
        <v>#REF!</v>
      </c>
      <c r="DJ97" t="e">
        <f>AND('BBP complete'!#REF!,"AAAAAH1rt3E=")</f>
        <v>#REF!</v>
      </c>
      <c r="DK97" t="e">
        <f>AND('BBP complete'!#REF!,"AAAAAH1rt3I=")</f>
        <v>#REF!</v>
      </c>
      <c r="DL97" t="e">
        <f>AND('BBP complete'!#REF!,"AAAAAH1rt3M=")</f>
        <v>#REF!</v>
      </c>
      <c r="DM97" t="e">
        <f>AND('BBP complete'!C1322,"AAAAAH1rt3Q=")</f>
        <v>#VALUE!</v>
      </c>
      <c r="DN97" t="e">
        <f>AND('BBP complete'!#REF!,"AAAAAH1rt3U=")</f>
        <v>#REF!</v>
      </c>
      <c r="DO97" t="e">
        <f>AND('BBP complete'!#REF!,"AAAAAH1rt3Y=")</f>
        <v>#REF!</v>
      </c>
      <c r="DP97" t="e">
        <f>AND('BBP complete'!#REF!,"AAAAAH1rt3c=")</f>
        <v>#REF!</v>
      </c>
      <c r="DQ97" s="60" t="e">
        <v>#VALUE!</v>
      </c>
      <c r="DR97" t="e">
        <f>AND('BBP complete'!B1326,"AAAAAH1rt3k=")</f>
        <v>#VALUE!</v>
      </c>
      <c r="DS97" t="e">
        <f>AND('BBP complete'!F1327,"AAAAAH1rt3o=")</f>
        <v>#VALUE!</v>
      </c>
      <c r="DT97" t="e">
        <f>AND('BBP complete'!G1327,"AAAAAH1rt3s=")</f>
        <v>#VALUE!</v>
      </c>
      <c r="DU97" t="e">
        <f>AND('BBP complete'!D1326,"AAAAAH1rt3w=")</f>
        <v>#VALUE!</v>
      </c>
      <c r="DV97" t="e">
        <f>AND('BBP complete'!H1325,"AAAAAH1rt30=")</f>
        <v>#VALUE!</v>
      </c>
      <c r="DW97" t="e">
        <f>AND('BBP complete'!I1324,"AAAAAH1rt34=")</f>
        <v>#VALUE!</v>
      </c>
      <c r="DX97" t="e">
        <f>AND('BBP complete'!#REF!,"AAAAAH1rt38=")</f>
        <v>#REF!</v>
      </c>
      <c r="DY97" t="e">
        <f>AND('BBP complete'!#REF!,"AAAAAH1rt4A=")</f>
        <v>#REF!</v>
      </c>
      <c r="DZ97" t="e">
        <f>AND('BBP complete'!#REF!,"AAAAAH1rt4E=")</f>
        <v>#REF!</v>
      </c>
      <c r="EA97" t="e">
        <f>AND('BBP complete'!#REF!,"AAAAAH1rt4I=")</f>
        <v>#REF!</v>
      </c>
      <c r="EB97" t="e">
        <f>AND('BBP complete'!#REF!,"AAAAAH1rt4M=")</f>
        <v>#REF!</v>
      </c>
      <c r="EC97" t="e">
        <f>AND('BBP complete'!C1323,"AAAAAH1rt4Q=")</f>
        <v>#VALUE!</v>
      </c>
      <c r="ED97" t="e">
        <f>AND('BBP complete'!#REF!,"AAAAAH1rt4U=")</f>
        <v>#REF!</v>
      </c>
      <c r="EE97" t="e">
        <f>AND('BBP complete'!#REF!,"AAAAAH1rt4Y=")</f>
        <v>#REF!</v>
      </c>
      <c r="EF97" t="e">
        <f>AND('BBP complete'!#REF!,"AAAAAH1rt4c=")</f>
        <v>#REF!</v>
      </c>
      <c r="EG97" s="60" t="e">
        <v>#VALUE!</v>
      </c>
      <c r="EH97" t="e">
        <f>AND('BBP complete'!B1327,"AAAAAH1rt4k=")</f>
        <v>#VALUE!</v>
      </c>
      <c r="EI97" t="e">
        <f>AND('BBP complete'!F1328,"AAAAAH1rt4o=")</f>
        <v>#VALUE!</v>
      </c>
      <c r="EJ97" t="e">
        <f>AND('BBP complete'!G1328,"AAAAAH1rt4s=")</f>
        <v>#VALUE!</v>
      </c>
      <c r="EK97" t="e">
        <f>AND('BBP complete'!D1327,"AAAAAH1rt4w=")</f>
        <v>#VALUE!</v>
      </c>
      <c r="EL97" t="e">
        <f>AND('BBP complete'!H1326,"AAAAAH1rt40=")</f>
        <v>#VALUE!</v>
      </c>
      <c r="EM97" t="e">
        <f>AND('BBP complete'!I1325,"AAAAAH1rt44=")</f>
        <v>#VALUE!</v>
      </c>
      <c r="EN97" t="e">
        <f>AND('BBP complete'!#REF!,"AAAAAH1rt48=")</f>
        <v>#REF!</v>
      </c>
      <c r="EO97" t="e">
        <f>AND('BBP complete'!#REF!,"AAAAAH1rt5A=")</f>
        <v>#REF!</v>
      </c>
      <c r="EP97" t="e">
        <f>AND('BBP complete'!#REF!,"AAAAAH1rt5E=")</f>
        <v>#REF!</v>
      </c>
      <c r="EQ97" t="e">
        <f>AND('BBP complete'!#REF!,"AAAAAH1rt5I=")</f>
        <v>#REF!</v>
      </c>
      <c r="ER97" t="e">
        <f>AND('BBP complete'!#REF!,"AAAAAH1rt5M=")</f>
        <v>#REF!</v>
      </c>
      <c r="ES97" t="e">
        <f>AND('BBP complete'!C1324,"AAAAAH1rt5Q=")</f>
        <v>#VALUE!</v>
      </c>
      <c r="ET97" t="e">
        <f>AND('BBP complete'!#REF!,"AAAAAH1rt5U=")</f>
        <v>#REF!</v>
      </c>
      <c r="EU97" t="e">
        <f>AND('BBP complete'!#REF!,"AAAAAH1rt5Y=")</f>
        <v>#REF!</v>
      </c>
      <c r="EV97" t="e">
        <f>AND('BBP complete'!#REF!,"AAAAAH1rt5c=")</f>
        <v>#REF!</v>
      </c>
      <c r="EW97" s="60" t="e">
        <v>#VALUE!</v>
      </c>
      <c r="EX97" t="e">
        <f>AND('BBP complete'!B1328,"AAAAAH1rt5k=")</f>
        <v>#VALUE!</v>
      </c>
      <c r="EY97" t="e">
        <f>AND('BBP complete'!F1329,"AAAAAH1rt5o=")</f>
        <v>#VALUE!</v>
      </c>
      <c r="EZ97" t="e">
        <f>AND('BBP complete'!G1329,"AAAAAH1rt5s=")</f>
        <v>#VALUE!</v>
      </c>
      <c r="FA97" t="e">
        <f>AND('BBP complete'!D1328,"AAAAAH1rt5w=")</f>
        <v>#VALUE!</v>
      </c>
      <c r="FB97" t="e">
        <f>AND('BBP complete'!H1327,"AAAAAH1rt50=")</f>
        <v>#VALUE!</v>
      </c>
      <c r="FC97" t="e">
        <f>AND('BBP complete'!I1326,"AAAAAH1rt54=")</f>
        <v>#VALUE!</v>
      </c>
      <c r="FD97" t="e">
        <f>AND('BBP complete'!#REF!,"AAAAAH1rt58=")</f>
        <v>#REF!</v>
      </c>
      <c r="FE97" t="e">
        <f>AND('BBP complete'!#REF!,"AAAAAH1rt6A=")</f>
        <v>#REF!</v>
      </c>
      <c r="FF97" t="e">
        <f>AND('BBP complete'!#REF!,"AAAAAH1rt6E=")</f>
        <v>#REF!</v>
      </c>
      <c r="FG97" t="e">
        <f>AND('BBP complete'!#REF!,"AAAAAH1rt6I=")</f>
        <v>#REF!</v>
      </c>
      <c r="FH97" t="e">
        <f>AND('BBP complete'!#REF!,"AAAAAH1rt6M=")</f>
        <v>#REF!</v>
      </c>
      <c r="FI97" t="e">
        <f>AND('BBP complete'!C1325,"AAAAAH1rt6Q=")</f>
        <v>#VALUE!</v>
      </c>
      <c r="FJ97" t="e">
        <f>AND('BBP complete'!#REF!,"AAAAAH1rt6U=")</f>
        <v>#REF!</v>
      </c>
      <c r="FK97" t="e">
        <f>AND('BBP complete'!#REF!,"AAAAAH1rt6Y=")</f>
        <v>#REF!</v>
      </c>
      <c r="FL97" t="e">
        <f>AND('BBP complete'!#REF!,"AAAAAH1rt6c=")</f>
        <v>#REF!</v>
      </c>
      <c r="FM97" s="60" t="e">
        <v>#VALUE!</v>
      </c>
      <c r="FN97" t="e">
        <f>AND('BBP complete'!B1329,"AAAAAH1rt6k=")</f>
        <v>#VALUE!</v>
      </c>
      <c r="FO97" t="e">
        <f>AND('BBP complete'!F1330,"AAAAAH1rt6o=")</f>
        <v>#VALUE!</v>
      </c>
      <c r="FP97" t="e">
        <f>AND('BBP complete'!G1330,"AAAAAH1rt6s=")</f>
        <v>#VALUE!</v>
      </c>
      <c r="FQ97" t="e">
        <f>AND('BBP complete'!D1329,"AAAAAH1rt6w=")</f>
        <v>#VALUE!</v>
      </c>
      <c r="FR97" t="e">
        <f>AND('BBP complete'!H1328,"AAAAAH1rt60=")</f>
        <v>#VALUE!</v>
      </c>
      <c r="FS97" t="e">
        <f>AND('BBP complete'!I1327,"AAAAAH1rt64=")</f>
        <v>#VALUE!</v>
      </c>
      <c r="FT97" t="e">
        <f>AND('BBP complete'!#REF!,"AAAAAH1rt68=")</f>
        <v>#REF!</v>
      </c>
      <c r="FU97" t="e">
        <f>AND('BBP complete'!#REF!,"AAAAAH1rt7A=")</f>
        <v>#REF!</v>
      </c>
      <c r="FV97" t="e">
        <f>AND('BBP complete'!#REF!,"AAAAAH1rt7E=")</f>
        <v>#REF!</v>
      </c>
      <c r="FW97" t="e">
        <f>AND('BBP complete'!#REF!,"AAAAAH1rt7I=")</f>
        <v>#REF!</v>
      </c>
      <c r="FX97" t="e">
        <f>AND('BBP complete'!#REF!,"AAAAAH1rt7M=")</f>
        <v>#REF!</v>
      </c>
      <c r="FY97" t="e">
        <f>AND('BBP complete'!C1326,"AAAAAH1rt7Q=")</f>
        <v>#VALUE!</v>
      </c>
      <c r="FZ97" t="e">
        <f>AND('BBP complete'!#REF!,"AAAAAH1rt7U=")</f>
        <v>#REF!</v>
      </c>
      <c r="GA97" t="e">
        <f>AND('BBP complete'!#REF!,"AAAAAH1rt7Y=")</f>
        <v>#REF!</v>
      </c>
      <c r="GB97" t="e">
        <f>AND('BBP complete'!#REF!,"AAAAAH1rt7c=")</f>
        <v>#REF!</v>
      </c>
      <c r="GC97" s="60" t="e">
        <v>#VALUE!</v>
      </c>
      <c r="GD97" t="e">
        <f>AND('BBP complete'!B1330,"AAAAAH1rt7k=")</f>
        <v>#VALUE!</v>
      </c>
      <c r="GE97" t="e">
        <f>AND('BBP complete'!F1331,"AAAAAH1rt7o=")</f>
        <v>#VALUE!</v>
      </c>
      <c r="GF97" t="e">
        <f>AND('BBP complete'!G1331,"AAAAAH1rt7s=")</f>
        <v>#VALUE!</v>
      </c>
      <c r="GG97" t="e">
        <f>AND('BBP complete'!D1330,"AAAAAH1rt7w=")</f>
        <v>#VALUE!</v>
      </c>
      <c r="GH97" t="e">
        <f>AND('BBP complete'!H1329,"AAAAAH1rt70=")</f>
        <v>#VALUE!</v>
      </c>
      <c r="GI97" t="e">
        <f>AND('BBP complete'!I1328,"AAAAAH1rt74=")</f>
        <v>#VALUE!</v>
      </c>
      <c r="GJ97" t="e">
        <f>AND('BBP complete'!#REF!,"AAAAAH1rt78=")</f>
        <v>#REF!</v>
      </c>
      <c r="GK97" t="e">
        <f>AND('BBP complete'!#REF!,"AAAAAH1rt8A=")</f>
        <v>#REF!</v>
      </c>
      <c r="GL97" t="e">
        <f>AND('BBP complete'!#REF!,"AAAAAH1rt8E=")</f>
        <v>#REF!</v>
      </c>
      <c r="GM97" t="e">
        <f>AND('BBP complete'!#REF!,"AAAAAH1rt8I=")</f>
        <v>#REF!</v>
      </c>
      <c r="GN97" t="e">
        <f>AND('BBP complete'!#REF!,"AAAAAH1rt8M=")</f>
        <v>#REF!</v>
      </c>
      <c r="GO97" t="e">
        <f>AND('BBP complete'!C1327,"AAAAAH1rt8Q=")</f>
        <v>#VALUE!</v>
      </c>
      <c r="GP97" t="e">
        <f>AND('BBP complete'!#REF!,"AAAAAH1rt8U=")</f>
        <v>#REF!</v>
      </c>
      <c r="GQ97" t="e">
        <f>AND('BBP complete'!#REF!,"AAAAAH1rt8Y=")</f>
        <v>#REF!</v>
      </c>
      <c r="GR97" t="e">
        <f>AND('BBP complete'!#REF!,"AAAAAH1rt8c=")</f>
        <v>#REF!</v>
      </c>
      <c r="GS97" s="60" t="e">
        <v>#VALUE!</v>
      </c>
      <c r="GT97" t="e">
        <f>AND('BBP complete'!B1331,"AAAAAH1rt8k=")</f>
        <v>#VALUE!</v>
      </c>
      <c r="GU97" t="e">
        <f>AND('BBP complete'!F1332,"AAAAAH1rt8o=")</f>
        <v>#VALUE!</v>
      </c>
      <c r="GV97" t="e">
        <f>AND('BBP complete'!G1332,"AAAAAH1rt8s=")</f>
        <v>#VALUE!</v>
      </c>
      <c r="GW97" t="e">
        <f>AND('BBP complete'!D1331,"AAAAAH1rt8w=")</f>
        <v>#VALUE!</v>
      </c>
      <c r="GX97" t="e">
        <f>AND('BBP complete'!H1330,"AAAAAH1rt80=")</f>
        <v>#VALUE!</v>
      </c>
      <c r="GY97" t="e">
        <f>AND('BBP complete'!I1329,"AAAAAH1rt84=")</f>
        <v>#VALUE!</v>
      </c>
      <c r="GZ97" t="e">
        <f>AND('BBP complete'!#REF!,"AAAAAH1rt88=")</f>
        <v>#REF!</v>
      </c>
      <c r="HA97" t="e">
        <f>AND('BBP complete'!#REF!,"AAAAAH1rt9A=")</f>
        <v>#REF!</v>
      </c>
      <c r="HB97" t="e">
        <f>AND('BBP complete'!#REF!,"AAAAAH1rt9E=")</f>
        <v>#REF!</v>
      </c>
      <c r="HC97" t="e">
        <f>AND('BBP complete'!#REF!,"AAAAAH1rt9I=")</f>
        <v>#REF!</v>
      </c>
      <c r="HD97" t="e">
        <f>AND('BBP complete'!#REF!,"AAAAAH1rt9M=")</f>
        <v>#REF!</v>
      </c>
      <c r="HE97" t="e">
        <f>AND('BBP complete'!C1328,"AAAAAH1rt9Q=")</f>
        <v>#VALUE!</v>
      </c>
      <c r="HF97" t="e">
        <f>AND('BBP complete'!#REF!,"AAAAAH1rt9U=")</f>
        <v>#REF!</v>
      </c>
      <c r="HG97" t="e">
        <f>AND('BBP complete'!#REF!,"AAAAAH1rt9Y=")</f>
        <v>#REF!</v>
      </c>
      <c r="HH97" t="e">
        <f>AND('BBP complete'!#REF!,"AAAAAH1rt9c=")</f>
        <v>#REF!</v>
      </c>
      <c r="HI97" s="60" t="e">
        <v>#VALUE!</v>
      </c>
      <c r="HJ97" t="e">
        <f>AND('BBP complete'!B1332,"AAAAAH1rt9k=")</f>
        <v>#VALUE!</v>
      </c>
      <c r="HK97" t="e">
        <f>AND('BBP complete'!F1333,"AAAAAH1rt9o=")</f>
        <v>#VALUE!</v>
      </c>
      <c r="HL97" t="e">
        <f>AND('BBP complete'!G1333,"AAAAAH1rt9s=")</f>
        <v>#VALUE!</v>
      </c>
      <c r="HM97" t="e">
        <f>AND('BBP complete'!D1332,"AAAAAH1rt9w=")</f>
        <v>#VALUE!</v>
      </c>
      <c r="HN97" t="e">
        <f>AND('BBP complete'!H1331,"AAAAAH1rt90=")</f>
        <v>#VALUE!</v>
      </c>
      <c r="HO97" t="e">
        <f>AND('BBP complete'!I1330,"AAAAAH1rt94=")</f>
        <v>#VALUE!</v>
      </c>
      <c r="HP97" t="e">
        <f>AND('BBP complete'!#REF!,"AAAAAH1rt98=")</f>
        <v>#REF!</v>
      </c>
      <c r="HQ97" t="e">
        <f>AND('BBP complete'!#REF!,"AAAAAH1rt+A=")</f>
        <v>#REF!</v>
      </c>
      <c r="HR97" t="e">
        <f>AND('BBP complete'!#REF!,"AAAAAH1rt+E=")</f>
        <v>#REF!</v>
      </c>
      <c r="HS97" t="e">
        <f>AND('BBP complete'!#REF!,"AAAAAH1rt+I=")</f>
        <v>#REF!</v>
      </c>
      <c r="HT97" t="e">
        <f>AND('BBP complete'!#REF!,"AAAAAH1rt+M=")</f>
        <v>#REF!</v>
      </c>
      <c r="HU97" t="e">
        <f>AND('BBP complete'!C1329,"AAAAAH1rt+Q=")</f>
        <v>#VALUE!</v>
      </c>
      <c r="HV97" t="e">
        <f>AND('BBP complete'!#REF!,"AAAAAH1rt+U=")</f>
        <v>#REF!</v>
      </c>
      <c r="HW97" t="e">
        <f>AND('BBP complete'!#REF!,"AAAAAH1rt+Y=")</f>
        <v>#REF!</v>
      </c>
      <c r="HX97" t="e">
        <f>AND('BBP complete'!#REF!,"AAAAAH1rt+c=")</f>
        <v>#REF!</v>
      </c>
      <c r="HY97" s="60" t="e">
        <v>#VALUE!</v>
      </c>
      <c r="HZ97" t="e">
        <f>AND('BBP complete'!B1333,"AAAAAH1rt+k=")</f>
        <v>#VALUE!</v>
      </c>
      <c r="IA97" t="e">
        <f>AND('BBP complete'!F1334,"AAAAAH1rt+o=")</f>
        <v>#VALUE!</v>
      </c>
      <c r="IB97" t="e">
        <f>AND('BBP complete'!G1334,"AAAAAH1rt+s=")</f>
        <v>#VALUE!</v>
      </c>
      <c r="IC97" t="e">
        <f>AND('BBP complete'!D1333,"AAAAAH1rt+w=")</f>
        <v>#VALUE!</v>
      </c>
      <c r="ID97" t="e">
        <f>AND('BBP complete'!H1332,"AAAAAH1rt+0=")</f>
        <v>#VALUE!</v>
      </c>
      <c r="IE97" t="e">
        <f>AND('BBP complete'!I1331,"AAAAAH1rt+4=")</f>
        <v>#VALUE!</v>
      </c>
      <c r="IF97" t="e">
        <f>AND('BBP complete'!#REF!,"AAAAAH1rt+8=")</f>
        <v>#REF!</v>
      </c>
      <c r="IG97" t="e">
        <f>AND('BBP complete'!#REF!,"AAAAAH1rt/A=")</f>
        <v>#REF!</v>
      </c>
      <c r="IH97" t="e">
        <f>AND('BBP complete'!#REF!,"AAAAAH1rt/E=")</f>
        <v>#REF!</v>
      </c>
      <c r="II97" t="e">
        <f>AND('BBP complete'!#REF!,"AAAAAH1rt/I=")</f>
        <v>#REF!</v>
      </c>
      <c r="IJ97" t="e">
        <f>AND('BBP complete'!#REF!,"AAAAAH1rt/M=")</f>
        <v>#REF!</v>
      </c>
      <c r="IK97" t="e">
        <f>AND('BBP complete'!C1330,"AAAAAH1rt/Q=")</f>
        <v>#VALUE!</v>
      </c>
      <c r="IL97" t="e">
        <f>AND('BBP complete'!#REF!,"AAAAAH1rt/U=")</f>
        <v>#REF!</v>
      </c>
      <c r="IM97" t="e">
        <f>AND('BBP complete'!#REF!,"AAAAAH1rt/Y=")</f>
        <v>#REF!</v>
      </c>
      <c r="IN97" t="e">
        <f>AND('BBP complete'!#REF!,"AAAAAH1rt/c=")</f>
        <v>#REF!</v>
      </c>
      <c r="IO97" s="60" t="e">
        <v>#VALUE!</v>
      </c>
      <c r="IP97" t="e">
        <f>AND('BBP complete'!B1334,"AAAAAH1rt/k=")</f>
        <v>#VALUE!</v>
      </c>
      <c r="IQ97" t="e">
        <f>AND('BBP complete'!F1335,"AAAAAH1rt/o=")</f>
        <v>#VALUE!</v>
      </c>
      <c r="IR97" t="e">
        <f>AND('BBP complete'!G1335,"AAAAAH1rt/s=")</f>
        <v>#VALUE!</v>
      </c>
      <c r="IS97" t="e">
        <f>AND('BBP complete'!D1334,"AAAAAH1rt/w=")</f>
        <v>#VALUE!</v>
      </c>
      <c r="IT97" t="e">
        <f>AND('BBP complete'!H1333,"AAAAAH1rt/0=")</f>
        <v>#VALUE!</v>
      </c>
      <c r="IU97" t="e">
        <f>AND('BBP complete'!I1332,"AAAAAH1rt/4=")</f>
        <v>#VALUE!</v>
      </c>
      <c r="IV97" t="e">
        <f>AND('BBP complete'!#REF!,"AAAAAH1rt/8=")</f>
        <v>#REF!</v>
      </c>
    </row>
    <row r="98" spans="1:256" ht="15" customHeight="1" x14ac:dyDescent="0.25">
      <c r="A98" t="e">
        <f>AND('BBP complete'!#REF!,"AAAAAH/m/AA=")</f>
        <v>#REF!</v>
      </c>
      <c r="B98" t="e">
        <f>AND('BBP complete'!#REF!,"AAAAAH/m/AE=")</f>
        <v>#REF!</v>
      </c>
      <c r="C98" t="e">
        <f>AND('BBP complete'!#REF!,"AAAAAH/m/AI=")</f>
        <v>#REF!</v>
      </c>
      <c r="D98" t="e">
        <f>AND('BBP complete'!#REF!,"AAAAAH/m/AM=")</f>
        <v>#REF!</v>
      </c>
      <c r="E98" t="e">
        <f>AND('BBP complete'!C1331,"AAAAAH/m/AQ=")</f>
        <v>#VALUE!</v>
      </c>
      <c r="F98" t="e">
        <f>AND('BBP complete'!#REF!,"AAAAAH/m/AU=")</f>
        <v>#REF!</v>
      </c>
      <c r="G98" t="e">
        <f>AND('BBP complete'!#REF!,"AAAAAH/m/AY=")</f>
        <v>#REF!</v>
      </c>
      <c r="H98" t="e">
        <f>AND('BBP complete'!#REF!,"AAAAAH/m/Ac=")</f>
        <v>#REF!</v>
      </c>
      <c r="I98" s="60" t="e">
        <v>#VALUE!</v>
      </c>
      <c r="J98" t="e">
        <f>AND('BBP complete'!B1335,"AAAAAH/m/Ak=")</f>
        <v>#VALUE!</v>
      </c>
      <c r="K98" t="e">
        <f>AND('BBP complete'!F1336,"AAAAAH/m/Ao=")</f>
        <v>#VALUE!</v>
      </c>
      <c r="L98" t="e">
        <f>AND('BBP complete'!G1336,"AAAAAH/m/As=")</f>
        <v>#VALUE!</v>
      </c>
      <c r="M98" t="e">
        <f>AND('BBP complete'!D1335,"AAAAAH/m/Aw=")</f>
        <v>#VALUE!</v>
      </c>
      <c r="N98" t="e">
        <f>AND('BBP complete'!H1334,"AAAAAH/m/A0=")</f>
        <v>#VALUE!</v>
      </c>
      <c r="O98" t="e">
        <f>AND('BBP complete'!I1333,"AAAAAH/m/A4=")</f>
        <v>#VALUE!</v>
      </c>
      <c r="P98" t="e">
        <f>AND('BBP complete'!#REF!,"AAAAAH/m/A8=")</f>
        <v>#REF!</v>
      </c>
      <c r="Q98" t="e">
        <f>AND('BBP complete'!#REF!,"AAAAAH/m/BA=")</f>
        <v>#REF!</v>
      </c>
      <c r="R98" t="e">
        <f>AND('BBP complete'!#REF!,"AAAAAH/m/BE=")</f>
        <v>#REF!</v>
      </c>
      <c r="S98" t="e">
        <f>AND('BBP complete'!#REF!,"AAAAAH/m/BI=")</f>
        <v>#REF!</v>
      </c>
      <c r="T98" t="e">
        <f>AND('BBP complete'!#REF!,"AAAAAH/m/BM=")</f>
        <v>#REF!</v>
      </c>
      <c r="U98" t="e">
        <f>AND('BBP complete'!C1332,"AAAAAH/m/BQ=")</f>
        <v>#VALUE!</v>
      </c>
      <c r="V98" t="e">
        <f>AND('BBP complete'!#REF!,"AAAAAH/m/BU=")</f>
        <v>#REF!</v>
      </c>
      <c r="W98" t="e">
        <f>AND('BBP complete'!#REF!,"AAAAAH/m/BY=")</f>
        <v>#REF!</v>
      </c>
      <c r="X98" t="e">
        <f>AND('BBP complete'!#REF!,"AAAAAH/m/Bc=")</f>
        <v>#REF!</v>
      </c>
      <c r="Y98" s="60" t="e">
        <v>#VALUE!</v>
      </c>
      <c r="Z98" t="e">
        <f>AND('BBP complete'!B1336,"AAAAAH/m/Bk=")</f>
        <v>#VALUE!</v>
      </c>
      <c r="AA98" t="e">
        <f>AND('BBP complete'!F1337,"AAAAAH/m/Bo=")</f>
        <v>#VALUE!</v>
      </c>
      <c r="AB98" t="e">
        <f>AND('BBP complete'!G1337,"AAAAAH/m/Bs=")</f>
        <v>#VALUE!</v>
      </c>
      <c r="AC98" t="e">
        <f>AND('BBP complete'!D1336,"AAAAAH/m/Bw=")</f>
        <v>#VALUE!</v>
      </c>
      <c r="AD98" t="e">
        <f>AND('BBP complete'!H1335,"AAAAAH/m/B0=")</f>
        <v>#VALUE!</v>
      </c>
      <c r="AE98" t="e">
        <f>AND('BBP complete'!I1334,"AAAAAH/m/B4=")</f>
        <v>#VALUE!</v>
      </c>
      <c r="AF98" t="e">
        <f>AND('BBP complete'!#REF!,"AAAAAH/m/B8=")</f>
        <v>#REF!</v>
      </c>
      <c r="AG98" t="e">
        <f>AND('BBP complete'!#REF!,"AAAAAH/m/CA=")</f>
        <v>#REF!</v>
      </c>
      <c r="AH98" t="e">
        <f>AND('BBP complete'!#REF!,"AAAAAH/m/CE=")</f>
        <v>#REF!</v>
      </c>
      <c r="AI98" t="e">
        <f>AND('BBP complete'!#REF!,"AAAAAH/m/CI=")</f>
        <v>#REF!</v>
      </c>
      <c r="AJ98" t="e">
        <f>AND('BBP complete'!#REF!,"AAAAAH/m/CM=")</f>
        <v>#REF!</v>
      </c>
      <c r="AK98" t="e">
        <f>AND('BBP complete'!C1333,"AAAAAH/m/CQ=")</f>
        <v>#VALUE!</v>
      </c>
      <c r="AL98" t="e">
        <f>AND('BBP complete'!#REF!,"AAAAAH/m/CU=")</f>
        <v>#REF!</v>
      </c>
      <c r="AM98" t="e">
        <f>AND('BBP complete'!#REF!,"AAAAAH/m/CY=")</f>
        <v>#REF!</v>
      </c>
      <c r="AN98" t="e">
        <f>AND('BBP complete'!#REF!,"AAAAAH/m/Cc=")</f>
        <v>#REF!</v>
      </c>
      <c r="AO98" s="60" t="e">
        <v>#VALUE!</v>
      </c>
      <c r="AP98" t="e">
        <f>AND('BBP complete'!B1337,"AAAAAH/m/Ck=")</f>
        <v>#VALUE!</v>
      </c>
      <c r="AQ98" t="e">
        <f>AND('BBP complete'!F1338,"AAAAAH/m/Co=")</f>
        <v>#VALUE!</v>
      </c>
      <c r="AR98" t="e">
        <f>AND('BBP complete'!G1338,"AAAAAH/m/Cs=")</f>
        <v>#VALUE!</v>
      </c>
      <c r="AS98" t="e">
        <f>AND('BBP complete'!D1337,"AAAAAH/m/Cw=")</f>
        <v>#VALUE!</v>
      </c>
      <c r="AT98" t="e">
        <f>AND('BBP complete'!H1336,"AAAAAH/m/C0=")</f>
        <v>#VALUE!</v>
      </c>
      <c r="AU98" t="e">
        <f>AND('BBP complete'!I1335,"AAAAAH/m/C4=")</f>
        <v>#VALUE!</v>
      </c>
      <c r="AV98" t="e">
        <f>AND('BBP complete'!#REF!,"AAAAAH/m/C8=")</f>
        <v>#REF!</v>
      </c>
      <c r="AW98" t="e">
        <f>AND('BBP complete'!#REF!,"AAAAAH/m/DA=")</f>
        <v>#REF!</v>
      </c>
      <c r="AX98" t="e">
        <f>AND('BBP complete'!#REF!,"AAAAAH/m/DE=")</f>
        <v>#REF!</v>
      </c>
      <c r="AY98" t="e">
        <f>AND('BBP complete'!#REF!,"AAAAAH/m/DI=")</f>
        <v>#REF!</v>
      </c>
      <c r="AZ98" t="e">
        <f>AND('BBP complete'!#REF!,"AAAAAH/m/DM=")</f>
        <v>#REF!</v>
      </c>
      <c r="BA98" t="e">
        <f>AND('BBP complete'!C1334,"AAAAAH/m/DQ=")</f>
        <v>#VALUE!</v>
      </c>
      <c r="BB98" t="e">
        <f>AND('BBP complete'!#REF!,"AAAAAH/m/DU=")</f>
        <v>#REF!</v>
      </c>
      <c r="BC98" t="e">
        <f>AND('BBP complete'!#REF!,"AAAAAH/m/DY=")</f>
        <v>#REF!</v>
      </c>
      <c r="BD98" t="e">
        <f>AND('BBP complete'!#REF!,"AAAAAH/m/Dc=")</f>
        <v>#REF!</v>
      </c>
      <c r="BE98" s="60" t="e">
        <v>#VALUE!</v>
      </c>
      <c r="BF98" t="e">
        <f>AND('BBP complete'!B1338,"AAAAAH/m/Dk=")</f>
        <v>#VALUE!</v>
      </c>
      <c r="BG98" t="e">
        <f>AND('BBP complete'!F1339,"AAAAAH/m/Do=")</f>
        <v>#VALUE!</v>
      </c>
      <c r="BH98" t="e">
        <f>AND('BBP complete'!G1339,"AAAAAH/m/Ds=")</f>
        <v>#VALUE!</v>
      </c>
      <c r="BI98" t="e">
        <f>AND('BBP complete'!D1338,"AAAAAH/m/Dw=")</f>
        <v>#VALUE!</v>
      </c>
      <c r="BJ98" t="e">
        <f>AND('BBP complete'!H1337,"AAAAAH/m/D0=")</f>
        <v>#VALUE!</v>
      </c>
      <c r="BK98" t="e">
        <f>AND('BBP complete'!I1336,"AAAAAH/m/D4=")</f>
        <v>#VALUE!</v>
      </c>
      <c r="BL98" t="e">
        <f>AND('BBP complete'!#REF!,"AAAAAH/m/D8=")</f>
        <v>#REF!</v>
      </c>
      <c r="BM98" t="e">
        <f>AND('BBP complete'!#REF!,"AAAAAH/m/EA=")</f>
        <v>#REF!</v>
      </c>
      <c r="BN98" t="e">
        <f>AND('BBP complete'!#REF!,"AAAAAH/m/EE=")</f>
        <v>#REF!</v>
      </c>
      <c r="BO98" t="e">
        <f>AND('BBP complete'!#REF!,"AAAAAH/m/EI=")</f>
        <v>#REF!</v>
      </c>
      <c r="BP98" t="e">
        <f>AND('BBP complete'!#REF!,"AAAAAH/m/EM=")</f>
        <v>#REF!</v>
      </c>
      <c r="BQ98" t="e">
        <f>AND('BBP complete'!C1335,"AAAAAH/m/EQ=")</f>
        <v>#VALUE!</v>
      </c>
      <c r="BR98" t="e">
        <f>AND('BBP complete'!#REF!,"AAAAAH/m/EU=")</f>
        <v>#REF!</v>
      </c>
      <c r="BS98" t="e">
        <f>AND('BBP complete'!#REF!,"AAAAAH/m/EY=")</f>
        <v>#REF!</v>
      </c>
      <c r="BT98" t="e">
        <f>AND('BBP complete'!#REF!,"AAAAAH/m/Ec=")</f>
        <v>#REF!</v>
      </c>
      <c r="BU98" s="60" t="e">
        <v>#VALUE!</v>
      </c>
      <c r="BV98" t="e">
        <f>AND('BBP complete'!B1339,"AAAAAH/m/Ek=")</f>
        <v>#VALUE!</v>
      </c>
      <c r="BW98" t="e">
        <f>AND('BBP complete'!F1340,"AAAAAH/m/Eo=")</f>
        <v>#VALUE!</v>
      </c>
      <c r="BX98" t="e">
        <f>AND('BBP complete'!G1340,"AAAAAH/m/Es=")</f>
        <v>#VALUE!</v>
      </c>
      <c r="BY98" t="e">
        <f>AND('BBP complete'!D1339,"AAAAAH/m/Ew=")</f>
        <v>#VALUE!</v>
      </c>
      <c r="BZ98" t="e">
        <f>AND('BBP complete'!H1338,"AAAAAH/m/E0=")</f>
        <v>#VALUE!</v>
      </c>
      <c r="CA98" t="e">
        <f>AND('BBP complete'!I1337,"AAAAAH/m/E4=")</f>
        <v>#VALUE!</v>
      </c>
      <c r="CB98" t="e">
        <f>AND('BBP complete'!#REF!,"AAAAAH/m/E8=")</f>
        <v>#REF!</v>
      </c>
      <c r="CC98" t="e">
        <f>AND('BBP complete'!#REF!,"AAAAAH/m/FA=")</f>
        <v>#REF!</v>
      </c>
      <c r="CD98" t="e">
        <f>AND('BBP complete'!#REF!,"AAAAAH/m/FE=")</f>
        <v>#REF!</v>
      </c>
      <c r="CE98" t="e">
        <f>AND('BBP complete'!#REF!,"AAAAAH/m/FI=")</f>
        <v>#REF!</v>
      </c>
      <c r="CF98" t="e">
        <f>AND('BBP complete'!#REF!,"AAAAAH/m/FM=")</f>
        <v>#REF!</v>
      </c>
      <c r="CG98" t="e">
        <f>AND('BBP complete'!C1336,"AAAAAH/m/FQ=")</f>
        <v>#VALUE!</v>
      </c>
      <c r="CH98" t="e">
        <f>AND('BBP complete'!#REF!,"AAAAAH/m/FU=")</f>
        <v>#REF!</v>
      </c>
      <c r="CI98" t="e">
        <f>AND('BBP complete'!#REF!,"AAAAAH/m/FY=")</f>
        <v>#REF!</v>
      </c>
      <c r="CJ98" t="e">
        <f>AND('BBP complete'!#REF!,"AAAAAH/m/Fc=")</f>
        <v>#REF!</v>
      </c>
      <c r="CK98" s="60" t="e">
        <v>#VALUE!</v>
      </c>
      <c r="CL98" t="e">
        <f>AND('BBP complete'!B1340,"AAAAAH/m/Fk=")</f>
        <v>#VALUE!</v>
      </c>
      <c r="CM98" t="e">
        <f>AND('BBP complete'!F1341,"AAAAAH/m/Fo=")</f>
        <v>#VALUE!</v>
      </c>
      <c r="CN98" t="e">
        <f>AND('BBP complete'!G1341,"AAAAAH/m/Fs=")</f>
        <v>#VALUE!</v>
      </c>
      <c r="CO98" t="e">
        <f>AND('BBP complete'!D1340,"AAAAAH/m/Fw=")</f>
        <v>#VALUE!</v>
      </c>
      <c r="CP98" t="e">
        <f>AND('BBP complete'!H1339,"AAAAAH/m/F0=")</f>
        <v>#VALUE!</v>
      </c>
      <c r="CQ98" t="e">
        <f>AND('BBP complete'!I1338,"AAAAAH/m/F4=")</f>
        <v>#VALUE!</v>
      </c>
      <c r="CR98" t="e">
        <f>AND('BBP complete'!#REF!,"AAAAAH/m/F8=")</f>
        <v>#REF!</v>
      </c>
      <c r="CS98" t="e">
        <f>AND('BBP complete'!#REF!,"AAAAAH/m/GA=")</f>
        <v>#REF!</v>
      </c>
      <c r="CT98" t="e">
        <f>AND('BBP complete'!#REF!,"AAAAAH/m/GE=")</f>
        <v>#REF!</v>
      </c>
      <c r="CU98" t="e">
        <f>AND('BBP complete'!#REF!,"AAAAAH/m/GI=")</f>
        <v>#REF!</v>
      </c>
      <c r="CV98" t="e">
        <f>AND('BBP complete'!#REF!,"AAAAAH/m/GM=")</f>
        <v>#REF!</v>
      </c>
      <c r="CW98" t="e">
        <f>AND('BBP complete'!C1337,"AAAAAH/m/GQ=")</f>
        <v>#VALUE!</v>
      </c>
      <c r="CX98" t="e">
        <f>AND('BBP complete'!#REF!,"AAAAAH/m/GU=")</f>
        <v>#REF!</v>
      </c>
      <c r="CY98" t="e">
        <f>AND('BBP complete'!#REF!,"AAAAAH/m/GY=")</f>
        <v>#REF!</v>
      </c>
      <c r="CZ98" t="e">
        <f>AND('BBP complete'!#REF!,"AAAAAH/m/Gc=")</f>
        <v>#REF!</v>
      </c>
      <c r="DA98" s="60" t="e">
        <v>#VALUE!</v>
      </c>
      <c r="DB98" t="e">
        <f>AND('BBP complete'!B1341,"AAAAAH/m/Gk=")</f>
        <v>#VALUE!</v>
      </c>
      <c r="DC98" t="e">
        <f>AND('BBP complete'!F1342,"AAAAAH/m/Go=")</f>
        <v>#VALUE!</v>
      </c>
      <c r="DD98" t="e">
        <f>AND('BBP complete'!G1342,"AAAAAH/m/Gs=")</f>
        <v>#VALUE!</v>
      </c>
      <c r="DE98" t="e">
        <f>AND('BBP complete'!D1341,"AAAAAH/m/Gw=")</f>
        <v>#VALUE!</v>
      </c>
      <c r="DF98" t="e">
        <f>AND('BBP complete'!H1340,"AAAAAH/m/G0=")</f>
        <v>#VALUE!</v>
      </c>
      <c r="DG98" t="e">
        <f>AND('BBP complete'!I1339,"AAAAAH/m/G4=")</f>
        <v>#VALUE!</v>
      </c>
      <c r="DH98" t="e">
        <f>AND('BBP complete'!#REF!,"AAAAAH/m/G8=")</f>
        <v>#REF!</v>
      </c>
      <c r="DI98" t="e">
        <f>AND('BBP complete'!#REF!,"AAAAAH/m/HA=")</f>
        <v>#REF!</v>
      </c>
      <c r="DJ98" t="e">
        <f>AND('BBP complete'!#REF!,"AAAAAH/m/HE=")</f>
        <v>#REF!</v>
      </c>
      <c r="DK98" t="e">
        <f>AND('BBP complete'!#REF!,"AAAAAH/m/HI=")</f>
        <v>#REF!</v>
      </c>
      <c r="DL98" t="e">
        <f>AND('BBP complete'!#REF!,"AAAAAH/m/HM=")</f>
        <v>#REF!</v>
      </c>
      <c r="DM98" t="e">
        <f>AND('BBP complete'!C1338,"AAAAAH/m/HQ=")</f>
        <v>#VALUE!</v>
      </c>
      <c r="DN98" t="e">
        <f>AND('BBP complete'!#REF!,"AAAAAH/m/HU=")</f>
        <v>#REF!</v>
      </c>
      <c r="DO98" t="e">
        <f>AND('BBP complete'!#REF!,"AAAAAH/m/HY=")</f>
        <v>#REF!</v>
      </c>
      <c r="DP98" t="e">
        <f>AND('BBP complete'!#REF!,"AAAAAH/m/Hc=")</f>
        <v>#REF!</v>
      </c>
      <c r="DQ98" s="60" t="e">
        <v>#VALUE!</v>
      </c>
      <c r="DR98" t="e">
        <f>AND('BBP complete'!B1342,"AAAAAH/m/Hk=")</f>
        <v>#VALUE!</v>
      </c>
      <c r="DS98" t="e">
        <f>AND('BBP complete'!F1343,"AAAAAH/m/Ho=")</f>
        <v>#VALUE!</v>
      </c>
      <c r="DT98" t="e">
        <f>AND('BBP complete'!G1343,"AAAAAH/m/Hs=")</f>
        <v>#VALUE!</v>
      </c>
      <c r="DU98" t="e">
        <f>AND('BBP complete'!D1342,"AAAAAH/m/Hw=")</f>
        <v>#VALUE!</v>
      </c>
      <c r="DV98" t="e">
        <f>AND('BBP complete'!H1341,"AAAAAH/m/H0=")</f>
        <v>#VALUE!</v>
      </c>
      <c r="DW98" t="e">
        <f>AND('BBP complete'!I1340,"AAAAAH/m/H4=")</f>
        <v>#VALUE!</v>
      </c>
      <c r="DX98" t="e">
        <f>AND('BBP complete'!#REF!,"AAAAAH/m/H8=")</f>
        <v>#REF!</v>
      </c>
      <c r="DY98" t="e">
        <f>AND('BBP complete'!#REF!,"AAAAAH/m/IA=")</f>
        <v>#REF!</v>
      </c>
      <c r="DZ98" t="e">
        <f>AND('BBP complete'!#REF!,"AAAAAH/m/IE=")</f>
        <v>#REF!</v>
      </c>
      <c r="EA98" t="e">
        <f>AND('BBP complete'!#REF!,"AAAAAH/m/II=")</f>
        <v>#REF!</v>
      </c>
      <c r="EB98" t="e">
        <f>AND('BBP complete'!#REF!,"AAAAAH/m/IM=")</f>
        <v>#REF!</v>
      </c>
      <c r="EC98" t="e">
        <f>AND('BBP complete'!C1339,"AAAAAH/m/IQ=")</f>
        <v>#VALUE!</v>
      </c>
      <c r="ED98" t="e">
        <f>AND('BBP complete'!#REF!,"AAAAAH/m/IU=")</f>
        <v>#REF!</v>
      </c>
      <c r="EE98" t="e">
        <f>AND('BBP complete'!#REF!,"AAAAAH/m/IY=")</f>
        <v>#REF!</v>
      </c>
      <c r="EF98" t="e">
        <f>AND('BBP complete'!#REF!,"AAAAAH/m/Ic=")</f>
        <v>#REF!</v>
      </c>
      <c r="EG98" s="60" t="e">
        <v>#VALUE!</v>
      </c>
      <c r="EH98" t="e">
        <f>AND('BBP complete'!B1343,"AAAAAH/m/Ik=")</f>
        <v>#VALUE!</v>
      </c>
      <c r="EI98" t="e">
        <f>AND('BBP complete'!F1344,"AAAAAH/m/Io=")</f>
        <v>#VALUE!</v>
      </c>
      <c r="EJ98" t="e">
        <f>AND('BBP complete'!G1344,"AAAAAH/m/Is=")</f>
        <v>#VALUE!</v>
      </c>
      <c r="EK98" t="e">
        <f>AND('BBP complete'!D1343,"AAAAAH/m/Iw=")</f>
        <v>#VALUE!</v>
      </c>
      <c r="EL98" t="e">
        <f>AND('BBP complete'!H1342,"AAAAAH/m/I0=")</f>
        <v>#VALUE!</v>
      </c>
      <c r="EM98" t="e">
        <f>AND('BBP complete'!I1341,"AAAAAH/m/I4=")</f>
        <v>#VALUE!</v>
      </c>
      <c r="EN98" t="e">
        <f>AND('BBP complete'!#REF!,"AAAAAH/m/I8=")</f>
        <v>#REF!</v>
      </c>
      <c r="EO98" t="e">
        <f>AND('BBP complete'!#REF!,"AAAAAH/m/JA=")</f>
        <v>#REF!</v>
      </c>
      <c r="EP98" t="e">
        <f>AND('BBP complete'!#REF!,"AAAAAH/m/JE=")</f>
        <v>#REF!</v>
      </c>
      <c r="EQ98" t="e">
        <f>AND('BBP complete'!#REF!,"AAAAAH/m/JI=")</f>
        <v>#REF!</v>
      </c>
      <c r="ER98" t="e">
        <f>AND('BBP complete'!#REF!,"AAAAAH/m/JM=")</f>
        <v>#REF!</v>
      </c>
      <c r="ES98" t="e">
        <f>AND('BBP complete'!C1340,"AAAAAH/m/JQ=")</f>
        <v>#VALUE!</v>
      </c>
      <c r="ET98" t="e">
        <f>AND('BBP complete'!#REF!,"AAAAAH/m/JU=")</f>
        <v>#REF!</v>
      </c>
      <c r="EU98" t="e">
        <f>AND('BBP complete'!#REF!,"AAAAAH/m/JY=")</f>
        <v>#REF!</v>
      </c>
      <c r="EV98" t="e">
        <f>AND('BBP complete'!#REF!,"AAAAAH/m/Jc=")</f>
        <v>#REF!</v>
      </c>
      <c r="EW98" s="60" t="e">
        <v>#VALUE!</v>
      </c>
      <c r="EX98" t="e">
        <f>AND('BBP complete'!B1344,"AAAAAH/m/Jk=")</f>
        <v>#VALUE!</v>
      </c>
      <c r="EY98" t="e">
        <f>AND('BBP complete'!F1345,"AAAAAH/m/Jo=")</f>
        <v>#VALUE!</v>
      </c>
      <c r="EZ98" t="e">
        <f>AND('BBP complete'!G1345,"AAAAAH/m/Js=")</f>
        <v>#VALUE!</v>
      </c>
      <c r="FA98" t="e">
        <f>AND('BBP complete'!D1344,"AAAAAH/m/Jw=")</f>
        <v>#VALUE!</v>
      </c>
      <c r="FB98" t="e">
        <f>AND('BBP complete'!H1343,"AAAAAH/m/J0=")</f>
        <v>#VALUE!</v>
      </c>
      <c r="FC98" t="e">
        <f>AND('BBP complete'!I1342,"AAAAAH/m/J4=")</f>
        <v>#VALUE!</v>
      </c>
      <c r="FD98" t="e">
        <f>AND('BBP complete'!#REF!,"AAAAAH/m/J8=")</f>
        <v>#REF!</v>
      </c>
      <c r="FE98" t="e">
        <f>AND('BBP complete'!#REF!,"AAAAAH/m/KA=")</f>
        <v>#REF!</v>
      </c>
      <c r="FF98" t="e">
        <f>AND('BBP complete'!#REF!,"AAAAAH/m/KE=")</f>
        <v>#REF!</v>
      </c>
      <c r="FG98" t="e">
        <f>AND('BBP complete'!#REF!,"AAAAAH/m/KI=")</f>
        <v>#REF!</v>
      </c>
      <c r="FH98" t="e">
        <f>AND('BBP complete'!#REF!,"AAAAAH/m/KM=")</f>
        <v>#REF!</v>
      </c>
      <c r="FI98" t="e">
        <f>AND('BBP complete'!C1341,"AAAAAH/m/KQ=")</f>
        <v>#VALUE!</v>
      </c>
      <c r="FJ98" t="e">
        <f>AND('BBP complete'!#REF!,"AAAAAH/m/KU=")</f>
        <v>#REF!</v>
      </c>
      <c r="FK98" t="e">
        <f>AND('BBP complete'!#REF!,"AAAAAH/m/KY=")</f>
        <v>#REF!</v>
      </c>
      <c r="FL98" t="e">
        <f>AND('BBP complete'!#REF!,"AAAAAH/m/Kc=")</f>
        <v>#REF!</v>
      </c>
      <c r="FM98" s="60" t="e">
        <v>#VALUE!</v>
      </c>
      <c r="FN98" t="e">
        <f>AND('BBP complete'!B1345,"AAAAAH/m/Kk=")</f>
        <v>#VALUE!</v>
      </c>
      <c r="FO98" t="e">
        <f>AND('BBP complete'!F1346,"AAAAAH/m/Ko=")</f>
        <v>#VALUE!</v>
      </c>
      <c r="FP98" t="e">
        <f>AND('BBP complete'!G1346,"AAAAAH/m/Ks=")</f>
        <v>#VALUE!</v>
      </c>
      <c r="FQ98" t="e">
        <f>AND('BBP complete'!D1345,"AAAAAH/m/Kw=")</f>
        <v>#VALUE!</v>
      </c>
      <c r="FR98" t="e">
        <f>AND('BBP complete'!H1344,"AAAAAH/m/K0=")</f>
        <v>#VALUE!</v>
      </c>
      <c r="FS98" t="e">
        <f>AND('BBP complete'!I1343,"AAAAAH/m/K4=")</f>
        <v>#VALUE!</v>
      </c>
      <c r="FT98" t="e">
        <f>AND('BBP complete'!#REF!,"AAAAAH/m/K8=")</f>
        <v>#REF!</v>
      </c>
      <c r="FU98" t="e">
        <f>AND('BBP complete'!#REF!,"AAAAAH/m/LA=")</f>
        <v>#REF!</v>
      </c>
      <c r="FV98" t="e">
        <f>AND('BBP complete'!#REF!,"AAAAAH/m/LE=")</f>
        <v>#REF!</v>
      </c>
      <c r="FW98" t="e">
        <f>AND('BBP complete'!#REF!,"AAAAAH/m/LI=")</f>
        <v>#REF!</v>
      </c>
      <c r="FX98" t="e">
        <f>AND('BBP complete'!#REF!,"AAAAAH/m/LM=")</f>
        <v>#REF!</v>
      </c>
      <c r="FY98" t="e">
        <f>AND('BBP complete'!C1342,"AAAAAH/m/LQ=")</f>
        <v>#VALUE!</v>
      </c>
      <c r="FZ98" t="e">
        <f>AND('BBP complete'!#REF!,"AAAAAH/m/LU=")</f>
        <v>#REF!</v>
      </c>
      <c r="GA98" t="e">
        <f>AND('BBP complete'!#REF!,"AAAAAH/m/LY=")</f>
        <v>#REF!</v>
      </c>
      <c r="GB98" t="e">
        <f>AND('BBP complete'!#REF!,"AAAAAH/m/Lc=")</f>
        <v>#REF!</v>
      </c>
      <c r="GC98" s="60" t="e">
        <v>#VALUE!</v>
      </c>
      <c r="GD98" t="e">
        <f>AND('BBP complete'!B1346,"AAAAAH/m/Lk=")</f>
        <v>#VALUE!</v>
      </c>
      <c r="GE98" t="e">
        <f>AND('BBP complete'!F1347,"AAAAAH/m/Lo=")</f>
        <v>#VALUE!</v>
      </c>
      <c r="GF98" t="e">
        <f>AND('BBP complete'!G1347,"AAAAAH/m/Ls=")</f>
        <v>#VALUE!</v>
      </c>
      <c r="GG98" t="e">
        <f>AND('BBP complete'!D1346,"AAAAAH/m/Lw=")</f>
        <v>#VALUE!</v>
      </c>
      <c r="GH98" t="e">
        <f>AND('BBP complete'!H1345,"AAAAAH/m/L0=")</f>
        <v>#VALUE!</v>
      </c>
      <c r="GI98" t="e">
        <f>AND('BBP complete'!I1344,"AAAAAH/m/L4=")</f>
        <v>#VALUE!</v>
      </c>
      <c r="GJ98" t="e">
        <f>AND('BBP complete'!#REF!,"AAAAAH/m/L8=")</f>
        <v>#REF!</v>
      </c>
      <c r="GK98" t="e">
        <f>AND('BBP complete'!#REF!,"AAAAAH/m/MA=")</f>
        <v>#REF!</v>
      </c>
      <c r="GL98" t="e">
        <f>AND('BBP complete'!#REF!,"AAAAAH/m/ME=")</f>
        <v>#REF!</v>
      </c>
      <c r="GM98" t="e">
        <f>AND('BBP complete'!#REF!,"AAAAAH/m/MI=")</f>
        <v>#REF!</v>
      </c>
      <c r="GN98" t="e">
        <f>AND('BBP complete'!#REF!,"AAAAAH/m/MM=")</f>
        <v>#REF!</v>
      </c>
      <c r="GO98" t="e">
        <f>AND('BBP complete'!C1343,"AAAAAH/m/MQ=")</f>
        <v>#VALUE!</v>
      </c>
      <c r="GP98" t="e">
        <f>AND('BBP complete'!#REF!,"AAAAAH/m/MU=")</f>
        <v>#REF!</v>
      </c>
      <c r="GQ98" t="e">
        <f>AND('BBP complete'!#REF!,"AAAAAH/m/MY=")</f>
        <v>#REF!</v>
      </c>
      <c r="GR98" t="e">
        <f>AND('BBP complete'!#REF!,"AAAAAH/m/Mc=")</f>
        <v>#REF!</v>
      </c>
      <c r="GS98" s="60" t="e">
        <v>#VALUE!</v>
      </c>
      <c r="GT98" t="e">
        <f>AND('BBP complete'!B1347,"AAAAAH/m/Mk=")</f>
        <v>#VALUE!</v>
      </c>
      <c r="GU98" t="e">
        <f>AND('BBP complete'!F1348,"AAAAAH/m/Mo=")</f>
        <v>#VALUE!</v>
      </c>
      <c r="GV98" t="e">
        <f>AND('BBP complete'!G1348,"AAAAAH/m/Ms=")</f>
        <v>#VALUE!</v>
      </c>
      <c r="GW98" t="e">
        <f>AND('BBP complete'!D1347,"AAAAAH/m/Mw=")</f>
        <v>#VALUE!</v>
      </c>
      <c r="GX98" t="e">
        <f>AND('BBP complete'!H1346,"AAAAAH/m/M0=")</f>
        <v>#VALUE!</v>
      </c>
      <c r="GY98" t="e">
        <f>AND('BBP complete'!I1345,"AAAAAH/m/M4=")</f>
        <v>#VALUE!</v>
      </c>
      <c r="GZ98" t="e">
        <f>AND('BBP complete'!#REF!,"AAAAAH/m/M8=")</f>
        <v>#REF!</v>
      </c>
      <c r="HA98" t="e">
        <f>AND('BBP complete'!#REF!,"AAAAAH/m/NA=")</f>
        <v>#REF!</v>
      </c>
      <c r="HB98" t="e">
        <f>AND('BBP complete'!#REF!,"AAAAAH/m/NE=")</f>
        <v>#REF!</v>
      </c>
      <c r="HC98" t="e">
        <f>AND('BBP complete'!#REF!,"AAAAAH/m/NI=")</f>
        <v>#REF!</v>
      </c>
      <c r="HD98" t="e">
        <f>AND('BBP complete'!#REF!,"AAAAAH/m/NM=")</f>
        <v>#REF!</v>
      </c>
      <c r="HE98" t="e">
        <f>AND('BBP complete'!C1344,"AAAAAH/m/NQ=")</f>
        <v>#VALUE!</v>
      </c>
      <c r="HF98" t="e">
        <f>AND('BBP complete'!#REF!,"AAAAAH/m/NU=")</f>
        <v>#REF!</v>
      </c>
      <c r="HG98" t="e">
        <f>AND('BBP complete'!#REF!,"AAAAAH/m/NY=")</f>
        <v>#REF!</v>
      </c>
      <c r="HH98" t="e">
        <f>AND('BBP complete'!#REF!,"AAAAAH/m/Nc=")</f>
        <v>#REF!</v>
      </c>
      <c r="HI98" s="60" t="e">
        <v>#VALUE!</v>
      </c>
      <c r="HJ98" t="e">
        <f>AND('BBP complete'!B1348,"AAAAAH/m/Nk=")</f>
        <v>#VALUE!</v>
      </c>
      <c r="HK98" t="e">
        <f>AND('BBP complete'!F1349,"AAAAAH/m/No=")</f>
        <v>#VALUE!</v>
      </c>
      <c r="HL98" t="e">
        <f>AND('BBP complete'!G1349,"AAAAAH/m/Ns=")</f>
        <v>#VALUE!</v>
      </c>
      <c r="HM98" t="e">
        <f>AND('BBP complete'!D1348,"AAAAAH/m/Nw=")</f>
        <v>#VALUE!</v>
      </c>
      <c r="HN98" t="e">
        <f>AND('BBP complete'!H1347,"AAAAAH/m/N0=")</f>
        <v>#VALUE!</v>
      </c>
      <c r="HO98" t="e">
        <f>AND('BBP complete'!I1346,"AAAAAH/m/N4=")</f>
        <v>#VALUE!</v>
      </c>
      <c r="HP98" t="e">
        <f>AND('BBP complete'!#REF!,"AAAAAH/m/N8=")</f>
        <v>#REF!</v>
      </c>
      <c r="HQ98" t="e">
        <f>AND('BBP complete'!#REF!,"AAAAAH/m/OA=")</f>
        <v>#REF!</v>
      </c>
      <c r="HR98" t="e">
        <f>AND('BBP complete'!#REF!,"AAAAAH/m/OE=")</f>
        <v>#REF!</v>
      </c>
      <c r="HS98" t="e">
        <f>AND('BBP complete'!#REF!,"AAAAAH/m/OI=")</f>
        <v>#REF!</v>
      </c>
      <c r="HT98" t="e">
        <f>AND('BBP complete'!#REF!,"AAAAAH/m/OM=")</f>
        <v>#REF!</v>
      </c>
      <c r="HU98" t="e">
        <f>AND('BBP complete'!C1345,"AAAAAH/m/OQ=")</f>
        <v>#VALUE!</v>
      </c>
      <c r="HV98" t="e">
        <f>AND('BBP complete'!#REF!,"AAAAAH/m/OU=")</f>
        <v>#REF!</v>
      </c>
      <c r="HW98" t="e">
        <f>AND('BBP complete'!#REF!,"AAAAAH/m/OY=")</f>
        <v>#REF!</v>
      </c>
      <c r="HX98" t="e">
        <f>AND('BBP complete'!#REF!,"AAAAAH/m/Oc=")</f>
        <v>#REF!</v>
      </c>
      <c r="HY98" s="60" t="e">
        <v>#VALUE!</v>
      </c>
      <c r="HZ98" t="e">
        <f>AND('BBP complete'!B1349,"AAAAAH/m/Ok=")</f>
        <v>#VALUE!</v>
      </c>
      <c r="IA98" t="e">
        <f>AND('BBP complete'!F1350,"AAAAAH/m/Oo=")</f>
        <v>#VALUE!</v>
      </c>
      <c r="IB98" t="e">
        <f>AND('BBP complete'!G1350,"AAAAAH/m/Os=")</f>
        <v>#VALUE!</v>
      </c>
      <c r="IC98" t="e">
        <f>AND('BBP complete'!D1349,"AAAAAH/m/Ow=")</f>
        <v>#VALUE!</v>
      </c>
      <c r="ID98" t="e">
        <f>AND('BBP complete'!H1348,"AAAAAH/m/O0=")</f>
        <v>#VALUE!</v>
      </c>
      <c r="IE98" t="e">
        <f>AND('BBP complete'!I1347,"AAAAAH/m/O4=")</f>
        <v>#VALUE!</v>
      </c>
      <c r="IF98" t="e">
        <f>AND('BBP complete'!#REF!,"AAAAAH/m/O8=")</f>
        <v>#REF!</v>
      </c>
      <c r="IG98" t="e">
        <f>AND('BBP complete'!#REF!,"AAAAAH/m/PA=")</f>
        <v>#REF!</v>
      </c>
      <c r="IH98" t="e">
        <f>AND('BBP complete'!#REF!,"AAAAAH/m/PE=")</f>
        <v>#REF!</v>
      </c>
      <c r="II98" t="e">
        <f>AND('BBP complete'!#REF!,"AAAAAH/m/PI=")</f>
        <v>#REF!</v>
      </c>
      <c r="IJ98" t="e">
        <f>AND('BBP complete'!#REF!,"AAAAAH/m/PM=")</f>
        <v>#REF!</v>
      </c>
      <c r="IK98" t="e">
        <f>AND('BBP complete'!C1346,"AAAAAH/m/PQ=")</f>
        <v>#VALUE!</v>
      </c>
      <c r="IL98" t="e">
        <f>AND('BBP complete'!#REF!,"AAAAAH/m/PU=")</f>
        <v>#REF!</v>
      </c>
      <c r="IM98" t="e">
        <f>AND('BBP complete'!#REF!,"AAAAAH/m/PY=")</f>
        <v>#REF!</v>
      </c>
      <c r="IN98" t="e">
        <f>AND('BBP complete'!#REF!,"AAAAAH/m/Pc=")</f>
        <v>#REF!</v>
      </c>
      <c r="IO98" s="60" t="e">
        <v>#VALUE!</v>
      </c>
      <c r="IP98" t="e">
        <f>AND('BBP complete'!B1350,"AAAAAH/m/Pk=")</f>
        <v>#VALUE!</v>
      </c>
      <c r="IQ98" t="e">
        <f>AND('BBP complete'!F1351,"AAAAAH/m/Po=")</f>
        <v>#VALUE!</v>
      </c>
      <c r="IR98" t="e">
        <f>AND('BBP complete'!G1351,"AAAAAH/m/Ps=")</f>
        <v>#VALUE!</v>
      </c>
      <c r="IS98" t="e">
        <f>AND('BBP complete'!D1350,"AAAAAH/m/Pw=")</f>
        <v>#VALUE!</v>
      </c>
      <c r="IT98" t="e">
        <f>AND('BBP complete'!H1349,"AAAAAH/m/P0=")</f>
        <v>#VALUE!</v>
      </c>
      <c r="IU98" t="e">
        <f>AND('BBP complete'!I1348,"AAAAAH/m/P4=")</f>
        <v>#VALUE!</v>
      </c>
      <c r="IV98" t="e">
        <f>AND('BBP complete'!#REF!,"AAAAAH/m/P8=")</f>
        <v>#REF!</v>
      </c>
    </row>
    <row r="99" spans="1:256" ht="15" customHeight="1" x14ac:dyDescent="0.25">
      <c r="A99" t="e">
        <f>AND('BBP complete'!#REF!,"AAAAAGvYzwA=")</f>
        <v>#REF!</v>
      </c>
      <c r="B99" t="e">
        <f>AND('BBP complete'!#REF!,"AAAAAGvYzwE=")</f>
        <v>#REF!</v>
      </c>
      <c r="C99" t="e">
        <f>AND('BBP complete'!#REF!,"AAAAAGvYzwI=")</f>
        <v>#REF!</v>
      </c>
      <c r="D99" t="e">
        <f>AND('BBP complete'!#REF!,"AAAAAGvYzwM=")</f>
        <v>#REF!</v>
      </c>
      <c r="E99" t="e">
        <f>AND('BBP complete'!C1347,"AAAAAGvYzwQ=")</f>
        <v>#VALUE!</v>
      </c>
      <c r="F99" t="e">
        <f>AND('BBP complete'!#REF!,"AAAAAGvYzwU=")</f>
        <v>#REF!</v>
      </c>
      <c r="G99" t="e">
        <f>AND('BBP complete'!#REF!,"AAAAAGvYzwY=")</f>
        <v>#REF!</v>
      </c>
      <c r="H99" t="e">
        <f>AND('BBP complete'!#REF!,"AAAAAGvYzwc=")</f>
        <v>#REF!</v>
      </c>
      <c r="I99" s="60" t="e">
        <v>#VALUE!</v>
      </c>
      <c r="J99" t="e">
        <f>AND('BBP complete'!B1351,"AAAAAGvYzwk=")</f>
        <v>#VALUE!</v>
      </c>
      <c r="K99" t="e">
        <f>AND('BBP complete'!F1352,"AAAAAGvYzwo=")</f>
        <v>#VALUE!</v>
      </c>
      <c r="L99" t="e">
        <f>AND('BBP complete'!G1352,"AAAAAGvYzws=")</f>
        <v>#VALUE!</v>
      </c>
      <c r="M99" t="e">
        <f>AND('BBP complete'!D1351,"AAAAAGvYzww=")</f>
        <v>#VALUE!</v>
      </c>
      <c r="N99" t="e">
        <f>AND('BBP complete'!H1350,"AAAAAGvYzw0=")</f>
        <v>#VALUE!</v>
      </c>
      <c r="O99" t="e">
        <f>AND('BBP complete'!I1349,"AAAAAGvYzw4=")</f>
        <v>#VALUE!</v>
      </c>
      <c r="P99" t="e">
        <f>AND('BBP complete'!#REF!,"AAAAAGvYzw8=")</f>
        <v>#REF!</v>
      </c>
      <c r="Q99" t="e">
        <f>AND('BBP complete'!#REF!,"AAAAAGvYzxA=")</f>
        <v>#REF!</v>
      </c>
      <c r="R99" t="e">
        <f>AND('BBP complete'!#REF!,"AAAAAGvYzxE=")</f>
        <v>#REF!</v>
      </c>
      <c r="S99" t="e">
        <f>AND('BBP complete'!#REF!,"AAAAAGvYzxI=")</f>
        <v>#REF!</v>
      </c>
      <c r="T99" t="e">
        <f>AND('BBP complete'!#REF!,"AAAAAGvYzxM=")</f>
        <v>#REF!</v>
      </c>
      <c r="U99" t="e">
        <f>AND('BBP complete'!C1348,"AAAAAGvYzxQ=")</f>
        <v>#VALUE!</v>
      </c>
      <c r="V99" t="e">
        <f>AND('BBP complete'!#REF!,"AAAAAGvYzxU=")</f>
        <v>#REF!</v>
      </c>
      <c r="W99" t="e">
        <f>AND('BBP complete'!#REF!,"AAAAAGvYzxY=")</f>
        <v>#REF!</v>
      </c>
      <c r="X99" t="e">
        <f>AND('BBP complete'!#REF!,"AAAAAGvYzxc=")</f>
        <v>#REF!</v>
      </c>
      <c r="Y99" s="60" t="e">
        <v>#VALUE!</v>
      </c>
      <c r="Z99" t="e">
        <f>AND('BBP complete'!B1352,"AAAAAGvYzxk=")</f>
        <v>#VALUE!</v>
      </c>
      <c r="AA99" t="e">
        <f>AND('BBP complete'!F1353,"AAAAAGvYzxo=")</f>
        <v>#VALUE!</v>
      </c>
      <c r="AB99" t="e">
        <f>AND('BBP complete'!G1353,"AAAAAGvYzxs=")</f>
        <v>#VALUE!</v>
      </c>
      <c r="AC99" t="e">
        <f>AND('BBP complete'!D1352,"AAAAAGvYzxw=")</f>
        <v>#VALUE!</v>
      </c>
      <c r="AD99" t="e">
        <f>AND('BBP complete'!H1351,"AAAAAGvYzx0=")</f>
        <v>#VALUE!</v>
      </c>
      <c r="AE99" t="e">
        <f>AND('BBP complete'!I1350,"AAAAAGvYzx4=")</f>
        <v>#VALUE!</v>
      </c>
      <c r="AF99" t="e">
        <f>AND('BBP complete'!#REF!,"AAAAAGvYzx8=")</f>
        <v>#REF!</v>
      </c>
      <c r="AG99" t="e">
        <f>AND('BBP complete'!#REF!,"AAAAAGvYzyA=")</f>
        <v>#REF!</v>
      </c>
      <c r="AH99" t="e">
        <f>AND('BBP complete'!#REF!,"AAAAAGvYzyE=")</f>
        <v>#REF!</v>
      </c>
      <c r="AI99" t="e">
        <f>AND('BBP complete'!#REF!,"AAAAAGvYzyI=")</f>
        <v>#REF!</v>
      </c>
      <c r="AJ99" t="e">
        <f>AND('BBP complete'!#REF!,"AAAAAGvYzyM=")</f>
        <v>#REF!</v>
      </c>
      <c r="AK99" t="e">
        <f>AND('BBP complete'!C1349,"AAAAAGvYzyQ=")</f>
        <v>#VALUE!</v>
      </c>
      <c r="AL99" t="e">
        <f>AND('BBP complete'!#REF!,"AAAAAGvYzyU=")</f>
        <v>#REF!</v>
      </c>
      <c r="AM99" t="e">
        <f>AND('BBP complete'!#REF!,"AAAAAGvYzyY=")</f>
        <v>#REF!</v>
      </c>
      <c r="AN99" t="e">
        <f>AND('BBP complete'!#REF!,"AAAAAGvYzyc=")</f>
        <v>#REF!</v>
      </c>
      <c r="AO99" s="60" t="e">
        <v>#VALUE!</v>
      </c>
      <c r="AP99" t="e">
        <f>AND('BBP complete'!B1353,"AAAAAGvYzyk=")</f>
        <v>#VALUE!</v>
      </c>
      <c r="AQ99" t="e">
        <f>AND('BBP complete'!F1354,"AAAAAGvYzyo=")</f>
        <v>#VALUE!</v>
      </c>
      <c r="AR99" t="e">
        <f>AND('BBP complete'!G1354,"AAAAAGvYzys=")</f>
        <v>#VALUE!</v>
      </c>
      <c r="AS99" t="e">
        <f>AND('BBP complete'!D1353,"AAAAAGvYzyw=")</f>
        <v>#VALUE!</v>
      </c>
      <c r="AT99" t="e">
        <f>AND('BBP complete'!H1352,"AAAAAGvYzy0=")</f>
        <v>#VALUE!</v>
      </c>
      <c r="AU99" t="e">
        <f>AND('BBP complete'!I1351,"AAAAAGvYzy4=")</f>
        <v>#VALUE!</v>
      </c>
      <c r="AV99" t="e">
        <f>AND('BBP complete'!#REF!,"AAAAAGvYzy8=")</f>
        <v>#REF!</v>
      </c>
      <c r="AW99" t="e">
        <f>AND('BBP complete'!#REF!,"AAAAAGvYzzA=")</f>
        <v>#REF!</v>
      </c>
      <c r="AX99" t="e">
        <f>AND('BBP complete'!#REF!,"AAAAAGvYzzE=")</f>
        <v>#REF!</v>
      </c>
      <c r="AY99" t="e">
        <f>AND('BBP complete'!#REF!,"AAAAAGvYzzI=")</f>
        <v>#REF!</v>
      </c>
      <c r="AZ99" t="e">
        <f>AND('BBP complete'!#REF!,"AAAAAGvYzzM=")</f>
        <v>#REF!</v>
      </c>
      <c r="BA99" t="e">
        <f>AND('BBP complete'!C1350,"AAAAAGvYzzQ=")</f>
        <v>#VALUE!</v>
      </c>
      <c r="BB99" t="e">
        <f>AND('BBP complete'!#REF!,"AAAAAGvYzzU=")</f>
        <v>#REF!</v>
      </c>
      <c r="BC99" t="e">
        <f>AND('BBP complete'!#REF!,"AAAAAGvYzzY=")</f>
        <v>#REF!</v>
      </c>
      <c r="BD99" t="e">
        <f>AND('BBP complete'!#REF!,"AAAAAGvYzzc=")</f>
        <v>#REF!</v>
      </c>
      <c r="BE99" s="60" t="e">
        <v>#VALUE!</v>
      </c>
      <c r="BF99" t="e">
        <f>AND('BBP complete'!B1354,"AAAAAGvYzzk=")</f>
        <v>#VALUE!</v>
      </c>
      <c r="BG99" t="e">
        <f>AND('BBP complete'!F1355,"AAAAAGvYzzo=")</f>
        <v>#VALUE!</v>
      </c>
      <c r="BH99" t="e">
        <f>AND('BBP complete'!G1355,"AAAAAGvYzzs=")</f>
        <v>#VALUE!</v>
      </c>
      <c r="BI99" t="e">
        <f>AND('BBP complete'!D1354,"AAAAAGvYzzw=")</f>
        <v>#VALUE!</v>
      </c>
      <c r="BJ99" t="e">
        <f>AND('BBP complete'!H1353,"AAAAAGvYzz0=")</f>
        <v>#VALUE!</v>
      </c>
      <c r="BK99" t="e">
        <f>AND('BBP complete'!I1352,"AAAAAGvYzz4=")</f>
        <v>#VALUE!</v>
      </c>
      <c r="BL99" t="e">
        <f>AND('BBP complete'!#REF!,"AAAAAGvYzz8=")</f>
        <v>#REF!</v>
      </c>
      <c r="BM99" t="e">
        <f>AND('BBP complete'!#REF!,"AAAAAGvYz0A=")</f>
        <v>#REF!</v>
      </c>
      <c r="BN99" t="e">
        <f>AND('BBP complete'!#REF!,"AAAAAGvYz0E=")</f>
        <v>#REF!</v>
      </c>
      <c r="BO99" t="e">
        <f>AND('BBP complete'!#REF!,"AAAAAGvYz0I=")</f>
        <v>#REF!</v>
      </c>
      <c r="BP99" t="e">
        <f>AND('BBP complete'!#REF!,"AAAAAGvYz0M=")</f>
        <v>#REF!</v>
      </c>
      <c r="BQ99" t="e">
        <f>AND('BBP complete'!C1351,"AAAAAGvYz0Q=")</f>
        <v>#VALUE!</v>
      </c>
      <c r="BR99" t="e">
        <f>AND('BBP complete'!#REF!,"AAAAAGvYz0U=")</f>
        <v>#REF!</v>
      </c>
      <c r="BS99" t="e">
        <f>AND('BBP complete'!#REF!,"AAAAAGvYz0Y=")</f>
        <v>#REF!</v>
      </c>
      <c r="BT99" t="e">
        <f>AND('BBP complete'!#REF!,"AAAAAGvYz0c=")</f>
        <v>#REF!</v>
      </c>
      <c r="BU99" s="60" t="e">
        <v>#VALUE!</v>
      </c>
      <c r="BV99" t="e">
        <f>AND('BBP complete'!B1355,"AAAAAGvYz0k=")</f>
        <v>#VALUE!</v>
      </c>
      <c r="BW99" t="e">
        <f>AND('BBP complete'!F1356,"AAAAAGvYz0o=")</f>
        <v>#VALUE!</v>
      </c>
      <c r="BX99" t="e">
        <f>AND('BBP complete'!G1356,"AAAAAGvYz0s=")</f>
        <v>#VALUE!</v>
      </c>
      <c r="BY99" t="e">
        <f>AND('BBP complete'!D1355,"AAAAAGvYz0w=")</f>
        <v>#VALUE!</v>
      </c>
      <c r="BZ99" t="e">
        <f>AND('BBP complete'!H1354,"AAAAAGvYz00=")</f>
        <v>#VALUE!</v>
      </c>
      <c r="CA99" t="e">
        <f>AND('BBP complete'!I1353,"AAAAAGvYz04=")</f>
        <v>#VALUE!</v>
      </c>
      <c r="CB99" t="e">
        <f>AND('BBP complete'!#REF!,"AAAAAGvYz08=")</f>
        <v>#REF!</v>
      </c>
      <c r="CC99" t="e">
        <f>AND('BBP complete'!#REF!,"AAAAAGvYz1A=")</f>
        <v>#REF!</v>
      </c>
      <c r="CD99" t="e">
        <f>AND('BBP complete'!#REF!,"AAAAAGvYz1E=")</f>
        <v>#REF!</v>
      </c>
      <c r="CE99" t="e">
        <f>AND('BBP complete'!#REF!,"AAAAAGvYz1I=")</f>
        <v>#REF!</v>
      </c>
      <c r="CF99" t="e">
        <f>AND('BBP complete'!#REF!,"AAAAAGvYz1M=")</f>
        <v>#REF!</v>
      </c>
      <c r="CG99" t="e">
        <f>AND('BBP complete'!C1352,"AAAAAGvYz1Q=")</f>
        <v>#VALUE!</v>
      </c>
      <c r="CH99" t="e">
        <f>AND('BBP complete'!#REF!,"AAAAAGvYz1U=")</f>
        <v>#REF!</v>
      </c>
      <c r="CI99" t="e">
        <f>AND('BBP complete'!#REF!,"AAAAAGvYz1Y=")</f>
        <v>#REF!</v>
      </c>
      <c r="CJ99" t="e">
        <f>AND('BBP complete'!#REF!,"AAAAAGvYz1c=")</f>
        <v>#REF!</v>
      </c>
      <c r="CK99" s="60" t="e">
        <v>#VALUE!</v>
      </c>
      <c r="CL99" t="e">
        <f>AND('BBP complete'!B1356,"AAAAAGvYz1k=")</f>
        <v>#VALUE!</v>
      </c>
      <c r="CM99" t="e">
        <f>AND('BBP complete'!F1357,"AAAAAGvYz1o=")</f>
        <v>#VALUE!</v>
      </c>
      <c r="CN99" t="e">
        <f>AND('BBP complete'!G1357,"AAAAAGvYz1s=")</f>
        <v>#VALUE!</v>
      </c>
      <c r="CO99" t="e">
        <f>AND('BBP complete'!D1356,"AAAAAGvYz1w=")</f>
        <v>#VALUE!</v>
      </c>
      <c r="CP99" t="e">
        <f>AND('BBP complete'!H1355,"AAAAAGvYz10=")</f>
        <v>#VALUE!</v>
      </c>
      <c r="CQ99" t="e">
        <f>AND('BBP complete'!I1354,"AAAAAGvYz14=")</f>
        <v>#VALUE!</v>
      </c>
      <c r="CR99" t="e">
        <f>AND('BBP complete'!#REF!,"AAAAAGvYz18=")</f>
        <v>#REF!</v>
      </c>
      <c r="CS99" t="e">
        <f>AND('BBP complete'!#REF!,"AAAAAGvYz2A=")</f>
        <v>#REF!</v>
      </c>
      <c r="CT99" t="e">
        <f>AND('BBP complete'!#REF!,"AAAAAGvYz2E=")</f>
        <v>#REF!</v>
      </c>
      <c r="CU99" t="e">
        <f>AND('BBP complete'!#REF!,"AAAAAGvYz2I=")</f>
        <v>#REF!</v>
      </c>
      <c r="CV99" t="e">
        <f>AND('BBP complete'!#REF!,"AAAAAGvYz2M=")</f>
        <v>#REF!</v>
      </c>
      <c r="CW99" t="e">
        <f>AND('BBP complete'!C1353,"AAAAAGvYz2Q=")</f>
        <v>#VALUE!</v>
      </c>
      <c r="CX99" t="e">
        <f>AND('BBP complete'!#REF!,"AAAAAGvYz2U=")</f>
        <v>#REF!</v>
      </c>
      <c r="CY99" t="e">
        <f>AND('BBP complete'!#REF!,"AAAAAGvYz2Y=")</f>
        <v>#REF!</v>
      </c>
      <c r="CZ99" t="e">
        <f>AND('BBP complete'!#REF!,"AAAAAGvYz2c=")</f>
        <v>#REF!</v>
      </c>
      <c r="DA99" s="60" t="e">
        <v>#VALUE!</v>
      </c>
      <c r="DB99" t="e">
        <f>AND('BBP complete'!B1357,"AAAAAGvYz2k=")</f>
        <v>#VALUE!</v>
      </c>
      <c r="DC99" t="e">
        <f>AND('BBP complete'!F1358,"AAAAAGvYz2o=")</f>
        <v>#VALUE!</v>
      </c>
      <c r="DD99" t="e">
        <f>AND('BBP complete'!G1358,"AAAAAGvYz2s=")</f>
        <v>#VALUE!</v>
      </c>
      <c r="DE99" t="e">
        <f>AND('BBP complete'!D1357,"AAAAAGvYz2w=")</f>
        <v>#VALUE!</v>
      </c>
      <c r="DF99" t="e">
        <f>AND('BBP complete'!H1356,"AAAAAGvYz20=")</f>
        <v>#VALUE!</v>
      </c>
      <c r="DG99" t="e">
        <f>AND('BBP complete'!I1355,"AAAAAGvYz24=")</f>
        <v>#VALUE!</v>
      </c>
      <c r="DH99" t="e">
        <f>AND('BBP complete'!#REF!,"AAAAAGvYz28=")</f>
        <v>#REF!</v>
      </c>
      <c r="DI99" t="e">
        <f>AND('BBP complete'!#REF!,"AAAAAGvYz3A=")</f>
        <v>#REF!</v>
      </c>
      <c r="DJ99" t="e">
        <f>AND('BBP complete'!#REF!,"AAAAAGvYz3E=")</f>
        <v>#REF!</v>
      </c>
      <c r="DK99" t="e">
        <f>AND('BBP complete'!#REF!,"AAAAAGvYz3I=")</f>
        <v>#REF!</v>
      </c>
      <c r="DL99" t="e">
        <f>AND('BBP complete'!#REF!,"AAAAAGvYz3M=")</f>
        <v>#REF!</v>
      </c>
      <c r="DM99" t="e">
        <f>AND('BBP complete'!C1354,"AAAAAGvYz3Q=")</f>
        <v>#VALUE!</v>
      </c>
      <c r="DN99" t="e">
        <f>AND('BBP complete'!#REF!,"AAAAAGvYz3U=")</f>
        <v>#REF!</v>
      </c>
      <c r="DO99" t="e">
        <f>AND('BBP complete'!#REF!,"AAAAAGvYz3Y=")</f>
        <v>#REF!</v>
      </c>
      <c r="DP99" t="e">
        <f>AND('BBP complete'!#REF!,"AAAAAGvYz3c=")</f>
        <v>#REF!</v>
      </c>
      <c r="DQ99" s="60" t="e">
        <v>#VALUE!</v>
      </c>
      <c r="DR99" t="e">
        <f>AND('BBP complete'!B1358,"AAAAAGvYz3k=")</f>
        <v>#VALUE!</v>
      </c>
      <c r="DS99" t="e">
        <f>AND('BBP complete'!F1359,"AAAAAGvYz3o=")</f>
        <v>#VALUE!</v>
      </c>
      <c r="DT99" t="e">
        <f>AND('BBP complete'!G1359,"AAAAAGvYz3s=")</f>
        <v>#VALUE!</v>
      </c>
      <c r="DU99" t="e">
        <f>AND('BBP complete'!D1358,"AAAAAGvYz3w=")</f>
        <v>#VALUE!</v>
      </c>
      <c r="DV99" t="e">
        <f>AND('BBP complete'!H1357,"AAAAAGvYz30=")</f>
        <v>#VALUE!</v>
      </c>
      <c r="DW99" t="e">
        <f>AND('BBP complete'!I1356,"AAAAAGvYz34=")</f>
        <v>#VALUE!</v>
      </c>
      <c r="DX99" t="e">
        <f>AND('BBP complete'!#REF!,"AAAAAGvYz38=")</f>
        <v>#REF!</v>
      </c>
      <c r="DY99" t="e">
        <f>AND('BBP complete'!#REF!,"AAAAAGvYz4A=")</f>
        <v>#REF!</v>
      </c>
      <c r="DZ99" t="e">
        <f>AND('BBP complete'!#REF!,"AAAAAGvYz4E=")</f>
        <v>#REF!</v>
      </c>
      <c r="EA99" t="e">
        <f>AND('BBP complete'!#REF!,"AAAAAGvYz4I=")</f>
        <v>#REF!</v>
      </c>
      <c r="EB99" t="e">
        <f>AND('BBP complete'!#REF!,"AAAAAGvYz4M=")</f>
        <v>#REF!</v>
      </c>
      <c r="EC99" t="e">
        <f>AND('BBP complete'!C1355,"AAAAAGvYz4Q=")</f>
        <v>#VALUE!</v>
      </c>
      <c r="ED99" t="e">
        <f>AND('BBP complete'!#REF!,"AAAAAGvYz4U=")</f>
        <v>#REF!</v>
      </c>
      <c r="EE99" t="e">
        <f>AND('BBP complete'!#REF!,"AAAAAGvYz4Y=")</f>
        <v>#REF!</v>
      </c>
      <c r="EF99" t="e">
        <f>AND('BBP complete'!#REF!,"AAAAAGvYz4c=")</f>
        <v>#REF!</v>
      </c>
      <c r="EG99" s="60" t="e">
        <v>#VALUE!</v>
      </c>
      <c r="EH99" t="e">
        <f>AND('BBP complete'!B1359,"AAAAAGvYz4k=")</f>
        <v>#VALUE!</v>
      </c>
      <c r="EI99" t="e">
        <f>AND('BBP complete'!F1360,"AAAAAGvYz4o=")</f>
        <v>#VALUE!</v>
      </c>
      <c r="EJ99" t="e">
        <f>AND('BBP complete'!G1360,"AAAAAGvYz4s=")</f>
        <v>#VALUE!</v>
      </c>
      <c r="EK99" t="e">
        <f>AND('BBP complete'!D1359,"AAAAAGvYz4w=")</f>
        <v>#VALUE!</v>
      </c>
      <c r="EL99" t="e">
        <f>AND('BBP complete'!H1358,"AAAAAGvYz40=")</f>
        <v>#VALUE!</v>
      </c>
      <c r="EM99" t="e">
        <f>AND('BBP complete'!I1357,"AAAAAGvYz44=")</f>
        <v>#VALUE!</v>
      </c>
      <c r="EN99" t="e">
        <f>AND('BBP complete'!#REF!,"AAAAAGvYz48=")</f>
        <v>#REF!</v>
      </c>
      <c r="EO99" t="e">
        <f>AND('BBP complete'!#REF!,"AAAAAGvYz5A=")</f>
        <v>#REF!</v>
      </c>
      <c r="EP99" t="e">
        <f>AND('BBP complete'!#REF!,"AAAAAGvYz5E=")</f>
        <v>#REF!</v>
      </c>
      <c r="EQ99" t="e">
        <f>AND('BBP complete'!#REF!,"AAAAAGvYz5I=")</f>
        <v>#REF!</v>
      </c>
      <c r="ER99" t="e">
        <f>AND('BBP complete'!#REF!,"AAAAAGvYz5M=")</f>
        <v>#REF!</v>
      </c>
      <c r="ES99" t="e">
        <f>AND('BBP complete'!C1356,"AAAAAGvYz5Q=")</f>
        <v>#VALUE!</v>
      </c>
      <c r="ET99" t="e">
        <f>AND('BBP complete'!#REF!,"AAAAAGvYz5U=")</f>
        <v>#REF!</v>
      </c>
      <c r="EU99" t="e">
        <f>AND('BBP complete'!#REF!,"AAAAAGvYz5Y=")</f>
        <v>#REF!</v>
      </c>
      <c r="EV99" t="e">
        <f>AND('BBP complete'!#REF!,"AAAAAGvYz5c=")</f>
        <v>#REF!</v>
      </c>
      <c r="EW99" s="60" t="e">
        <v>#VALUE!</v>
      </c>
      <c r="EX99" t="e">
        <f>AND('BBP complete'!B1360,"AAAAAGvYz5k=")</f>
        <v>#VALUE!</v>
      </c>
      <c r="EY99" t="e">
        <f>AND('BBP complete'!F1361,"AAAAAGvYz5o=")</f>
        <v>#VALUE!</v>
      </c>
      <c r="EZ99" t="e">
        <f>AND('BBP complete'!G1361,"AAAAAGvYz5s=")</f>
        <v>#VALUE!</v>
      </c>
      <c r="FA99" t="e">
        <f>AND('BBP complete'!D1360,"AAAAAGvYz5w=")</f>
        <v>#VALUE!</v>
      </c>
      <c r="FB99" t="e">
        <f>AND('BBP complete'!H1359,"AAAAAGvYz50=")</f>
        <v>#VALUE!</v>
      </c>
      <c r="FC99" t="e">
        <f>AND('BBP complete'!I1358,"AAAAAGvYz54=")</f>
        <v>#VALUE!</v>
      </c>
      <c r="FD99" t="e">
        <f>AND('BBP complete'!#REF!,"AAAAAGvYz58=")</f>
        <v>#REF!</v>
      </c>
      <c r="FE99" t="e">
        <f>AND('BBP complete'!#REF!,"AAAAAGvYz6A=")</f>
        <v>#REF!</v>
      </c>
      <c r="FF99" t="e">
        <f>AND('BBP complete'!#REF!,"AAAAAGvYz6E=")</f>
        <v>#REF!</v>
      </c>
      <c r="FG99" t="e">
        <f>AND('BBP complete'!#REF!,"AAAAAGvYz6I=")</f>
        <v>#REF!</v>
      </c>
      <c r="FH99" t="e">
        <f>AND('BBP complete'!#REF!,"AAAAAGvYz6M=")</f>
        <v>#REF!</v>
      </c>
      <c r="FI99" t="e">
        <f>AND('BBP complete'!C1357,"AAAAAGvYz6Q=")</f>
        <v>#VALUE!</v>
      </c>
      <c r="FJ99" t="e">
        <f>AND('BBP complete'!#REF!,"AAAAAGvYz6U=")</f>
        <v>#REF!</v>
      </c>
      <c r="FK99" t="e">
        <f>AND('BBP complete'!#REF!,"AAAAAGvYz6Y=")</f>
        <v>#REF!</v>
      </c>
      <c r="FL99" t="e">
        <f>AND('BBP complete'!#REF!,"AAAAAGvYz6c=")</f>
        <v>#REF!</v>
      </c>
      <c r="FM99" s="60" t="e">
        <v>#VALUE!</v>
      </c>
      <c r="FN99" t="e">
        <f>AND('BBP complete'!B1361,"AAAAAGvYz6k=")</f>
        <v>#VALUE!</v>
      </c>
      <c r="FO99" t="e">
        <f>AND('BBP complete'!F1362,"AAAAAGvYz6o=")</f>
        <v>#VALUE!</v>
      </c>
      <c r="FP99" t="e">
        <f>AND('BBP complete'!G1362,"AAAAAGvYz6s=")</f>
        <v>#VALUE!</v>
      </c>
      <c r="FQ99" t="e">
        <f>AND('BBP complete'!D1361,"AAAAAGvYz6w=")</f>
        <v>#VALUE!</v>
      </c>
      <c r="FR99" t="e">
        <f>AND('BBP complete'!H1360,"AAAAAGvYz60=")</f>
        <v>#VALUE!</v>
      </c>
      <c r="FS99" t="e">
        <f>AND('BBP complete'!I1359,"AAAAAGvYz64=")</f>
        <v>#VALUE!</v>
      </c>
      <c r="FT99" t="e">
        <f>AND('BBP complete'!#REF!,"AAAAAGvYz68=")</f>
        <v>#REF!</v>
      </c>
      <c r="FU99" t="e">
        <f>AND('BBP complete'!#REF!,"AAAAAGvYz7A=")</f>
        <v>#REF!</v>
      </c>
      <c r="FV99" t="e">
        <f>AND('BBP complete'!#REF!,"AAAAAGvYz7E=")</f>
        <v>#REF!</v>
      </c>
      <c r="FW99" t="e">
        <f>AND('BBP complete'!#REF!,"AAAAAGvYz7I=")</f>
        <v>#REF!</v>
      </c>
      <c r="FX99" t="e">
        <f>AND('BBP complete'!#REF!,"AAAAAGvYz7M=")</f>
        <v>#REF!</v>
      </c>
      <c r="FY99" t="e">
        <f>AND('BBP complete'!C1358,"AAAAAGvYz7Q=")</f>
        <v>#VALUE!</v>
      </c>
      <c r="FZ99" t="e">
        <f>AND('BBP complete'!#REF!,"AAAAAGvYz7U=")</f>
        <v>#REF!</v>
      </c>
      <c r="GA99" t="e">
        <f>AND('BBP complete'!#REF!,"AAAAAGvYz7Y=")</f>
        <v>#REF!</v>
      </c>
      <c r="GB99" t="e">
        <f>AND('BBP complete'!#REF!,"AAAAAGvYz7c=")</f>
        <v>#REF!</v>
      </c>
      <c r="GC99" s="60" t="e">
        <v>#VALUE!</v>
      </c>
      <c r="GD99" t="e">
        <f>AND('BBP complete'!B1362,"AAAAAGvYz7k=")</f>
        <v>#VALUE!</v>
      </c>
      <c r="GE99" t="e">
        <f>AND('BBP complete'!F1363,"AAAAAGvYz7o=")</f>
        <v>#VALUE!</v>
      </c>
      <c r="GF99" t="e">
        <f>AND('BBP complete'!G1363,"AAAAAGvYz7s=")</f>
        <v>#VALUE!</v>
      </c>
      <c r="GG99" t="e">
        <f>AND('BBP complete'!D1362,"AAAAAGvYz7w=")</f>
        <v>#VALUE!</v>
      </c>
      <c r="GH99" t="e">
        <f>AND('BBP complete'!H1361,"AAAAAGvYz70=")</f>
        <v>#VALUE!</v>
      </c>
      <c r="GI99" t="e">
        <f>AND('BBP complete'!I1360,"AAAAAGvYz74=")</f>
        <v>#VALUE!</v>
      </c>
      <c r="GJ99" t="e">
        <f>AND('BBP complete'!#REF!,"AAAAAGvYz78=")</f>
        <v>#REF!</v>
      </c>
      <c r="GK99" t="e">
        <f>AND('BBP complete'!#REF!,"AAAAAGvYz8A=")</f>
        <v>#REF!</v>
      </c>
      <c r="GL99" t="e">
        <f>AND('BBP complete'!#REF!,"AAAAAGvYz8E=")</f>
        <v>#REF!</v>
      </c>
      <c r="GM99" t="e">
        <f>AND('BBP complete'!#REF!,"AAAAAGvYz8I=")</f>
        <v>#REF!</v>
      </c>
      <c r="GN99" t="e">
        <f>AND('BBP complete'!#REF!,"AAAAAGvYz8M=")</f>
        <v>#REF!</v>
      </c>
      <c r="GO99" t="e">
        <f>AND('BBP complete'!C1359,"AAAAAGvYz8Q=")</f>
        <v>#VALUE!</v>
      </c>
      <c r="GP99" t="e">
        <f>AND('BBP complete'!#REF!,"AAAAAGvYz8U=")</f>
        <v>#REF!</v>
      </c>
      <c r="GQ99" t="e">
        <f>AND('BBP complete'!#REF!,"AAAAAGvYz8Y=")</f>
        <v>#REF!</v>
      </c>
      <c r="GR99" t="e">
        <f>AND('BBP complete'!#REF!,"AAAAAGvYz8c=")</f>
        <v>#REF!</v>
      </c>
      <c r="GS99" s="60" t="e">
        <v>#VALUE!</v>
      </c>
      <c r="GT99" t="e">
        <f>AND('BBP complete'!B1363,"AAAAAGvYz8k=")</f>
        <v>#VALUE!</v>
      </c>
      <c r="GU99" t="e">
        <f>AND('BBP complete'!F1364,"AAAAAGvYz8o=")</f>
        <v>#VALUE!</v>
      </c>
      <c r="GV99" t="e">
        <f>AND('BBP complete'!G1364,"AAAAAGvYz8s=")</f>
        <v>#VALUE!</v>
      </c>
      <c r="GW99" t="e">
        <f>AND('BBP complete'!D1363,"AAAAAGvYz8w=")</f>
        <v>#VALUE!</v>
      </c>
      <c r="GX99" t="e">
        <f>AND('BBP complete'!H1362,"AAAAAGvYz80=")</f>
        <v>#VALUE!</v>
      </c>
      <c r="GY99" t="e">
        <f>AND('BBP complete'!I1361,"AAAAAGvYz84=")</f>
        <v>#VALUE!</v>
      </c>
      <c r="GZ99" t="e">
        <f>AND('BBP complete'!#REF!,"AAAAAGvYz88=")</f>
        <v>#REF!</v>
      </c>
      <c r="HA99" t="e">
        <f>AND('BBP complete'!#REF!,"AAAAAGvYz9A=")</f>
        <v>#REF!</v>
      </c>
      <c r="HB99" t="e">
        <f>AND('BBP complete'!#REF!,"AAAAAGvYz9E=")</f>
        <v>#REF!</v>
      </c>
      <c r="HC99" t="e">
        <f>AND('BBP complete'!#REF!,"AAAAAGvYz9I=")</f>
        <v>#REF!</v>
      </c>
      <c r="HD99" t="e">
        <f>AND('BBP complete'!#REF!,"AAAAAGvYz9M=")</f>
        <v>#REF!</v>
      </c>
      <c r="HE99" t="e">
        <f>AND('BBP complete'!C1360,"AAAAAGvYz9Q=")</f>
        <v>#VALUE!</v>
      </c>
      <c r="HF99" t="e">
        <f>AND('BBP complete'!#REF!,"AAAAAGvYz9U=")</f>
        <v>#REF!</v>
      </c>
      <c r="HG99" t="e">
        <f>AND('BBP complete'!#REF!,"AAAAAGvYz9Y=")</f>
        <v>#REF!</v>
      </c>
      <c r="HH99" t="e">
        <f>AND('BBP complete'!#REF!,"AAAAAGvYz9c=")</f>
        <v>#REF!</v>
      </c>
      <c r="HI99" s="60" t="e">
        <v>#VALUE!</v>
      </c>
      <c r="HJ99" t="e">
        <f>AND('BBP complete'!B1364,"AAAAAGvYz9k=")</f>
        <v>#VALUE!</v>
      </c>
      <c r="HK99" t="e">
        <f>AND('BBP complete'!F1365,"AAAAAGvYz9o=")</f>
        <v>#VALUE!</v>
      </c>
      <c r="HL99" t="e">
        <f>AND('BBP complete'!G1365,"AAAAAGvYz9s=")</f>
        <v>#VALUE!</v>
      </c>
      <c r="HM99" t="e">
        <f>AND('BBP complete'!D1364,"AAAAAGvYz9w=")</f>
        <v>#VALUE!</v>
      </c>
      <c r="HN99" t="e">
        <f>AND('BBP complete'!H1363,"AAAAAGvYz90=")</f>
        <v>#VALUE!</v>
      </c>
      <c r="HO99" t="e">
        <f>AND('BBP complete'!I1362,"AAAAAGvYz94=")</f>
        <v>#VALUE!</v>
      </c>
      <c r="HP99" t="e">
        <f>AND('BBP complete'!#REF!,"AAAAAGvYz98=")</f>
        <v>#REF!</v>
      </c>
      <c r="HQ99" t="e">
        <f>AND('BBP complete'!#REF!,"AAAAAGvYz+A=")</f>
        <v>#REF!</v>
      </c>
      <c r="HR99" t="e">
        <f>AND('BBP complete'!#REF!,"AAAAAGvYz+E=")</f>
        <v>#REF!</v>
      </c>
      <c r="HS99" t="e">
        <f>AND('BBP complete'!#REF!,"AAAAAGvYz+I=")</f>
        <v>#REF!</v>
      </c>
      <c r="HT99" t="e">
        <f>AND('BBP complete'!#REF!,"AAAAAGvYz+M=")</f>
        <v>#REF!</v>
      </c>
      <c r="HU99" t="e">
        <f>AND('BBP complete'!C1361,"AAAAAGvYz+Q=")</f>
        <v>#VALUE!</v>
      </c>
      <c r="HV99" t="e">
        <f>AND('BBP complete'!#REF!,"AAAAAGvYz+U=")</f>
        <v>#REF!</v>
      </c>
      <c r="HW99" t="e">
        <f>AND('BBP complete'!#REF!,"AAAAAGvYz+Y=")</f>
        <v>#REF!</v>
      </c>
      <c r="HX99" t="e">
        <f>AND('BBP complete'!#REF!,"AAAAAGvYz+c=")</f>
        <v>#REF!</v>
      </c>
      <c r="HY99" s="60" t="e">
        <v>#VALUE!</v>
      </c>
      <c r="HZ99" t="e">
        <f>AND('BBP complete'!B1365,"AAAAAGvYz+k=")</f>
        <v>#VALUE!</v>
      </c>
      <c r="IA99" t="e">
        <f>AND('BBP complete'!F1366,"AAAAAGvYz+o=")</f>
        <v>#VALUE!</v>
      </c>
      <c r="IB99" t="e">
        <f>AND('BBP complete'!G1366,"AAAAAGvYz+s=")</f>
        <v>#VALUE!</v>
      </c>
      <c r="IC99" t="e">
        <f>AND('BBP complete'!D1365,"AAAAAGvYz+w=")</f>
        <v>#VALUE!</v>
      </c>
      <c r="ID99" t="e">
        <f>AND('BBP complete'!H1364,"AAAAAGvYz+0=")</f>
        <v>#VALUE!</v>
      </c>
      <c r="IE99" t="e">
        <f>AND('BBP complete'!I1363,"AAAAAGvYz+4=")</f>
        <v>#VALUE!</v>
      </c>
      <c r="IF99" t="e">
        <f>AND('BBP complete'!#REF!,"AAAAAGvYz+8=")</f>
        <v>#REF!</v>
      </c>
      <c r="IG99" t="e">
        <f>AND('BBP complete'!#REF!,"AAAAAGvYz/A=")</f>
        <v>#REF!</v>
      </c>
      <c r="IH99" t="e">
        <f>AND('BBP complete'!#REF!,"AAAAAGvYz/E=")</f>
        <v>#REF!</v>
      </c>
      <c r="II99" t="e">
        <f>AND('BBP complete'!#REF!,"AAAAAGvYz/I=")</f>
        <v>#REF!</v>
      </c>
      <c r="IJ99" t="e">
        <f>AND('BBP complete'!#REF!,"AAAAAGvYz/M=")</f>
        <v>#REF!</v>
      </c>
      <c r="IK99" t="e">
        <f>AND('BBP complete'!C1362,"AAAAAGvYz/Q=")</f>
        <v>#VALUE!</v>
      </c>
      <c r="IL99" t="e">
        <f>AND('BBP complete'!#REF!,"AAAAAGvYz/U=")</f>
        <v>#REF!</v>
      </c>
      <c r="IM99" t="e">
        <f>AND('BBP complete'!#REF!,"AAAAAGvYz/Y=")</f>
        <v>#REF!</v>
      </c>
      <c r="IN99" t="e">
        <f>AND('BBP complete'!#REF!,"AAAAAGvYz/c=")</f>
        <v>#REF!</v>
      </c>
      <c r="IO99" s="60" t="e">
        <v>#VALUE!</v>
      </c>
      <c r="IP99" t="e">
        <f>AND('BBP complete'!B1366,"AAAAAGvYz/k=")</f>
        <v>#VALUE!</v>
      </c>
      <c r="IQ99" t="e">
        <f>AND('BBP complete'!F1367,"AAAAAGvYz/o=")</f>
        <v>#VALUE!</v>
      </c>
      <c r="IR99" t="e">
        <f>AND('BBP complete'!G1367,"AAAAAGvYz/s=")</f>
        <v>#VALUE!</v>
      </c>
      <c r="IS99" t="e">
        <f>AND('BBP complete'!D1366,"AAAAAGvYz/w=")</f>
        <v>#VALUE!</v>
      </c>
      <c r="IT99" t="e">
        <f>AND('BBP complete'!H1365,"AAAAAGvYz/0=")</f>
        <v>#VALUE!</v>
      </c>
      <c r="IU99" t="e">
        <f>AND('BBP complete'!I1364,"AAAAAGvYz/4=")</f>
        <v>#VALUE!</v>
      </c>
      <c r="IV99" t="e">
        <f>AND('BBP complete'!#REF!,"AAAAAGvYz/8=")</f>
        <v>#REF!</v>
      </c>
    </row>
    <row r="100" spans="1:256" ht="15" customHeight="1" x14ac:dyDescent="0.25">
      <c r="A100" t="e">
        <f>AND('BBP complete'!#REF!,"AAAAAF3nOwA=")</f>
        <v>#REF!</v>
      </c>
      <c r="B100" t="e">
        <f>AND('BBP complete'!#REF!,"AAAAAF3nOwE=")</f>
        <v>#REF!</v>
      </c>
      <c r="C100" t="e">
        <f>AND('BBP complete'!#REF!,"AAAAAF3nOwI=")</f>
        <v>#REF!</v>
      </c>
      <c r="D100" t="e">
        <f>AND('BBP complete'!#REF!,"AAAAAF3nOwM=")</f>
        <v>#REF!</v>
      </c>
      <c r="E100" t="e">
        <f>AND('BBP complete'!C1363,"AAAAAF3nOwQ=")</f>
        <v>#VALUE!</v>
      </c>
      <c r="F100" t="e">
        <f>AND('BBP complete'!#REF!,"AAAAAF3nOwU=")</f>
        <v>#REF!</v>
      </c>
      <c r="G100" t="e">
        <f>AND('BBP complete'!#REF!,"AAAAAF3nOwY=")</f>
        <v>#REF!</v>
      </c>
      <c r="H100" t="e">
        <f>AND('BBP complete'!#REF!,"AAAAAF3nOwc=")</f>
        <v>#REF!</v>
      </c>
      <c r="I100" s="60" t="e">
        <v>#VALUE!</v>
      </c>
      <c r="J100" t="e">
        <f>AND('BBP complete'!B1367,"AAAAAF3nOwk=")</f>
        <v>#VALUE!</v>
      </c>
      <c r="K100" t="e">
        <f>AND('BBP complete'!F1368,"AAAAAF3nOwo=")</f>
        <v>#VALUE!</v>
      </c>
      <c r="L100" t="e">
        <f>AND('BBP complete'!G1368,"AAAAAF3nOws=")</f>
        <v>#VALUE!</v>
      </c>
      <c r="M100" t="e">
        <f>AND('BBP complete'!D1367,"AAAAAF3nOww=")</f>
        <v>#VALUE!</v>
      </c>
      <c r="N100" t="e">
        <f>AND('BBP complete'!H1366,"AAAAAF3nOw0=")</f>
        <v>#VALUE!</v>
      </c>
      <c r="O100" t="e">
        <f>AND('BBP complete'!I1365,"AAAAAF3nOw4=")</f>
        <v>#VALUE!</v>
      </c>
      <c r="P100" t="e">
        <f>AND('BBP complete'!#REF!,"AAAAAF3nOw8=")</f>
        <v>#REF!</v>
      </c>
      <c r="Q100" t="e">
        <f>AND('BBP complete'!#REF!,"AAAAAF3nOxA=")</f>
        <v>#REF!</v>
      </c>
      <c r="R100" t="e">
        <f>AND('BBP complete'!#REF!,"AAAAAF3nOxE=")</f>
        <v>#REF!</v>
      </c>
      <c r="S100" t="e">
        <f>AND('BBP complete'!#REF!,"AAAAAF3nOxI=")</f>
        <v>#REF!</v>
      </c>
      <c r="T100" t="e">
        <f>AND('BBP complete'!#REF!,"AAAAAF3nOxM=")</f>
        <v>#REF!</v>
      </c>
      <c r="U100" t="e">
        <f>AND('BBP complete'!C1364,"AAAAAF3nOxQ=")</f>
        <v>#VALUE!</v>
      </c>
      <c r="V100" t="e">
        <f>AND('BBP complete'!#REF!,"AAAAAF3nOxU=")</f>
        <v>#REF!</v>
      </c>
      <c r="W100" t="e">
        <f>AND('BBP complete'!#REF!,"AAAAAF3nOxY=")</f>
        <v>#REF!</v>
      </c>
      <c r="X100" t="e">
        <f>AND('BBP complete'!#REF!,"AAAAAF3nOxc=")</f>
        <v>#REF!</v>
      </c>
      <c r="Y100" s="60" t="e">
        <v>#VALUE!</v>
      </c>
      <c r="Z100" t="e">
        <f>AND('BBP complete'!B1368,"AAAAAF3nOxk=")</f>
        <v>#VALUE!</v>
      </c>
      <c r="AA100" t="e">
        <f>AND('BBP complete'!F1369,"AAAAAF3nOxo=")</f>
        <v>#VALUE!</v>
      </c>
      <c r="AB100" t="e">
        <f>AND('BBP complete'!G1369,"AAAAAF3nOxs=")</f>
        <v>#VALUE!</v>
      </c>
      <c r="AC100" t="e">
        <f>AND('BBP complete'!D1368,"AAAAAF3nOxw=")</f>
        <v>#VALUE!</v>
      </c>
      <c r="AD100" t="e">
        <f>AND('BBP complete'!H1367,"AAAAAF3nOx0=")</f>
        <v>#VALUE!</v>
      </c>
      <c r="AE100" t="e">
        <f>AND('BBP complete'!I1366,"AAAAAF3nOx4=")</f>
        <v>#VALUE!</v>
      </c>
      <c r="AF100" t="e">
        <f>AND('BBP complete'!#REF!,"AAAAAF3nOx8=")</f>
        <v>#REF!</v>
      </c>
      <c r="AG100" t="e">
        <f>AND('BBP complete'!#REF!,"AAAAAF3nOyA=")</f>
        <v>#REF!</v>
      </c>
      <c r="AH100" t="e">
        <f>AND('BBP complete'!#REF!,"AAAAAF3nOyE=")</f>
        <v>#REF!</v>
      </c>
      <c r="AI100" t="e">
        <f>AND('BBP complete'!#REF!,"AAAAAF3nOyI=")</f>
        <v>#REF!</v>
      </c>
      <c r="AJ100" t="e">
        <f>AND('BBP complete'!#REF!,"AAAAAF3nOyM=")</f>
        <v>#REF!</v>
      </c>
      <c r="AK100" t="e">
        <f>AND('BBP complete'!C1365,"AAAAAF3nOyQ=")</f>
        <v>#VALUE!</v>
      </c>
      <c r="AL100" t="e">
        <f>AND('BBP complete'!#REF!,"AAAAAF3nOyU=")</f>
        <v>#REF!</v>
      </c>
      <c r="AM100" t="e">
        <f>AND('BBP complete'!#REF!,"AAAAAF3nOyY=")</f>
        <v>#REF!</v>
      </c>
      <c r="AN100" t="e">
        <f>AND('BBP complete'!#REF!,"AAAAAF3nOyc=")</f>
        <v>#REF!</v>
      </c>
      <c r="AO100" s="60" t="e">
        <v>#VALUE!</v>
      </c>
      <c r="AP100" t="e">
        <f>AND('BBP complete'!B1369,"AAAAAF3nOyk=")</f>
        <v>#VALUE!</v>
      </c>
      <c r="AQ100" t="e">
        <f>AND('BBP complete'!F1370,"AAAAAF3nOyo=")</f>
        <v>#VALUE!</v>
      </c>
      <c r="AR100" t="e">
        <f>AND('BBP complete'!G1370,"AAAAAF3nOys=")</f>
        <v>#VALUE!</v>
      </c>
      <c r="AS100" t="e">
        <f>AND('BBP complete'!D1369,"AAAAAF3nOyw=")</f>
        <v>#VALUE!</v>
      </c>
      <c r="AT100" t="e">
        <f>AND('BBP complete'!H1368,"AAAAAF3nOy0=")</f>
        <v>#VALUE!</v>
      </c>
      <c r="AU100" t="e">
        <f>AND('BBP complete'!I1367,"AAAAAF3nOy4=")</f>
        <v>#VALUE!</v>
      </c>
      <c r="AV100" t="e">
        <f>AND('BBP complete'!#REF!,"AAAAAF3nOy8=")</f>
        <v>#REF!</v>
      </c>
      <c r="AW100" t="e">
        <f>AND('BBP complete'!#REF!,"AAAAAF3nOzA=")</f>
        <v>#REF!</v>
      </c>
      <c r="AX100" t="e">
        <f>AND('BBP complete'!#REF!,"AAAAAF3nOzE=")</f>
        <v>#REF!</v>
      </c>
      <c r="AY100" t="e">
        <f>AND('BBP complete'!#REF!,"AAAAAF3nOzI=")</f>
        <v>#REF!</v>
      </c>
      <c r="AZ100" t="e">
        <f>AND('BBP complete'!#REF!,"AAAAAF3nOzM=")</f>
        <v>#REF!</v>
      </c>
      <c r="BA100" t="e">
        <f>AND('BBP complete'!C1366,"AAAAAF3nOzQ=")</f>
        <v>#VALUE!</v>
      </c>
      <c r="BB100" t="e">
        <f>AND('BBP complete'!#REF!,"AAAAAF3nOzU=")</f>
        <v>#REF!</v>
      </c>
      <c r="BC100" t="e">
        <f>AND('BBP complete'!#REF!,"AAAAAF3nOzY=")</f>
        <v>#REF!</v>
      </c>
      <c r="BD100" t="e">
        <f>AND('BBP complete'!#REF!,"AAAAAF3nOzc=")</f>
        <v>#REF!</v>
      </c>
      <c r="BE100" s="60" t="e">
        <v>#VALUE!</v>
      </c>
      <c r="BF100" t="e">
        <f>AND('BBP complete'!B1370,"AAAAAF3nOzk=")</f>
        <v>#VALUE!</v>
      </c>
      <c r="BG100" t="e">
        <f>AND('BBP complete'!F1371,"AAAAAF3nOzo=")</f>
        <v>#VALUE!</v>
      </c>
      <c r="BH100" t="e">
        <f>AND('BBP complete'!G1371,"AAAAAF3nOzs=")</f>
        <v>#VALUE!</v>
      </c>
      <c r="BI100" t="e">
        <f>AND('BBP complete'!D1370,"AAAAAF3nOzw=")</f>
        <v>#VALUE!</v>
      </c>
      <c r="BJ100" t="e">
        <f>AND('BBP complete'!H1369,"AAAAAF3nOz0=")</f>
        <v>#VALUE!</v>
      </c>
      <c r="BK100" t="e">
        <f>AND('BBP complete'!I1368,"AAAAAF3nOz4=")</f>
        <v>#VALUE!</v>
      </c>
      <c r="BL100" t="e">
        <f>AND('BBP complete'!#REF!,"AAAAAF3nOz8=")</f>
        <v>#REF!</v>
      </c>
      <c r="BM100" t="e">
        <f>AND('BBP complete'!#REF!,"AAAAAF3nO0A=")</f>
        <v>#REF!</v>
      </c>
      <c r="BN100" t="e">
        <f>AND('BBP complete'!#REF!,"AAAAAF3nO0E=")</f>
        <v>#REF!</v>
      </c>
      <c r="BO100" t="e">
        <f>AND('BBP complete'!#REF!,"AAAAAF3nO0I=")</f>
        <v>#REF!</v>
      </c>
      <c r="BP100" t="e">
        <f>AND('BBP complete'!#REF!,"AAAAAF3nO0M=")</f>
        <v>#REF!</v>
      </c>
      <c r="BQ100" t="e">
        <f>AND('BBP complete'!C1367,"AAAAAF3nO0Q=")</f>
        <v>#VALUE!</v>
      </c>
      <c r="BR100" t="e">
        <f>AND('BBP complete'!#REF!,"AAAAAF3nO0U=")</f>
        <v>#REF!</v>
      </c>
      <c r="BS100" t="e">
        <f>AND('BBP complete'!#REF!,"AAAAAF3nO0Y=")</f>
        <v>#REF!</v>
      </c>
      <c r="BT100" t="e">
        <f>AND('BBP complete'!#REF!,"AAAAAF3nO0c=")</f>
        <v>#REF!</v>
      </c>
      <c r="BU100" s="60" t="e">
        <v>#VALUE!</v>
      </c>
      <c r="BV100" t="e">
        <f>AND('BBP complete'!B1371,"AAAAAF3nO0k=")</f>
        <v>#VALUE!</v>
      </c>
      <c r="BW100" t="e">
        <f>AND('BBP complete'!F1372,"AAAAAF3nO0o=")</f>
        <v>#VALUE!</v>
      </c>
      <c r="BX100" t="e">
        <f>AND('BBP complete'!G1372,"AAAAAF3nO0s=")</f>
        <v>#VALUE!</v>
      </c>
      <c r="BY100" t="e">
        <f>AND('BBP complete'!D1371,"AAAAAF3nO0w=")</f>
        <v>#VALUE!</v>
      </c>
      <c r="BZ100" t="e">
        <f>AND('BBP complete'!H1370,"AAAAAF3nO00=")</f>
        <v>#VALUE!</v>
      </c>
      <c r="CA100" t="e">
        <f>AND('BBP complete'!I1369,"AAAAAF3nO04=")</f>
        <v>#VALUE!</v>
      </c>
      <c r="CB100" t="e">
        <f>AND('BBP complete'!#REF!,"AAAAAF3nO08=")</f>
        <v>#REF!</v>
      </c>
      <c r="CC100" t="e">
        <f>AND('BBP complete'!#REF!,"AAAAAF3nO1A=")</f>
        <v>#REF!</v>
      </c>
      <c r="CD100" t="e">
        <f>AND('BBP complete'!#REF!,"AAAAAF3nO1E=")</f>
        <v>#REF!</v>
      </c>
      <c r="CE100" t="e">
        <f>AND('BBP complete'!#REF!,"AAAAAF3nO1I=")</f>
        <v>#REF!</v>
      </c>
      <c r="CF100" t="e">
        <f>AND('BBP complete'!#REF!,"AAAAAF3nO1M=")</f>
        <v>#REF!</v>
      </c>
      <c r="CG100" t="e">
        <f>AND('BBP complete'!C1368,"AAAAAF3nO1Q=")</f>
        <v>#VALUE!</v>
      </c>
      <c r="CH100" t="e">
        <f>AND('BBP complete'!#REF!,"AAAAAF3nO1U=")</f>
        <v>#REF!</v>
      </c>
      <c r="CI100" t="e">
        <f>AND('BBP complete'!#REF!,"AAAAAF3nO1Y=")</f>
        <v>#REF!</v>
      </c>
      <c r="CJ100" t="e">
        <f>AND('BBP complete'!#REF!,"AAAAAF3nO1c=")</f>
        <v>#REF!</v>
      </c>
      <c r="CK100" s="60" t="e">
        <v>#VALUE!</v>
      </c>
      <c r="CL100" t="e">
        <f>AND('BBP complete'!B1372,"AAAAAF3nO1k=")</f>
        <v>#VALUE!</v>
      </c>
      <c r="CM100" t="e">
        <f>AND('BBP complete'!F1373,"AAAAAF3nO1o=")</f>
        <v>#VALUE!</v>
      </c>
      <c r="CN100" t="e">
        <f>AND('BBP complete'!G1373,"AAAAAF3nO1s=")</f>
        <v>#VALUE!</v>
      </c>
      <c r="CO100" t="e">
        <f>AND('BBP complete'!D1372,"AAAAAF3nO1w=")</f>
        <v>#VALUE!</v>
      </c>
      <c r="CP100" t="e">
        <f>AND('BBP complete'!H1371,"AAAAAF3nO10=")</f>
        <v>#VALUE!</v>
      </c>
      <c r="CQ100" t="e">
        <f>AND('BBP complete'!I1370,"AAAAAF3nO14=")</f>
        <v>#VALUE!</v>
      </c>
      <c r="CR100" t="e">
        <f>AND('BBP complete'!#REF!,"AAAAAF3nO18=")</f>
        <v>#REF!</v>
      </c>
      <c r="CS100" t="e">
        <f>AND('BBP complete'!#REF!,"AAAAAF3nO2A=")</f>
        <v>#REF!</v>
      </c>
      <c r="CT100" t="e">
        <f>AND('BBP complete'!#REF!,"AAAAAF3nO2E=")</f>
        <v>#REF!</v>
      </c>
      <c r="CU100" t="e">
        <f>AND('BBP complete'!#REF!,"AAAAAF3nO2I=")</f>
        <v>#REF!</v>
      </c>
      <c r="CV100" t="e">
        <f>AND('BBP complete'!#REF!,"AAAAAF3nO2M=")</f>
        <v>#REF!</v>
      </c>
      <c r="CW100" t="e">
        <f>AND('BBP complete'!C1369,"AAAAAF3nO2Q=")</f>
        <v>#VALUE!</v>
      </c>
      <c r="CX100" t="e">
        <f>AND('BBP complete'!#REF!,"AAAAAF3nO2U=")</f>
        <v>#REF!</v>
      </c>
      <c r="CY100" t="e">
        <f>AND('BBP complete'!#REF!,"AAAAAF3nO2Y=")</f>
        <v>#REF!</v>
      </c>
      <c r="CZ100" t="e">
        <f>AND('BBP complete'!#REF!,"AAAAAF3nO2c=")</f>
        <v>#REF!</v>
      </c>
      <c r="DA100" s="60" t="e">
        <v>#VALUE!</v>
      </c>
      <c r="DB100" t="e">
        <f>AND('BBP complete'!B1373,"AAAAAF3nO2k=")</f>
        <v>#VALUE!</v>
      </c>
      <c r="DC100" t="e">
        <f>AND('BBP complete'!F1374,"AAAAAF3nO2o=")</f>
        <v>#VALUE!</v>
      </c>
      <c r="DD100" t="e">
        <f>AND('BBP complete'!G1374,"AAAAAF3nO2s=")</f>
        <v>#VALUE!</v>
      </c>
      <c r="DE100" t="e">
        <f>AND('BBP complete'!D1373,"AAAAAF3nO2w=")</f>
        <v>#VALUE!</v>
      </c>
      <c r="DF100" t="e">
        <f>AND('BBP complete'!H1372,"AAAAAF3nO20=")</f>
        <v>#VALUE!</v>
      </c>
      <c r="DG100" t="e">
        <f>AND('BBP complete'!I1371,"AAAAAF3nO24=")</f>
        <v>#VALUE!</v>
      </c>
      <c r="DH100" t="e">
        <f>AND('BBP complete'!#REF!,"AAAAAF3nO28=")</f>
        <v>#REF!</v>
      </c>
      <c r="DI100" t="e">
        <f>AND('BBP complete'!#REF!,"AAAAAF3nO3A=")</f>
        <v>#REF!</v>
      </c>
      <c r="DJ100" t="e">
        <f>AND('BBP complete'!#REF!,"AAAAAF3nO3E=")</f>
        <v>#REF!</v>
      </c>
      <c r="DK100" t="e">
        <f>AND('BBP complete'!#REF!,"AAAAAF3nO3I=")</f>
        <v>#REF!</v>
      </c>
      <c r="DL100" t="e">
        <f>AND('BBP complete'!#REF!,"AAAAAF3nO3M=")</f>
        <v>#REF!</v>
      </c>
      <c r="DM100" t="e">
        <f>AND('BBP complete'!C1370,"AAAAAF3nO3Q=")</f>
        <v>#VALUE!</v>
      </c>
      <c r="DN100" t="e">
        <f>AND('BBP complete'!#REF!,"AAAAAF3nO3U=")</f>
        <v>#REF!</v>
      </c>
      <c r="DO100" t="e">
        <f>AND('BBP complete'!#REF!,"AAAAAF3nO3Y=")</f>
        <v>#REF!</v>
      </c>
      <c r="DP100" t="e">
        <f>AND('BBP complete'!#REF!,"AAAAAF3nO3c=")</f>
        <v>#REF!</v>
      </c>
      <c r="DQ100" s="60" t="e">
        <v>#VALUE!</v>
      </c>
      <c r="DR100" t="e">
        <f>AND('BBP complete'!B1374,"AAAAAF3nO3k=")</f>
        <v>#VALUE!</v>
      </c>
      <c r="DS100" t="e">
        <f>AND('BBP complete'!F1375,"AAAAAF3nO3o=")</f>
        <v>#VALUE!</v>
      </c>
      <c r="DT100" t="e">
        <f>AND('BBP complete'!G1375,"AAAAAF3nO3s=")</f>
        <v>#VALUE!</v>
      </c>
      <c r="DU100" t="e">
        <f>AND('BBP complete'!D1374,"AAAAAF3nO3w=")</f>
        <v>#VALUE!</v>
      </c>
      <c r="DV100" t="e">
        <f>AND('BBP complete'!H1373,"AAAAAF3nO30=")</f>
        <v>#VALUE!</v>
      </c>
      <c r="DW100" t="e">
        <f>AND('BBP complete'!I1372,"AAAAAF3nO34=")</f>
        <v>#VALUE!</v>
      </c>
      <c r="DX100" t="e">
        <f>AND('BBP complete'!#REF!,"AAAAAF3nO38=")</f>
        <v>#REF!</v>
      </c>
      <c r="DY100" t="e">
        <f>AND('BBP complete'!#REF!,"AAAAAF3nO4A=")</f>
        <v>#REF!</v>
      </c>
      <c r="DZ100" t="e">
        <f>AND('BBP complete'!#REF!,"AAAAAF3nO4E=")</f>
        <v>#REF!</v>
      </c>
      <c r="EA100" t="e">
        <f>AND('BBP complete'!#REF!,"AAAAAF3nO4I=")</f>
        <v>#REF!</v>
      </c>
      <c r="EB100" t="e">
        <f>AND('BBP complete'!#REF!,"AAAAAF3nO4M=")</f>
        <v>#REF!</v>
      </c>
      <c r="EC100" t="e">
        <f>AND('BBP complete'!C1371,"AAAAAF3nO4Q=")</f>
        <v>#VALUE!</v>
      </c>
      <c r="ED100" t="e">
        <f>AND('BBP complete'!#REF!,"AAAAAF3nO4U=")</f>
        <v>#REF!</v>
      </c>
      <c r="EE100" t="e">
        <f>AND('BBP complete'!#REF!,"AAAAAF3nO4Y=")</f>
        <v>#REF!</v>
      </c>
      <c r="EF100" t="e">
        <f>AND('BBP complete'!#REF!,"AAAAAF3nO4c=")</f>
        <v>#REF!</v>
      </c>
      <c r="EG100" s="60" t="e">
        <v>#VALUE!</v>
      </c>
      <c r="EH100" t="e">
        <f>AND('BBP complete'!B1375,"AAAAAF3nO4k=")</f>
        <v>#VALUE!</v>
      </c>
      <c r="EI100" t="e">
        <f>AND('BBP complete'!F1376,"AAAAAF3nO4o=")</f>
        <v>#VALUE!</v>
      </c>
      <c r="EJ100" t="e">
        <f>AND('BBP complete'!G1376,"AAAAAF3nO4s=")</f>
        <v>#VALUE!</v>
      </c>
      <c r="EK100" t="e">
        <f>AND('BBP complete'!D1375,"AAAAAF3nO4w=")</f>
        <v>#VALUE!</v>
      </c>
      <c r="EL100" t="e">
        <f>AND('BBP complete'!H1374,"AAAAAF3nO40=")</f>
        <v>#VALUE!</v>
      </c>
      <c r="EM100" t="e">
        <f>AND('BBP complete'!I1373,"AAAAAF3nO44=")</f>
        <v>#VALUE!</v>
      </c>
      <c r="EN100" t="e">
        <f>AND('BBP complete'!#REF!,"AAAAAF3nO48=")</f>
        <v>#REF!</v>
      </c>
      <c r="EO100" t="e">
        <f>AND('BBP complete'!#REF!,"AAAAAF3nO5A=")</f>
        <v>#REF!</v>
      </c>
      <c r="EP100" t="e">
        <f>AND('BBP complete'!#REF!,"AAAAAF3nO5E=")</f>
        <v>#REF!</v>
      </c>
      <c r="EQ100" t="e">
        <f>AND('BBP complete'!#REF!,"AAAAAF3nO5I=")</f>
        <v>#REF!</v>
      </c>
      <c r="ER100" t="e">
        <f>AND('BBP complete'!#REF!,"AAAAAF3nO5M=")</f>
        <v>#REF!</v>
      </c>
      <c r="ES100" t="e">
        <f>AND('BBP complete'!C1372,"AAAAAF3nO5Q=")</f>
        <v>#VALUE!</v>
      </c>
      <c r="ET100" t="e">
        <f>AND('BBP complete'!#REF!,"AAAAAF3nO5U=")</f>
        <v>#REF!</v>
      </c>
      <c r="EU100" t="e">
        <f>AND('BBP complete'!#REF!,"AAAAAF3nO5Y=")</f>
        <v>#REF!</v>
      </c>
      <c r="EV100" t="e">
        <f>AND('BBP complete'!#REF!,"AAAAAF3nO5c=")</f>
        <v>#REF!</v>
      </c>
      <c r="EW100" s="60" t="e">
        <v>#VALUE!</v>
      </c>
      <c r="EX100" t="e">
        <f>AND('BBP complete'!B1376,"AAAAAF3nO5k=")</f>
        <v>#VALUE!</v>
      </c>
      <c r="EY100" t="e">
        <f>AND('BBP complete'!F1377,"AAAAAF3nO5o=")</f>
        <v>#VALUE!</v>
      </c>
      <c r="EZ100" t="e">
        <f>AND('BBP complete'!G1377,"AAAAAF3nO5s=")</f>
        <v>#VALUE!</v>
      </c>
      <c r="FA100" t="e">
        <f>AND('BBP complete'!D1376,"AAAAAF3nO5w=")</f>
        <v>#VALUE!</v>
      </c>
      <c r="FB100" t="e">
        <f>AND('BBP complete'!H1375,"AAAAAF3nO50=")</f>
        <v>#VALUE!</v>
      </c>
      <c r="FC100" t="e">
        <f>AND('BBP complete'!I1374,"AAAAAF3nO54=")</f>
        <v>#VALUE!</v>
      </c>
      <c r="FD100" t="e">
        <f>AND('BBP complete'!#REF!,"AAAAAF3nO58=")</f>
        <v>#REF!</v>
      </c>
      <c r="FE100" t="e">
        <f>AND('BBP complete'!#REF!,"AAAAAF3nO6A=")</f>
        <v>#REF!</v>
      </c>
      <c r="FF100" t="e">
        <f>AND('BBP complete'!#REF!,"AAAAAF3nO6E=")</f>
        <v>#REF!</v>
      </c>
      <c r="FG100" t="e">
        <f>AND('BBP complete'!#REF!,"AAAAAF3nO6I=")</f>
        <v>#REF!</v>
      </c>
      <c r="FH100" t="e">
        <f>AND('BBP complete'!#REF!,"AAAAAF3nO6M=")</f>
        <v>#REF!</v>
      </c>
      <c r="FI100" t="e">
        <f>AND('BBP complete'!C1373,"AAAAAF3nO6Q=")</f>
        <v>#VALUE!</v>
      </c>
      <c r="FJ100" t="e">
        <f>AND('BBP complete'!#REF!,"AAAAAF3nO6U=")</f>
        <v>#REF!</v>
      </c>
      <c r="FK100" t="e">
        <f>AND('BBP complete'!#REF!,"AAAAAF3nO6Y=")</f>
        <v>#REF!</v>
      </c>
      <c r="FL100" t="e">
        <f>AND('BBP complete'!#REF!,"AAAAAF3nO6c=")</f>
        <v>#REF!</v>
      </c>
      <c r="FM100" s="60" t="e">
        <v>#VALUE!</v>
      </c>
      <c r="FN100" t="e">
        <f>AND('BBP complete'!B1377,"AAAAAF3nO6k=")</f>
        <v>#VALUE!</v>
      </c>
      <c r="FO100" t="e">
        <f>AND('BBP complete'!F1378,"AAAAAF3nO6o=")</f>
        <v>#VALUE!</v>
      </c>
      <c r="FP100" t="e">
        <f>AND('BBP complete'!G1378,"AAAAAF3nO6s=")</f>
        <v>#VALUE!</v>
      </c>
      <c r="FQ100" t="e">
        <f>AND('BBP complete'!D1377,"AAAAAF3nO6w=")</f>
        <v>#VALUE!</v>
      </c>
      <c r="FR100" t="e">
        <f>AND('BBP complete'!H1376,"AAAAAF3nO60=")</f>
        <v>#VALUE!</v>
      </c>
      <c r="FS100" t="e">
        <f>AND('BBP complete'!I1375,"AAAAAF3nO64=")</f>
        <v>#VALUE!</v>
      </c>
      <c r="FT100" t="e">
        <f>AND('BBP complete'!#REF!,"AAAAAF3nO68=")</f>
        <v>#REF!</v>
      </c>
      <c r="FU100" t="e">
        <f>AND('BBP complete'!#REF!,"AAAAAF3nO7A=")</f>
        <v>#REF!</v>
      </c>
      <c r="FV100" t="e">
        <f>AND('BBP complete'!#REF!,"AAAAAF3nO7E=")</f>
        <v>#REF!</v>
      </c>
      <c r="FW100" t="e">
        <f>AND('BBP complete'!#REF!,"AAAAAF3nO7I=")</f>
        <v>#REF!</v>
      </c>
      <c r="FX100" t="e">
        <f>AND('BBP complete'!#REF!,"AAAAAF3nO7M=")</f>
        <v>#REF!</v>
      </c>
      <c r="FY100" t="e">
        <f>AND('BBP complete'!C1374,"AAAAAF3nO7Q=")</f>
        <v>#VALUE!</v>
      </c>
      <c r="FZ100" t="e">
        <f>AND('BBP complete'!#REF!,"AAAAAF3nO7U=")</f>
        <v>#REF!</v>
      </c>
      <c r="GA100" t="e">
        <f>AND('BBP complete'!#REF!,"AAAAAF3nO7Y=")</f>
        <v>#REF!</v>
      </c>
      <c r="GB100" t="e">
        <f>AND('BBP complete'!#REF!,"AAAAAF3nO7c=")</f>
        <v>#REF!</v>
      </c>
      <c r="GC100" s="60" t="e">
        <v>#VALUE!</v>
      </c>
      <c r="GD100" t="e">
        <f>AND('BBP complete'!B1378,"AAAAAF3nO7k=")</f>
        <v>#VALUE!</v>
      </c>
      <c r="GE100" t="e">
        <f>AND('BBP complete'!F1379,"AAAAAF3nO7o=")</f>
        <v>#VALUE!</v>
      </c>
      <c r="GF100" t="e">
        <f>AND('BBP complete'!G1379,"AAAAAF3nO7s=")</f>
        <v>#VALUE!</v>
      </c>
      <c r="GG100" t="e">
        <f>AND('BBP complete'!D1378,"AAAAAF3nO7w=")</f>
        <v>#VALUE!</v>
      </c>
      <c r="GH100" t="e">
        <f>AND('BBP complete'!H1377,"AAAAAF3nO70=")</f>
        <v>#VALUE!</v>
      </c>
      <c r="GI100" t="e">
        <f>AND('BBP complete'!I1376,"AAAAAF3nO74=")</f>
        <v>#VALUE!</v>
      </c>
      <c r="GJ100" t="e">
        <f>AND('BBP complete'!#REF!,"AAAAAF3nO78=")</f>
        <v>#REF!</v>
      </c>
      <c r="GK100" t="e">
        <f>AND('BBP complete'!#REF!,"AAAAAF3nO8A=")</f>
        <v>#REF!</v>
      </c>
      <c r="GL100" t="e">
        <f>AND('BBP complete'!#REF!,"AAAAAF3nO8E=")</f>
        <v>#REF!</v>
      </c>
      <c r="GM100" t="e">
        <f>AND('BBP complete'!#REF!,"AAAAAF3nO8I=")</f>
        <v>#REF!</v>
      </c>
      <c r="GN100" t="e">
        <f>AND('BBP complete'!#REF!,"AAAAAF3nO8M=")</f>
        <v>#REF!</v>
      </c>
      <c r="GO100" t="e">
        <f>AND('BBP complete'!C1375,"AAAAAF3nO8Q=")</f>
        <v>#VALUE!</v>
      </c>
      <c r="GP100" t="e">
        <f>AND('BBP complete'!#REF!,"AAAAAF3nO8U=")</f>
        <v>#REF!</v>
      </c>
      <c r="GQ100" t="e">
        <f>AND('BBP complete'!#REF!,"AAAAAF3nO8Y=")</f>
        <v>#REF!</v>
      </c>
      <c r="GR100" t="e">
        <f>AND('BBP complete'!#REF!,"AAAAAF3nO8c=")</f>
        <v>#REF!</v>
      </c>
      <c r="GS100" s="60" t="e">
        <v>#VALUE!</v>
      </c>
      <c r="GT100" t="e">
        <f>AND('BBP complete'!B1379,"AAAAAF3nO8k=")</f>
        <v>#VALUE!</v>
      </c>
      <c r="GU100" t="e">
        <f>AND('BBP complete'!F1380,"AAAAAF3nO8o=")</f>
        <v>#VALUE!</v>
      </c>
      <c r="GV100" t="e">
        <f>AND('BBP complete'!G1380,"AAAAAF3nO8s=")</f>
        <v>#VALUE!</v>
      </c>
      <c r="GW100" t="e">
        <f>AND('BBP complete'!D1379,"AAAAAF3nO8w=")</f>
        <v>#VALUE!</v>
      </c>
      <c r="GX100" t="e">
        <f>AND('BBP complete'!H1378,"AAAAAF3nO80=")</f>
        <v>#VALUE!</v>
      </c>
      <c r="GY100" t="e">
        <f>AND('BBP complete'!I1377,"AAAAAF3nO84=")</f>
        <v>#VALUE!</v>
      </c>
      <c r="GZ100" t="e">
        <f>AND('BBP complete'!#REF!,"AAAAAF3nO88=")</f>
        <v>#REF!</v>
      </c>
      <c r="HA100" t="e">
        <f>AND('BBP complete'!#REF!,"AAAAAF3nO9A=")</f>
        <v>#REF!</v>
      </c>
      <c r="HB100" t="e">
        <f>AND('BBP complete'!#REF!,"AAAAAF3nO9E=")</f>
        <v>#REF!</v>
      </c>
      <c r="HC100" t="e">
        <f>AND('BBP complete'!#REF!,"AAAAAF3nO9I=")</f>
        <v>#REF!</v>
      </c>
      <c r="HD100" t="e">
        <f>AND('BBP complete'!#REF!,"AAAAAF3nO9M=")</f>
        <v>#REF!</v>
      </c>
      <c r="HE100" t="e">
        <f>AND('BBP complete'!C1376,"AAAAAF3nO9Q=")</f>
        <v>#VALUE!</v>
      </c>
      <c r="HF100" t="e">
        <f>AND('BBP complete'!#REF!,"AAAAAF3nO9U=")</f>
        <v>#REF!</v>
      </c>
      <c r="HG100" t="e">
        <f>AND('BBP complete'!#REF!,"AAAAAF3nO9Y=")</f>
        <v>#REF!</v>
      </c>
      <c r="HH100" t="e">
        <f>AND('BBP complete'!#REF!,"AAAAAF3nO9c=")</f>
        <v>#REF!</v>
      </c>
      <c r="HI100" s="60" t="e">
        <v>#VALUE!</v>
      </c>
      <c r="HJ100" t="e">
        <f>AND('BBP complete'!B1380,"AAAAAF3nO9k=")</f>
        <v>#VALUE!</v>
      </c>
      <c r="HK100" t="e">
        <f>AND('BBP complete'!F1381,"AAAAAF3nO9o=")</f>
        <v>#VALUE!</v>
      </c>
      <c r="HL100" t="e">
        <f>AND('BBP complete'!G1381,"AAAAAF3nO9s=")</f>
        <v>#VALUE!</v>
      </c>
      <c r="HM100" t="e">
        <f>AND('BBP complete'!D1380,"AAAAAF3nO9w=")</f>
        <v>#VALUE!</v>
      </c>
      <c r="HN100" t="e">
        <f>AND('BBP complete'!H1379,"AAAAAF3nO90=")</f>
        <v>#VALUE!</v>
      </c>
      <c r="HO100" t="e">
        <f>AND('BBP complete'!I1378,"AAAAAF3nO94=")</f>
        <v>#VALUE!</v>
      </c>
      <c r="HP100" t="e">
        <f>AND('BBP complete'!#REF!,"AAAAAF3nO98=")</f>
        <v>#REF!</v>
      </c>
      <c r="HQ100" t="e">
        <f>AND('BBP complete'!#REF!,"AAAAAF3nO+A=")</f>
        <v>#REF!</v>
      </c>
      <c r="HR100" t="e">
        <f>AND('BBP complete'!#REF!,"AAAAAF3nO+E=")</f>
        <v>#REF!</v>
      </c>
      <c r="HS100" t="e">
        <f>AND('BBP complete'!#REF!,"AAAAAF3nO+I=")</f>
        <v>#REF!</v>
      </c>
      <c r="HT100" t="e">
        <f>AND('BBP complete'!#REF!,"AAAAAF3nO+M=")</f>
        <v>#REF!</v>
      </c>
      <c r="HU100" t="e">
        <f>AND('BBP complete'!C1377,"AAAAAF3nO+Q=")</f>
        <v>#VALUE!</v>
      </c>
      <c r="HV100" t="e">
        <f>AND('BBP complete'!#REF!,"AAAAAF3nO+U=")</f>
        <v>#REF!</v>
      </c>
      <c r="HW100" t="e">
        <f>AND('BBP complete'!#REF!,"AAAAAF3nO+Y=")</f>
        <v>#REF!</v>
      </c>
      <c r="HX100" t="e">
        <f>AND('BBP complete'!#REF!,"AAAAAF3nO+c=")</f>
        <v>#REF!</v>
      </c>
      <c r="HY100" s="60" t="e">
        <v>#VALUE!</v>
      </c>
      <c r="HZ100" t="e">
        <f>AND('BBP complete'!B1381,"AAAAAF3nO+k=")</f>
        <v>#VALUE!</v>
      </c>
      <c r="IA100" t="e">
        <f>AND('BBP complete'!F1382,"AAAAAF3nO+o=")</f>
        <v>#VALUE!</v>
      </c>
      <c r="IB100" t="e">
        <f>AND('BBP complete'!G1382,"AAAAAF3nO+s=")</f>
        <v>#VALUE!</v>
      </c>
      <c r="IC100" t="e">
        <f>AND('BBP complete'!D1381,"AAAAAF3nO+w=")</f>
        <v>#VALUE!</v>
      </c>
      <c r="ID100" t="e">
        <f>AND('BBP complete'!H1380,"AAAAAF3nO+0=")</f>
        <v>#VALUE!</v>
      </c>
      <c r="IE100" t="e">
        <f>AND('BBP complete'!I1379,"AAAAAF3nO+4=")</f>
        <v>#VALUE!</v>
      </c>
      <c r="IF100" t="e">
        <f>AND('BBP complete'!#REF!,"AAAAAF3nO+8=")</f>
        <v>#REF!</v>
      </c>
      <c r="IG100" t="e">
        <f>AND('BBP complete'!#REF!,"AAAAAF3nO/A=")</f>
        <v>#REF!</v>
      </c>
      <c r="IH100" t="e">
        <f>AND('BBP complete'!#REF!,"AAAAAF3nO/E=")</f>
        <v>#REF!</v>
      </c>
      <c r="II100" t="e">
        <f>AND('BBP complete'!#REF!,"AAAAAF3nO/I=")</f>
        <v>#REF!</v>
      </c>
      <c r="IJ100" t="e">
        <f>AND('BBP complete'!#REF!,"AAAAAF3nO/M=")</f>
        <v>#REF!</v>
      </c>
      <c r="IK100" t="e">
        <f>AND('BBP complete'!C1378,"AAAAAF3nO/Q=")</f>
        <v>#VALUE!</v>
      </c>
      <c r="IL100" t="e">
        <f>AND('BBP complete'!#REF!,"AAAAAF3nO/U=")</f>
        <v>#REF!</v>
      </c>
      <c r="IM100" t="e">
        <f>AND('BBP complete'!#REF!,"AAAAAF3nO/Y=")</f>
        <v>#REF!</v>
      </c>
      <c r="IN100" t="e">
        <f>AND('BBP complete'!#REF!,"AAAAAF3nO/c=")</f>
        <v>#REF!</v>
      </c>
      <c r="IO100" s="60" t="e">
        <v>#VALUE!</v>
      </c>
      <c r="IP100" t="e">
        <f>AND('BBP complete'!B1382,"AAAAAF3nO/k=")</f>
        <v>#VALUE!</v>
      </c>
      <c r="IQ100" t="e">
        <f>AND('BBP complete'!F1383,"AAAAAF3nO/o=")</f>
        <v>#VALUE!</v>
      </c>
      <c r="IR100" t="e">
        <f>AND('BBP complete'!G1383,"AAAAAF3nO/s=")</f>
        <v>#VALUE!</v>
      </c>
      <c r="IS100" t="e">
        <f>AND('BBP complete'!D1382,"AAAAAF3nO/w=")</f>
        <v>#VALUE!</v>
      </c>
      <c r="IT100" t="e">
        <f>AND('BBP complete'!H1381,"AAAAAF3nO/0=")</f>
        <v>#VALUE!</v>
      </c>
      <c r="IU100" t="e">
        <f>AND('BBP complete'!I1380,"AAAAAF3nO/4=")</f>
        <v>#VALUE!</v>
      </c>
      <c r="IV100" t="e">
        <f>AND('BBP complete'!#REF!,"AAAAAF3nO/8=")</f>
        <v>#REF!</v>
      </c>
    </row>
    <row r="101" spans="1:256" ht="15" customHeight="1" x14ac:dyDescent="0.25">
      <c r="A101" t="e">
        <f>AND('BBP complete'!#REF!,"AAAAAD9f/wA=")</f>
        <v>#REF!</v>
      </c>
      <c r="B101" t="e">
        <f>AND('BBP complete'!#REF!,"AAAAAD9f/wE=")</f>
        <v>#REF!</v>
      </c>
      <c r="C101" t="e">
        <f>AND('BBP complete'!#REF!,"AAAAAD9f/wI=")</f>
        <v>#REF!</v>
      </c>
      <c r="D101" t="e">
        <f>AND('BBP complete'!#REF!,"AAAAAD9f/wM=")</f>
        <v>#REF!</v>
      </c>
      <c r="E101" t="e">
        <f>AND('BBP complete'!C1379,"AAAAAD9f/wQ=")</f>
        <v>#VALUE!</v>
      </c>
      <c r="F101" t="e">
        <f>AND('BBP complete'!#REF!,"AAAAAD9f/wU=")</f>
        <v>#REF!</v>
      </c>
      <c r="G101" t="e">
        <f>AND('BBP complete'!#REF!,"AAAAAD9f/wY=")</f>
        <v>#REF!</v>
      </c>
      <c r="H101" t="e">
        <f>AND('BBP complete'!#REF!,"AAAAAD9f/wc=")</f>
        <v>#REF!</v>
      </c>
      <c r="I101" s="60" t="e">
        <v>#VALUE!</v>
      </c>
      <c r="J101" t="e">
        <f>AND('BBP complete'!B1383,"AAAAAD9f/wk=")</f>
        <v>#VALUE!</v>
      </c>
      <c r="K101" t="e">
        <f>AND('BBP complete'!F1384,"AAAAAD9f/wo=")</f>
        <v>#VALUE!</v>
      </c>
      <c r="L101" t="e">
        <f>AND('BBP complete'!G1384,"AAAAAD9f/ws=")</f>
        <v>#VALUE!</v>
      </c>
      <c r="M101" t="e">
        <f>AND('BBP complete'!D1383,"AAAAAD9f/ww=")</f>
        <v>#VALUE!</v>
      </c>
      <c r="N101" t="e">
        <f>AND('BBP complete'!H1382,"AAAAAD9f/w0=")</f>
        <v>#VALUE!</v>
      </c>
      <c r="O101" t="e">
        <f>AND('BBP complete'!I1381,"AAAAAD9f/w4=")</f>
        <v>#VALUE!</v>
      </c>
      <c r="P101" t="e">
        <f>AND('BBP complete'!#REF!,"AAAAAD9f/w8=")</f>
        <v>#REF!</v>
      </c>
      <c r="Q101" t="e">
        <f>AND('BBP complete'!#REF!,"AAAAAD9f/xA=")</f>
        <v>#REF!</v>
      </c>
      <c r="R101" t="e">
        <f>AND('BBP complete'!#REF!,"AAAAAD9f/xE=")</f>
        <v>#REF!</v>
      </c>
      <c r="S101" t="e">
        <f>AND('BBP complete'!#REF!,"AAAAAD9f/xI=")</f>
        <v>#REF!</v>
      </c>
      <c r="T101" t="e">
        <f>AND('BBP complete'!#REF!,"AAAAAD9f/xM=")</f>
        <v>#REF!</v>
      </c>
      <c r="U101" t="e">
        <f>AND('BBP complete'!C1380,"AAAAAD9f/xQ=")</f>
        <v>#VALUE!</v>
      </c>
      <c r="V101" t="e">
        <f>AND('BBP complete'!#REF!,"AAAAAD9f/xU=")</f>
        <v>#REF!</v>
      </c>
      <c r="W101" t="e">
        <f>AND('BBP complete'!#REF!,"AAAAAD9f/xY=")</f>
        <v>#REF!</v>
      </c>
      <c r="X101" t="e">
        <f>AND('BBP complete'!#REF!,"AAAAAD9f/xc=")</f>
        <v>#REF!</v>
      </c>
      <c r="Y101" s="60" t="e">
        <v>#VALUE!</v>
      </c>
      <c r="Z101" t="e">
        <f>AND('BBP complete'!B1384,"AAAAAD9f/xk=")</f>
        <v>#VALUE!</v>
      </c>
      <c r="AA101" t="e">
        <f>AND('BBP complete'!F1385,"AAAAAD9f/xo=")</f>
        <v>#VALUE!</v>
      </c>
      <c r="AB101" t="e">
        <f>AND('BBP complete'!G1385,"AAAAAD9f/xs=")</f>
        <v>#VALUE!</v>
      </c>
      <c r="AC101" t="e">
        <f>AND('BBP complete'!D1384,"AAAAAD9f/xw=")</f>
        <v>#VALUE!</v>
      </c>
      <c r="AD101" t="e">
        <f>AND('BBP complete'!H1383,"AAAAAD9f/x0=")</f>
        <v>#VALUE!</v>
      </c>
      <c r="AE101" t="e">
        <f>AND('BBP complete'!I1382,"AAAAAD9f/x4=")</f>
        <v>#VALUE!</v>
      </c>
      <c r="AF101" t="e">
        <f>AND('BBP complete'!#REF!,"AAAAAD9f/x8=")</f>
        <v>#REF!</v>
      </c>
      <c r="AG101" t="e">
        <f>AND('BBP complete'!#REF!,"AAAAAD9f/yA=")</f>
        <v>#REF!</v>
      </c>
      <c r="AH101" t="e">
        <f>AND('BBP complete'!#REF!,"AAAAAD9f/yE=")</f>
        <v>#REF!</v>
      </c>
      <c r="AI101" t="e">
        <f>AND('BBP complete'!#REF!,"AAAAAD9f/yI=")</f>
        <v>#REF!</v>
      </c>
      <c r="AJ101" t="e">
        <f>AND('BBP complete'!#REF!,"AAAAAD9f/yM=")</f>
        <v>#REF!</v>
      </c>
      <c r="AK101" t="e">
        <f>AND('BBP complete'!C1381,"AAAAAD9f/yQ=")</f>
        <v>#VALUE!</v>
      </c>
      <c r="AL101" t="e">
        <f>AND('BBP complete'!#REF!,"AAAAAD9f/yU=")</f>
        <v>#REF!</v>
      </c>
      <c r="AM101" t="e">
        <f>AND('BBP complete'!#REF!,"AAAAAD9f/yY=")</f>
        <v>#REF!</v>
      </c>
      <c r="AN101" t="e">
        <f>AND('BBP complete'!#REF!,"AAAAAD9f/yc=")</f>
        <v>#REF!</v>
      </c>
      <c r="AO101" s="60" t="e">
        <v>#VALUE!</v>
      </c>
      <c r="AP101" t="e">
        <f>AND('BBP complete'!B1385,"AAAAAD9f/yk=")</f>
        <v>#VALUE!</v>
      </c>
      <c r="AQ101" t="e">
        <f>AND('BBP complete'!F1386,"AAAAAD9f/yo=")</f>
        <v>#VALUE!</v>
      </c>
      <c r="AR101" t="e">
        <f>AND('BBP complete'!G1386,"AAAAAD9f/ys=")</f>
        <v>#VALUE!</v>
      </c>
      <c r="AS101" t="e">
        <f>AND('BBP complete'!D1385,"AAAAAD9f/yw=")</f>
        <v>#VALUE!</v>
      </c>
      <c r="AT101" t="e">
        <f>AND('BBP complete'!H1384,"AAAAAD9f/y0=")</f>
        <v>#VALUE!</v>
      </c>
      <c r="AU101" t="e">
        <f>AND('BBP complete'!I1383,"AAAAAD9f/y4=")</f>
        <v>#VALUE!</v>
      </c>
      <c r="AV101" t="e">
        <f>AND('BBP complete'!#REF!,"AAAAAD9f/y8=")</f>
        <v>#REF!</v>
      </c>
      <c r="AW101" t="e">
        <f>AND('BBP complete'!#REF!,"AAAAAD9f/zA=")</f>
        <v>#REF!</v>
      </c>
      <c r="AX101" t="e">
        <f>AND('BBP complete'!#REF!,"AAAAAD9f/zE=")</f>
        <v>#REF!</v>
      </c>
      <c r="AY101" t="e">
        <f>AND('BBP complete'!#REF!,"AAAAAD9f/zI=")</f>
        <v>#REF!</v>
      </c>
      <c r="AZ101" t="e">
        <f>AND('BBP complete'!#REF!,"AAAAAD9f/zM=")</f>
        <v>#REF!</v>
      </c>
      <c r="BA101" t="e">
        <f>AND('BBP complete'!C1382,"AAAAAD9f/zQ=")</f>
        <v>#VALUE!</v>
      </c>
      <c r="BB101" t="e">
        <f>AND('BBP complete'!#REF!,"AAAAAD9f/zU=")</f>
        <v>#REF!</v>
      </c>
      <c r="BC101" t="e">
        <f>AND('BBP complete'!#REF!,"AAAAAD9f/zY=")</f>
        <v>#REF!</v>
      </c>
      <c r="BD101" t="e">
        <f>AND('BBP complete'!#REF!,"AAAAAD9f/zc=")</f>
        <v>#REF!</v>
      </c>
      <c r="BE101" s="60" t="e">
        <v>#VALUE!</v>
      </c>
      <c r="BF101" t="e">
        <f>AND('BBP complete'!B1386,"AAAAAD9f/zk=")</f>
        <v>#VALUE!</v>
      </c>
      <c r="BG101" t="e">
        <f>AND('BBP complete'!F1387,"AAAAAD9f/zo=")</f>
        <v>#VALUE!</v>
      </c>
      <c r="BH101" t="e">
        <f>AND('BBP complete'!G1387,"AAAAAD9f/zs=")</f>
        <v>#VALUE!</v>
      </c>
      <c r="BI101" t="e">
        <f>AND('BBP complete'!D1386,"AAAAAD9f/zw=")</f>
        <v>#VALUE!</v>
      </c>
      <c r="BJ101" t="e">
        <f>AND('BBP complete'!H1385,"AAAAAD9f/z0=")</f>
        <v>#VALUE!</v>
      </c>
      <c r="BK101" t="e">
        <f>AND('BBP complete'!I1384,"AAAAAD9f/z4=")</f>
        <v>#VALUE!</v>
      </c>
      <c r="BL101" t="e">
        <f>AND('BBP complete'!#REF!,"AAAAAD9f/z8=")</f>
        <v>#REF!</v>
      </c>
      <c r="BM101" t="e">
        <f>AND('BBP complete'!#REF!,"AAAAAD9f/0A=")</f>
        <v>#REF!</v>
      </c>
      <c r="BN101" t="e">
        <f>AND('BBP complete'!#REF!,"AAAAAD9f/0E=")</f>
        <v>#REF!</v>
      </c>
      <c r="BO101" t="e">
        <f>AND('BBP complete'!#REF!,"AAAAAD9f/0I=")</f>
        <v>#REF!</v>
      </c>
      <c r="BP101" t="e">
        <f>AND('BBP complete'!#REF!,"AAAAAD9f/0M=")</f>
        <v>#REF!</v>
      </c>
      <c r="BQ101" t="e">
        <f>AND('BBP complete'!C1383,"AAAAAD9f/0Q=")</f>
        <v>#VALUE!</v>
      </c>
      <c r="BR101" t="e">
        <f>AND('BBP complete'!#REF!,"AAAAAD9f/0U=")</f>
        <v>#REF!</v>
      </c>
      <c r="BS101" t="e">
        <f>AND('BBP complete'!#REF!,"AAAAAD9f/0Y=")</f>
        <v>#REF!</v>
      </c>
      <c r="BT101" t="e">
        <f>AND('BBP complete'!#REF!,"AAAAAD9f/0c=")</f>
        <v>#REF!</v>
      </c>
      <c r="BU101" s="60" t="e">
        <v>#VALUE!</v>
      </c>
      <c r="BV101" t="e">
        <f>AND('BBP complete'!B1387,"AAAAAD9f/0k=")</f>
        <v>#VALUE!</v>
      </c>
      <c r="BW101" t="e">
        <f>AND('BBP complete'!F1388,"AAAAAD9f/0o=")</f>
        <v>#VALUE!</v>
      </c>
      <c r="BX101" t="e">
        <f>AND('BBP complete'!G1388,"AAAAAD9f/0s=")</f>
        <v>#VALUE!</v>
      </c>
      <c r="BY101" t="e">
        <f>AND('BBP complete'!D1387,"AAAAAD9f/0w=")</f>
        <v>#VALUE!</v>
      </c>
      <c r="BZ101" t="e">
        <f>AND('BBP complete'!H1386,"AAAAAD9f/00=")</f>
        <v>#VALUE!</v>
      </c>
      <c r="CA101" t="e">
        <f>AND('BBP complete'!I1385,"AAAAAD9f/04=")</f>
        <v>#VALUE!</v>
      </c>
      <c r="CB101" t="e">
        <f>AND('BBP complete'!#REF!,"AAAAAD9f/08=")</f>
        <v>#REF!</v>
      </c>
      <c r="CC101" t="e">
        <f>AND('BBP complete'!#REF!,"AAAAAD9f/1A=")</f>
        <v>#REF!</v>
      </c>
      <c r="CD101" t="e">
        <f>AND('BBP complete'!#REF!,"AAAAAD9f/1E=")</f>
        <v>#REF!</v>
      </c>
      <c r="CE101" t="e">
        <f>AND('BBP complete'!#REF!,"AAAAAD9f/1I=")</f>
        <v>#REF!</v>
      </c>
      <c r="CF101" t="e">
        <f>AND('BBP complete'!#REF!,"AAAAAD9f/1M=")</f>
        <v>#REF!</v>
      </c>
      <c r="CG101" t="e">
        <f>AND('BBP complete'!C1384,"AAAAAD9f/1Q=")</f>
        <v>#VALUE!</v>
      </c>
      <c r="CH101" t="e">
        <f>AND('BBP complete'!#REF!,"AAAAAD9f/1U=")</f>
        <v>#REF!</v>
      </c>
      <c r="CI101" t="e">
        <f>AND('BBP complete'!#REF!,"AAAAAD9f/1Y=")</f>
        <v>#REF!</v>
      </c>
      <c r="CJ101" t="e">
        <f>AND('BBP complete'!#REF!,"AAAAAD9f/1c=")</f>
        <v>#REF!</v>
      </c>
      <c r="CK101" s="60" t="e">
        <v>#VALUE!</v>
      </c>
      <c r="CL101" t="e">
        <f>AND('BBP complete'!B1388,"AAAAAD9f/1k=")</f>
        <v>#VALUE!</v>
      </c>
      <c r="CM101" t="e">
        <f>AND('BBP complete'!F1389,"AAAAAD9f/1o=")</f>
        <v>#VALUE!</v>
      </c>
      <c r="CN101" t="e">
        <f>AND('BBP complete'!G1389,"AAAAAD9f/1s=")</f>
        <v>#VALUE!</v>
      </c>
      <c r="CO101" t="e">
        <f>AND('BBP complete'!D1388,"AAAAAD9f/1w=")</f>
        <v>#VALUE!</v>
      </c>
      <c r="CP101" t="e">
        <f>AND('BBP complete'!H1387,"AAAAAD9f/10=")</f>
        <v>#VALUE!</v>
      </c>
      <c r="CQ101" t="e">
        <f>AND('BBP complete'!I1386,"AAAAAD9f/14=")</f>
        <v>#VALUE!</v>
      </c>
      <c r="CR101" t="e">
        <f>AND('BBP complete'!#REF!,"AAAAAD9f/18=")</f>
        <v>#REF!</v>
      </c>
      <c r="CS101" t="e">
        <f>AND('BBP complete'!#REF!,"AAAAAD9f/2A=")</f>
        <v>#REF!</v>
      </c>
      <c r="CT101" t="e">
        <f>AND('BBP complete'!#REF!,"AAAAAD9f/2E=")</f>
        <v>#REF!</v>
      </c>
      <c r="CU101" t="e">
        <f>AND('BBP complete'!#REF!,"AAAAAD9f/2I=")</f>
        <v>#REF!</v>
      </c>
      <c r="CV101" t="e">
        <f>AND('BBP complete'!#REF!,"AAAAAD9f/2M=")</f>
        <v>#REF!</v>
      </c>
      <c r="CW101" t="e">
        <f>AND('BBP complete'!C1385,"AAAAAD9f/2Q=")</f>
        <v>#VALUE!</v>
      </c>
      <c r="CX101" t="e">
        <f>AND('BBP complete'!#REF!,"AAAAAD9f/2U=")</f>
        <v>#REF!</v>
      </c>
      <c r="CY101" t="e">
        <f>AND('BBP complete'!#REF!,"AAAAAD9f/2Y=")</f>
        <v>#REF!</v>
      </c>
      <c r="CZ101" t="e">
        <f>AND('BBP complete'!#REF!,"AAAAAD9f/2c=")</f>
        <v>#REF!</v>
      </c>
      <c r="DA101" s="60" t="e">
        <v>#VALUE!</v>
      </c>
      <c r="DB101" t="e">
        <f>AND('BBP complete'!B1389,"AAAAAD9f/2k=")</f>
        <v>#VALUE!</v>
      </c>
      <c r="DC101" t="e">
        <f>AND('BBP complete'!F1390,"AAAAAD9f/2o=")</f>
        <v>#VALUE!</v>
      </c>
      <c r="DD101" t="e">
        <f>AND('BBP complete'!G1390,"AAAAAD9f/2s=")</f>
        <v>#VALUE!</v>
      </c>
      <c r="DE101" t="e">
        <f>AND('BBP complete'!D1389,"AAAAAD9f/2w=")</f>
        <v>#VALUE!</v>
      </c>
      <c r="DF101" t="e">
        <f>AND('BBP complete'!H1388,"AAAAAD9f/20=")</f>
        <v>#VALUE!</v>
      </c>
      <c r="DG101" t="e">
        <f>AND('BBP complete'!I1387,"AAAAAD9f/24=")</f>
        <v>#VALUE!</v>
      </c>
      <c r="DH101" t="e">
        <f>AND('BBP complete'!#REF!,"AAAAAD9f/28=")</f>
        <v>#REF!</v>
      </c>
      <c r="DI101" t="e">
        <f>AND('BBP complete'!#REF!,"AAAAAD9f/3A=")</f>
        <v>#REF!</v>
      </c>
      <c r="DJ101" t="e">
        <f>AND('BBP complete'!#REF!,"AAAAAD9f/3E=")</f>
        <v>#REF!</v>
      </c>
      <c r="DK101" t="e">
        <f>AND('BBP complete'!#REF!,"AAAAAD9f/3I=")</f>
        <v>#REF!</v>
      </c>
      <c r="DL101" t="e">
        <f>AND('BBP complete'!#REF!,"AAAAAD9f/3M=")</f>
        <v>#REF!</v>
      </c>
      <c r="DM101" t="e">
        <f>AND('BBP complete'!C1386,"AAAAAD9f/3Q=")</f>
        <v>#VALUE!</v>
      </c>
      <c r="DN101" t="e">
        <f>AND('BBP complete'!#REF!,"AAAAAD9f/3U=")</f>
        <v>#REF!</v>
      </c>
      <c r="DO101" t="e">
        <f>AND('BBP complete'!#REF!,"AAAAAD9f/3Y=")</f>
        <v>#REF!</v>
      </c>
      <c r="DP101" t="e">
        <f>AND('BBP complete'!#REF!,"AAAAAD9f/3c=")</f>
        <v>#REF!</v>
      </c>
      <c r="DQ101" s="60" t="e">
        <v>#VALUE!</v>
      </c>
      <c r="DR101" t="e">
        <f>AND('BBP complete'!B1390,"AAAAAD9f/3k=")</f>
        <v>#VALUE!</v>
      </c>
      <c r="DS101" t="e">
        <f>AND('BBP complete'!F1391,"AAAAAD9f/3o=")</f>
        <v>#VALUE!</v>
      </c>
      <c r="DT101" t="e">
        <f>AND('BBP complete'!G1391,"AAAAAD9f/3s=")</f>
        <v>#VALUE!</v>
      </c>
      <c r="DU101" t="e">
        <f>AND('BBP complete'!D1390,"AAAAAD9f/3w=")</f>
        <v>#VALUE!</v>
      </c>
      <c r="DV101" t="e">
        <f>AND('BBP complete'!H1389,"AAAAAD9f/30=")</f>
        <v>#VALUE!</v>
      </c>
      <c r="DW101" t="e">
        <f>AND('BBP complete'!I1388,"AAAAAD9f/34=")</f>
        <v>#VALUE!</v>
      </c>
      <c r="DX101" t="e">
        <f>AND('BBP complete'!#REF!,"AAAAAD9f/38=")</f>
        <v>#REF!</v>
      </c>
      <c r="DY101" t="e">
        <f>AND('BBP complete'!#REF!,"AAAAAD9f/4A=")</f>
        <v>#REF!</v>
      </c>
      <c r="DZ101" t="e">
        <f>AND('BBP complete'!#REF!,"AAAAAD9f/4E=")</f>
        <v>#REF!</v>
      </c>
      <c r="EA101" t="e">
        <f>AND('BBP complete'!#REF!,"AAAAAD9f/4I=")</f>
        <v>#REF!</v>
      </c>
      <c r="EB101" t="e">
        <f>AND('BBP complete'!#REF!,"AAAAAD9f/4M=")</f>
        <v>#REF!</v>
      </c>
      <c r="EC101" t="e">
        <f>AND('BBP complete'!C1387,"AAAAAD9f/4Q=")</f>
        <v>#VALUE!</v>
      </c>
      <c r="ED101" t="e">
        <f>AND('BBP complete'!#REF!,"AAAAAD9f/4U=")</f>
        <v>#REF!</v>
      </c>
      <c r="EE101" t="e">
        <f>AND('BBP complete'!#REF!,"AAAAAD9f/4Y=")</f>
        <v>#REF!</v>
      </c>
      <c r="EF101" t="e">
        <f>AND('BBP complete'!#REF!,"AAAAAD9f/4c=")</f>
        <v>#REF!</v>
      </c>
      <c r="EG101" s="60" t="e">
        <v>#VALUE!</v>
      </c>
      <c r="EH101" t="e">
        <f>AND('BBP complete'!B1391,"AAAAAD9f/4k=")</f>
        <v>#VALUE!</v>
      </c>
      <c r="EI101" t="e">
        <f>AND('BBP complete'!F1392,"AAAAAD9f/4o=")</f>
        <v>#VALUE!</v>
      </c>
      <c r="EJ101" t="e">
        <f>AND('BBP complete'!G1392,"AAAAAD9f/4s=")</f>
        <v>#VALUE!</v>
      </c>
      <c r="EK101" t="e">
        <f>AND('BBP complete'!D1391,"AAAAAD9f/4w=")</f>
        <v>#VALUE!</v>
      </c>
      <c r="EL101" t="e">
        <f>AND('BBP complete'!H1390,"AAAAAD9f/40=")</f>
        <v>#VALUE!</v>
      </c>
      <c r="EM101" t="e">
        <f>AND('BBP complete'!I1389,"AAAAAD9f/44=")</f>
        <v>#VALUE!</v>
      </c>
      <c r="EN101" t="e">
        <f>AND('BBP complete'!#REF!,"AAAAAD9f/48=")</f>
        <v>#REF!</v>
      </c>
      <c r="EO101" t="e">
        <f>AND('BBP complete'!#REF!,"AAAAAD9f/5A=")</f>
        <v>#REF!</v>
      </c>
      <c r="EP101" t="e">
        <f>AND('BBP complete'!#REF!,"AAAAAD9f/5E=")</f>
        <v>#REF!</v>
      </c>
      <c r="EQ101" t="e">
        <f>AND('BBP complete'!#REF!,"AAAAAD9f/5I=")</f>
        <v>#REF!</v>
      </c>
      <c r="ER101" t="e">
        <f>AND('BBP complete'!#REF!,"AAAAAD9f/5M=")</f>
        <v>#REF!</v>
      </c>
      <c r="ES101" t="e">
        <f>AND('BBP complete'!C1388,"AAAAAD9f/5Q=")</f>
        <v>#VALUE!</v>
      </c>
      <c r="ET101" t="e">
        <f>AND('BBP complete'!M1436,"AAAAAD9f/5U=")</f>
        <v>#VALUE!</v>
      </c>
      <c r="EU101" t="e">
        <f>AND('BBP complete'!N1436,"AAAAAD9f/5Y=")</f>
        <v>#VALUE!</v>
      </c>
      <c r="EV101" t="e">
        <f>AND('BBP complete'!P1450,"AAAAAD9f/5c=")</f>
        <v>#VALUE!</v>
      </c>
      <c r="EW101" s="60" t="e">
        <v>#VALUE!</v>
      </c>
      <c r="EX101" t="e">
        <f>AND('BBP complete'!B1392,"AAAAAD9f/5k=")</f>
        <v>#VALUE!</v>
      </c>
      <c r="EY101" t="e">
        <f>AND('BBP complete'!F1393,"AAAAAD9f/5o=")</f>
        <v>#VALUE!</v>
      </c>
      <c r="EZ101" t="e">
        <f>AND('BBP complete'!G1393,"AAAAAD9f/5s=")</f>
        <v>#VALUE!</v>
      </c>
      <c r="FA101" t="e">
        <f>AND('BBP complete'!D1392,"AAAAAD9f/5w=")</f>
        <v>#VALUE!</v>
      </c>
      <c r="FB101" t="e">
        <f>AND('BBP complete'!H1391,"AAAAAD9f/50=")</f>
        <v>#VALUE!</v>
      </c>
      <c r="FC101" t="e">
        <f>AND('BBP complete'!I1390,"AAAAAD9f/54=")</f>
        <v>#VALUE!</v>
      </c>
      <c r="FD101" t="e">
        <f>AND('BBP complete'!#REF!,"AAAAAD9f/58=")</f>
        <v>#REF!</v>
      </c>
      <c r="FE101" t="e">
        <f>AND('BBP complete'!#REF!,"AAAAAD9f/6A=")</f>
        <v>#REF!</v>
      </c>
      <c r="FF101" t="e">
        <f>AND('BBP complete'!#REF!,"AAAAAD9f/6E=")</f>
        <v>#REF!</v>
      </c>
      <c r="FG101" t="e">
        <f>AND('BBP complete'!#REF!,"AAAAAD9f/6I=")</f>
        <v>#REF!</v>
      </c>
      <c r="FH101" t="e">
        <f>AND('BBP complete'!#REF!,"AAAAAD9f/6M=")</f>
        <v>#REF!</v>
      </c>
      <c r="FI101" t="e">
        <f>AND('BBP complete'!C1389,"AAAAAD9f/6Q=")</f>
        <v>#VALUE!</v>
      </c>
      <c r="FJ101" t="e">
        <f>AND('BBP complete'!M1437,"AAAAAD9f/6U=")</f>
        <v>#VALUE!</v>
      </c>
      <c r="FK101" t="e">
        <f>AND('BBP complete'!N1437,"AAAAAD9f/6Y=")</f>
        <v>#VALUE!</v>
      </c>
      <c r="FL101" t="e">
        <f>AND('BBP complete'!P1451,"AAAAAD9f/6c=")</f>
        <v>#VALUE!</v>
      </c>
      <c r="FM101" s="60" t="e">
        <v>#VALUE!</v>
      </c>
      <c r="FN101" t="e">
        <f>AND('BBP complete'!B1393,"AAAAAD9f/6k=")</f>
        <v>#VALUE!</v>
      </c>
      <c r="FO101" t="e">
        <f>AND('BBP complete'!F1394,"AAAAAD9f/6o=")</f>
        <v>#VALUE!</v>
      </c>
      <c r="FP101" t="e">
        <f>AND('BBP complete'!G1394,"AAAAAD9f/6s=")</f>
        <v>#VALUE!</v>
      </c>
      <c r="FQ101" t="e">
        <f>AND('BBP complete'!D1393,"AAAAAD9f/6w=")</f>
        <v>#VALUE!</v>
      </c>
      <c r="FR101" t="e">
        <f>AND('BBP complete'!H1392,"AAAAAD9f/60=")</f>
        <v>#VALUE!</v>
      </c>
      <c r="FS101" t="e">
        <f>AND('BBP complete'!I1391,"AAAAAD9f/64=")</f>
        <v>#VALUE!</v>
      </c>
      <c r="FT101" t="e">
        <f>AND('BBP complete'!#REF!,"AAAAAD9f/68=")</f>
        <v>#REF!</v>
      </c>
      <c r="FU101" t="e">
        <f>AND('BBP complete'!#REF!,"AAAAAD9f/7A=")</f>
        <v>#REF!</v>
      </c>
      <c r="FV101" t="e">
        <f>AND('BBP complete'!#REF!,"AAAAAD9f/7E=")</f>
        <v>#REF!</v>
      </c>
      <c r="FW101" t="e">
        <f>AND('BBP complete'!#REF!,"AAAAAD9f/7I=")</f>
        <v>#REF!</v>
      </c>
      <c r="FX101" t="e">
        <f>AND('BBP complete'!#REF!,"AAAAAD9f/7M=")</f>
        <v>#REF!</v>
      </c>
      <c r="FY101" t="e">
        <f>AND('BBP complete'!C1390,"AAAAAD9f/7Q=")</f>
        <v>#VALUE!</v>
      </c>
      <c r="FZ101" t="e">
        <f>AND('BBP complete'!M1438,"AAAAAD9f/7U=")</f>
        <v>#VALUE!</v>
      </c>
      <c r="GA101" t="e">
        <f>AND('BBP complete'!N1438,"AAAAAD9f/7Y=")</f>
        <v>#VALUE!</v>
      </c>
      <c r="GB101" t="e">
        <f>AND('BBP complete'!P1452,"AAAAAD9f/7c=")</f>
        <v>#VALUE!</v>
      </c>
      <c r="GC101" s="60" t="e">
        <v>#VALUE!</v>
      </c>
      <c r="GD101" t="e">
        <f>AND('BBP complete'!B1394,"AAAAAD9f/7k=")</f>
        <v>#VALUE!</v>
      </c>
      <c r="GE101" t="e">
        <f>AND('BBP complete'!F1395,"AAAAAD9f/7o=")</f>
        <v>#VALUE!</v>
      </c>
      <c r="GF101" t="e">
        <f>AND('BBP complete'!G1395,"AAAAAD9f/7s=")</f>
        <v>#VALUE!</v>
      </c>
      <c r="GG101" t="e">
        <f>AND('BBP complete'!D1394,"AAAAAD9f/7w=")</f>
        <v>#VALUE!</v>
      </c>
      <c r="GH101" t="e">
        <f>AND('BBP complete'!H1393,"AAAAAD9f/70=")</f>
        <v>#VALUE!</v>
      </c>
      <c r="GI101" t="e">
        <f>AND('BBP complete'!I1392,"AAAAAD9f/74=")</f>
        <v>#VALUE!</v>
      </c>
      <c r="GJ101" t="e">
        <f>AND('BBP complete'!#REF!,"AAAAAD9f/78=")</f>
        <v>#REF!</v>
      </c>
      <c r="GK101" t="e">
        <f>AND('BBP complete'!#REF!,"AAAAAD9f/8A=")</f>
        <v>#REF!</v>
      </c>
      <c r="GL101" t="e">
        <f>AND('BBP complete'!#REF!,"AAAAAD9f/8E=")</f>
        <v>#REF!</v>
      </c>
      <c r="GM101" t="e">
        <f>AND('BBP complete'!#REF!,"AAAAAD9f/8I=")</f>
        <v>#REF!</v>
      </c>
      <c r="GN101" t="e">
        <f>AND('BBP complete'!#REF!,"AAAAAD9f/8M=")</f>
        <v>#REF!</v>
      </c>
      <c r="GO101" t="e">
        <f>AND('BBP complete'!C1391,"AAAAAD9f/8Q=")</f>
        <v>#VALUE!</v>
      </c>
      <c r="GP101" t="e">
        <f>AND('BBP complete'!M1439,"AAAAAD9f/8U=")</f>
        <v>#VALUE!</v>
      </c>
      <c r="GQ101" t="e">
        <f>AND('BBP complete'!N1439,"AAAAAD9f/8Y=")</f>
        <v>#VALUE!</v>
      </c>
      <c r="GR101" t="e">
        <f>AND('BBP complete'!P1453,"AAAAAD9f/8c=")</f>
        <v>#VALUE!</v>
      </c>
      <c r="GS101" s="60" t="e">
        <v>#VALUE!</v>
      </c>
      <c r="GT101" t="e">
        <f>AND('BBP complete'!B1395,"AAAAAD9f/8k=")</f>
        <v>#VALUE!</v>
      </c>
      <c r="GU101" t="e">
        <f>AND('BBP complete'!F1396,"AAAAAD9f/8o=")</f>
        <v>#VALUE!</v>
      </c>
      <c r="GV101" t="e">
        <f>AND('BBP complete'!G1396,"AAAAAD9f/8s=")</f>
        <v>#VALUE!</v>
      </c>
      <c r="GW101" t="e">
        <f>AND('BBP complete'!D1395,"AAAAAD9f/8w=")</f>
        <v>#VALUE!</v>
      </c>
      <c r="GX101" t="e">
        <f>AND('BBP complete'!H1394,"AAAAAD9f/80=")</f>
        <v>#VALUE!</v>
      </c>
      <c r="GY101" t="e">
        <f>AND('BBP complete'!I1393,"AAAAAD9f/84=")</f>
        <v>#VALUE!</v>
      </c>
      <c r="GZ101" t="e">
        <f>AND('BBP complete'!#REF!,"AAAAAD9f/88=")</f>
        <v>#REF!</v>
      </c>
      <c r="HA101" t="e">
        <f>AND('BBP complete'!#REF!,"AAAAAD9f/9A=")</f>
        <v>#REF!</v>
      </c>
      <c r="HB101" t="e">
        <f>AND('BBP complete'!#REF!,"AAAAAD9f/9E=")</f>
        <v>#REF!</v>
      </c>
      <c r="HC101" t="e">
        <f>AND('BBP complete'!#REF!,"AAAAAD9f/9I=")</f>
        <v>#REF!</v>
      </c>
      <c r="HD101" t="e">
        <f>AND('BBP complete'!#REF!,"AAAAAD9f/9M=")</f>
        <v>#REF!</v>
      </c>
      <c r="HE101" t="e">
        <f>AND('BBP complete'!C1392,"AAAAAD9f/9Q=")</f>
        <v>#VALUE!</v>
      </c>
      <c r="HF101" t="e">
        <f>AND('BBP complete'!M1377,"AAAAAD9f/9U=")</f>
        <v>#VALUE!</v>
      </c>
      <c r="HG101" t="e">
        <f>AND('BBP complete'!N1377,"AAAAAD9f/9Y=")</f>
        <v>#VALUE!</v>
      </c>
      <c r="HH101" t="e">
        <f>AND('BBP complete'!P1391,"AAAAAD9f/9c=")</f>
        <v>#VALUE!</v>
      </c>
      <c r="HI101" s="60" t="e">
        <v>#VALUE!</v>
      </c>
      <c r="HJ101" t="e">
        <f>AND('BBP complete'!B1396,"AAAAAD9f/9k=")</f>
        <v>#VALUE!</v>
      </c>
      <c r="HK101" t="e">
        <f>AND('BBP complete'!F1397,"AAAAAD9f/9o=")</f>
        <v>#VALUE!</v>
      </c>
      <c r="HL101" t="e">
        <f>AND('BBP complete'!G1397,"AAAAAD9f/9s=")</f>
        <v>#VALUE!</v>
      </c>
      <c r="HM101" t="e">
        <f>AND('BBP complete'!D1396,"AAAAAD9f/9w=")</f>
        <v>#VALUE!</v>
      </c>
      <c r="HN101" t="e">
        <f>AND('BBP complete'!H1395,"AAAAAD9f/90=")</f>
        <v>#VALUE!</v>
      </c>
      <c r="HO101" t="e">
        <f>AND('BBP complete'!I1394,"AAAAAD9f/94=")</f>
        <v>#VALUE!</v>
      </c>
      <c r="HP101" t="e">
        <f>AND('BBP complete'!#REF!,"AAAAAD9f/98=")</f>
        <v>#REF!</v>
      </c>
      <c r="HQ101" t="e">
        <f>AND('BBP complete'!#REF!,"AAAAAD9f/+A=")</f>
        <v>#REF!</v>
      </c>
      <c r="HR101" t="e">
        <f>AND('BBP complete'!#REF!,"AAAAAD9f/+E=")</f>
        <v>#REF!</v>
      </c>
      <c r="HS101" t="e">
        <f>AND('BBP complete'!#REF!,"AAAAAD9f/+I=")</f>
        <v>#REF!</v>
      </c>
      <c r="HT101" t="e">
        <f>AND('BBP complete'!#REF!,"AAAAAD9f/+M=")</f>
        <v>#REF!</v>
      </c>
      <c r="HU101" t="e">
        <f>AND('BBP complete'!C1393,"AAAAAD9f/+Q=")</f>
        <v>#VALUE!</v>
      </c>
      <c r="HV101" t="e">
        <f>AND('BBP complete'!M1378,"AAAAAD9f/+U=")</f>
        <v>#VALUE!</v>
      </c>
      <c r="HW101" t="e">
        <f>AND('BBP complete'!N1378,"AAAAAD9f/+Y=")</f>
        <v>#VALUE!</v>
      </c>
      <c r="HX101" t="e">
        <f>AND('BBP complete'!P1392,"AAAAAD9f/+c=")</f>
        <v>#VALUE!</v>
      </c>
      <c r="HY101" s="60" t="e">
        <v>#VALUE!</v>
      </c>
      <c r="HZ101" t="e">
        <f>AND('BBP complete'!B1397,"AAAAAD9f/+k=")</f>
        <v>#VALUE!</v>
      </c>
      <c r="IA101" t="e">
        <f>AND('BBP complete'!F1398,"AAAAAD9f/+o=")</f>
        <v>#VALUE!</v>
      </c>
      <c r="IB101" t="e">
        <f>AND('BBP complete'!G1398,"AAAAAD9f/+s=")</f>
        <v>#VALUE!</v>
      </c>
      <c r="IC101" t="e">
        <f>AND('BBP complete'!D1397,"AAAAAD9f/+w=")</f>
        <v>#VALUE!</v>
      </c>
      <c r="ID101" t="e">
        <f>AND('BBP complete'!H1396,"AAAAAD9f/+0=")</f>
        <v>#VALUE!</v>
      </c>
      <c r="IE101" t="e">
        <f>AND('BBP complete'!I1395,"AAAAAD9f/+4=")</f>
        <v>#VALUE!</v>
      </c>
      <c r="IF101" t="e">
        <f>AND('BBP complete'!#REF!,"AAAAAD9f/+8=")</f>
        <v>#REF!</v>
      </c>
      <c r="IG101" t="e">
        <f>AND('BBP complete'!#REF!,"AAAAAD9f//A=")</f>
        <v>#REF!</v>
      </c>
      <c r="IH101" t="e">
        <f>AND('BBP complete'!#REF!,"AAAAAD9f//E=")</f>
        <v>#REF!</v>
      </c>
      <c r="II101" t="e">
        <f>AND('BBP complete'!#REF!,"AAAAAD9f//I=")</f>
        <v>#REF!</v>
      </c>
      <c r="IJ101" t="e">
        <f>AND('BBP complete'!#REF!,"AAAAAD9f//M=")</f>
        <v>#REF!</v>
      </c>
      <c r="IK101" t="e">
        <f>AND('BBP complete'!C1394,"AAAAAD9f//Q=")</f>
        <v>#VALUE!</v>
      </c>
      <c r="IL101" t="e">
        <f>AND('BBP complete'!M1379,"AAAAAD9f//U=")</f>
        <v>#VALUE!</v>
      </c>
      <c r="IM101" t="e">
        <f>AND('BBP complete'!N1379,"AAAAAD9f//Y=")</f>
        <v>#VALUE!</v>
      </c>
      <c r="IN101" t="e">
        <f>AND('BBP complete'!P1393,"AAAAAD9f//c=")</f>
        <v>#VALUE!</v>
      </c>
      <c r="IO101" s="60" t="e">
        <v>#VALUE!</v>
      </c>
      <c r="IP101" t="e">
        <f>AND('BBP complete'!B1398,"AAAAAD9f//k=")</f>
        <v>#VALUE!</v>
      </c>
      <c r="IQ101" t="e">
        <f>AND('BBP complete'!F1399,"AAAAAD9f//o=")</f>
        <v>#VALUE!</v>
      </c>
      <c r="IR101" t="e">
        <f>AND('BBP complete'!G1399,"AAAAAD9f//s=")</f>
        <v>#VALUE!</v>
      </c>
      <c r="IS101" t="e">
        <f>AND('BBP complete'!D1398,"AAAAAD9f//w=")</f>
        <v>#VALUE!</v>
      </c>
      <c r="IT101" t="e">
        <f>AND('BBP complete'!H1397,"AAAAAD9f//0=")</f>
        <v>#VALUE!</v>
      </c>
      <c r="IU101" t="e">
        <f>AND('BBP complete'!I1396,"AAAAAD9f//4=")</f>
        <v>#VALUE!</v>
      </c>
      <c r="IV101" t="e">
        <f>AND('BBP complete'!#REF!,"AAAAAD9f//8=")</f>
        <v>#REF!</v>
      </c>
    </row>
    <row r="102" spans="1:256" ht="15" customHeight="1" x14ac:dyDescent="0.25">
      <c r="A102" t="e">
        <f>AND('BBP complete'!#REF!,"AAAAAD/3/gA=")</f>
        <v>#REF!</v>
      </c>
      <c r="B102" t="e">
        <f>AND('BBP complete'!#REF!,"AAAAAD/3/gE=")</f>
        <v>#REF!</v>
      </c>
      <c r="C102" t="e">
        <f>AND('BBP complete'!#REF!,"AAAAAD/3/gI=")</f>
        <v>#REF!</v>
      </c>
      <c r="D102" t="e">
        <f>AND('BBP complete'!#REF!,"AAAAAD/3/gM=")</f>
        <v>#REF!</v>
      </c>
      <c r="E102" t="e">
        <f>AND('BBP complete'!C1395,"AAAAAD/3/gQ=")</f>
        <v>#VALUE!</v>
      </c>
      <c r="F102" t="e">
        <f>AND('BBP complete'!M1380,"AAAAAD/3/gU=")</f>
        <v>#VALUE!</v>
      </c>
      <c r="G102" t="e">
        <f>AND('BBP complete'!N1380,"AAAAAD/3/gY=")</f>
        <v>#VALUE!</v>
      </c>
      <c r="H102" t="e">
        <f>AND('BBP complete'!P1394,"AAAAAD/3/gc=")</f>
        <v>#VALUE!</v>
      </c>
      <c r="I102" s="60" t="e">
        <v>#VALUE!</v>
      </c>
      <c r="J102" t="e">
        <f>AND('BBP complete'!B1399,"AAAAAD/3/gk=")</f>
        <v>#VALUE!</v>
      </c>
      <c r="K102" t="e">
        <f>AND('BBP complete'!F1400,"AAAAAD/3/go=")</f>
        <v>#VALUE!</v>
      </c>
      <c r="L102" t="e">
        <f>AND('BBP complete'!G1400,"AAAAAD/3/gs=")</f>
        <v>#VALUE!</v>
      </c>
      <c r="M102" t="e">
        <f>AND('BBP complete'!D1399,"AAAAAD/3/gw=")</f>
        <v>#VALUE!</v>
      </c>
      <c r="N102" t="e">
        <f>AND('BBP complete'!H1398,"AAAAAD/3/g0=")</f>
        <v>#VALUE!</v>
      </c>
      <c r="O102" t="e">
        <f>AND('BBP complete'!I1397,"AAAAAD/3/g4=")</f>
        <v>#VALUE!</v>
      </c>
      <c r="P102" t="e">
        <f>AND('BBP complete'!#REF!,"AAAAAD/3/g8=")</f>
        <v>#REF!</v>
      </c>
      <c r="Q102" t="e">
        <f>AND('BBP complete'!#REF!,"AAAAAD/3/hA=")</f>
        <v>#REF!</v>
      </c>
      <c r="R102" t="e">
        <f>AND('BBP complete'!#REF!,"AAAAAD/3/hE=")</f>
        <v>#REF!</v>
      </c>
      <c r="S102" t="e">
        <f>AND('BBP complete'!#REF!,"AAAAAD/3/hI=")</f>
        <v>#REF!</v>
      </c>
      <c r="T102" t="e">
        <f>AND('BBP complete'!#REF!,"AAAAAD/3/hM=")</f>
        <v>#REF!</v>
      </c>
      <c r="U102" t="e">
        <f>AND('BBP complete'!C1396,"AAAAAD/3/hQ=")</f>
        <v>#VALUE!</v>
      </c>
      <c r="V102" t="e">
        <f>AND('BBP complete'!M1381,"AAAAAD/3/hU=")</f>
        <v>#VALUE!</v>
      </c>
      <c r="W102" t="e">
        <f>AND('BBP complete'!N1381,"AAAAAD/3/hY=")</f>
        <v>#VALUE!</v>
      </c>
      <c r="X102" t="e">
        <f>AND('BBP complete'!P1395,"AAAAAD/3/hc=")</f>
        <v>#VALUE!</v>
      </c>
      <c r="Y102" s="60" t="e">
        <v>#VALUE!</v>
      </c>
      <c r="Z102" t="e">
        <f>AND('BBP complete'!B1400,"AAAAAD/3/hk=")</f>
        <v>#VALUE!</v>
      </c>
      <c r="AA102" t="e">
        <f>AND('BBP complete'!F1401,"AAAAAD/3/ho=")</f>
        <v>#VALUE!</v>
      </c>
      <c r="AB102" t="e">
        <f>AND('BBP complete'!G1401,"AAAAAD/3/hs=")</f>
        <v>#VALUE!</v>
      </c>
      <c r="AC102" t="e">
        <f>AND('BBP complete'!D1400,"AAAAAD/3/hw=")</f>
        <v>#VALUE!</v>
      </c>
      <c r="AD102" t="e">
        <f>AND('BBP complete'!H1399,"AAAAAD/3/h0=")</f>
        <v>#VALUE!</v>
      </c>
      <c r="AE102" t="e">
        <f>AND('BBP complete'!I1398,"AAAAAD/3/h4=")</f>
        <v>#VALUE!</v>
      </c>
      <c r="AF102" t="e">
        <f>AND('BBP complete'!#REF!,"AAAAAD/3/h8=")</f>
        <v>#REF!</v>
      </c>
      <c r="AG102" t="e">
        <f>AND('BBP complete'!#REF!,"AAAAAD/3/iA=")</f>
        <v>#REF!</v>
      </c>
      <c r="AH102" t="e">
        <f>AND('BBP complete'!#REF!,"AAAAAD/3/iE=")</f>
        <v>#REF!</v>
      </c>
      <c r="AI102" t="e">
        <f>AND('BBP complete'!#REF!,"AAAAAD/3/iI=")</f>
        <v>#REF!</v>
      </c>
      <c r="AJ102" t="e">
        <f>AND('BBP complete'!#REF!,"AAAAAD/3/iM=")</f>
        <v>#REF!</v>
      </c>
      <c r="AK102" t="e">
        <f>AND('BBP complete'!C1397,"AAAAAD/3/iQ=")</f>
        <v>#VALUE!</v>
      </c>
      <c r="AL102" t="e">
        <f>AND('BBP complete'!M1382,"AAAAAD/3/iU=")</f>
        <v>#VALUE!</v>
      </c>
      <c r="AM102" t="e">
        <f>AND('BBP complete'!N1382,"AAAAAD/3/iY=")</f>
        <v>#VALUE!</v>
      </c>
      <c r="AN102" t="e">
        <f>AND('BBP complete'!P1396,"AAAAAD/3/ic=")</f>
        <v>#VALUE!</v>
      </c>
      <c r="AO102" s="60" t="e">
        <v>#VALUE!</v>
      </c>
      <c r="AP102" t="e">
        <f>AND('BBP complete'!B1401,"AAAAAD/3/ik=")</f>
        <v>#VALUE!</v>
      </c>
      <c r="AQ102" t="e">
        <f>AND('BBP complete'!F1402,"AAAAAD/3/io=")</f>
        <v>#VALUE!</v>
      </c>
      <c r="AR102" t="e">
        <f>AND('BBP complete'!G1402,"AAAAAD/3/is=")</f>
        <v>#VALUE!</v>
      </c>
      <c r="AS102" t="e">
        <f>AND('BBP complete'!D1401,"AAAAAD/3/iw=")</f>
        <v>#VALUE!</v>
      </c>
      <c r="AT102" t="e">
        <f>AND('BBP complete'!H1400,"AAAAAD/3/i0=")</f>
        <v>#VALUE!</v>
      </c>
      <c r="AU102" t="e">
        <f>AND('BBP complete'!I1399,"AAAAAD/3/i4=")</f>
        <v>#VALUE!</v>
      </c>
      <c r="AV102" t="e">
        <f>AND('BBP complete'!#REF!,"AAAAAD/3/i8=")</f>
        <v>#REF!</v>
      </c>
      <c r="AW102" t="e">
        <f>AND('BBP complete'!#REF!,"AAAAAD/3/jA=")</f>
        <v>#REF!</v>
      </c>
      <c r="AX102" t="e">
        <f>AND('BBP complete'!#REF!,"AAAAAD/3/jE=")</f>
        <v>#REF!</v>
      </c>
      <c r="AY102" t="e">
        <f>AND('BBP complete'!#REF!,"AAAAAD/3/jI=")</f>
        <v>#REF!</v>
      </c>
      <c r="AZ102" t="e">
        <f>AND('BBP complete'!#REF!,"AAAAAD/3/jM=")</f>
        <v>#REF!</v>
      </c>
      <c r="BA102" t="e">
        <f>AND('BBP complete'!C1398,"AAAAAD/3/jQ=")</f>
        <v>#VALUE!</v>
      </c>
      <c r="BB102" t="e">
        <f>AND('BBP complete'!M1383,"AAAAAD/3/jU=")</f>
        <v>#VALUE!</v>
      </c>
      <c r="BC102" t="e">
        <f>AND('BBP complete'!N1383,"AAAAAD/3/jY=")</f>
        <v>#VALUE!</v>
      </c>
      <c r="BD102" t="e">
        <f>AND('BBP complete'!P1397,"AAAAAD/3/jc=")</f>
        <v>#VALUE!</v>
      </c>
      <c r="BE102" s="60" t="e">
        <v>#VALUE!</v>
      </c>
      <c r="BF102" t="e">
        <f>AND('BBP complete'!B1402,"AAAAAD/3/jk=")</f>
        <v>#VALUE!</v>
      </c>
      <c r="BG102" t="e">
        <f>AND('BBP complete'!F1403,"AAAAAD/3/jo=")</f>
        <v>#VALUE!</v>
      </c>
      <c r="BH102" t="e">
        <f>AND('BBP complete'!G1403,"AAAAAD/3/js=")</f>
        <v>#VALUE!</v>
      </c>
      <c r="BI102" t="e">
        <f>AND('BBP complete'!D1402,"AAAAAD/3/jw=")</f>
        <v>#VALUE!</v>
      </c>
      <c r="BJ102" t="e">
        <f>AND('BBP complete'!H1401,"AAAAAD/3/j0=")</f>
        <v>#VALUE!</v>
      </c>
      <c r="BK102" t="e">
        <f>AND('BBP complete'!I1400,"AAAAAD/3/j4=")</f>
        <v>#VALUE!</v>
      </c>
      <c r="BL102" t="e">
        <f>AND('BBP complete'!#REF!,"AAAAAD/3/j8=")</f>
        <v>#REF!</v>
      </c>
      <c r="BM102" t="e">
        <f>AND('BBP complete'!#REF!,"AAAAAD/3/kA=")</f>
        <v>#REF!</v>
      </c>
      <c r="BN102" t="e">
        <f>AND('BBP complete'!#REF!,"AAAAAD/3/kE=")</f>
        <v>#REF!</v>
      </c>
      <c r="BO102" t="e">
        <f>AND('BBP complete'!#REF!,"AAAAAD/3/kI=")</f>
        <v>#REF!</v>
      </c>
      <c r="BP102" t="e">
        <f>AND('BBP complete'!#REF!,"AAAAAD/3/kM=")</f>
        <v>#REF!</v>
      </c>
      <c r="BQ102" t="e">
        <f>AND('BBP complete'!C1399,"AAAAAD/3/kQ=")</f>
        <v>#VALUE!</v>
      </c>
      <c r="BR102" t="e">
        <f>AND('BBP complete'!M1384,"AAAAAD/3/kU=")</f>
        <v>#VALUE!</v>
      </c>
      <c r="BS102" t="e">
        <f>AND('BBP complete'!N1384,"AAAAAD/3/kY=")</f>
        <v>#VALUE!</v>
      </c>
      <c r="BT102" t="e">
        <f>AND('BBP complete'!P1398,"AAAAAD/3/kc=")</f>
        <v>#VALUE!</v>
      </c>
      <c r="BU102" s="60" t="e">
        <v>#VALUE!</v>
      </c>
      <c r="BV102" t="e">
        <f>AND('BBP complete'!B1403,"AAAAAD/3/kk=")</f>
        <v>#VALUE!</v>
      </c>
      <c r="BW102" t="e">
        <f>AND('BBP complete'!F1404,"AAAAAD/3/ko=")</f>
        <v>#VALUE!</v>
      </c>
      <c r="BX102" t="e">
        <f>AND('BBP complete'!G1404,"AAAAAD/3/ks=")</f>
        <v>#VALUE!</v>
      </c>
      <c r="BY102" t="e">
        <f>AND('BBP complete'!D1403,"AAAAAD/3/kw=")</f>
        <v>#VALUE!</v>
      </c>
      <c r="BZ102" t="e">
        <f>AND('BBP complete'!H1402,"AAAAAD/3/k0=")</f>
        <v>#VALUE!</v>
      </c>
      <c r="CA102" t="e">
        <f>AND('BBP complete'!I1401,"AAAAAD/3/k4=")</f>
        <v>#VALUE!</v>
      </c>
      <c r="CB102" t="e">
        <f>AND('BBP complete'!#REF!,"AAAAAD/3/k8=")</f>
        <v>#REF!</v>
      </c>
      <c r="CC102" t="e">
        <f>AND('BBP complete'!#REF!,"AAAAAD/3/lA=")</f>
        <v>#REF!</v>
      </c>
      <c r="CD102" t="e">
        <f>AND('BBP complete'!#REF!,"AAAAAD/3/lE=")</f>
        <v>#REF!</v>
      </c>
      <c r="CE102" t="e">
        <f>AND('BBP complete'!#REF!,"AAAAAD/3/lI=")</f>
        <v>#REF!</v>
      </c>
      <c r="CF102" t="e">
        <f>AND('BBP complete'!#REF!,"AAAAAD/3/lM=")</f>
        <v>#REF!</v>
      </c>
      <c r="CG102" t="e">
        <f>AND('BBP complete'!C1400,"AAAAAD/3/lQ=")</f>
        <v>#VALUE!</v>
      </c>
      <c r="CH102" t="e">
        <f>AND('BBP complete'!M1385,"AAAAAD/3/lU=")</f>
        <v>#VALUE!</v>
      </c>
      <c r="CI102" t="e">
        <f>AND('BBP complete'!N1385,"AAAAAD/3/lY=")</f>
        <v>#VALUE!</v>
      </c>
      <c r="CJ102" t="e">
        <f>AND('BBP complete'!P1399,"AAAAAD/3/lc=")</f>
        <v>#VALUE!</v>
      </c>
      <c r="CK102" s="60" t="e">
        <v>#VALUE!</v>
      </c>
      <c r="CL102" t="e">
        <f>AND('BBP complete'!B1404,"AAAAAD/3/lk=")</f>
        <v>#VALUE!</v>
      </c>
      <c r="CM102" t="e">
        <f>AND('BBP complete'!F1405,"AAAAAD/3/lo=")</f>
        <v>#VALUE!</v>
      </c>
      <c r="CN102" t="e">
        <f>AND('BBP complete'!G1405,"AAAAAD/3/ls=")</f>
        <v>#VALUE!</v>
      </c>
      <c r="CO102" t="e">
        <f>AND('BBP complete'!D1404,"AAAAAD/3/lw=")</f>
        <v>#VALUE!</v>
      </c>
      <c r="CP102" t="e">
        <f>AND('BBP complete'!H1403,"AAAAAD/3/l0=")</f>
        <v>#VALUE!</v>
      </c>
      <c r="CQ102" t="e">
        <f>AND('BBP complete'!I1402,"AAAAAD/3/l4=")</f>
        <v>#VALUE!</v>
      </c>
      <c r="CR102" t="e">
        <f>AND('BBP complete'!#REF!,"AAAAAD/3/l8=")</f>
        <v>#REF!</v>
      </c>
      <c r="CS102" t="e">
        <f>AND('BBP complete'!#REF!,"AAAAAD/3/mA=")</f>
        <v>#REF!</v>
      </c>
      <c r="CT102" t="e">
        <f>AND('BBP complete'!#REF!,"AAAAAD/3/mE=")</f>
        <v>#REF!</v>
      </c>
      <c r="CU102" t="e">
        <f>AND('BBP complete'!#REF!,"AAAAAD/3/mI=")</f>
        <v>#REF!</v>
      </c>
      <c r="CV102" t="e">
        <f>AND('BBP complete'!#REF!,"AAAAAD/3/mM=")</f>
        <v>#REF!</v>
      </c>
      <c r="CW102" t="e">
        <f>AND('BBP complete'!C1401,"AAAAAD/3/mQ=")</f>
        <v>#VALUE!</v>
      </c>
      <c r="CX102" t="e">
        <f>AND('BBP complete'!M1386,"AAAAAD/3/mU=")</f>
        <v>#VALUE!</v>
      </c>
      <c r="CY102" t="e">
        <f>AND('BBP complete'!N1386,"AAAAAD/3/mY=")</f>
        <v>#VALUE!</v>
      </c>
      <c r="CZ102" t="e">
        <f>AND('BBP complete'!P1400,"AAAAAD/3/mc=")</f>
        <v>#VALUE!</v>
      </c>
      <c r="DA102" s="60" t="e">
        <v>#VALUE!</v>
      </c>
      <c r="DB102" t="e">
        <f>AND('BBP complete'!B1405,"AAAAAD/3/mk=")</f>
        <v>#VALUE!</v>
      </c>
      <c r="DC102" t="e">
        <f>AND('BBP complete'!F1406,"AAAAAD/3/mo=")</f>
        <v>#VALUE!</v>
      </c>
      <c r="DD102" t="e">
        <f>AND('BBP complete'!G1406,"AAAAAD/3/ms=")</f>
        <v>#VALUE!</v>
      </c>
      <c r="DE102" t="e">
        <f>AND('BBP complete'!D1405,"AAAAAD/3/mw=")</f>
        <v>#VALUE!</v>
      </c>
      <c r="DF102" t="e">
        <f>AND('BBP complete'!H1404,"AAAAAD/3/m0=")</f>
        <v>#VALUE!</v>
      </c>
      <c r="DG102" t="e">
        <f>AND('BBP complete'!I1403,"AAAAAD/3/m4=")</f>
        <v>#VALUE!</v>
      </c>
      <c r="DH102" t="e">
        <f>AND('BBP complete'!#REF!,"AAAAAD/3/m8=")</f>
        <v>#REF!</v>
      </c>
      <c r="DI102" t="e">
        <f>AND('BBP complete'!#REF!,"AAAAAD/3/nA=")</f>
        <v>#REF!</v>
      </c>
      <c r="DJ102" t="e">
        <f>AND('BBP complete'!#REF!,"AAAAAD/3/nE=")</f>
        <v>#REF!</v>
      </c>
      <c r="DK102" t="e">
        <f>AND('BBP complete'!#REF!,"AAAAAD/3/nI=")</f>
        <v>#REF!</v>
      </c>
      <c r="DL102" t="e">
        <f>AND('BBP complete'!#REF!,"AAAAAD/3/nM=")</f>
        <v>#REF!</v>
      </c>
      <c r="DM102" t="e">
        <f>AND('BBP complete'!C1402,"AAAAAD/3/nQ=")</f>
        <v>#VALUE!</v>
      </c>
      <c r="DN102" t="e">
        <f>AND('BBP complete'!M1387,"AAAAAD/3/nU=")</f>
        <v>#VALUE!</v>
      </c>
      <c r="DO102" t="e">
        <f>AND('BBP complete'!N1387,"AAAAAD/3/nY=")</f>
        <v>#VALUE!</v>
      </c>
      <c r="DP102" t="e">
        <f>AND('BBP complete'!P1401,"AAAAAD/3/nc=")</f>
        <v>#VALUE!</v>
      </c>
      <c r="DQ102" s="60" t="e">
        <v>#VALUE!</v>
      </c>
      <c r="DR102" t="e">
        <f>AND('BBP complete'!B1406,"AAAAAD/3/nk=")</f>
        <v>#VALUE!</v>
      </c>
      <c r="DS102" t="e">
        <f>AND('BBP complete'!F1407,"AAAAAD/3/no=")</f>
        <v>#VALUE!</v>
      </c>
      <c r="DT102" t="e">
        <f>AND('BBP complete'!G1407,"AAAAAD/3/ns=")</f>
        <v>#VALUE!</v>
      </c>
      <c r="DU102" t="e">
        <f>AND('BBP complete'!D1406,"AAAAAD/3/nw=")</f>
        <v>#VALUE!</v>
      </c>
      <c r="DV102" t="e">
        <f>AND('BBP complete'!H1405,"AAAAAD/3/n0=")</f>
        <v>#VALUE!</v>
      </c>
      <c r="DW102" t="e">
        <f>AND('BBP complete'!I1404,"AAAAAD/3/n4=")</f>
        <v>#VALUE!</v>
      </c>
      <c r="DX102" t="e">
        <f>AND('BBP complete'!#REF!,"AAAAAD/3/n8=")</f>
        <v>#REF!</v>
      </c>
      <c r="DY102" t="e">
        <f>AND('BBP complete'!#REF!,"AAAAAD/3/oA=")</f>
        <v>#REF!</v>
      </c>
      <c r="DZ102" t="e">
        <f>AND('BBP complete'!#REF!,"AAAAAD/3/oE=")</f>
        <v>#REF!</v>
      </c>
      <c r="EA102" t="e">
        <f>AND('BBP complete'!#REF!,"AAAAAD/3/oI=")</f>
        <v>#REF!</v>
      </c>
      <c r="EB102" t="e">
        <f>AND('BBP complete'!#REF!,"AAAAAD/3/oM=")</f>
        <v>#REF!</v>
      </c>
      <c r="EC102" t="e">
        <f>AND('BBP complete'!C1403,"AAAAAD/3/oQ=")</f>
        <v>#VALUE!</v>
      </c>
      <c r="ED102" t="e">
        <f>AND('BBP complete'!M1388,"AAAAAD/3/oU=")</f>
        <v>#VALUE!</v>
      </c>
      <c r="EE102" t="e">
        <f>AND('BBP complete'!N1388,"AAAAAD/3/oY=")</f>
        <v>#VALUE!</v>
      </c>
      <c r="EF102" t="e">
        <f>AND('BBP complete'!P1402,"AAAAAD/3/oc=")</f>
        <v>#VALUE!</v>
      </c>
      <c r="EG102" s="60" t="e">
        <v>#VALUE!</v>
      </c>
      <c r="EH102" t="e">
        <f>AND('BBP complete'!B1407,"AAAAAD/3/ok=")</f>
        <v>#VALUE!</v>
      </c>
      <c r="EI102" t="e">
        <f>AND('BBP complete'!F1408,"AAAAAD/3/oo=")</f>
        <v>#VALUE!</v>
      </c>
      <c r="EJ102" t="e">
        <f>AND('BBP complete'!G1408,"AAAAAD/3/os=")</f>
        <v>#VALUE!</v>
      </c>
      <c r="EK102" t="e">
        <f>AND('BBP complete'!D1407,"AAAAAD/3/ow=")</f>
        <v>#VALUE!</v>
      </c>
      <c r="EL102" t="e">
        <f>AND('BBP complete'!H1406,"AAAAAD/3/o0=")</f>
        <v>#VALUE!</v>
      </c>
      <c r="EM102" t="e">
        <f>AND('BBP complete'!I1405,"AAAAAD/3/o4=")</f>
        <v>#VALUE!</v>
      </c>
      <c r="EN102" t="e">
        <f>AND('BBP complete'!#REF!,"AAAAAD/3/o8=")</f>
        <v>#REF!</v>
      </c>
      <c r="EO102" t="e">
        <f>AND('BBP complete'!#REF!,"AAAAAD/3/pA=")</f>
        <v>#REF!</v>
      </c>
      <c r="EP102" t="e">
        <f>AND('BBP complete'!#REF!,"AAAAAD/3/pE=")</f>
        <v>#REF!</v>
      </c>
      <c r="EQ102" t="e">
        <f>AND('BBP complete'!#REF!,"AAAAAD/3/pI=")</f>
        <v>#REF!</v>
      </c>
      <c r="ER102" t="e">
        <f>AND('BBP complete'!#REF!,"AAAAAD/3/pM=")</f>
        <v>#REF!</v>
      </c>
      <c r="ES102" t="e">
        <f>AND('BBP complete'!C1404,"AAAAAD/3/pQ=")</f>
        <v>#VALUE!</v>
      </c>
      <c r="ET102" t="e">
        <f>AND('BBP complete'!M1389,"AAAAAD/3/pU=")</f>
        <v>#VALUE!</v>
      </c>
      <c r="EU102" t="e">
        <f>AND('BBP complete'!N1389,"AAAAAD/3/pY=")</f>
        <v>#VALUE!</v>
      </c>
      <c r="EV102" t="e">
        <f>AND('BBP complete'!P1403,"AAAAAD/3/pc=")</f>
        <v>#VALUE!</v>
      </c>
      <c r="EW102" s="60" t="e">
        <v>#VALUE!</v>
      </c>
      <c r="EX102" t="e">
        <f>AND('BBP complete'!B1408,"AAAAAD/3/pk=")</f>
        <v>#VALUE!</v>
      </c>
      <c r="EY102" t="e">
        <f>AND('BBP complete'!F1409,"AAAAAD/3/po=")</f>
        <v>#VALUE!</v>
      </c>
      <c r="EZ102" t="e">
        <f>AND('BBP complete'!G1409,"AAAAAD/3/ps=")</f>
        <v>#VALUE!</v>
      </c>
      <c r="FA102" t="e">
        <f>AND('BBP complete'!D1408,"AAAAAD/3/pw=")</f>
        <v>#VALUE!</v>
      </c>
      <c r="FB102" t="e">
        <f>AND('BBP complete'!H1407,"AAAAAD/3/p0=")</f>
        <v>#VALUE!</v>
      </c>
      <c r="FC102" t="e">
        <f>AND('BBP complete'!I1406,"AAAAAD/3/p4=")</f>
        <v>#VALUE!</v>
      </c>
      <c r="FD102" t="e">
        <f>AND('BBP complete'!#REF!,"AAAAAD/3/p8=")</f>
        <v>#REF!</v>
      </c>
      <c r="FE102" t="e">
        <f>AND('BBP complete'!#REF!,"AAAAAD/3/qA=")</f>
        <v>#REF!</v>
      </c>
      <c r="FF102" t="e">
        <f>AND('BBP complete'!#REF!,"AAAAAD/3/qE=")</f>
        <v>#REF!</v>
      </c>
      <c r="FG102" t="e">
        <f>AND('BBP complete'!#REF!,"AAAAAD/3/qI=")</f>
        <v>#REF!</v>
      </c>
      <c r="FH102" t="e">
        <f>AND('BBP complete'!#REF!,"AAAAAD/3/qM=")</f>
        <v>#REF!</v>
      </c>
      <c r="FI102" t="e">
        <f>AND('BBP complete'!C1405,"AAAAAD/3/qQ=")</f>
        <v>#VALUE!</v>
      </c>
      <c r="FJ102" t="e">
        <f>AND('BBP complete'!M1390,"AAAAAD/3/qU=")</f>
        <v>#VALUE!</v>
      </c>
      <c r="FK102" t="e">
        <f>AND('BBP complete'!N1390,"AAAAAD/3/qY=")</f>
        <v>#VALUE!</v>
      </c>
      <c r="FL102" t="e">
        <f>AND('BBP complete'!P1404,"AAAAAD/3/qc=")</f>
        <v>#VALUE!</v>
      </c>
      <c r="FM102" s="60" t="e">
        <v>#VALUE!</v>
      </c>
      <c r="FN102" t="e">
        <f>AND('BBP complete'!B1409,"AAAAAD/3/qk=")</f>
        <v>#VALUE!</v>
      </c>
      <c r="FO102" t="e">
        <f>AND('BBP complete'!F1410,"AAAAAD/3/qo=")</f>
        <v>#VALUE!</v>
      </c>
      <c r="FP102" t="e">
        <f>AND('BBP complete'!G1410,"AAAAAD/3/qs=")</f>
        <v>#VALUE!</v>
      </c>
      <c r="FQ102" t="e">
        <f>AND('BBP complete'!D1409,"AAAAAD/3/qw=")</f>
        <v>#VALUE!</v>
      </c>
      <c r="FR102" t="e">
        <f>AND('BBP complete'!H1408,"AAAAAD/3/q0=")</f>
        <v>#VALUE!</v>
      </c>
      <c r="FS102" t="e">
        <f>AND('BBP complete'!I1407,"AAAAAD/3/q4=")</f>
        <v>#VALUE!</v>
      </c>
      <c r="FT102" t="e">
        <f>AND('BBP complete'!#REF!,"AAAAAD/3/q8=")</f>
        <v>#REF!</v>
      </c>
      <c r="FU102" t="e">
        <f>AND('BBP complete'!#REF!,"AAAAAD/3/rA=")</f>
        <v>#REF!</v>
      </c>
      <c r="FV102" t="e">
        <f>AND('BBP complete'!#REF!,"AAAAAD/3/rE=")</f>
        <v>#REF!</v>
      </c>
      <c r="FW102" t="e">
        <f>AND('BBP complete'!#REF!,"AAAAAD/3/rI=")</f>
        <v>#REF!</v>
      </c>
      <c r="FX102" t="e">
        <f>AND('BBP complete'!#REF!,"AAAAAD/3/rM=")</f>
        <v>#REF!</v>
      </c>
      <c r="FY102" t="e">
        <f>AND('BBP complete'!C1406,"AAAAAD/3/rQ=")</f>
        <v>#VALUE!</v>
      </c>
      <c r="FZ102" t="e">
        <f>AND('BBP complete'!M1391,"AAAAAD/3/rU=")</f>
        <v>#VALUE!</v>
      </c>
      <c r="GA102" t="e">
        <f>AND('BBP complete'!N1391,"AAAAAD/3/rY=")</f>
        <v>#VALUE!</v>
      </c>
      <c r="GB102" t="e">
        <f>AND('BBP complete'!P1405,"AAAAAD/3/rc=")</f>
        <v>#VALUE!</v>
      </c>
      <c r="GC102" s="60" t="e">
        <v>#VALUE!</v>
      </c>
      <c r="GD102" t="e">
        <f>AND('BBP complete'!B1410,"AAAAAD/3/rk=")</f>
        <v>#VALUE!</v>
      </c>
      <c r="GE102" t="e">
        <f>AND('BBP complete'!F1411,"AAAAAD/3/ro=")</f>
        <v>#VALUE!</v>
      </c>
      <c r="GF102" t="e">
        <f>AND('BBP complete'!G1411,"AAAAAD/3/rs=")</f>
        <v>#VALUE!</v>
      </c>
      <c r="GG102" t="e">
        <f>AND('BBP complete'!D1410,"AAAAAD/3/rw=")</f>
        <v>#VALUE!</v>
      </c>
      <c r="GH102" t="e">
        <f>AND('BBP complete'!H1409,"AAAAAD/3/r0=")</f>
        <v>#VALUE!</v>
      </c>
      <c r="GI102" t="e">
        <f>AND('BBP complete'!I1408,"AAAAAD/3/r4=")</f>
        <v>#VALUE!</v>
      </c>
      <c r="GJ102" t="e">
        <f>AND('BBP complete'!#REF!,"AAAAAD/3/r8=")</f>
        <v>#REF!</v>
      </c>
      <c r="GK102" t="e">
        <f>AND('BBP complete'!#REF!,"AAAAAD/3/sA=")</f>
        <v>#REF!</v>
      </c>
      <c r="GL102" t="e">
        <f>AND('BBP complete'!#REF!,"AAAAAD/3/sE=")</f>
        <v>#REF!</v>
      </c>
      <c r="GM102" t="e">
        <f>AND('BBP complete'!#REF!,"AAAAAD/3/sI=")</f>
        <v>#REF!</v>
      </c>
      <c r="GN102" t="e">
        <f>AND('BBP complete'!#REF!,"AAAAAD/3/sM=")</f>
        <v>#REF!</v>
      </c>
      <c r="GO102" t="e">
        <f>AND('BBP complete'!C1407,"AAAAAD/3/sQ=")</f>
        <v>#VALUE!</v>
      </c>
      <c r="GP102" t="e">
        <f>AND('BBP complete'!M1392,"AAAAAD/3/sU=")</f>
        <v>#VALUE!</v>
      </c>
      <c r="GQ102" t="e">
        <f>AND('BBP complete'!N1392,"AAAAAD/3/sY=")</f>
        <v>#VALUE!</v>
      </c>
      <c r="GR102" t="e">
        <f>AND('BBP complete'!P1406,"AAAAAD/3/sc=")</f>
        <v>#VALUE!</v>
      </c>
      <c r="GS102" s="60" t="e">
        <v>#VALUE!</v>
      </c>
      <c r="GT102" t="e">
        <f>AND('BBP complete'!B1411,"AAAAAD/3/sk=")</f>
        <v>#VALUE!</v>
      </c>
      <c r="GU102" t="e">
        <f>AND('BBP complete'!F1412,"AAAAAD/3/so=")</f>
        <v>#VALUE!</v>
      </c>
      <c r="GV102" t="e">
        <f>AND('BBP complete'!G1412,"AAAAAD/3/ss=")</f>
        <v>#VALUE!</v>
      </c>
      <c r="GW102" t="e">
        <f>AND('BBP complete'!D1411,"AAAAAD/3/sw=")</f>
        <v>#VALUE!</v>
      </c>
      <c r="GX102" t="e">
        <f>AND('BBP complete'!H1410,"AAAAAD/3/s0=")</f>
        <v>#VALUE!</v>
      </c>
      <c r="GY102" t="e">
        <f>AND('BBP complete'!I1409,"AAAAAD/3/s4=")</f>
        <v>#VALUE!</v>
      </c>
      <c r="GZ102" t="e">
        <f>AND('BBP complete'!#REF!,"AAAAAD/3/s8=")</f>
        <v>#REF!</v>
      </c>
      <c r="HA102" t="e">
        <f>AND('BBP complete'!#REF!,"AAAAAD/3/tA=")</f>
        <v>#REF!</v>
      </c>
      <c r="HB102" t="e">
        <f>AND('BBP complete'!#REF!,"AAAAAD/3/tE=")</f>
        <v>#REF!</v>
      </c>
      <c r="HC102" t="e">
        <f>AND('BBP complete'!#REF!,"AAAAAD/3/tI=")</f>
        <v>#REF!</v>
      </c>
      <c r="HD102" t="e">
        <f>AND('BBP complete'!#REF!,"AAAAAD/3/tM=")</f>
        <v>#REF!</v>
      </c>
      <c r="HE102" t="e">
        <f>AND('BBP complete'!C1408,"AAAAAD/3/tQ=")</f>
        <v>#VALUE!</v>
      </c>
      <c r="HF102" t="e">
        <f>AND('BBP complete'!M1393,"AAAAAD/3/tU=")</f>
        <v>#VALUE!</v>
      </c>
      <c r="HG102" t="e">
        <f>AND('BBP complete'!N1393,"AAAAAD/3/tY=")</f>
        <v>#VALUE!</v>
      </c>
      <c r="HH102" t="e">
        <f>AND('BBP complete'!P1407,"AAAAAD/3/tc=")</f>
        <v>#VALUE!</v>
      </c>
      <c r="HI102" s="60" t="e">
        <v>#VALUE!</v>
      </c>
      <c r="HJ102" t="e">
        <f>AND('BBP complete'!B1412,"AAAAAD/3/tk=")</f>
        <v>#VALUE!</v>
      </c>
      <c r="HK102" t="e">
        <f>AND('BBP complete'!F1413,"AAAAAD/3/to=")</f>
        <v>#VALUE!</v>
      </c>
      <c r="HL102" t="e">
        <f>AND('BBP complete'!G1413,"AAAAAD/3/ts=")</f>
        <v>#VALUE!</v>
      </c>
      <c r="HM102" t="e">
        <f>AND('BBP complete'!D1412,"AAAAAD/3/tw=")</f>
        <v>#VALUE!</v>
      </c>
      <c r="HN102" t="e">
        <f>AND('BBP complete'!H1411,"AAAAAD/3/t0=")</f>
        <v>#VALUE!</v>
      </c>
      <c r="HO102" t="e">
        <f>AND('BBP complete'!I1410,"AAAAAD/3/t4=")</f>
        <v>#VALUE!</v>
      </c>
      <c r="HP102" t="e">
        <f>AND('BBP complete'!#REF!,"AAAAAD/3/t8=")</f>
        <v>#REF!</v>
      </c>
      <c r="HQ102" t="e">
        <f>AND('BBP complete'!#REF!,"AAAAAD/3/uA=")</f>
        <v>#REF!</v>
      </c>
      <c r="HR102" t="e">
        <f>AND('BBP complete'!#REF!,"AAAAAD/3/uE=")</f>
        <v>#REF!</v>
      </c>
      <c r="HS102" t="e">
        <f>AND('BBP complete'!#REF!,"AAAAAD/3/uI=")</f>
        <v>#REF!</v>
      </c>
      <c r="HT102" t="e">
        <f>AND('BBP complete'!#REF!,"AAAAAD/3/uM=")</f>
        <v>#REF!</v>
      </c>
      <c r="HU102" t="e">
        <f>AND('BBP complete'!C1409,"AAAAAD/3/uQ=")</f>
        <v>#VALUE!</v>
      </c>
      <c r="HV102" t="e">
        <f>AND('BBP complete'!M1394,"AAAAAD/3/uU=")</f>
        <v>#VALUE!</v>
      </c>
      <c r="HW102" t="e">
        <f>AND('BBP complete'!N1394,"AAAAAD/3/uY=")</f>
        <v>#VALUE!</v>
      </c>
      <c r="HX102" t="e">
        <f>AND('BBP complete'!P1408,"AAAAAD/3/uc=")</f>
        <v>#VALUE!</v>
      </c>
      <c r="HY102" s="60" t="e">
        <v>#VALUE!</v>
      </c>
      <c r="HZ102" t="e">
        <f>AND('BBP complete'!B1413,"AAAAAD/3/uk=")</f>
        <v>#VALUE!</v>
      </c>
      <c r="IA102" t="e">
        <f>AND('BBP complete'!F1414,"AAAAAD/3/uo=")</f>
        <v>#VALUE!</v>
      </c>
      <c r="IB102" t="e">
        <f>AND('BBP complete'!G1414,"AAAAAD/3/us=")</f>
        <v>#VALUE!</v>
      </c>
      <c r="IC102" t="e">
        <f>AND('BBP complete'!D1413,"AAAAAD/3/uw=")</f>
        <v>#VALUE!</v>
      </c>
      <c r="ID102" t="e">
        <f>AND('BBP complete'!H1412,"AAAAAD/3/u0=")</f>
        <v>#VALUE!</v>
      </c>
      <c r="IE102" t="e">
        <f>AND('BBP complete'!I1411,"AAAAAD/3/u4=")</f>
        <v>#VALUE!</v>
      </c>
      <c r="IF102" t="e">
        <f>AND('BBP complete'!#REF!,"AAAAAD/3/u8=")</f>
        <v>#REF!</v>
      </c>
      <c r="IG102" t="e">
        <f>AND('BBP complete'!#REF!,"AAAAAD/3/vA=")</f>
        <v>#REF!</v>
      </c>
      <c r="IH102" t="e">
        <f>AND('BBP complete'!#REF!,"AAAAAD/3/vE=")</f>
        <v>#REF!</v>
      </c>
      <c r="II102" t="e">
        <f>AND('BBP complete'!#REF!,"AAAAAD/3/vI=")</f>
        <v>#REF!</v>
      </c>
      <c r="IJ102" t="e">
        <f>AND('BBP complete'!#REF!,"AAAAAD/3/vM=")</f>
        <v>#REF!</v>
      </c>
      <c r="IK102" t="e">
        <f>AND('BBP complete'!C1410,"AAAAAD/3/vQ=")</f>
        <v>#VALUE!</v>
      </c>
      <c r="IL102" t="e">
        <f>AND('BBP complete'!M1395,"AAAAAD/3/vU=")</f>
        <v>#VALUE!</v>
      </c>
      <c r="IM102" t="e">
        <f>AND('BBP complete'!N1395,"AAAAAD/3/vY=")</f>
        <v>#VALUE!</v>
      </c>
      <c r="IN102" t="e">
        <f>AND('BBP complete'!P1409,"AAAAAD/3/vc=")</f>
        <v>#VALUE!</v>
      </c>
      <c r="IO102" s="60" t="e">
        <v>#VALUE!</v>
      </c>
      <c r="IP102" t="e">
        <f>AND('BBP complete'!B1414,"AAAAAD/3/vk=")</f>
        <v>#VALUE!</v>
      </c>
      <c r="IQ102" t="e">
        <f>AND('BBP complete'!F1415,"AAAAAD/3/vo=")</f>
        <v>#VALUE!</v>
      </c>
      <c r="IR102" t="e">
        <f>AND('BBP complete'!G1415,"AAAAAD/3/vs=")</f>
        <v>#VALUE!</v>
      </c>
      <c r="IS102" t="e">
        <f>AND('BBP complete'!D1414,"AAAAAD/3/vw=")</f>
        <v>#VALUE!</v>
      </c>
      <c r="IT102" t="e">
        <f>AND('BBP complete'!H1413,"AAAAAD/3/v0=")</f>
        <v>#VALUE!</v>
      </c>
      <c r="IU102" t="e">
        <f>AND('BBP complete'!I1412,"AAAAAD/3/v4=")</f>
        <v>#VALUE!</v>
      </c>
      <c r="IV102" t="e">
        <f>AND('BBP complete'!#REF!,"AAAAAD/3/v8=")</f>
        <v>#REF!</v>
      </c>
    </row>
    <row r="103" spans="1:256" ht="15" customHeight="1" x14ac:dyDescent="0.25">
      <c r="A103" t="e">
        <f>AND('BBP complete'!#REF!,"AAAAAGjPPgA=")</f>
        <v>#REF!</v>
      </c>
      <c r="B103" t="e">
        <f>AND('BBP complete'!#REF!,"AAAAAGjPPgE=")</f>
        <v>#REF!</v>
      </c>
      <c r="C103" t="e">
        <f>AND('BBP complete'!#REF!,"AAAAAGjPPgI=")</f>
        <v>#REF!</v>
      </c>
      <c r="D103" t="e">
        <f>AND('BBP complete'!#REF!,"AAAAAGjPPgM=")</f>
        <v>#REF!</v>
      </c>
      <c r="E103" t="e">
        <f>AND('BBP complete'!C1411,"AAAAAGjPPgQ=")</f>
        <v>#VALUE!</v>
      </c>
      <c r="F103" t="e">
        <f>AND('BBP complete'!M1396,"AAAAAGjPPgU=")</f>
        <v>#VALUE!</v>
      </c>
      <c r="G103" t="e">
        <f>AND('BBP complete'!N1396,"AAAAAGjPPgY=")</f>
        <v>#VALUE!</v>
      </c>
      <c r="H103" t="e">
        <f>AND('BBP complete'!P1410,"AAAAAGjPPgc=")</f>
        <v>#VALUE!</v>
      </c>
      <c r="I103" s="60" t="e">
        <v>#VALUE!</v>
      </c>
      <c r="J103" t="e">
        <f>AND('BBP complete'!B1415,"AAAAAGjPPgk=")</f>
        <v>#VALUE!</v>
      </c>
      <c r="K103" t="e">
        <f>AND('BBP complete'!F1416,"AAAAAGjPPgo=")</f>
        <v>#VALUE!</v>
      </c>
      <c r="L103" t="e">
        <f>AND('BBP complete'!G1416,"AAAAAGjPPgs=")</f>
        <v>#VALUE!</v>
      </c>
      <c r="M103" t="e">
        <f>AND('BBP complete'!D1415,"AAAAAGjPPgw=")</f>
        <v>#VALUE!</v>
      </c>
      <c r="N103" t="e">
        <f>AND('BBP complete'!H1414,"AAAAAGjPPg0=")</f>
        <v>#VALUE!</v>
      </c>
      <c r="O103" t="e">
        <f>AND('BBP complete'!I1413,"AAAAAGjPPg4=")</f>
        <v>#VALUE!</v>
      </c>
      <c r="P103" t="e">
        <f>AND('BBP complete'!#REF!,"AAAAAGjPPg8=")</f>
        <v>#REF!</v>
      </c>
      <c r="Q103" t="e">
        <f>AND('BBP complete'!#REF!,"AAAAAGjPPhA=")</f>
        <v>#REF!</v>
      </c>
      <c r="R103" t="e">
        <f>AND('BBP complete'!#REF!,"AAAAAGjPPhE=")</f>
        <v>#REF!</v>
      </c>
      <c r="S103" t="e">
        <f>AND('BBP complete'!#REF!,"AAAAAGjPPhI=")</f>
        <v>#REF!</v>
      </c>
      <c r="T103" t="e">
        <f>AND('BBP complete'!#REF!,"AAAAAGjPPhM=")</f>
        <v>#REF!</v>
      </c>
      <c r="U103" t="e">
        <f>AND('BBP complete'!C1412,"AAAAAGjPPhQ=")</f>
        <v>#VALUE!</v>
      </c>
      <c r="V103" t="e">
        <f>AND('BBP complete'!M1397,"AAAAAGjPPhU=")</f>
        <v>#VALUE!</v>
      </c>
      <c r="W103" t="e">
        <f>AND('BBP complete'!N1397,"AAAAAGjPPhY=")</f>
        <v>#VALUE!</v>
      </c>
      <c r="X103" t="e">
        <f>AND('BBP complete'!P1411,"AAAAAGjPPhc=")</f>
        <v>#VALUE!</v>
      </c>
      <c r="Y103" s="60" t="e">
        <v>#VALUE!</v>
      </c>
      <c r="Z103" t="e">
        <f>AND('BBP complete'!B1416,"AAAAAGjPPhk=")</f>
        <v>#VALUE!</v>
      </c>
      <c r="AA103" t="e">
        <f>AND('BBP complete'!F1417,"AAAAAGjPPho=")</f>
        <v>#VALUE!</v>
      </c>
      <c r="AB103" t="e">
        <f>AND('BBP complete'!G1417,"AAAAAGjPPhs=")</f>
        <v>#VALUE!</v>
      </c>
      <c r="AC103" t="e">
        <f>AND('BBP complete'!D1416,"AAAAAGjPPhw=")</f>
        <v>#VALUE!</v>
      </c>
      <c r="AD103" t="e">
        <f>AND('BBP complete'!H1415,"AAAAAGjPPh0=")</f>
        <v>#VALUE!</v>
      </c>
      <c r="AE103" t="e">
        <f>AND('BBP complete'!I1414,"AAAAAGjPPh4=")</f>
        <v>#VALUE!</v>
      </c>
      <c r="AF103" t="e">
        <f>AND('BBP complete'!#REF!,"AAAAAGjPPh8=")</f>
        <v>#REF!</v>
      </c>
      <c r="AG103" t="e">
        <f>AND('BBP complete'!#REF!,"AAAAAGjPPiA=")</f>
        <v>#REF!</v>
      </c>
      <c r="AH103" t="e">
        <f>AND('BBP complete'!#REF!,"AAAAAGjPPiE=")</f>
        <v>#REF!</v>
      </c>
      <c r="AI103" t="e">
        <f>AND('BBP complete'!#REF!,"AAAAAGjPPiI=")</f>
        <v>#REF!</v>
      </c>
      <c r="AJ103" t="e">
        <f>AND('BBP complete'!#REF!,"AAAAAGjPPiM=")</f>
        <v>#REF!</v>
      </c>
      <c r="AK103" t="e">
        <f>AND('BBP complete'!C1413,"AAAAAGjPPiQ=")</f>
        <v>#VALUE!</v>
      </c>
      <c r="AL103" t="e">
        <f>AND('BBP complete'!M1398,"AAAAAGjPPiU=")</f>
        <v>#VALUE!</v>
      </c>
      <c r="AM103" t="e">
        <f>AND('BBP complete'!N1398,"AAAAAGjPPiY=")</f>
        <v>#VALUE!</v>
      </c>
      <c r="AN103" t="e">
        <f>AND('BBP complete'!P1412,"AAAAAGjPPic=")</f>
        <v>#VALUE!</v>
      </c>
      <c r="AO103" s="60" t="e">
        <v>#VALUE!</v>
      </c>
      <c r="AP103" t="e">
        <f>AND('BBP complete'!B1417,"AAAAAGjPPik=")</f>
        <v>#VALUE!</v>
      </c>
      <c r="AQ103" t="e">
        <f>AND('BBP complete'!F1418,"AAAAAGjPPio=")</f>
        <v>#VALUE!</v>
      </c>
      <c r="AR103" t="e">
        <f>AND('BBP complete'!G1418,"AAAAAGjPPis=")</f>
        <v>#VALUE!</v>
      </c>
      <c r="AS103" t="e">
        <f>AND('BBP complete'!D1417,"AAAAAGjPPiw=")</f>
        <v>#VALUE!</v>
      </c>
      <c r="AT103" t="e">
        <f>AND('BBP complete'!H1416,"AAAAAGjPPi0=")</f>
        <v>#VALUE!</v>
      </c>
      <c r="AU103" t="e">
        <f>AND('BBP complete'!I1415,"AAAAAGjPPi4=")</f>
        <v>#VALUE!</v>
      </c>
      <c r="AV103" t="e">
        <f>AND('BBP complete'!#REF!,"AAAAAGjPPi8=")</f>
        <v>#REF!</v>
      </c>
      <c r="AW103" t="e">
        <f>AND('BBP complete'!#REF!,"AAAAAGjPPjA=")</f>
        <v>#REF!</v>
      </c>
      <c r="AX103" t="e">
        <f>AND('BBP complete'!#REF!,"AAAAAGjPPjE=")</f>
        <v>#REF!</v>
      </c>
      <c r="AY103" t="e">
        <f>AND('BBP complete'!#REF!,"AAAAAGjPPjI=")</f>
        <v>#REF!</v>
      </c>
      <c r="AZ103" t="e">
        <f>AND('BBP complete'!#REF!,"AAAAAGjPPjM=")</f>
        <v>#REF!</v>
      </c>
      <c r="BA103" t="e">
        <f>AND('BBP complete'!C1414,"AAAAAGjPPjQ=")</f>
        <v>#VALUE!</v>
      </c>
      <c r="BB103" t="e">
        <f>AND('BBP complete'!M1399,"AAAAAGjPPjU=")</f>
        <v>#VALUE!</v>
      </c>
      <c r="BC103" t="e">
        <f>AND('BBP complete'!N1399,"AAAAAGjPPjY=")</f>
        <v>#VALUE!</v>
      </c>
      <c r="BD103" t="e">
        <f>AND('BBP complete'!P1413,"AAAAAGjPPjc=")</f>
        <v>#VALUE!</v>
      </c>
      <c r="BE103" s="60" t="e">
        <v>#VALUE!</v>
      </c>
      <c r="BF103" t="e">
        <f>AND('BBP complete'!B1418,"AAAAAGjPPjk=")</f>
        <v>#VALUE!</v>
      </c>
      <c r="BG103" t="e">
        <f>AND('BBP complete'!F1419,"AAAAAGjPPjo=")</f>
        <v>#VALUE!</v>
      </c>
      <c r="BH103" t="e">
        <f>AND('BBP complete'!G1419,"AAAAAGjPPjs=")</f>
        <v>#VALUE!</v>
      </c>
      <c r="BI103" t="e">
        <f>AND('BBP complete'!D1418,"AAAAAGjPPjw=")</f>
        <v>#VALUE!</v>
      </c>
      <c r="BJ103" t="e">
        <f>AND('BBP complete'!H1417,"AAAAAGjPPj0=")</f>
        <v>#VALUE!</v>
      </c>
      <c r="BK103" t="e">
        <f>AND('BBP complete'!I1416,"AAAAAGjPPj4=")</f>
        <v>#VALUE!</v>
      </c>
      <c r="BL103" t="e">
        <f>AND('BBP complete'!#REF!,"AAAAAGjPPj8=")</f>
        <v>#REF!</v>
      </c>
      <c r="BM103" t="e">
        <f>AND('BBP complete'!#REF!,"AAAAAGjPPkA=")</f>
        <v>#REF!</v>
      </c>
      <c r="BN103" t="e">
        <f>AND('BBP complete'!#REF!,"AAAAAGjPPkE=")</f>
        <v>#REF!</v>
      </c>
      <c r="BO103" t="e">
        <f>AND('BBP complete'!#REF!,"AAAAAGjPPkI=")</f>
        <v>#REF!</v>
      </c>
      <c r="BP103" t="e">
        <f>AND('BBP complete'!#REF!,"AAAAAGjPPkM=")</f>
        <v>#REF!</v>
      </c>
      <c r="BQ103" t="e">
        <f>AND('BBP complete'!C1415,"AAAAAGjPPkQ=")</f>
        <v>#VALUE!</v>
      </c>
      <c r="BR103" t="e">
        <f>AND('BBP complete'!M1400,"AAAAAGjPPkU=")</f>
        <v>#VALUE!</v>
      </c>
      <c r="BS103" t="e">
        <f>AND('BBP complete'!N1400,"AAAAAGjPPkY=")</f>
        <v>#VALUE!</v>
      </c>
      <c r="BT103" t="e">
        <f>AND('BBP complete'!P1414,"AAAAAGjPPkc=")</f>
        <v>#VALUE!</v>
      </c>
      <c r="BU103" s="60" t="e">
        <v>#VALUE!</v>
      </c>
      <c r="BV103" t="e">
        <f>AND('BBP complete'!B1419,"AAAAAGjPPkk=")</f>
        <v>#VALUE!</v>
      </c>
      <c r="BW103" t="e">
        <f>AND('BBP complete'!F1420,"AAAAAGjPPko=")</f>
        <v>#VALUE!</v>
      </c>
      <c r="BX103" t="e">
        <f>AND('BBP complete'!G1420,"AAAAAGjPPks=")</f>
        <v>#VALUE!</v>
      </c>
      <c r="BY103" t="e">
        <f>AND('BBP complete'!D1419,"AAAAAGjPPkw=")</f>
        <v>#VALUE!</v>
      </c>
      <c r="BZ103" t="e">
        <f>AND('BBP complete'!H1418,"AAAAAGjPPk0=")</f>
        <v>#VALUE!</v>
      </c>
      <c r="CA103" t="e">
        <f>AND('BBP complete'!I1417,"AAAAAGjPPk4=")</f>
        <v>#VALUE!</v>
      </c>
      <c r="CB103" t="e">
        <f>AND('BBP complete'!#REF!,"AAAAAGjPPk8=")</f>
        <v>#REF!</v>
      </c>
      <c r="CC103" t="e">
        <f>AND('BBP complete'!#REF!,"AAAAAGjPPlA=")</f>
        <v>#REF!</v>
      </c>
      <c r="CD103" t="e">
        <f>AND('BBP complete'!#REF!,"AAAAAGjPPlE=")</f>
        <v>#REF!</v>
      </c>
      <c r="CE103" t="e">
        <f>AND('BBP complete'!#REF!,"AAAAAGjPPlI=")</f>
        <v>#REF!</v>
      </c>
      <c r="CF103" t="e">
        <f>AND('BBP complete'!#REF!,"AAAAAGjPPlM=")</f>
        <v>#REF!</v>
      </c>
      <c r="CG103" t="e">
        <f>AND('BBP complete'!C1416,"AAAAAGjPPlQ=")</f>
        <v>#VALUE!</v>
      </c>
      <c r="CH103" t="e">
        <f>AND('BBP complete'!M1401,"AAAAAGjPPlU=")</f>
        <v>#VALUE!</v>
      </c>
      <c r="CI103" t="e">
        <f>AND('BBP complete'!N1401,"AAAAAGjPPlY=")</f>
        <v>#VALUE!</v>
      </c>
      <c r="CJ103" t="e">
        <f>AND('BBP complete'!P1415,"AAAAAGjPPlc=")</f>
        <v>#VALUE!</v>
      </c>
      <c r="CK103" s="60" t="e">
        <v>#VALUE!</v>
      </c>
      <c r="CL103" t="e">
        <f>AND('BBP complete'!B1420,"AAAAAGjPPlk=")</f>
        <v>#VALUE!</v>
      </c>
      <c r="CM103" t="e">
        <f>AND('BBP complete'!F1421,"AAAAAGjPPlo=")</f>
        <v>#VALUE!</v>
      </c>
      <c r="CN103" t="e">
        <f>AND('BBP complete'!G1421,"AAAAAGjPPls=")</f>
        <v>#VALUE!</v>
      </c>
      <c r="CO103" t="e">
        <f>AND('BBP complete'!D1420,"AAAAAGjPPlw=")</f>
        <v>#VALUE!</v>
      </c>
      <c r="CP103" t="e">
        <f>AND('BBP complete'!H1419,"AAAAAGjPPl0=")</f>
        <v>#VALUE!</v>
      </c>
      <c r="CQ103" t="e">
        <f>AND('BBP complete'!I1418,"AAAAAGjPPl4=")</f>
        <v>#VALUE!</v>
      </c>
      <c r="CR103" t="e">
        <f>AND('BBP complete'!#REF!,"AAAAAGjPPl8=")</f>
        <v>#REF!</v>
      </c>
      <c r="CS103" t="e">
        <f>AND('BBP complete'!#REF!,"AAAAAGjPPmA=")</f>
        <v>#REF!</v>
      </c>
      <c r="CT103" t="e">
        <f>AND('BBP complete'!#REF!,"AAAAAGjPPmE=")</f>
        <v>#REF!</v>
      </c>
      <c r="CU103" t="e">
        <f>AND('BBP complete'!#REF!,"AAAAAGjPPmI=")</f>
        <v>#REF!</v>
      </c>
      <c r="CV103" t="e">
        <f>AND('BBP complete'!#REF!,"AAAAAGjPPmM=")</f>
        <v>#REF!</v>
      </c>
      <c r="CW103" t="e">
        <f>AND('BBP complete'!C1417,"AAAAAGjPPmQ=")</f>
        <v>#VALUE!</v>
      </c>
      <c r="CX103" t="e">
        <f>AND('BBP complete'!M1402,"AAAAAGjPPmU=")</f>
        <v>#VALUE!</v>
      </c>
      <c r="CY103" t="e">
        <f>AND('BBP complete'!N1402,"AAAAAGjPPmY=")</f>
        <v>#VALUE!</v>
      </c>
      <c r="CZ103" t="e">
        <f>AND('BBP complete'!P1416,"AAAAAGjPPmc=")</f>
        <v>#VALUE!</v>
      </c>
      <c r="DA103" s="60" t="e">
        <v>#VALUE!</v>
      </c>
      <c r="DB103" t="e">
        <f>AND('BBP complete'!B1421,"AAAAAGjPPmk=")</f>
        <v>#VALUE!</v>
      </c>
      <c r="DC103" t="e">
        <f>AND('BBP complete'!F1422,"AAAAAGjPPmo=")</f>
        <v>#VALUE!</v>
      </c>
      <c r="DD103" t="e">
        <f>AND('BBP complete'!G1422,"AAAAAGjPPms=")</f>
        <v>#VALUE!</v>
      </c>
      <c r="DE103" t="e">
        <f>AND('BBP complete'!D1421,"AAAAAGjPPmw=")</f>
        <v>#VALUE!</v>
      </c>
      <c r="DF103" t="e">
        <f>AND('BBP complete'!H1420,"AAAAAGjPPm0=")</f>
        <v>#VALUE!</v>
      </c>
      <c r="DG103" t="e">
        <f>AND('BBP complete'!I1419,"AAAAAGjPPm4=")</f>
        <v>#VALUE!</v>
      </c>
      <c r="DH103" t="e">
        <f>AND('BBP complete'!#REF!,"AAAAAGjPPm8=")</f>
        <v>#REF!</v>
      </c>
      <c r="DI103" t="e">
        <f>AND('BBP complete'!#REF!,"AAAAAGjPPnA=")</f>
        <v>#REF!</v>
      </c>
      <c r="DJ103" t="e">
        <f>AND('BBP complete'!#REF!,"AAAAAGjPPnE=")</f>
        <v>#REF!</v>
      </c>
      <c r="DK103" t="e">
        <f>AND('BBP complete'!#REF!,"AAAAAGjPPnI=")</f>
        <v>#REF!</v>
      </c>
      <c r="DL103" t="e">
        <f>AND('BBP complete'!#REF!,"AAAAAGjPPnM=")</f>
        <v>#REF!</v>
      </c>
      <c r="DM103" t="e">
        <f>AND('BBP complete'!C1418,"AAAAAGjPPnQ=")</f>
        <v>#VALUE!</v>
      </c>
      <c r="DN103" t="e">
        <f>AND('BBP complete'!M1403,"AAAAAGjPPnU=")</f>
        <v>#VALUE!</v>
      </c>
      <c r="DO103" t="e">
        <f>AND('BBP complete'!N1403,"AAAAAGjPPnY=")</f>
        <v>#VALUE!</v>
      </c>
      <c r="DP103" t="e">
        <f>AND('BBP complete'!P1417,"AAAAAGjPPnc=")</f>
        <v>#VALUE!</v>
      </c>
      <c r="DQ103" s="60" t="e">
        <v>#VALUE!</v>
      </c>
      <c r="DR103" t="e">
        <f>AND('BBP complete'!B1422,"AAAAAGjPPnk=")</f>
        <v>#VALUE!</v>
      </c>
      <c r="DS103" t="e">
        <f>AND('BBP complete'!F1423,"AAAAAGjPPno=")</f>
        <v>#VALUE!</v>
      </c>
      <c r="DT103" t="e">
        <f>AND('BBP complete'!G1423,"AAAAAGjPPns=")</f>
        <v>#VALUE!</v>
      </c>
      <c r="DU103" t="e">
        <f>AND('BBP complete'!D1422,"AAAAAGjPPnw=")</f>
        <v>#VALUE!</v>
      </c>
      <c r="DV103" t="e">
        <f>AND('BBP complete'!H1421,"AAAAAGjPPn0=")</f>
        <v>#VALUE!</v>
      </c>
      <c r="DW103" t="e">
        <f>AND('BBP complete'!I1420,"AAAAAGjPPn4=")</f>
        <v>#VALUE!</v>
      </c>
      <c r="DX103" t="e">
        <f>AND('BBP complete'!#REF!,"AAAAAGjPPn8=")</f>
        <v>#REF!</v>
      </c>
      <c r="DY103" t="e">
        <f>AND('BBP complete'!#REF!,"AAAAAGjPPoA=")</f>
        <v>#REF!</v>
      </c>
      <c r="DZ103" t="e">
        <f>AND('BBP complete'!#REF!,"AAAAAGjPPoE=")</f>
        <v>#REF!</v>
      </c>
      <c r="EA103" t="e">
        <f>AND('BBP complete'!#REF!,"AAAAAGjPPoI=")</f>
        <v>#REF!</v>
      </c>
      <c r="EB103" t="e">
        <f>AND('BBP complete'!#REF!,"AAAAAGjPPoM=")</f>
        <v>#REF!</v>
      </c>
      <c r="EC103" t="e">
        <f>AND('BBP complete'!C1419,"AAAAAGjPPoQ=")</f>
        <v>#VALUE!</v>
      </c>
      <c r="ED103" t="e">
        <f>AND('BBP complete'!M1404,"AAAAAGjPPoU=")</f>
        <v>#VALUE!</v>
      </c>
      <c r="EE103" t="e">
        <f>AND('BBP complete'!N1404,"AAAAAGjPPoY=")</f>
        <v>#VALUE!</v>
      </c>
      <c r="EF103" t="e">
        <f>AND('BBP complete'!P1418,"AAAAAGjPPoc=")</f>
        <v>#VALUE!</v>
      </c>
      <c r="EG103" s="60" t="e">
        <v>#VALUE!</v>
      </c>
      <c r="EH103" t="e">
        <f>AND('BBP complete'!B1423,"AAAAAGjPPok=")</f>
        <v>#VALUE!</v>
      </c>
      <c r="EI103" t="e">
        <f>AND('BBP complete'!F1424,"AAAAAGjPPoo=")</f>
        <v>#VALUE!</v>
      </c>
      <c r="EJ103" t="e">
        <f>AND('BBP complete'!G1424,"AAAAAGjPPos=")</f>
        <v>#VALUE!</v>
      </c>
      <c r="EK103" t="e">
        <f>AND('BBP complete'!D1423,"AAAAAGjPPow=")</f>
        <v>#VALUE!</v>
      </c>
      <c r="EL103" t="e">
        <f>AND('BBP complete'!H1422,"AAAAAGjPPo0=")</f>
        <v>#VALUE!</v>
      </c>
      <c r="EM103" t="e">
        <f>AND('BBP complete'!I1421,"AAAAAGjPPo4=")</f>
        <v>#VALUE!</v>
      </c>
      <c r="EN103" t="e">
        <f>AND('BBP complete'!#REF!,"AAAAAGjPPo8=")</f>
        <v>#REF!</v>
      </c>
      <c r="EO103" t="e">
        <f>AND('BBP complete'!#REF!,"AAAAAGjPPpA=")</f>
        <v>#REF!</v>
      </c>
      <c r="EP103" t="e">
        <f>AND('BBP complete'!#REF!,"AAAAAGjPPpE=")</f>
        <v>#REF!</v>
      </c>
      <c r="EQ103" t="e">
        <f>AND('BBP complete'!#REF!,"AAAAAGjPPpI=")</f>
        <v>#REF!</v>
      </c>
      <c r="ER103" t="e">
        <f>AND('BBP complete'!#REF!,"AAAAAGjPPpM=")</f>
        <v>#REF!</v>
      </c>
      <c r="ES103" t="e">
        <f>AND('BBP complete'!C1420,"AAAAAGjPPpQ=")</f>
        <v>#VALUE!</v>
      </c>
      <c r="ET103" t="e">
        <f>AND('BBP complete'!M1405,"AAAAAGjPPpU=")</f>
        <v>#VALUE!</v>
      </c>
      <c r="EU103" t="e">
        <f>AND('BBP complete'!N1405,"AAAAAGjPPpY=")</f>
        <v>#VALUE!</v>
      </c>
      <c r="EV103" t="e">
        <f>AND('BBP complete'!P1419,"AAAAAGjPPpc=")</f>
        <v>#VALUE!</v>
      </c>
      <c r="EW103" s="60" t="e">
        <v>#VALUE!</v>
      </c>
      <c r="EX103" t="e">
        <f>AND('BBP complete'!B1424,"AAAAAGjPPpk=")</f>
        <v>#VALUE!</v>
      </c>
      <c r="EY103" t="e">
        <f>AND('BBP complete'!F1425,"AAAAAGjPPpo=")</f>
        <v>#VALUE!</v>
      </c>
      <c r="EZ103" t="e">
        <f>AND('BBP complete'!G1425,"AAAAAGjPPps=")</f>
        <v>#VALUE!</v>
      </c>
      <c r="FA103" t="e">
        <f>AND('BBP complete'!D1424,"AAAAAGjPPpw=")</f>
        <v>#VALUE!</v>
      </c>
      <c r="FB103" t="e">
        <f>AND('BBP complete'!H1423,"AAAAAGjPPp0=")</f>
        <v>#VALUE!</v>
      </c>
      <c r="FC103" t="e">
        <f>AND('BBP complete'!I1422,"AAAAAGjPPp4=")</f>
        <v>#VALUE!</v>
      </c>
      <c r="FD103" t="e">
        <f>AND('BBP complete'!#REF!,"AAAAAGjPPp8=")</f>
        <v>#REF!</v>
      </c>
      <c r="FE103" t="e">
        <f>AND('BBP complete'!#REF!,"AAAAAGjPPqA=")</f>
        <v>#REF!</v>
      </c>
      <c r="FF103" t="e">
        <f>AND('BBP complete'!#REF!,"AAAAAGjPPqE=")</f>
        <v>#REF!</v>
      </c>
      <c r="FG103" t="e">
        <f>AND('BBP complete'!#REF!,"AAAAAGjPPqI=")</f>
        <v>#REF!</v>
      </c>
      <c r="FH103" t="e">
        <f>AND('BBP complete'!#REF!,"AAAAAGjPPqM=")</f>
        <v>#REF!</v>
      </c>
      <c r="FI103" t="e">
        <f>AND('BBP complete'!C1421,"AAAAAGjPPqQ=")</f>
        <v>#VALUE!</v>
      </c>
      <c r="FJ103" t="e">
        <f>AND('BBP complete'!M1406,"AAAAAGjPPqU=")</f>
        <v>#VALUE!</v>
      </c>
      <c r="FK103" t="e">
        <f>AND('BBP complete'!N1406,"AAAAAGjPPqY=")</f>
        <v>#VALUE!</v>
      </c>
      <c r="FL103" t="e">
        <f>AND('BBP complete'!P1420,"AAAAAGjPPqc=")</f>
        <v>#VALUE!</v>
      </c>
      <c r="FM103" s="60" t="e">
        <v>#VALUE!</v>
      </c>
      <c r="FN103" t="e">
        <f>AND('BBP complete'!B1425,"AAAAAGjPPqk=")</f>
        <v>#VALUE!</v>
      </c>
      <c r="FO103" t="e">
        <f>AND('BBP complete'!F1426,"AAAAAGjPPqo=")</f>
        <v>#VALUE!</v>
      </c>
      <c r="FP103" t="e">
        <f>AND('BBP complete'!G1426,"AAAAAGjPPqs=")</f>
        <v>#VALUE!</v>
      </c>
      <c r="FQ103" t="e">
        <f>AND('BBP complete'!D1425,"AAAAAGjPPqw=")</f>
        <v>#VALUE!</v>
      </c>
      <c r="FR103" t="e">
        <f>AND('BBP complete'!H1424,"AAAAAGjPPq0=")</f>
        <v>#VALUE!</v>
      </c>
      <c r="FS103" t="e">
        <f>AND('BBP complete'!I1423,"AAAAAGjPPq4=")</f>
        <v>#VALUE!</v>
      </c>
      <c r="FT103" t="e">
        <f>AND('BBP complete'!#REF!,"AAAAAGjPPq8=")</f>
        <v>#REF!</v>
      </c>
      <c r="FU103" t="e">
        <f>AND('BBP complete'!#REF!,"AAAAAGjPPrA=")</f>
        <v>#REF!</v>
      </c>
      <c r="FV103" t="e">
        <f>AND('BBP complete'!#REF!,"AAAAAGjPPrE=")</f>
        <v>#REF!</v>
      </c>
      <c r="FW103" t="e">
        <f>AND('BBP complete'!#REF!,"AAAAAGjPPrI=")</f>
        <v>#REF!</v>
      </c>
      <c r="FX103" t="e">
        <f>AND('BBP complete'!#REF!,"AAAAAGjPPrM=")</f>
        <v>#REF!</v>
      </c>
      <c r="FY103" t="e">
        <f>AND('BBP complete'!C1422,"AAAAAGjPPrQ=")</f>
        <v>#VALUE!</v>
      </c>
      <c r="FZ103" t="e">
        <f>AND('BBP complete'!M1407,"AAAAAGjPPrU=")</f>
        <v>#VALUE!</v>
      </c>
      <c r="GA103" t="e">
        <f>AND('BBP complete'!N1407,"AAAAAGjPPrY=")</f>
        <v>#VALUE!</v>
      </c>
      <c r="GB103" t="e">
        <f>AND('BBP complete'!P1421,"AAAAAGjPPrc=")</f>
        <v>#VALUE!</v>
      </c>
      <c r="GC103" s="60" t="e">
        <v>#VALUE!</v>
      </c>
      <c r="GD103" t="e">
        <f>AND('BBP complete'!B1426,"AAAAAGjPPrk=")</f>
        <v>#VALUE!</v>
      </c>
      <c r="GE103" t="e">
        <f>AND('BBP complete'!F1427,"AAAAAGjPPro=")</f>
        <v>#VALUE!</v>
      </c>
      <c r="GF103" t="e">
        <f>AND('BBP complete'!G1427,"AAAAAGjPPrs=")</f>
        <v>#VALUE!</v>
      </c>
      <c r="GG103" t="e">
        <f>AND('BBP complete'!D1426,"AAAAAGjPPrw=")</f>
        <v>#VALUE!</v>
      </c>
      <c r="GH103" t="e">
        <f>AND('BBP complete'!H1425,"AAAAAGjPPr0=")</f>
        <v>#VALUE!</v>
      </c>
      <c r="GI103" t="e">
        <f>AND('BBP complete'!I1424,"AAAAAGjPPr4=")</f>
        <v>#VALUE!</v>
      </c>
      <c r="GJ103" t="e">
        <f>AND('BBP complete'!#REF!,"AAAAAGjPPr8=")</f>
        <v>#REF!</v>
      </c>
      <c r="GK103" t="e">
        <f>AND('BBP complete'!#REF!,"AAAAAGjPPsA=")</f>
        <v>#REF!</v>
      </c>
      <c r="GL103" t="e">
        <f>AND('BBP complete'!#REF!,"AAAAAGjPPsE=")</f>
        <v>#REF!</v>
      </c>
      <c r="GM103" t="e">
        <f>AND('BBP complete'!#REF!,"AAAAAGjPPsI=")</f>
        <v>#REF!</v>
      </c>
      <c r="GN103" t="e">
        <f>AND('BBP complete'!#REF!,"AAAAAGjPPsM=")</f>
        <v>#REF!</v>
      </c>
      <c r="GO103" t="e">
        <f>AND('BBP complete'!C1423,"AAAAAGjPPsQ=")</f>
        <v>#VALUE!</v>
      </c>
      <c r="GP103" t="e">
        <f>AND('BBP complete'!M1408,"AAAAAGjPPsU=")</f>
        <v>#VALUE!</v>
      </c>
      <c r="GQ103" t="e">
        <f>AND('BBP complete'!N1408,"AAAAAGjPPsY=")</f>
        <v>#VALUE!</v>
      </c>
      <c r="GR103" t="e">
        <f>AND('BBP complete'!P1422,"AAAAAGjPPsc=")</f>
        <v>#VALUE!</v>
      </c>
      <c r="GS103" s="60" t="e">
        <v>#VALUE!</v>
      </c>
      <c r="GT103" t="e">
        <f>AND('BBP complete'!B1427,"AAAAAGjPPsk=")</f>
        <v>#VALUE!</v>
      </c>
      <c r="GU103" t="e">
        <f>AND('BBP complete'!F1428,"AAAAAGjPPso=")</f>
        <v>#VALUE!</v>
      </c>
      <c r="GV103" t="e">
        <f>AND('BBP complete'!G1428,"AAAAAGjPPss=")</f>
        <v>#VALUE!</v>
      </c>
      <c r="GW103" t="e">
        <f>AND('BBP complete'!D1427,"AAAAAGjPPsw=")</f>
        <v>#VALUE!</v>
      </c>
      <c r="GX103" t="e">
        <f>AND('BBP complete'!H1426,"AAAAAGjPPs0=")</f>
        <v>#VALUE!</v>
      </c>
      <c r="GY103" t="e">
        <f>AND('BBP complete'!I1425,"AAAAAGjPPs4=")</f>
        <v>#VALUE!</v>
      </c>
      <c r="GZ103" t="e">
        <f>AND('BBP complete'!#REF!,"AAAAAGjPPs8=")</f>
        <v>#REF!</v>
      </c>
      <c r="HA103" t="e">
        <f>AND('BBP complete'!#REF!,"AAAAAGjPPtA=")</f>
        <v>#REF!</v>
      </c>
      <c r="HB103" t="e">
        <f>AND('BBP complete'!#REF!,"AAAAAGjPPtE=")</f>
        <v>#REF!</v>
      </c>
      <c r="HC103" t="e">
        <f>AND('BBP complete'!#REF!,"AAAAAGjPPtI=")</f>
        <v>#REF!</v>
      </c>
      <c r="HD103" t="e">
        <f>AND('BBP complete'!#REF!,"AAAAAGjPPtM=")</f>
        <v>#REF!</v>
      </c>
      <c r="HE103" t="e">
        <f>AND('BBP complete'!C1424,"AAAAAGjPPtQ=")</f>
        <v>#VALUE!</v>
      </c>
      <c r="HF103" t="e">
        <f>AND('BBP complete'!M1409,"AAAAAGjPPtU=")</f>
        <v>#VALUE!</v>
      </c>
      <c r="HG103" t="e">
        <f>AND('BBP complete'!N1409,"AAAAAGjPPtY=")</f>
        <v>#VALUE!</v>
      </c>
      <c r="HH103" t="e">
        <f>AND('BBP complete'!P1423,"AAAAAGjPPtc=")</f>
        <v>#VALUE!</v>
      </c>
      <c r="HI103" s="60" t="e">
        <v>#VALUE!</v>
      </c>
      <c r="HJ103" t="e">
        <f>AND('BBP complete'!B1428,"AAAAAGjPPtk=")</f>
        <v>#VALUE!</v>
      </c>
      <c r="HK103" t="e">
        <f>AND('BBP complete'!F1429,"AAAAAGjPPto=")</f>
        <v>#VALUE!</v>
      </c>
      <c r="HL103" t="e">
        <f>AND('BBP complete'!G1429,"AAAAAGjPPts=")</f>
        <v>#VALUE!</v>
      </c>
      <c r="HM103" t="e">
        <f>AND('BBP complete'!D1428,"AAAAAGjPPtw=")</f>
        <v>#VALUE!</v>
      </c>
      <c r="HN103" t="e">
        <f>AND('BBP complete'!H1427,"AAAAAGjPPt0=")</f>
        <v>#VALUE!</v>
      </c>
      <c r="HO103" t="e">
        <f>AND('BBP complete'!I1426,"AAAAAGjPPt4=")</f>
        <v>#VALUE!</v>
      </c>
      <c r="HP103" t="e">
        <f>AND('BBP complete'!#REF!,"AAAAAGjPPt8=")</f>
        <v>#REF!</v>
      </c>
      <c r="HQ103" t="e">
        <f>AND('BBP complete'!#REF!,"AAAAAGjPPuA=")</f>
        <v>#REF!</v>
      </c>
      <c r="HR103" t="e">
        <f>AND('BBP complete'!#REF!,"AAAAAGjPPuE=")</f>
        <v>#REF!</v>
      </c>
      <c r="HS103" t="e">
        <f>AND('BBP complete'!#REF!,"AAAAAGjPPuI=")</f>
        <v>#REF!</v>
      </c>
      <c r="HT103" t="e">
        <f>AND('BBP complete'!#REF!,"AAAAAGjPPuM=")</f>
        <v>#REF!</v>
      </c>
      <c r="HU103" t="e">
        <f>AND('BBP complete'!C1425,"AAAAAGjPPuQ=")</f>
        <v>#VALUE!</v>
      </c>
      <c r="HV103" t="e">
        <f>AND('BBP complete'!M1410,"AAAAAGjPPuU=")</f>
        <v>#VALUE!</v>
      </c>
      <c r="HW103" t="e">
        <f>AND('BBP complete'!N1410,"AAAAAGjPPuY=")</f>
        <v>#VALUE!</v>
      </c>
      <c r="HX103" t="e">
        <f>AND('BBP complete'!P1424,"AAAAAGjPPuc=")</f>
        <v>#VALUE!</v>
      </c>
      <c r="HY103" s="60" t="e">
        <v>#VALUE!</v>
      </c>
      <c r="HZ103" t="e">
        <f>AND('BBP complete'!B1429,"AAAAAGjPPuk=")</f>
        <v>#VALUE!</v>
      </c>
      <c r="IA103" t="e">
        <f>AND('BBP complete'!F1430,"AAAAAGjPPuo=")</f>
        <v>#VALUE!</v>
      </c>
      <c r="IB103" t="e">
        <f>AND('BBP complete'!G1430,"AAAAAGjPPus=")</f>
        <v>#VALUE!</v>
      </c>
      <c r="IC103" t="e">
        <f>AND('BBP complete'!D1429,"AAAAAGjPPuw=")</f>
        <v>#VALUE!</v>
      </c>
      <c r="ID103" t="e">
        <f>AND('BBP complete'!H1428,"AAAAAGjPPu0=")</f>
        <v>#VALUE!</v>
      </c>
      <c r="IE103" t="e">
        <f>AND('BBP complete'!I1427,"AAAAAGjPPu4=")</f>
        <v>#VALUE!</v>
      </c>
      <c r="IF103" t="e">
        <f>AND('BBP complete'!#REF!,"AAAAAGjPPu8=")</f>
        <v>#REF!</v>
      </c>
      <c r="IG103" t="e">
        <f>AND('BBP complete'!#REF!,"AAAAAGjPPvA=")</f>
        <v>#REF!</v>
      </c>
      <c r="IH103" t="e">
        <f>AND('BBP complete'!#REF!,"AAAAAGjPPvE=")</f>
        <v>#REF!</v>
      </c>
      <c r="II103" t="e">
        <f>AND('BBP complete'!#REF!,"AAAAAGjPPvI=")</f>
        <v>#REF!</v>
      </c>
      <c r="IJ103" t="e">
        <f>AND('BBP complete'!#REF!,"AAAAAGjPPvM=")</f>
        <v>#REF!</v>
      </c>
      <c r="IK103" t="e">
        <f>AND('BBP complete'!C1426,"AAAAAGjPPvQ=")</f>
        <v>#VALUE!</v>
      </c>
      <c r="IL103" t="e">
        <f>AND('BBP complete'!M1411,"AAAAAGjPPvU=")</f>
        <v>#VALUE!</v>
      </c>
      <c r="IM103" t="e">
        <f>AND('BBP complete'!N1411,"AAAAAGjPPvY=")</f>
        <v>#VALUE!</v>
      </c>
      <c r="IN103" t="e">
        <f>AND('BBP complete'!P1425,"AAAAAGjPPvc=")</f>
        <v>#VALUE!</v>
      </c>
      <c r="IO103" s="60" t="e">
        <v>#VALUE!</v>
      </c>
      <c r="IP103" t="e">
        <f>AND('BBP complete'!B1430,"AAAAAGjPPvk=")</f>
        <v>#VALUE!</v>
      </c>
      <c r="IQ103" t="e">
        <f>AND('BBP complete'!F1431,"AAAAAGjPPvo=")</f>
        <v>#VALUE!</v>
      </c>
      <c r="IR103" t="e">
        <f>AND('BBP complete'!G1431,"AAAAAGjPPvs=")</f>
        <v>#VALUE!</v>
      </c>
      <c r="IS103" t="e">
        <f>AND('BBP complete'!D1430,"AAAAAGjPPvw=")</f>
        <v>#VALUE!</v>
      </c>
      <c r="IT103" t="e">
        <f>AND('BBP complete'!H1429,"AAAAAGjPPv0=")</f>
        <v>#VALUE!</v>
      </c>
      <c r="IU103" t="e">
        <f>AND('BBP complete'!I1428,"AAAAAGjPPv4=")</f>
        <v>#VALUE!</v>
      </c>
      <c r="IV103" t="e">
        <f>AND('BBP complete'!#REF!,"AAAAAGjPPv8=")</f>
        <v>#REF!</v>
      </c>
    </row>
    <row r="104" spans="1:256" ht="15" customHeight="1" x14ac:dyDescent="0.25">
      <c r="A104" t="e">
        <f>AND('BBP complete'!#REF!,"AAAAAD/LLwA=")</f>
        <v>#REF!</v>
      </c>
      <c r="B104" t="e">
        <f>AND('BBP complete'!#REF!,"AAAAAD/LLwE=")</f>
        <v>#REF!</v>
      </c>
      <c r="C104" t="e">
        <f>AND('BBP complete'!#REF!,"AAAAAD/LLwI=")</f>
        <v>#REF!</v>
      </c>
      <c r="D104" t="e">
        <f>AND('BBP complete'!#REF!,"AAAAAD/LLwM=")</f>
        <v>#REF!</v>
      </c>
      <c r="E104" t="e">
        <f>AND('BBP complete'!C1427,"AAAAAD/LLwQ=")</f>
        <v>#VALUE!</v>
      </c>
      <c r="F104" t="e">
        <f>AND('BBP complete'!M1412,"AAAAAD/LLwU=")</f>
        <v>#VALUE!</v>
      </c>
      <c r="G104" t="e">
        <f>AND('BBP complete'!N1412,"AAAAAD/LLwY=")</f>
        <v>#VALUE!</v>
      </c>
      <c r="H104" t="e">
        <f>AND('BBP complete'!P1426,"AAAAAD/LLwc=")</f>
        <v>#VALUE!</v>
      </c>
      <c r="I104" s="60" t="e">
        <v>#VALUE!</v>
      </c>
      <c r="J104" t="e">
        <f>AND('BBP complete'!B1431,"AAAAAD/LLwk=")</f>
        <v>#VALUE!</v>
      </c>
      <c r="K104" t="e">
        <f>AND('BBP complete'!F1432,"AAAAAD/LLwo=")</f>
        <v>#VALUE!</v>
      </c>
      <c r="L104" t="e">
        <f>AND('BBP complete'!G1432,"AAAAAD/LLws=")</f>
        <v>#VALUE!</v>
      </c>
      <c r="M104" t="e">
        <f>AND('BBP complete'!D1431,"AAAAAD/LLww=")</f>
        <v>#VALUE!</v>
      </c>
      <c r="N104" t="e">
        <f>AND('BBP complete'!H1430,"AAAAAD/LLw0=")</f>
        <v>#VALUE!</v>
      </c>
      <c r="O104" t="e">
        <f>AND('BBP complete'!I1429,"AAAAAD/LLw4=")</f>
        <v>#VALUE!</v>
      </c>
      <c r="P104" t="e">
        <f>AND('BBP complete'!#REF!,"AAAAAD/LLw8=")</f>
        <v>#REF!</v>
      </c>
      <c r="Q104" t="e">
        <f>AND('BBP complete'!#REF!,"AAAAAD/LLxA=")</f>
        <v>#REF!</v>
      </c>
      <c r="R104" t="e">
        <f>AND('BBP complete'!#REF!,"AAAAAD/LLxE=")</f>
        <v>#REF!</v>
      </c>
      <c r="S104" t="e">
        <f>AND('BBP complete'!#REF!,"AAAAAD/LLxI=")</f>
        <v>#REF!</v>
      </c>
      <c r="T104" t="e">
        <f>AND('BBP complete'!#REF!,"AAAAAD/LLxM=")</f>
        <v>#REF!</v>
      </c>
      <c r="U104" t="e">
        <f>AND('BBP complete'!C1428,"AAAAAD/LLxQ=")</f>
        <v>#VALUE!</v>
      </c>
      <c r="V104" t="e">
        <f>AND('BBP complete'!M1413,"AAAAAD/LLxU=")</f>
        <v>#VALUE!</v>
      </c>
      <c r="W104" t="e">
        <f>AND('BBP complete'!N1413,"AAAAAD/LLxY=")</f>
        <v>#VALUE!</v>
      </c>
      <c r="X104" t="e">
        <f>AND('BBP complete'!P1427,"AAAAAD/LLxc=")</f>
        <v>#VALUE!</v>
      </c>
      <c r="Y104" s="60" t="e">
        <v>#VALUE!</v>
      </c>
      <c r="Z104" t="e">
        <f>AND('BBP complete'!B1432,"AAAAAD/LLxk=")</f>
        <v>#VALUE!</v>
      </c>
      <c r="AA104" t="e">
        <f>AND('BBP complete'!F1433,"AAAAAD/LLxo=")</f>
        <v>#VALUE!</v>
      </c>
      <c r="AB104" t="e">
        <f>AND('BBP complete'!G1433,"AAAAAD/LLxs=")</f>
        <v>#VALUE!</v>
      </c>
      <c r="AC104" t="e">
        <f>AND('BBP complete'!D1432,"AAAAAD/LLxw=")</f>
        <v>#VALUE!</v>
      </c>
      <c r="AD104" t="e">
        <f>AND('BBP complete'!H1431,"AAAAAD/LLx0=")</f>
        <v>#VALUE!</v>
      </c>
      <c r="AE104" t="e">
        <f>AND('BBP complete'!I1430,"AAAAAD/LLx4=")</f>
        <v>#VALUE!</v>
      </c>
      <c r="AF104" t="e">
        <f>AND('BBP complete'!#REF!,"AAAAAD/LLx8=")</f>
        <v>#REF!</v>
      </c>
      <c r="AG104" t="e">
        <f>AND('BBP complete'!#REF!,"AAAAAD/LLyA=")</f>
        <v>#REF!</v>
      </c>
      <c r="AH104" t="e">
        <f>AND('BBP complete'!#REF!,"AAAAAD/LLyE=")</f>
        <v>#REF!</v>
      </c>
      <c r="AI104" t="e">
        <f>AND('BBP complete'!#REF!,"AAAAAD/LLyI=")</f>
        <v>#REF!</v>
      </c>
      <c r="AJ104" t="e">
        <f>AND('BBP complete'!#REF!,"AAAAAD/LLyM=")</f>
        <v>#REF!</v>
      </c>
      <c r="AK104" t="e">
        <f>AND('BBP complete'!C1429,"AAAAAD/LLyQ=")</f>
        <v>#VALUE!</v>
      </c>
      <c r="AL104" t="e">
        <f>AND('BBP complete'!M1414,"AAAAAD/LLyU=")</f>
        <v>#VALUE!</v>
      </c>
      <c r="AM104" t="e">
        <f>AND('BBP complete'!N1414,"AAAAAD/LLyY=")</f>
        <v>#VALUE!</v>
      </c>
      <c r="AN104" t="e">
        <f>AND('BBP complete'!P1428,"AAAAAD/LLyc=")</f>
        <v>#VALUE!</v>
      </c>
      <c r="AO104" s="60" t="e">
        <v>#VALUE!</v>
      </c>
      <c r="AP104" t="e">
        <f>AND('BBP complete'!B1433,"AAAAAD/LLyk=")</f>
        <v>#VALUE!</v>
      </c>
      <c r="AQ104" t="e">
        <f>AND('BBP complete'!F1434,"AAAAAD/LLyo=")</f>
        <v>#VALUE!</v>
      </c>
      <c r="AR104" t="e">
        <f>AND('BBP complete'!G1434,"AAAAAD/LLys=")</f>
        <v>#VALUE!</v>
      </c>
      <c r="AS104" t="e">
        <f>AND('BBP complete'!D1433,"AAAAAD/LLyw=")</f>
        <v>#VALUE!</v>
      </c>
      <c r="AT104" t="e">
        <f>AND('BBP complete'!H1432,"AAAAAD/LLy0=")</f>
        <v>#VALUE!</v>
      </c>
      <c r="AU104" t="e">
        <f>AND('BBP complete'!I1431,"AAAAAD/LLy4=")</f>
        <v>#VALUE!</v>
      </c>
      <c r="AV104" t="e">
        <f>AND('BBP complete'!#REF!,"AAAAAD/LLy8=")</f>
        <v>#REF!</v>
      </c>
      <c r="AW104" t="e">
        <f>AND('BBP complete'!#REF!,"AAAAAD/LLzA=")</f>
        <v>#REF!</v>
      </c>
      <c r="AX104" t="e">
        <f>AND('BBP complete'!#REF!,"AAAAAD/LLzE=")</f>
        <v>#REF!</v>
      </c>
      <c r="AY104" t="e">
        <f>AND('BBP complete'!#REF!,"AAAAAD/LLzI=")</f>
        <v>#REF!</v>
      </c>
      <c r="AZ104" t="e">
        <f>AND('BBP complete'!#REF!,"AAAAAD/LLzM=")</f>
        <v>#REF!</v>
      </c>
      <c r="BA104" t="e">
        <f>AND('BBP complete'!C1430,"AAAAAD/LLzQ=")</f>
        <v>#VALUE!</v>
      </c>
      <c r="BB104" t="e">
        <f>AND('BBP complete'!M1415,"AAAAAD/LLzU=")</f>
        <v>#VALUE!</v>
      </c>
      <c r="BC104" t="e">
        <f>AND('BBP complete'!N1415,"AAAAAD/LLzY=")</f>
        <v>#VALUE!</v>
      </c>
      <c r="BD104" t="e">
        <f>AND('BBP complete'!P1429,"AAAAAD/LLzc=")</f>
        <v>#VALUE!</v>
      </c>
      <c r="BE104" s="60" t="e">
        <v>#VALUE!</v>
      </c>
      <c r="BF104" t="e">
        <f>AND('BBP complete'!B1434,"AAAAAD/LLzk=")</f>
        <v>#VALUE!</v>
      </c>
      <c r="BG104" t="e">
        <f>AND('BBP complete'!F1435,"AAAAAD/LLzo=")</f>
        <v>#VALUE!</v>
      </c>
      <c r="BH104" t="e">
        <f>AND('BBP complete'!G1435,"AAAAAD/LLzs=")</f>
        <v>#VALUE!</v>
      </c>
      <c r="BI104" t="e">
        <f>AND('BBP complete'!D1434,"AAAAAD/LLzw=")</f>
        <v>#VALUE!</v>
      </c>
      <c r="BJ104" t="e">
        <f>AND('BBP complete'!H1433,"AAAAAD/LLz0=")</f>
        <v>#VALUE!</v>
      </c>
      <c r="BK104" t="e">
        <f>AND('BBP complete'!I1432,"AAAAAD/LLz4=")</f>
        <v>#VALUE!</v>
      </c>
      <c r="BL104" t="e">
        <f>AND('BBP complete'!#REF!,"AAAAAD/LLz8=")</f>
        <v>#REF!</v>
      </c>
      <c r="BM104" t="e">
        <f>AND('BBP complete'!#REF!,"AAAAAD/LL0A=")</f>
        <v>#REF!</v>
      </c>
      <c r="BN104" t="e">
        <f>AND('BBP complete'!#REF!,"AAAAAD/LL0E=")</f>
        <v>#REF!</v>
      </c>
      <c r="BO104" t="e">
        <f>AND('BBP complete'!#REF!,"AAAAAD/LL0I=")</f>
        <v>#REF!</v>
      </c>
      <c r="BP104" t="e">
        <f>AND('BBP complete'!#REF!,"AAAAAD/LL0M=")</f>
        <v>#REF!</v>
      </c>
      <c r="BQ104" t="e">
        <f>AND('BBP complete'!C1431,"AAAAAD/LL0Q=")</f>
        <v>#VALUE!</v>
      </c>
      <c r="BR104" t="e">
        <f>AND('BBP complete'!M1416,"AAAAAD/LL0U=")</f>
        <v>#VALUE!</v>
      </c>
      <c r="BS104" t="e">
        <f>AND('BBP complete'!N1416,"AAAAAD/LL0Y=")</f>
        <v>#VALUE!</v>
      </c>
      <c r="BT104" t="e">
        <f>AND('BBP complete'!P1430,"AAAAAD/LL0c=")</f>
        <v>#VALUE!</v>
      </c>
      <c r="BU104" s="60" t="e">
        <v>#VALUE!</v>
      </c>
      <c r="BV104" t="e">
        <f>AND('BBP complete'!B1435,"AAAAAD/LL0k=")</f>
        <v>#VALUE!</v>
      </c>
      <c r="BW104" t="e">
        <f>AND('BBP complete'!F1436,"AAAAAD/LL0o=")</f>
        <v>#VALUE!</v>
      </c>
      <c r="BX104" t="e">
        <f>AND('BBP complete'!G1436,"AAAAAD/LL0s=")</f>
        <v>#VALUE!</v>
      </c>
      <c r="BY104" t="e">
        <f>AND('BBP complete'!D1435,"AAAAAD/LL0w=")</f>
        <v>#VALUE!</v>
      </c>
      <c r="BZ104" t="e">
        <f>AND('BBP complete'!H1434,"AAAAAD/LL00=")</f>
        <v>#VALUE!</v>
      </c>
      <c r="CA104" t="e">
        <f>AND('BBP complete'!I1433,"AAAAAD/LL04=")</f>
        <v>#VALUE!</v>
      </c>
      <c r="CB104" t="e">
        <f>AND('BBP complete'!#REF!,"AAAAAD/LL08=")</f>
        <v>#REF!</v>
      </c>
      <c r="CC104" t="e">
        <f>AND('BBP complete'!#REF!,"AAAAAD/LL1A=")</f>
        <v>#REF!</v>
      </c>
      <c r="CD104" t="e">
        <f>AND('BBP complete'!#REF!,"AAAAAD/LL1E=")</f>
        <v>#REF!</v>
      </c>
      <c r="CE104" t="e">
        <f>AND('BBP complete'!#REF!,"AAAAAD/LL1I=")</f>
        <v>#REF!</v>
      </c>
      <c r="CF104" t="e">
        <f>AND('BBP complete'!#REF!,"AAAAAD/LL1M=")</f>
        <v>#REF!</v>
      </c>
      <c r="CG104" t="e">
        <f>AND('BBP complete'!C1432,"AAAAAD/LL1Q=")</f>
        <v>#VALUE!</v>
      </c>
      <c r="CH104" t="e">
        <f>AND('BBP complete'!M1417,"AAAAAD/LL1U=")</f>
        <v>#VALUE!</v>
      </c>
      <c r="CI104" t="e">
        <f>AND('BBP complete'!N1417,"AAAAAD/LL1Y=")</f>
        <v>#VALUE!</v>
      </c>
      <c r="CJ104" t="e">
        <f>AND('BBP complete'!P1431,"AAAAAD/LL1c=")</f>
        <v>#VALUE!</v>
      </c>
      <c r="CK104" s="60" t="e">
        <v>#VALUE!</v>
      </c>
      <c r="CL104" t="e">
        <f>AND('BBP complete'!B1436,"AAAAAD/LL1k=")</f>
        <v>#VALUE!</v>
      </c>
      <c r="CM104" t="e">
        <f>AND('BBP complete'!F1437,"AAAAAD/LL1o=")</f>
        <v>#VALUE!</v>
      </c>
      <c r="CN104" t="e">
        <f>AND('BBP complete'!G1437,"AAAAAD/LL1s=")</f>
        <v>#VALUE!</v>
      </c>
      <c r="CO104" t="e">
        <f>AND('BBP complete'!D1436,"AAAAAD/LL1w=")</f>
        <v>#VALUE!</v>
      </c>
      <c r="CP104" t="e">
        <f>AND('BBP complete'!H1435,"AAAAAD/LL10=")</f>
        <v>#VALUE!</v>
      </c>
      <c r="CQ104" t="e">
        <f>AND('BBP complete'!I1434,"AAAAAD/LL14=")</f>
        <v>#VALUE!</v>
      </c>
      <c r="CR104" t="e">
        <f>AND('BBP complete'!#REF!,"AAAAAD/LL18=")</f>
        <v>#REF!</v>
      </c>
      <c r="CS104" t="e">
        <f>AND('BBP complete'!#REF!,"AAAAAD/LL2A=")</f>
        <v>#REF!</v>
      </c>
      <c r="CT104" t="e">
        <f>AND('BBP complete'!#REF!,"AAAAAD/LL2E=")</f>
        <v>#REF!</v>
      </c>
      <c r="CU104" t="e">
        <f>AND('BBP complete'!#REF!,"AAAAAD/LL2I=")</f>
        <v>#REF!</v>
      </c>
      <c r="CV104" t="e">
        <f>AND('BBP complete'!#REF!,"AAAAAD/LL2M=")</f>
        <v>#REF!</v>
      </c>
      <c r="CW104" t="e">
        <f>AND('BBP complete'!C1433,"AAAAAD/LL2Q=")</f>
        <v>#VALUE!</v>
      </c>
      <c r="CX104" t="e">
        <f>AND('BBP complete'!M1418,"AAAAAD/LL2U=")</f>
        <v>#VALUE!</v>
      </c>
      <c r="CY104" t="e">
        <f>AND('BBP complete'!N1418,"AAAAAD/LL2Y=")</f>
        <v>#VALUE!</v>
      </c>
      <c r="CZ104" t="e">
        <f>AND('BBP complete'!P1432,"AAAAAD/LL2c=")</f>
        <v>#VALUE!</v>
      </c>
      <c r="DA104" s="60" t="e">
        <v>#VALUE!</v>
      </c>
      <c r="DB104" t="e">
        <f>AND('BBP complete'!B1437,"AAAAAD/LL2k=")</f>
        <v>#VALUE!</v>
      </c>
      <c r="DC104" t="e">
        <f>AND('BBP complete'!F1438,"AAAAAD/LL2o=")</f>
        <v>#VALUE!</v>
      </c>
      <c r="DD104" t="e">
        <f>AND('BBP complete'!G1438,"AAAAAD/LL2s=")</f>
        <v>#VALUE!</v>
      </c>
      <c r="DE104" t="e">
        <f>AND('BBP complete'!D1437,"AAAAAD/LL2w=")</f>
        <v>#VALUE!</v>
      </c>
      <c r="DF104" t="e">
        <f>AND('BBP complete'!H1436,"AAAAAD/LL20=")</f>
        <v>#VALUE!</v>
      </c>
      <c r="DG104" t="e">
        <f>AND('BBP complete'!I1435,"AAAAAD/LL24=")</f>
        <v>#VALUE!</v>
      </c>
      <c r="DH104" t="e">
        <f>AND('BBP complete'!#REF!,"AAAAAD/LL28=")</f>
        <v>#REF!</v>
      </c>
      <c r="DI104" t="e">
        <f>AND('BBP complete'!#REF!,"AAAAAD/LL3A=")</f>
        <v>#REF!</v>
      </c>
      <c r="DJ104" t="e">
        <f>AND('BBP complete'!#REF!,"AAAAAD/LL3E=")</f>
        <v>#REF!</v>
      </c>
      <c r="DK104" t="e">
        <f>AND('BBP complete'!#REF!,"AAAAAD/LL3I=")</f>
        <v>#REF!</v>
      </c>
      <c r="DL104" t="e">
        <f>AND('BBP complete'!#REF!,"AAAAAD/LL3M=")</f>
        <v>#REF!</v>
      </c>
      <c r="DM104" t="e">
        <f>AND('BBP complete'!C1434,"AAAAAD/LL3Q=")</f>
        <v>#VALUE!</v>
      </c>
      <c r="DN104" t="e">
        <f>AND('BBP complete'!M1419,"AAAAAD/LL3U=")</f>
        <v>#VALUE!</v>
      </c>
      <c r="DO104" t="e">
        <f>AND('BBP complete'!N1419,"AAAAAD/LL3Y=")</f>
        <v>#VALUE!</v>
      </c>
      <c r="DP104" t="e">
        <f>AND('BBP complete'!P1433,"AAAAAD/LL3c=")</f>
        <v>#VALUE!</v>
      </c>
      <c r="DQ104" s="60" t="e">
        <v>#VALUE!</v>
      </c>
      <c r="DR104" t="e">
        <f>AND('BBP complete'!B1438,"AAAAAD/LL3k=")</f>
        <v>#VALUE!</v>
      </c>
      <c r="DS104" t="e">
        <f>AND('BBP complete'!F1439,"AAAAAD/LL3o=")</f>
        <v>#VALUE!</v>
      </c>
      <c r="DT104" t="e">
        <f>AND('BBP complete'!G1439,"AAAAAD/LL3s=")</f>
        <v>#VALUE!</v>
      </c>
      <c r="DU104" t="e">
        <f>AND('BBP complete'!D1438,"AAAAAD/LL3w=")</f>
        <v>#VALUE!</v>
      </c>
      <c r="DV104" t="e">
        <f>AND('BBP complete'!H1437,"AAAAAD/LL30=")</f>
        <v>#VALUE!</v>
      </c>
      <c r="DW104" t="e">
        <f>AND('BBP complete'!I1436,"AAAAAD/LL34=")</f>
        <v>#VALUE!</v>
      </c>
      <c r="DX104" t="e">
        <f>AND('BBP complete'!#REF!,"AAAAAD/LL38=")</f>
        <v>#REF!</v>
      </c>
      <c r="DY104" t="e">
        <f>AND('BBP complete'!#REF!,"AAAAAD/LL4A=")</f>
        <v>#REF!</v>
      </c>
      <c r="DZ104" t="e">
        <f>AND('BBP complete'!#REF!,"AAAAAD/LL4E=")</f>
        <v>#REF!</v>
      </c>
      <c r="EA104" t="e">
        <f>AND('BBP complete'!#REF!,"AAAAAD/LL4I=")</f>
        <v>#REF!</v>
      </c>
      <c r="EB104" t="e">
        <f>AND('BBP complete'!#REF!,"AAAAAD/LL4M=")</f>
        <v>#REF!</v>
      </c>
      <c r="EC104" t="e">
        <f>AND('BBP complete'!C1435,"AAAAAD/LL4Q=")</f>
        <v>#VALUE!</v>
      </c>
      <c r="ED104" t="e">
        <f>AND('BBP complete'!M1420,"AAAAAD/LL4U=")</f>
        <v>#VALUE!</v>
      </c>
      <c r="EE104" t="e">
        <f>AND('BBP complete'!N1420,"AAAAAD/LL4Y=")</f>
        <v>#VALUE!</v>
      </c>
      <c r="EF104" t="e">
        <f>AND('BBP complete'!P1434,"AAAAAD/LL4c=")</f>
        <v>#VALUE!</v>
      </c>
      <c r="EG104" s="60" t="e">
        <v>#VALUE!</v>
      </c>
      <c r="EH104" t="e">
        <f>AND('BBP complete'!B1439,"AAAAAD/LL4k=")</f>
        <v>#VALUE!</v>
      </c>
      <c r="EI104" t="e">
        <f>AND('BBP complete'!F1440,"AAAAAD/LL4o=")</f>
        <v>#VALUE!</v>
      </c>
      <c r="EJ104" t="e">
        <f>AND('BBP complete'!G1440,"AAAAAD/LL4s=")</f>
        <v>#VALUE!</v>
      </c>
      <c r="EK104" t="e">
        <f>AND('BBP complete'!D1439,"AAAAAD/LL4w=")</f>
        <v>#VALUE!</v>
      </c>
      <c r="EL104" t="e">
        <f>AND('BBP complete'!H1438,"AAAAAD/LL40=")</f>
        <v>#VALUE!</v>
      </c>
      <c r="EM104" t="e">
        <f>AND('BBP complete'!I1437,"AAAAAD/LL44=")</f>
        <v>#VALUE!</v>
      </c>
      <c r="EN104" t="e">
        <f>AND('BBP complete'!#REF!,"AAAAAD/LL48=")</f>
        <v>#REF!</v>
      </c>
      <c r="EO104" t="e">
        <f>AND('BBP complete'!#REF!,"AAAAAD/LL5A=")</f>
        <v>#REF!</v>
      </c>
      <c r="EP104" t="e">
        <f>AND('BBP complete'!#REF!,"AAAAAD/LL5E=")</f>
        <v>#REF!</v>
      </c>
      <c r="EQ104" t="e">
        <f>AND('BBP complete'!#REF!,"AAAAAD/LL5I=")</f>
        <v>#REF!</v>
      </c>
      <c r="ER104" t="e">
        <f>AND('BBP complete'!#REF!,"AAAAAD/LL5M=")</f>
        <v>#REF!</v>
      </c>
      <c r="ES104" t="e">
        <f>AND('BBP complete'!C1436,"AAAAAD/LL5Q=")</f>
        <v>#VALUE!</v>
      </c>
      <c r="ET104" t="e">
        <f>AND('BBP complete'!M1421,"AAAAAD/LL5U=")</f>
        <v>#VALUE!</v>
      </c>
      <c r="EU104" t="e">
        <f>AND('BBP complete'!N1421,"AAAAAD/LL5Y=")</f>
        <v>#VALUE!</v>
      </c>
      <c r="EV104" t="e">
        <f>AND('BBP complete'!P1435,"AAAAAD/LL5c=")</f>
        <v>#VALUE!</v>
      </c>
      <c r="EW104" s="60" t="e">
        <v>#VALUE!</v>
      </c>
      <c r="EX104" t="e">
        <f>AND('BBP complete'!B1440,"AAAAAD/LL5k=")</f>
        <v>#VALUE!</v>
      </c>
      <c r="EY104" t="e">
        <f>AND('BBP complete'!F1441,"AAAAAD/LL5o=")</f>
        <v>#VALUE!</v>
      </c>
      <c r="EZ104" t="e">
        <f>AND('BBP complete'!G1441,"AAAAAD/LL5s=")</f>
        <v>#VALUE!</v>
      </c>
      <c r="FA104" t="e">
        <f>AND('BBP complete'!D1440,"AAAAAD/LL5w=")</f>
        <v>#VALUE!</v>
      </c>
      <c r="FB104" t="e">
        <f>AND('BBP complete'!H1439,"AAAAAD/LL50=")</f>
        <v>#VALUE!</v>
      </c>
      <c r="FC104" t="e">
        <f>AND('BBP complete'!I1438,"AAAAAD/LL54=")</f>
        <v>#VALUE!</v>
      </c>
      <c r="FD104" t="e">
        <f>AND('BBP complete'!#REF!,"AAAAAD/LL58=")</f>
        <v>#REF!</v>
      </c>
      <c r="FE104" t="e">
        <f>AND('BBP complete'!#REF!,"AAAAAD/LL6A=")</f>
        <v>#REF!</v>
      </c>
      <c r="FF104" t="e">
        <f>AND('BBP complete'!#REF!,"AAAAAD/LL6E=")</f>
        <v>#REF!</v>
      </c>
      <c r="FG104" t="e">
        <f>AND('BBP complete'!#REF!,"AAAAAD/LL6I=")</f>
        <v>#REF!</v>
      </c>
      <c r="FH104" t="e">
        <f>AND('BBP complete'!#REF!,"AAAAAD/LL6M=")</f>
        <v>#REF!</v>
      </c>
      <c r="FI104" t="e">
        <f>AND('BBP complete'!C1437,"AAAAAD/LL6Q=")</f>
        <v>#VALUE!</v>
      </c>
      <c r="FJ104" t="e">
        <f>AND('BBP complete'!M1422,"AAAAAD/LL6U=")</f>
        <v>#VALUE!</v>
      </c>
      <c r="FK104" t="e">
        <f>AND('BBP complete'!N1422,"AAAAAD/LL6Y=")</f>
        <v>#VALUE!</v>
      </c>
      <c r="FL104" t="e">
        <f>AND('BBP complete'!P1436,"AAAAAD/LL6c=")</f>
        <v>#VALUE!</v>
      </c>
      <c r="FM104" s="60" t="e">
        <v>#VALUE!</v>
      </c>
      <c r="FN104" t="e">
        <f>AND('BBP complete'!B1441,"AAAAAD/LL6k=")</f>
        <v>#VALUE!</v>
      </c>
      <c r="FO104" t="e">
        <f>AND('BBP complete'!F1442,"AAAAAD/LL6o=")</f>
        <v>#VALUE!</v>
      </c>
      <c r="FP104" t="e">
        <f>AND('BBP complete'!G1442,"AAAAAD/LL6s=")</f>
        <v>#VALUE!</v>
      </c>
      <c r="FQ104" t="e">
        <f>AND('BBP complete'!D1441,"AAAAAD/LL6w=")</f>
        <v>#VALUE!</v>
      </c>
      <c r="FR104" t="e">
        <f>AND('BBP complete'!H1440,"AAAAAD/LL60=")</f>
        <v>#VALUE!</v>
      </c>
      <c r="FS104" t="e">
        <f>AND('BBP complete'!I1439,"AAAAAD/LL64=")</f>
        <v>#VALUE!</v>
      </c>
      <c r="FT104" t="e">
        <f>AND('BBP complete'!#REF!,"AAAAAD/LL68=")</f>
        <v>#REF!</v>
      </c>
      <c r="FU104" t="e">
        <f>AND('BBP complete'!#REF!,"AAAAAD/LL7A=")</f>
        <v>#REF!</v>
      </c>
      <c r="FV104" t="e">
        <f>AND('BBP complete'!#REF!,"AAAAAD/LL7E=")</f>
        <v>#REF!</v>
      </c>
      <c r="FW104" t="e">
        <f>AND('BBP complete'!#REF!,"AAAAAD/LL7I=")</f>
        <v>#REF!</v>
      </c>
      <c r="FX104" t="e">
        <f>AND('BBP complete'!#REF!,"AAAAAD/LL7M=")</f>
        <v>#REF!</v>
      </c>
      <c r="FY104" t="e">
        <f>AND('BBP complete'!C1438,"AAAAAD/LL7Q=")</f>
        <v>#VALUE!</v>
      </c>
      <c r="FZ104" t="e">
        <f>AND('BBP complete'!M1423,"AAAAAD/LL7U=")</f>
        <v>#VALUE!</v>
      </c>
      <c r="GA104" t="e">
        <f>AND('BBP complete'!N1423,"AAAAAD/LL7Y=")</f>
        <v>#VALUE!</v>
      </c>
      <c r="GB104" t="e">
        <f>AND('BBP complete'!P1437,"AAAAAD/LL7c=")</f>
        <v>#VALUE!</v>
      </c>
      <c r="GC104" s="60" t="e">
        <v>#VALUE!</v>
      </c>
      <c r="GD104" t="e">
        <f>AND('BBP complete'!B1442,"AAAAAD/LL7k=")</f>
        <v>#VALUE!</v>
      </c>
      <c r="GE104" t="e">
        <f>AND('BBP complete'!F1443,"AAAAAD/LL7o=")</f>
        <v>#VALUE!</v>
      </c>
      <c r="GF104" t="e">
        <f>AND('BBP complete'!G1443,"AAAAAD/LL7s=")</f>
        <v>#VALUE!</v>
      </c>
      <c r="GG104" t="e">
        <f>AND('BBP complete'!D1442,"AAAAAD/LL7w=")</f>
        <v>#VALUE!</v>
      </c>
      <c r="GH104" t="e">
        <f>AND('BBP complete'!H1441,"AAAAAD/LL70=")</f>
        <v>#VALUE!</v>
      </c>
      <c r="GI104" t="e">
        <f>AND('BBP complete'!I1440,"AAAAAD/LL74=")</f>
        <v>#VALUE!</v>
      </c>
      <c r="GJ104" t="e">
        <f>AND('BBP complete'!#REF!,"AAAAAD/LL78=")</f>
        <v>#REF!</v>
      </c>
      <c r="GK104" t="e">
        <f>AND('BBP complete'!#REF!,"AAAAAD/LL8A=")</f>
        <v>#REF!</v>
      </c>
      <c r="GL104" t="e">
        <f>AND('BBP complete'!#REF!,"AAAAAD/LL8E=")</f>
        <v>#REF!</v>
      </c>
      <c r="GM104" t="e">
        <f>AND('BBP complete'!#REF!,"AAAAAD/LL8I=")</f>
        <v>#REF!</v>
      </c>
      <c r="GN104" t="e">
        <f>AND('BBP complete'!#REF!,"AAAAAD/LL8M=")</f>
        <v>#REF!</v>
      </c>
      <c r="GO104" t="e">
        <f>AND('BBP complete'!C1439,"AAAAAD/LL8Q=")</f>
        <v>#VALUE!</v>
      </c>
      <c r="GP104" t="e">
        <f>AND('BBP complete'!M1424,"AAAAAD/LL8U=")</f>
        <v>#VALUE!</v>
      </c>
      <c r="GQ104" t="e">
        <f>AND('BBP complete'!N1424,"AAAAAD/LL8Y=")</f>
        <v>#VALUE!</v>
      </c>
      <c r="GR104" t="e">
        <f>AND('BBP complete'!P1438,"AAAAAD/LL8c=")</f>
        <v>#VALUE!</v>
      </c>
      <c r="GS104" s="60" t="e">
        <v>#VALUE!</v>
      </c>
      <c r="GT104" t="e">
        <f>AND('BBP complete'!B1443,"AAAAAD/LL8k=")</f>
        <v>#VALUE!</v>
      </c>
      <c r="GU104" t="e">
        <f>AND('BBP complete'!F1444,"AAAAAD/LL8o=")</f>
        <v>#VALUE!</v>
      </c>
      <c r="GV104" t="e">
        <f>AND('BBP complete'!G1444,"AAAAAD/LL8s=")</f>
        <v>#VALUE!</v>
      </c>
      <c r="GW104" t="e">
        <f>AND('BBP complete'!D1443,"AAAAAD/LL8w=")</f>
        <v>#VALUE!</v>
      </c>
      <c r="GX104" t="e">
        <f>AND('BBP complete'!H1442,"AAAAAD/LL80=")</f>
        <v>#VALUE!</v>
      </c>
      <c r="GY104" t="e">
        <f>AND('BBP complete'!I1441,"AAAAAD/LL84=")</f>
        <v>#VALUE!</v>
      </c>
      <c r="GZ104" t="e">
        <f>AND('BBP complete'!#REF!,"AAAAAD/LL88=")</f>
        <v>#REF!</v>
      </c>
      <c r="HA104" t="e">
        <f>AND('BBP complete'!#REF!,"AAAAAD/LL9A=")</f>
        <v>#REF!</v>
      </c>
      <c r="HB104" t="e">
        <f>AND('BBP complete'!#REF!,"AAAAAD/LL9E=")</f>
        <v>#REF!</v>
      </c>
      <c r="HC104" t="e">
        <f>AND('BBP complete'!#REF!,"AAAAAD/LL9I=")</f>
        <v>#REF!</v>
      </c>
      <c r="HD104" t="e">
        <f>AND('BBP complete'!#REF!,"AAAAAD/LL9M=")</f>
        <v>#REF!</v>
      </c>
      <c r="HE104" t="e">
        <f>AND('BBP complete'!C1440,"AAAAAD/LL9Q=")</f>
        <v>#VALUE!</v>
      </c>
      <c r="HF104" t="e">
        <f>AND('BBP complete'!M1425,"AAAAAD/LL9U=")</f>
        <v>#VALUE!</v>
      </c>
      <c r="HG104" t="e">
        <f>AND('BBP complete'!N1425,"AAAAAD/LL9Y=")</f>
        <v>#VALUE!</v>
      </c>
      <c r="HH104" t="e">
        <f>AND('BBP complete'!P1439,"AAAAAD/LL9c=")</f>
        <v>#VALUE!</v>
      </c>
      <c r="HI104" s="60" t="e">
        <v>#VALUE!</v>
      </c>
      <c r="HJ104" t="e">
        <f>AND('BBP complete'!B1444,"AAAAAD/LL9k=")</f>
        <v>#VALUE!</v>
      </c>
      <c r="HK104" t="e">
        <f>AND('BBP complete'!F1445,"AAAAAD/LL9o=")</f>
        <v>#VALUE!</v>
      </c>
      <c r="HL104" t="e">
        <f>AND('BBP complete'!G1445,"AAAAAD/LL9s=")</f>
        <v>#VALUE!</v>
      </c>
      <c r="HM104" t="e">
        <f>AND('BBP complete'!D1444,"AAAAAD/LL9w=")</f>
        <v>#VALUE!</v>
      </c>
      <c r="HN104" t="e">
        <f>AND('BBP complete'!H1443,"AAAAAD/LL90=")</f>
        <v>#VALUE!</v>
      </c>
      <c r="HO104" t="e">
        <f>AND('BBP complete'!I1442,"AAAAAD/LL94=")</f>
        <v>#VALUE!</v>
      </c>
      <c r="HP104" t="e">
        <f>AND('BBP complete'!#REF!,"AAAAAD/LL98=")</f>
        <v>#REF!</v>
      </c>
      <c r="HQ104" t="e">
        <f>AND('BBP complete'!#REF!,"AAAAAD/LL+A=")</f>
        <v>#REF!</v>
      </c>
      <c r="HR104" t="e">
        <f>AND('BBP complete'!#REF!,"AAAAAD/LL+E=")</f>
        <v>#REF!</v>
      </c>
      <c r="HS104" t="e">
        <f>AND('BBP complete'!#REF!,"AAAAAD/LL+I=")</f>
        <v>#REF!</v>
      </c>
      <c r="HT104" t="e">
        <f>AND('BBP complete'!#REF!,"AAAAAD/LL+M=")</f>
        <v>#REF!</v>
      </c>
      <c r="HU104" t="e">
        <f>AND('BBP complete'!C1441,"AAAAAD/LL+Q=")</f>
        <v>#VALUE!</v>
      </c>
      <c r="HV104" t="e">
        <f>AND('BBP complete'!M1440,"AAAAAD/LL+U=")</f>
        <v>#VALUE!</v>
      </c>
      <c r="HW104" t="e">
        <f>AND('BBP complete'!N1440,"AAAAAD/LL+Y=")</f>
        <v>#VALUE!</v>
      </c>
      <c r="HX104" t="e">
        <f>AND('BBP complete'!P1454,"AAAAAD/LL+c=")</f>
        <v>#VALUE!</v>
      </c>
      <c r="HY104" s="60" t="e">
        <v>#VALUE!</v>
      </c>
      <c r="HZ104" t="e">
        <f>AND('BBP complete'!B1445,"AAAAAD/LL+k=")</f>
        <v>#VALUE!</v>
      </c>
      <c r="IA104" t="e">
        <f>AND('BBP complete'!F1446,"AAAAAD/LL+o=")</f>
        <v>#VALUE!</v>
      </c>
      <c r="IB104" t="e">
        <f>AND('BBP complete'!G1446,"AAAAAD/LL+s=")</f>
        <v>#VALUE!</v>
      </c>
      <c r="IC104" t="e">
        <f>AND('BBP complete'!D1445,"AAAAAD/LL+w=")</f>
        <v>#VALUE!</v>
      </c>
      <c r="ID104" t="e">
        <f>AND('BBP complete'!H1444,"AAAAAD/LL+0=")</f>
        <v>#VALUE!</v>
      </c>
      <c r="IE104" t="e">
        <f>AND('BBP complete'!I1443,"AAAAAD/LL+4=")</f>
        <v>#VALUE!</v>
      </c>
      <c r="IF104" t="e">
        <f>AND('BBP complete'!#REF!,"AAAAAD/LL+8=")</f>
        <v>#REF!</v>
      </c>
      <c r="IG104" t="e">
        <f>AND('BBP complete'!#REF!,"AAAAAD/LL/A=")</f>
        <v>#REF!</v>
      </c>
      <c r="IH104" t="e">
        <f>AND('BBP complete'!#REF!,"AAAAAD/LL/E=")</f>
        <v>#REF!</v>
      </c>
      <c r="II104" t="e">
        <f>AND('BBP complete'!#REF!,"AAAAAD/LL/I=")</f>
        <v>#REF!</v>
      </c>
      <c r="IJ104" t="e">
        <f>AND('BBP complete'!#REF!,"AAAAAD/LL/M=")</f>
        <v>#REF!</v>
      </c>
      <c r="IK104" t="e">
        <f>AND('BBP complete'!C1442,"AAAAAD/LL/Q=")</f>
        <v>#VALUE!</v>
      </c>
      <c r="IL104" t="e">
        <f>AND('BBP complete'!M1441,"AAAAAD/LL/U=")</f>
        <v>#VALUE!</v>
      </c>
      <c r="IM104" t="e">
        <f>AND('BBP complete'!N1441,"AAAAAD/LL/Y=")</f>
        <v>#VALUE!</v>
      </c>
      <c r="IN104" t="e">
        <f>AND('BBP complete'!P1455,"AAAAAD/LL/c=")</f>
        <v>#VALUE!</v>
      </c>
      <c r="IO104" s="60" t="e">
        <v>#VALUE!</v>
      </c>
      <c r="IP104" t="e">
        <f>AND('BBP complete'!B1446,"AAAAAD/LL/k=")</f>
        <v>#VALUE!</v>
      </c>
      <c r="IQ104" t="e">
        <f>AND('BBP complete'!F1447,"AAAAAD/LL/o=")</f>
        <v>#VALUE!</v>
      </c>
      <c r="IR104" t="e">
        <f>AND('BBP complete'!G1447,"AAAAAD/LL/s=")</f>
        <v>#VALUE!</v>
      </c>
      <c r="IS104" t="e">
        <f>AND('BBP complete'!D1446,"AAAAAD/LL/w=")</f>
        <v>#VALUE!</v>
      </c>
      <c r="IT104" t="e">
        <f>AND('BBP complete'!H1445,"AAAAAD/LL/0=")</f>
        <v>#VALUE!</v>
      </c>
      <c r="IU104" t="e">
        <f>AND('BBP complete'!I1444,"AAAAAD/LL/4=")</f>
        <v>#VALUE!</v>
      </c>
      <c r="IV104" t="e">
        <f>AND('BBP complete'!#REF!,"AAAAAD/LL/8=")</f>
        <v>#REF!</v>
      </c>
    </row>
    <row r="105" spans="1:256" ht="15" customHeight="1" x14ac:dyDescent="0.25">
      <c r="A105" t="e">
        <f>AND('BBP complete'!#REF!,"AAAAAGdz9wA=")</f>
        <v>#REF!</v>
      </c>
      <c r="B105" t="e">
        <f>AND('BBP complete'!#REF!,"AAAAAGdz9wE=")</f>
        <v>#REF!</v>
      </c>
      <c r="C105" t="e">
        <f>AND('BBP complete'!#REF!,"AAAAAGdz9wI=")</f>
        <v>#REF!</v>
      </c>
      <c r="D105" t="e">
        <f>AND('BBP complete'!#REF!,"AAAAAGdz9wM=")</f>
        <v>#REF!</v>
      </c>
      <c r="E105" t="e">
        <f>AND('BBP complete'!C1443,"AAAAAGdz9wQ=")</f>
        <v>#VALUE!</v>
      </c>
      <c r="F105" t="e">
        <f>AND('BBP complete'!M1442,"AAAAAGdz9wU=")</f>
        <v>#VALUE!</v>
      </c>
      <c r="G105" t="e">
        <f>AND('BBP complete'!N1442,"AAAAAGdz9wY=")</f>
        <v>#VALUE!</v>
      </c>
      <c r="H105" t="e">
        <f>AND('BBP complete'!P1456,"AAAAAGdz9wc=")</f>
        <v>#VALUE!</v>
      </c>
      <c r="I105" s="60" t="e">
        <v>#VALUE!</v>
      </c>
      <c r="J105" t="e">
        <f>AND('BBP complete'!B1447,"AAAAAGdz9wk=")</f>
        <v>#VALUE!</v>
      </c>
      <c r="K105" t="e">
        <f>AND('BBP complete'!F1448,"AAAAAGdz9wo=")</f>
        <v>#VALUE!</v>
      </c>
      <c r="L105" t="e">
        <f>AND('BBP complete'!G1448,"AAAAAGdz9ws=")</f>
        <v>#VALUE!</v>
      </c>
      <c r="M105" t="e">
        <f>AND('BBP complete'!D1447,"AAAAAGdz9ww=")</f>
        <v>#VALUE!</v>
      </c>
      <c r="N105" t="e">
        <f>AND('BBP complete'!H1446,"AAAAAGdz9w0=")</f>
        <v>#VALUE!</v>
      </c>
      <c r="O105" t="e">
        <f>AND('BBP complete'!I1445,"AAAAAGdz9w4=")</f>
        <v>#VALUE!</v>
      </c>
      <c r="P105" t="e">
        <f>AND('BBP complete'!#REF!,"AAAAAGdz9w8=")</f>
        <v>#REF!</v>
      </c>
      <c r="Q105" t="e">
        <f>AND('BBP complete'!#REF!,"AAAAAGdz9xA=")</f>
        <v>#REF!</v>
      </c>
      <c r="R105" t="e">
        <f>AND('BBP complete'!#REF!,"AAAAAGdz9xE=")</f>
        <v>#REF!</v>
      </c>
      <c r="S105" t="e">
        <f>AND('BBP complete'!#REF!,"AAAAAGdz9xI=")</f>
        <v>#REF!</v>
      </c>
      <c r="T105" t="e">
        <f>AND('BBP complete'!#REF!,"AAAAAGdz9xM=")</f>
        <v>#REF!</v>
      </c>
      <c r="U105" t="e">
        <f>AND('BBP complete'!C1444,"AAAAAGdz9xQ=")</f>
        <v>#VALUE!</v>
      </c>
      <c r="V105" t="e">
        <f>AND('BBP complete'!M1443,"AAAAAGdz9xU=")</f>
        <v>#VALUE!</v>
      </c>
      <c r="W105" t="e">
        <f>AND('BBP complete'!N1443,"AAAAAGdz9xY=")</f>
        <v>#VALUE!</v>
      </c>
      <c r="X105" t="e">
        <f>AND('BBP complete'!P1457,"AAAAAGdz9xc=")</f>
        <v>#VALUE!</v>
      </c>
      <c r="Y105" s="60" t="e">
        <v>#VALUE!</v>
      </c>
      <c r="Z105" t="e">
        <f>AND('BBP complete'!B1448,"AAAAAGdz9xk=")</f>
        <v>#VALUE!</v>
      </c>
      <c r="AA105" t="e">
        <f>AND('BBP complete'!F1449,"AAAAAGdz9xo=")</f>
        <v>#VALUE!</v>
      </c>
      <c r="AB105" t="e">
        <f>AND('BBP complete'!G1449,"AAAAAGdz9xs=")</f>
        <v>#VALUE!</v>
      </c>
      <c r="AC105" t="e">
        <f>AND('BBP complete'!D1448,"AAAAAGdz9xw=")</f>
        <v>#VALUE!</v>
      </c>
      <c r="AD105" t="e">
        <f>AND('BBP complete'!H1447,"AAAAAGdz9x0=")</f>
        <v>#VALUE!</v>
      </c>
      <c r="AE105" t="e">
        <f>AND('BBP complete'!I1446,"AAAAAGdz9x4=")</f>
        <v>#VALUE!</v>
      </c>
      <c r="AF105" t="e">
        <f>AND('BBP complete'!#REF!,"AAAAAGdz9x8=")</f>
        <v>#REF!</v>
      </c>
      <c r="AG105" t="e">
        <f>AND('BBP complete'!#REF!,"AAAAAGdz9yA=")</f>
        <v>#REF!</v>
      </c>
      <c r="AH105" t="e">
        <f>AND('BBP complete'!#REF!,"AAAAAGdz9yE=")</f>
        <v>#REF!</v>
      </c>
      <c r="AI105" t="e">
        <f>AND('BBP complete'!#REF!,"AAAAAGdz9yI=")</f>
        <v>#REF!</v>
      </c>
      <c r="AJ105" t="e">
        <f>AND('BBP complete'!#REF!,"AAAAAGdz9yM=")</f>
        <v>#REF!</v>
      </c>
      <c r="AK105" t="e">
        <f>AND('BBP complete'!C1445,"AAAAAGdz9yQ=")</f>
        <v>#VALUE!</v>
      </c>
      <c r="AL105" t="e">
        <f>AND('BBP complete'!M1444,"AAAAAGdz9yU=")</f>
        <v>#VALUE!</v>
      </c>
      <c r="AM105" t="e">
        <f>AND('BBP complete'!N1444,"AAAAAGdz9yY=")</f>
        <v>#VALUE!</v>
      </c>
      <c r="AN105" t="e">
        <f>AND('BBP complete'!P1458,"AAAAAGdz9yc=")</f>
        <v>#VALUE!</v>
      </c>
      <c r="AO105" s="60" t="e">
        <v>#VALUE!</v>
      </c>
      <c r="AP105" t="e">
        <f>AND('BBP complete'!B1449,"AAAAAGdz9yk=")</f>
        <v>#VALUE!</v>
      </c>
      <c r="AQ105" t="e">
        <f>AND('BBP complete'!F1450,"AAAAAGdz9yo=")</f>
        <v>#VALUE!</v>
      </c>
      <c r="AR105" t="e">
        <f>AND('BBP complete'!G1450,"AAAAAGdz9ys=")</f>
        <v>#VALUE!</v>
      </c>
      <c r="AS105" t="e">
        <f>AND('BBP complete'!D1449,"AAAAAGdz9yw=")</f>
        <v>#VALUE!</v>
      </c>
      <c r="AT105" t="e">
        <f>AND('BBP complete'!H1448,"AAAAAGdz9y0=")</f>
        <v>#VALUE!</v>
      </c>
      <c r="AU105" t="e">
        <f>AND('BBP complete'!I1447,"AAAAAGdz9y4=")</f>
        <v>#VALUE!</v>
      </c>
      <c r="AV105" t="e">
        <f>AND('BBP complete'!#REF!,"AAAAAGdz9y8=")</f>
        <v>#REF!</v>
      </c>
      <c r="AW105" t="e">
        <f>AND('BBP complete'!#REF!,"AAAAAGdz9zA=")</f>
        <v>#REF!</v>
      </c>
      <c r="AX105" t="e">
        <f>AND('BBP complete'!#REF!,"AAAAAGdz9zE=")</f>
        <v>#REF!</v>
      </c>
      <c r="AY105" t="e">
        <f>AND('BBP complete'!#REF!,"AAAAAGdz9zI=")</f>
        <v>#REF!</v>
      </c>
      <c r="AZ105" t="e">
        <f>AND('BBP complete'!#REF!,"AAAAAGdz9zM=")</f>
        <v>#REF!</v>
      </c>
      <c r="BA105" t="e">
        <f>AND('BBP complete'!C1446,"AAAAAGdz9zQ=")</f>
        <v>#VALUE!</v>
      </c>
      <c r="BB105" t="e">
        <f>AND('BBP complete'!M1445,"AAAAAGdz9zU=")</f>
        <v>#VALUE!</v>
      </c>
      <c r="BC105" t="e">
        <f>AND('BBP complete'!N1445,"AAAAAGdz9zY=")</f>
        <v>#VALUE!</v>
      </c>
      <c r="BD105" t="e">
        <f>AND('BBP complete'!P1459,"AAAAAGdz9zc=")</f>
        <v>#VALUE!</v>
      </c>
      <c r="BE105" s="60" t="e">
        <v>#VALUE!</v>
      </c>
      <c r="BF105" t="e">
        <f>AND('BBP complete'!B1450,"AAAAAGdz9zk=")</f>
        <v>#VALUE!</v>
      </c>
      <c r="BG105" t="e">
        <f>AND('BBP complete'!F1451,"AAAAAGdz9zo=")</f>
        <v>#VALUE!</v>
      </c>
      <c r="BH105" t="e">
        <f>AND('BBP complete'!G1451,"AAAAAGdz9zs=")</f>
        <v>#VALUE!</v>
      </c>
      <c r="BI105" t="e">
        <f>AND('BBP complete'!D1450,"AAAAAGdz9zw=")</f>
        <v>#VALUE!</v>
      </c>
      <c r="BJ105" t="e">
        <f>AND('BBP complete'!H1449,"AAAAAGdz9z0=")</f>
        <v>#VALUE!</v>
      </c>
      <c r="BK105" t="e">
        <f>AND('BBP complete'!I1448,"AAAAAGdz9z4=")</f>
        <v>#VALUE!</v>
      </c>
      <c r="BL105" t="e">
        <f>AND('BBP complete'!#REF!,"AAAAAGdz9z8=")</f>
        <v>#REF!</v>
      </c>
      <c r="BM105" t="e">
        <f>AND('BBP complete'!#REF!,"AAAAAGdz90A=")</f>
        <v>#REF!</v>
      </c>
      <c r="BN105" t="e">
        <f>AND('BBP complete'!#REF!,"AAAAAGdz90E=")</f>
        <v>#REF!</v>
      </c>
      <c r="BO105" t="e">
        <f>AND('BBP complete'!#REF!,"AAAAAGdz90I=")</f>
        <v>#REF!</v>
      </c>
      <c r="BP105" t="e">
        <f>AND('BBP complete'!#REF!,"AAAAAGdz90M=")</f>
        <v>#REF!</v>
      </c>
      <c r="BQ105" t="e">
        <f>AND('BBP complete'!C1447,"AAAAAGdz90Q=")</f>
        <v>#VALUE!</v>
      </c>
      <c r="BR105" t="e">
        <f>AND('BBP complete'!M1446,"AAAAAGdz90U=")</f>
        <v>#VALUE!</v>
      </c>
      <c r="BS105" t="e">
        <f>AND('BBP complete'!N1446,"AAAAAGdz90Y=")</f>
        <v>#VALUE!</v>
      </c>
      <c r="BT105" t="e">
        <f>AND('BBP complete'!P1460,"AAAAAGdz90c=")</f>
        <v>#VALUE!</v>
      </c>
      <c r="BU105" s="60" t="e">
        <v>#VALUE!</v>
      </c>
      <c r="BV105" t="e">
        <f>AND('BBP complete'!B1451,"AAAAAGdz90k=")</f>
        <v>#VALUE!</v>
      </c>
      <c r="BW105" t="e">
        <f>AND('BBP complete'!F1452,"AAAAAGdz90o=")</f>
        <v>#VALUE!</v>
      </c>
      <c r="BX105" t="e">
        <f>AND('BBP complete'!G1452,"AAAAAGdz90s=")</f>
        <v>#VALUE!</v>
      </c>
      <c r="BY105" t="e">
        <f>AND('BBP complete'!D1451,"AAAAAGdz90w=")</f>
        <v>#VALUE!</v>
      </c>
      <c r="BZ105" t="e">
        <f>AND('BBP complete'!H1450,"AAAAAGdz900=")</f>
        <v>#VALUE!</v>
      </c>
      <c r="CA105" t="e">
        <f>AND('BBP complete'!I1449,"AAAAAGdz904=")</f>
        <v>#VALUE!</v>
      </c>
      <c r="CB105" t="e">
        <f>AND('BBP complete'!#REF!,"AAAAAGdz908=")</f>
        <v>#REF!</v>
      </c>
      <c r="CC105" t="e">
        <f>AND('BBP complete'!#REF!,"AAAAAGdz91A=")</f>
        <v>#REF!</v>
      </c>
      <c r="CD105" t="e">
        <f>AND('BBP complete'!#REF!,"AAAAAGdz91E=")</f>
        <v>#REF!</v>
      </c>
      <c r="CE105" t="e">
        <f>AND('BBP complete'!#REF!,"AAAAAGdz91I=")</f>
        <v>#REF!</v>
      </c>
      <c r="CF105" t="e">
        <f>AND('BBP complete'!#REF!,"AAAAAGdz91M=")</f>
        <v>#REF!</v>
      </c>
      <c r="CG105" t="e">
        <f>AND('BBP complete'!C1448,"AAAAAGdz91Q=")</f>
        <v>#VALUE!</v>
      </c>
      <c r="CH105" t="e">
        <f>AND('BBP complete'!M1447,"AAAAAGdz91U=")</f>
        <v>#VALUE!</v>
      </c>
      <c r="CI105" t="e">
        <f>AND('BBP complete'!N1447,"AAAAAGdz91Y=")</f>
        <v>#VALUE!</v>
      </c>
      <c r="CJ105" t="e">
        <f>AND('BBP complete'!P1461,"AAAAAGdz91c=")</f>
        <v>#VALUE!</v>
      </c>
      <c r="CK105" s="60" t="e">
        <v>#VALUE!</v>
      </c>
      <c r="CL105" t="e">
        <f>AND('BBP complete'!B1452,"AAAAAGdz91k=")</f>
        <v>#VALUE!</v>
      </c>
      <c r="CM105" t="e">
        <f>AND('BBP complete'!F1453,"AAAAAGdz91o=")</f>
        <v>#VALUE!</v>
      </c>
      <c r="CN105" t="e">
        <f>AND('BBP complete'!G1453,"AAAAAGdz91s=")</f>
        <v>#VALUE!</v>
      </c>
      <c r="CO105" t="e">
        <f>AND('BBP complete'!D1452,"AAAAAGdz91w=")</f>
        <v>#VALUE!</v>
      </c>
      <c r="CP105" t="e">
        <f>AND('BBP complete'!H1451,"AAAAAGdz910=")</f>
        <v>#VALUE!</v>
      </c>
      <c r="CQ105" t="e">
        <f>AND('BBP complete'!I1450,"AAAAAGdz914=")</f>
        <v>#VALUE!</v>
      </c>
      <c r="CR105" t="e">
        <f>AND('BBP complete'!#REF!,"AAAAAGdz918=")</f>
        <v>#REF!</v>
      </c>
      <c r="CS105" t="e">
        <f>AND('BBP complete'!#REF!,"AAAAAGdz92A=")</f>
        <v>#REF!</v>
      </c>
      <c r="CT105" t="e">
        <f>AND('BBP complete'!#REF!,"AAAAAGdz92E=")</f>
        <v>#REF!</v>
      </c>
      <c r="CU105" t="e">
        <f>AND('BBP complete'!#REF!,"AAAAAGdz92I=")</f>
        <v>#REF!</v>
      </c>
      <c r="CV105" t="e">
        <f>AND('BBP complete'!#REF!,"AAAAAGdz92M=")</f>
        <v>#REF!</v>
      </c>
      <c r="CW105" t="e">
        <f>AND('BBP complete'!C1449,"AAAAAGdz92Q=")</f>
        <v>#VALUE!</v>
      </c>
      <c r="CX105" t="e">
        <f>AND('BBP complete'!M1448,"AAAAAGdz92U=")</f>
        <v>#VALUE!</v>
      </c>
      <c r="CY105" t="e">
        <f>AND('BBP complete'!N1448,"AAAAAGdz92Y=")</f>
        <v>#VALUE!</v>
      </c>
      <c r="CZ105" t="e">
        <f>AND('BBP complete'!P1462,"AAAAAGdz92c=")</f>
        <v>#VALUE!</v>
      </c>
      <c r="DA105" s="60" t="e">
        <v>#VALUE!</v>
      </c>
      <c r="DB105" t="e">
        <f>AND('BBP complete'!B1453,"AAAAAGdz92k=")</f>
        <v>#VALUE!</v>
      </c>
      <c r="DC105" t="e">
        <f>AND('BBP complete'!F1454,"AAAAAGdz92o=")</f>
        <v>#VALUE!</v>
      </c>
      <c r="DD105" t="e">
        <f>AND('BBP complete'!G1454,"AAAAAGdz92s=")</f>
        <v>#VALUE!</v>
      </c>
      <c r="DE105" t="e">
        <f>AND('BBP complete'!D1453,"AAAAAGdz92w=")</f>
        <v>#VALUE!</v>
      </c>
      <c r="DF105" t="e">
        <f>AND('BBP complete'!H1452,"AAAAAGdz920=")</f>
        <v>#VALUE!</v>
      </c>
      <c r="DG105" t="e">
        <f>AND('BBP complete'!I1451,"AAAAAGdz924=")</f>
        <v>#VALUE!</v>
      </c>
      <c r="DH105" t="e">
        <f>AND('BBP complete'!#REF!,"AAAAAGdz928=")</f>
        <v>#REF!</v>
      </c>
      <c r="DI105" t="e">
        <f>AND('BBP complete'!#REF!,"AAAAAGdz93A=")</f>
        <v>#REF!</v>
      </c>
      <c r="DJ105" t="e">
        <f>AND('BBP complete'!#REF!,"AAAAAGdz93E=")</f>
        <v>#REF!</v>
      </c>
      <c r="DK105" t="e">
        <f>AND('BBP complete'!#REF!,"AAAAAGdz93I=")</f>
        <v>#REF!</v>
      </c>
      <c r="DL105" t="e">
        <f>AND('BBP complete'!#REF!,"AAAAAGdz93M=")</f>
        <v>#REF!</v>
      </c>
      <c r="DM105" t="e">
        <f>AND('BBP complete'!C1450,"AAAAAGdz93Q=")</f>
        <v>#VALUE!</v>
      </c>
      <c r="DN105" t="e">
        <f>AND('BBP complete'!M1449,"AAAAAGdz93U=")</f>
        <v>#VALUE!</v>
      </c>
      <c r="DO105" t="e">
        <f>AND('BBP complete'!N1449,"AAAAAGdz93Y=")</f>
        <v>#VALUE!</v>
      </c>
      <c r="DP105" t="e">
        <f>AND('BBP complete'!P1463,"AAAAAGdz93c=")</f>
        <v>#VALUE!</v>
      </c>
      <c r="DQ105" s="60" t="e">
        <v>#VALUE!</v>
      </c>
      <c r="DR105" t="e">
        <f>AND('BBP complete'!B1454,"AAAAAGdz93k=")</f>
        <v>#VALUE!</v>
      </c>
      <c r="DS105" t="e">
        <f>AND('BBP complete'!F1455,"AAAAAGdz93o=")</f>
        <v>#VALUE!</v>
      </c>
      <c r="DT105" t="e">
        <f>AND('BBP complete'!G1455,"AAAAAGdz93s=")</f>
        <v>#VALUE!</v>
      </c>
      <c r="DU105" t="e">
        <f>AND('BBP complete'!D1454,"AAAAAGdz93w=")</f>
        <v>#VALUE!</v>
      </c>
      <c r="DV105" t="e">
        <f>AND('BBP complete'!H1453,"AAAAAGdz930=")</f>
        <v>#VALUE!</v>
      </c>
      <c r="DW105" t="e">
        <f>AND('BBP complete'!I1452,"AAAAAGdz934=")</f>
        <v>#VALUE!</v>
      </c>
      <c r="DX105" t="e">
        <f>AND('BBP complete'!#REF!,"AAAAAGdz938=")</f>
        <v>#REF!</v>
      </c>
      <c r="DY105" t="e">
        <f>AND('BBP complete'!#REF!,"AAAAAGdz94A=")</f>
        <v>#REF!</v>
      </c>
      <c r="DZ105" t="e">
        <f>AND('BBP complete'!#REF!,"AAAAAGdz94E=")</f>
        <v>#REF!</v>
      </c>
      <c r="EA105" t="e">
        <f>AND('BBP complete'!#REF!,"AAAAAGdz94I=")</f>
        <v>#REF!</v>
      </c>
      <c r="EB105" t="e">
        <f>AND('BBP complete'!#REF!,"AAAAAGdz94M=")</f>
        <v>#REF!</v>
      </c>
      <c r="EC105" t="e">
        <f>AND('BBP complete'!C1451,"AAAAAGdz94Q=")</f>
        <v>#VALUE!</v>
      </c>
      <c r="ED105" t="e">
        <f>AND('BBP complete'!M1450,"AAAAAGdz94U=")</f>
        <v>#VALUE!</v>
      </c>
      <c r="EE105" t="e">
        <f>AND('BBP complete'!N1450,"AAAAAGdz94Y=")</f>
        <v>#VALUE!</v>
      </c>
      <c r="EF105" t="e">
        <f>AND('BBP complete'!P1464,"AAAAAGdz94c=")</f>
        <v>#VALUE!</v>
      </c>
      <c r="EG105" s="60" t="e">
        <v>#VALUE!</v>
      </c>
      <c r="EH105" t="e">
        <f>AND('BBP complete'!B1455,"AAAAAGdz94k=")</f>
        <v>#VALUE!</v>
      </c>
      <c r="EI105" t="e">
        <f>AND('BBP complete'!F1456,"AAAAAGdz94o=")</f>
        <v>#VALUE!</v>
      </c>
      <c r="EJ105" t="e">
        <f>AND('BBP complete'!G1456,"AAAAAGdz94s=")</f>
        <v>#VALUE!</v>
      </c>
      <c r="EK105" t="e">
        <f>AND('BBP complete'!D1455,"AAAAAGdz94w=")</f>
        <v>#VALUE!</v>
      </c>
      <c r="EL105" t="e">
        <f>AND('BBP complete'!H1454,"AAAAAGdz940=")</f>
        <v>#VALUE!</v>
      </c>
      <c r="EM105" t="e">
        <f>AND('BBP complete'!I1453,"AAAAAGdz944=")</f>
        <v>#VALUE!</v>
      </c>
      <c r="EN105" t="e">
        <f>AND('BBP complete'!#REF!,"AAAAAGdz948=")</f>
        <v>#REF!</v>
      </c>
      <c r="EO105" t="e">
        <f>AND('BBP complete'!#REF!,"AAAAAGdz95A=")</f>
        <v>#REF!</v>
      </c>
      <c r="EP105" t="e">
        <f>AND('BBP complete'!#REF!,"AAAAAGdz95E=")</f>
        <v>#REF!</v>
      </c>
      <c r="EQ105" t="e">
        <f>AND('BBP complete'!#REF!,"AAAAAGdz95I=")</f>
        <v>#REF!</v>
      </c>
      <c r="ER105" t="e">
        <f>AND('BBP complete'!#REF!,"AAAAAGdz95M=")</f>
        <v>#REF!</v>
      </c>
      <c r="ES105" t="e">
        <f>AND('BBP complete'!C1452,"AAAAAGdz95Q=")</f>
        <v>#VALUE!</v>
      </c>
      <c r="ET105" t="e">
        <f>AND('BBP complete'!M1451,"AAAAAGdz95U=")</f>
        <v>#VALUE!</v>
      </c>
      <c r="EU105" t="e">
        <f>AND('BBP complete'!N1451,"AAAAAGdz95Y=")</f>
        <v>#VALUE!</v>
      </c>
      <c r="EV105" t="e">
        <f>AND('BBP complete'!P1465,"AAAAAGdz95c=")</f>
        <v>#VALUE!</v>
      </c>
      <c r="EW105" s="60" t="e">
        <v>#VALUE!</v>
      </c>
      <c r="EX105" t="e">
        <f>AND('BBP complete'!B1456,"AAAAAGdz95k=")</f>
        <v>#VALUE!</v>
      </c>
      <c r="EY105" t="e">
        <f>AND('BBP complete'!F1457,"AAAAAGdz95o=")</f>
        <v>#VALUE!</v>
      </c>
      <c r="EZ105" t="e">
        <f>AND('BBP complete'!G1457,"AAAAAGdz95s=")</f>
        <v>#VALUE!</v>
      </c>
      <c r="FA105" t="e">
        <f>AND('BBP complete'!D1456,"AAAAAGdz95w=")</f>
        <v>#VALUE!</v>
      </c>
      <c r="FB105" t="e">
        <f>AND('BBP complete'!H1455,"AAAAAGdz950=")</f>
        <v>#VALUE!</v>
      </c>
      <c r="FC105" t="e">
        <f>AND('BBP complete'!I1454,"AAAAAGdz954=")</f>
        <v>#VALUE!</v>
      </c>
      <c r="FD105" t="e">
        <f>AND('BBP complete'!#REF!,"AAAAAGdz958=")</f>
        <v>#REF!</v>
      </c>
      <c r="FE105" t="e">
        <f>AND('BBP complete'!#REF!,"AAAAAGdz96A=")</f>
        <v>#REF!</v>
      </c>
      <c r="FF105" t="e">
        <f>AND('BBP complete'!#REF!,"AAAAAGdz96E=")</f>
        <v>#REF!</v>
      </c>
      <c r="FG105" t="e">
        <f>AND('BBP complete'!#REF!,"AAAAAGdz96I=")</f>
        <v>#REF!</v>
      </c>
      <c r="FH105" t="e">
        <f>AND('BBP complete'!#REF!,"AAAAAGdz96M=")</f>
        <v>#REF!</v>
      </c>
      <c r="FI105" t="e">
        <f>AND('BBP complete'!C1453,"AAAAAGdz96Q=")</f>
        <v>#VALUE!</v>
      </c>
      <c r="FJ105" t="e">
        <f>AND('BBP complete'!M1452,"AAAAAGdz96U=")</f>
        <v>#VALUE!</v>
      </c>
      <c r="FK105" t="e">
        <f>AND('BBP complete'!N1452,"AAAAAGdz96Y=")</f>
        <v>#VALUE!</v>
      </c>
      <c r="FL105" t="e">
        <f>AND('BBP complete'!P1466,"AAAAAGdz96c=")</f>
        <v>#VALUE!</v>
      </c>
      <c r="FM105" s="60" t="e">
        <v>#VALUE!</v>
      </c>
      <c r="FN105" t="e">
        <f>AND('BBP complete'!B1457,"AAAAAGdz96k=")</f>
        <v>#VALUE!</v>
      </c>
      <c r="FO105" t="e">
        <f>AND('BBP complete'!F1458,"AAAAAGdz96o=")</f>
        <v>#VALUE!</v>
      </c>
      <c r="FP105" t="e">
        <f>AND('BBP complete'!G1458,"AAAAAGdz96s=")</f>
        <v>#VALUE!</v>
      </c>
      <c r="FQ105" t="e">
        <f>AND('BBP complete'!D1457,"AAAAAGdz96w=")</f>
        <v>#VALUE!</v>
      </c>
      <c r="FR105" t="e">
        <f>AND('BBP complete'!H1456,"AAAAAGdz960=")</f>
        <v>#VALUE!</v>
      </c>
      <c r="FS105" t="e">
        <f>AND('BBP complete'!I1455,"AAAAAGdz964=")</f>
        <v>#VALUE!</v>
      </c>
      <c r="FT105" t="e">
        <f>AND('BBP complete'!#REF!,"AAAAAGdz968=")</f>
        <v>#REF!</v>
      </c>
      <c r="FU105" t="e">
        <f>AND('BBP complete'!#REF!,"AAAAAGdz97A=")</f>
        <v>#REF!</v>
      </c>
      <c r="FV105" t="e">
        <f>AND('BBP complete'!#REF!,"AAAAAGdz97E=")</f>
        <v>#REF!</v>
      </c>
      <c r="FW105" t="e">
        <f>AND('BBP complete'!#REF!,"AAAAAGdz97I=")</f>
        <v>#REF!</v>
      </c>
      <c r="FX105" t="e">
        <f>AND('BBP complete'!#REF!,"AAAAAGdz97M=")</f>
        <v>#REF!</v>
      </c>
      <c r="FY105" t="e">
        <f>AND('BBP complete'!C1454,"AAAAAGdz97Q=")</f>
        <v>#VALUE!</v>
      </c>
      <c r="FZ105" t="e">
        <f>AND('BBP complete'!M1453,"AAAAAGdz97U=")</f>
        <v>#VALUE!</v>
      </c>
      <c r="GA105" t="e">
        <f>AND('BBP complete'!N1453,"AAAAAGdz97Y=")</f>
        <v>#VALUE!</v>
      </c>
      <c r="GB105" t="e">
        <f>AND('BBP complete'!P1467,"AAAAAGdz97c=")</f>
        <v>#VALUE!</v>
      </c>
      <c r="GC105" s="60" t="e">
        <v>#VALUE!</v>
      </c>
      <c r="GD105" t="e">
        <f>AND('BBP complete'!B1458,"AAAAAGdz97k=")</f>
        <v>#VALUE!</v>
      </c>
      <c r="GE105" t="e">
        <f>AND('BBP complete'!F1459,"AAAAAGdz97o=")</f>
        <v>#VALUE!</v>
      </c>
      <c r="GF105" t="e">
        <f>AND('BBP complete'!G1459,"AAAAAGdz97s=")</f>
        <v>#VALUE!</v>
      </c>
      <c r="GG105" t="e">
        <f>AND('BBP complete'!D1458,"AAAAAGdz97w=")</f>
        <v>#VALUE!</v>
      </c>
      <c r="GH105" t="e">
        <f>AND('BBP complete'!H1457,"AAAAAGdz970=")</f>
        <v>#VALUE!</v>
      </c>
      <c r="GI105" t="e">
        <f>AND('BBP complete'!I1456,"AAAAAGdz974=")</f>
        <v>#VALUE!</v>
      </c>
      <c r="GJ105" t="e">
        <f>AND('BBP complete'!#REF!,"AAAAAGdz978=")</f>
        <v>#REF!</v>
      </c>
      <c r="GK105" t="e">
        <f>AND('BBP complete'!#REF!,"AAAAAGdz98A=")</f>
        <v>#REF!</v>
      </c>
      <c r="GL105" t="e">
        <f>AND('BBP complete'!#REF!,"AAAAAGdz98E=")</f>
        <v>#REF!</v>
      </c>
      <c r="GM105" t="e">
        <f>AND('BBP complete'!#REF!,"AAAAAGdz98I=")</f>
        <v>#REF!</v>
      </c>
      <c r="GN105" t="e">
        <f>AND('BBP complete'!#REF!,"AAAAAGdz98M=")</f>
        <v>#REF!</v>
      </c>
      <c r="GO105" t="e">
        <f>AND('BBP complete'!C1455,"AAAAAGdz98Q=")</f>
        <v>#VALUE!</v>
      </c>
      <c r="GP105" t="e">
        <f>AND('BBP complete'!M1454,"AAAAAGdz98U=")</f>
        <v>#VALUE!</v>
      </c>
      <c r="GQ105" t="e">
        <f>AND('BBP complete'!N1454,"AAAAAGdz98Y=")</f>
        <v>#VALUE!</v>
      </c>
      <c r="GR105" t="e">
        <f>AND('BBP complete'!P1468,"AAAAAGdz98c=")</f>
        <v>#VALUE!</v>
      </c>
      <c r="GS105" s="60" t="e">
        <v>#VALUE!</v>
      </c>
      <c r="GT105" t="e">
        <f>AND('BBP complete'!B1459,"AAAAAGdz98k=")</f>
        <v>#VALUE!</v>
      </c>
      <c r="GU105" t="e">
        <f>AND('BBP complete'!F1460,"AAAAAGdz98o=")</f>
        <v>#VALUE!</v>
      </c>
      <c r="GV105" t="e">
        <f>AND('BBP complete'!G1460,"AAAAAGdz98s=")</f>
        <v>#VALUE!</v>
      </c>
      <c r="GW105" t="e">
        <f>AND('BBP complete'!D1459,"AAAAAGdz98w=")</f>
        <v>#VALUE!</v>
      </c>
      <c r="GX105" t="e">
        <f>AND('BBP complete'!H1458,"AAAAAGdz980=")</f>
        <v>#VALUE!</v>
      </c>
      <c r="GY105" t="e">
        <f>AND('BBP complete'!I1457,"AAAAAGdz984=")</f>
        <v>#VALUE!</v>
      </c>
      <c r="GZ105" t="e">
        <f>AND('BBP complete'!#REF!,"AAAAAGdz988=")</f>
        <v>#REF!</v>
      </c>
      <c r="HA105" t="e">
        <f>AND('BBP complete'!#REF!,"AAAAAGdz99A=")</f>
        <v>#REF!</v>
      </c>
      <c r="HB105" t="e">
        <f>AND('BBP complete'!#REF!,"AAAAAGdz99E=")</f>
        <v>#REF!</v>
      </c>
      <c r="HC105" t="e">
        <f>AND('BBP complete'!#REF!,"AAAAAGdz99I=")</f>
        <v>#REF!</v>
      </c>
      <c r="HD105" t="e">
        <f>AND('BBP complete'!#REF!,"AAAAAGdz99M=")</f>
        <v>#REF!</v>
      </c>
      <c r="HE105" t="e">
        <f>AND('BBP complete'!C1456,"AAAAAGdz99Q=")</f>
        <v>#VALUE!</v>
      </c>
      <c r="HF105" t="e">
        <f>AND('BBP complete'!M1455,"AAAAAGdz99U=")</f>
        <v>#VALUE!</v>
      </c>
      <c r="HG105" t="e">
        <f>AND('BBP complete'!N1455,"AAAAAGdz99Y=")</f>
        <v>#VALUE!</v>
      </c>
      <c r="HH105" t="e">
        <f>AND('BBP complete'!P1469,"AAAAAGdz99c=")</f>
        <v>#VALUE!</v>
      </c>
      <c r="HI105" s="60" t="e">
        <v>#VALUE!</v>
      </c>
      <c r="HJ105" t="e">
        <f>AND('BBP complete'!B1460,"AAAAAGdz99k=")</f>
        <v>#VALUE!</v>
      </c>
      <c r="HK105" t="e">
        <f>AND('BBP complete'!F1461,"AAAAAGdz99o=")</f>
        <v>#VALUE!</v>
      </c>
      <c r="HL105" t="e">
        <f>AND('BBP complete'!G1461,"AAAAAGdz99s=")</f>
        <v>#VALUE!</v>
      </c>
      <c r="HM105" t="e">
        <f>AND('BBP complete'!D1460,"AAAAAGdz99w=")</f>
        <v>#VALUE!</v>
      </c>
      <c r="HN105" t="e">
        <f>AND('BBP complete'!H1459,"AAAAAGdz990=")</f>
        <v>#VALUE!</v>
      </c>
      <c r="HO105" t="e">
        <f>AND('BBP complete'!I1458,"AAAAAGdz994=")</f>
        <v>#VALUE!</v>
      </c>
      <c r="HP105" t="e">
        <f>AND('BBP complete'!#REF!,"AAAAAGdz998=")</f>
        <v>#REF!</v>
      </c>
      <c r="HQ105" t="e">
        <f>AND('BBP complete'!#REF!,"AAAAAGdz9+A=")</f>
        <v>#REF!</v>
      </c>
      <c r="HR105" t="e">
        <f>AND('BBP complete'!#REF!,"AAAAAGdz9+E=")</f>
        <v>#REF!</v>
      </c>
      <c r="HS105" t="e">
        <f>AND('BBP complete'!#REF!,"AAAAAGdz9+I=")</f>
        <v>#REF!</v>
      </c>
      <c r="HT105" t="e">
        <f>AND('BBP complete'!#REF!,"AAAAAGdz9+M=")</f>
        <v>#REF!</v>
      </c>
      <c r="HU105" t="e">
        <f>AND('BBP complete'!C1457,"AAAAAGdz9+Q=")</f>
        <v>#VALUE!</v>
      </c>
      <c r="HV105" t="e">
        <f>AND('BBP complete'!M1456,"AAAAAGdz9+U=")</f>
        <v>#VALUE!</v>
      </c>
      <c r="HW105" t="e">
        <f>AND('BBP complete'!N1456,"AAAAAGdz9+Y=")</f>
        <v>#VALUE!</v>
      </c>
      <c r="HX105" t="e">
        <f>AND('BBP complete'!P1470,"AAAAAGdz9+c=")</f>
        <v>#VALUE!</v>
      </c>
      <c r="HY105" s="60" t="e">
        <v>#VALUE!</v>
      </c>
      <c r="HZ105" t="e">
        <f>AND('BBP complete'!B1461,"AAAAAGdz9+k=")</f>
        <v>#VALUE!</v>
      </c>
      <c r="IA105" t="e">
        <f>AND('BBP complete'!F1462,"AAAAAGdz9+o=")</f>
        <v>#VALUE!</v>
      </c>
      <c r="IB105" t="e">
        <f>AND('BBP complete'!G1462,"AAAAAGdz9+s=")</f>
        <v>#VALUE!</v>
      </c>
      <c r="IC105" t="e">
        <f>AND('BBP complete'!D1461,"AAAAAGdz9+w=")</f>
        <v>#VALUE!</v>
      </c>
      <c r="ID105" t="e">
        <f>AND('BBP complete'!H1460,"AAAAAGdz9+0=")</f>
        <v>#VALUE!</v>
      </c>
      <c r="IE105" t="e">
        <f>AND('BBP complete'!I1459,"AAAAAGdz9+4=")</f>
        <v>#VALUE!</v>
      </c>
      <c r="IF105" t="e">
        <f>AND('BBP complete'!#REF!,"AAAAAGdz9+8=")</f>
        <v>#REF!</v>
      </c>
      <c r="IG105" t="e">
        <f>AND('BBP complete'!#REF!,"AAAAAGdz9/A=")</f>
        <v>#REF!</v>
      </c>
      <c r="IH105" t="e">
        <f>AND('BBP complete'!#REF!,"AAAAAGdz9/E=")</f>
        <v>#REF!</v>
      </c>
      <c r="II105" t="e">
        <f>AND('BBP complete'!#REF!,"AAAAAGdz9/I=")</f>
        <v>#REF!</v>
      </c>
      <c r="IJ105" t="e">
        <f>AND('BBP complete'!#REF!,"AAAAAGdz9/M=")</f>
        <v>#REF!</v>
      </c>
      <c r="IK105" t="e">
        <f>AND('BBP complete'!C1458,"AAAAAGdz9/Q=")</f>
        <v>#VALUE!</v>
      </c>
      <c r="IL105" t="e">
        <f>AND('BBP complete'!M1457,"AAAAAGdz9/U=")</f>
        <v>#VALUE!</v>
      </c>
      <c r="IM105" t="e">
        <f>AND('BBP complete'!N1457,"AAAAAGdz9/Y=")</f>
        <v>#VALUE!</v>
      </c>
      <c r="IN105" t="e">
        <f>AND('BBP complete'!P1471,"AAAAAGdz9/c=")</f>
        <v>#VALUE!</v>
      </c>
      <c r="IO105" s="60" t="e">
        <v>#VALUE!</v>
      </c>
      <c r="IP105" t="e">
        <f>AND('BBP complete'!B1462,"AAAAAGdz9/k=")</f>
        <v>#VALUE!</v>
      </c>
      <c r="IQ105" t="e">
        <f>AND('BBP complete'!F1463,"AAAAAGdz9/o=")</f>
        <v>#VALUE!</v>
      </c>
      <c r="IR105" t="e">
        <f>AND('BBP complete'!G1463,"AAAAAGdz9/s=")</f>
        <v>#VALUE!</v>
      </c>
      <c r="IS105" t="e">
        <f>AND('BBP complete'!D1462,"AAAAAGdz9/w=")</f>
        <v>#VALUE!</v>
      </c>
      <c r="IT105" t="e">
        <f>AND('BBP complete'!H1461,"AAAAAGdz9/0=")</f>
        <v>#VALUE!</v>
      </c>
      <c r="IU105" t="e">
        <f>AND('BBP complete'!I1460,"AAAAAGdz9/4=")</f>
        <v>#VALUE!</v>
      </c>
      <c r="IV105" t="e">
        <f>AND('BBP complete'!#REF!,"AAAAAGdz9/8=")</f>
        <v>#REF!</v>
      </c>
    </row>
    <row r="106" spans="1:256" ht="15" customHeight="1" x14ac:dyDescent="0.25">
      <c r="A106" t="e">
        <f>AND('BBP complete'!#REF!,"AAAAAH/r7gA=")</f>
        <v>#REF!</v>
      </c>
      <c r="B106" t="e">
        <f>AND('BBP complete'!#REF!,"AAAAAH/r7gE=")</f>
        <v>#REF!</v>
      </c>
      <c r="C106" t="e">
        <f>AND('BBP complete'!#REF!,"AAAAAH/r7gI=")</f>
        <v>#REF!</v>
      </c>
      <c r="D106" t="e">
        <f>AND('BBP complete'!#REF!,"AAAAAH/r7gM=")</f>
        <v>#REF!</v>
      </c>
      <c r="E106" t="e">
        <f>AND('BBP complete'!C1459,"AAAAAH/r7gQ=")</f>
        <v>#VALUE!</v>
      </c>
      <c r="F106" t="e">
        <f>AND('BBP complete'!M1458,"AAAAAH/r7gU=")</f>
        <v>#VALUE!</v>
      </c>
      <c r="G106" t="e">
        <f>AND('BBP complete'!N1458,"AAAAAH/r7gY=")</f>
        <v>#VALUE!</v>
      </c>
      <c r="H106" t="e">
        <f>AND('BBP complete'!P1472,"AAAAAH/r7gc=")</f>
        <v>#VALUE!</v>
      </c>
      <c r="I106" s="60" t="e">
        <v>#VALUE!</v>
      </c>
      <c r="J106" t="e">
        <f>AND('BBP complete'!B1463,"AAAAAH/r7gk=")</f>
        <v>#VALUE!</v>
      </c>
      <c r="K106" t="e">
        <f>AND('BBP complete'!F1464,"AAAAAH/r7go=")</f>
        <v>#VALUE!</v>
      </c>
      <c r="L106" t="e">
        <f>AND('BBP complete'!G1464,"AAAAAH/r7gs=")</f>
        <v>#VALUE!</v>
      </c>
      <c r="M106" t="e">
        <f>AND('BBP complete'!D1463,"AAAAAH/r7gw=")</f>
        <v>#VALUE!</v>
      </c>
      <c r="N106" t="e">
        <f>AND('BBP complete'!H1462,"AAAAAH/r7g0=")</f>
        <v>#VALUE!</v>
      </c>
      <c r="O106" t="e">
        <f>AND('BBP complete'!I1461,"AAAAAH/r7g4=")</f>
        <v>#VALUE!</v>
      </c>
      <c r="P106" t="e">
        <f>AND('BBP complete'!#REF!,"AAAAAH/r7g8=")</f>
        <v>#REF!</v>
      </c>
      <c r="Q106" t="e">
        <f>AND('BBP complete'!#REF!,"AAAAAH/r7hA=")</f>
        <v>#REF!</v>
      </c>
      <c r="R106" t="e">
        <f>AND('BBP complete'!#REF!,"AAAAAH/r7hE=")</f>
        <v>#REF!</v>
      </c>
      <c r="S106" t="e">
        <f>AND('BBP complete'!#REF!,"AAAAAH/r7hI=")</f>
        <v>#REF!</v>
      </c>
      <c r="T106" t="e">
        <f>AND('BBP complete'!#REF!,"AAAAAH/r7hM=")</f>
        <v>#REF!</v>
      </c>
      <c r="U106" t="e">
        <f>AND('BBP complete'!C1460,"AAAAAH/r7hQ=")</f>
        <v>#VALUE!</v>
      </c>
      <c r="V106" t="e">
        <f>AND('BBP complete'!M1459,"AAAAAH/r7hU=")</f>
        <v>#VALUE!</v>
      </c>
      <c r="W106" t="e">
        <f>AND('BBP complete'!N1459,"AAAAAH/r7hY=")</f>
        <v>#VALUE!</v>
      </c>
      <c r="X106" t="e">
        <f>AND('BBP complete'!P1473,"AAAAAH/r7hc=")</f>
        <v>#VALUE!</v>
      </c>
      <c r="Y106" s="60" t="e">
        <v>#VALUE!</v>
      </c>
      <c r="Z106" t="e">
        <f>AND('BBP complete'!B1464,"AAAAAH/r7hk=")</f>
        <v>#VALUE!</v>
      </c>
      <c r="AA106" t="e">
        <f>AND('BBP complete'!F1465,"AAAAAH/r7ho=")</f>
        <v>#VALUE!</v>
      </c>
      <c r="AB106" t="e">
        <f>AND('BBP complete'!G1465,"AAAAAH/r7hs=")</f>
        <v>#VALUE!</v>
      </c>
      <c r="AC106" t="e">
        <f>AND('BBP complete'!D1464,"AAAAAH/r7hw=")</f>
        <v>#VALUE!</v>
      </c>
      <c r="AD106" t="e">
        <f>AND('BBP complete'!H1463,"AAAAAH/r7h0=")</f>
        <v>#VALUE!</v>
      </c>
      <c r="AE106" t="e">
        <f>AND('BBP complete'!I1462,"AAAAAH/r7h4=")</f>
        <v>#VALUE!</v>
      </c>
      <c r="AF106" t="e">
        <f>AND('BBP complete'!#REF!,"AAAAAH/r7h8=")</f>
        <v>#REF!</v>
      </c>
      <c r="AG106" t="e">
        <f>AND('BBP complete'!#REF!,"AAAAAH/r7iA=")</f>
        <v>#REF!</v>
      </c>
      <c r="AH106" t="e">
        <f>AND('BBP complete'!#REF!,"AAAAAH/r7iE=")</f>
        <v>#REF!</v>
      </c>
      <c r="AI106" t="e">
        <f>AND('BBP complete'!#REF!,"AAAAAH/r7iI=")</f>
        <v>#REF!</v>
      </c>
      <c r="AJ106" t="e">
        <f>AND('BBP complete'!#REF!,"AAAAAH/r7iM=")</f>
        <v>#REF!</v>
      </c>
      <c r="AK106" t="e">
        <f>AND('BBP complete'!C1461,"AAAAAH/r7iQ=")</f>
        <v>#VALUE!</v>
      </c>
      <c r="AL106" t="e">
        <f>AND('BBP complete'!M1460,"AAAAAH/r7iU=")</f>
        <v>#VALUE!</v>
      </c>
      <c r="AM106" t="e">
        <f>AND('BBP complete'!N1460,"AAAAAH/r7iY=")</f>
        <v>#VALUE!</v>
      </c>
      <c r="AN106" t="e">
        <f>AND('BBP complete'!P1474,"AAAAAH/r7ic=")</f>
        <v>#VALUE!</v>
      </c>
      <c r="AO106" s="60" t="e">
        <v>#VALUE!</v>
      </c>
      <c r="AP106" t="e">
        <f>AND('BBP complete'!B1465,"AAAAAH/r7ik=")</f>
        <v>#VALUE!</v>
      </c>
      <c r="AQ106" t="e">
        <f>AND('BBP complete'!F1466,"AAAAAH/r7io=")</f>
        <v>#VALUE!</v>
      </c>
      <c r="AR106" t="e">
        <f>AND('BBP complete'!G1466,"AAAAAH/r7is=")</f>
        <v>#VALUE!</v>
      </c>
      <c r="AS106" t="e">
        <f>AND('BBP complete'!D1465,"AAAAAH/r7iw=")</f>
        <v>#VALUE!</v>
      </c>
      <c r="AT106" t="e">
        <f>AND('BBP complete'!H1464,"AAAAAH/r7i0=")</f>
        <v>#VALUE!</v>
      </c>
      <c r="AU106" t="e">
        <f>AND('BBP complete'!I1463,"AAAAAH/r7i4=")</f>
        <v>#VALUE!</v>
      </c>
      <c r="AV106" t="e">
        <f>AND('BBP complete'!#REF!,"AAAAAH/r7i8=")</f>
        <v>#REF!</v>
      </c>
      <c r="AW106" t="e">
        <f>AND('BBP complete'!#REF!,"AAAAAH/r7jA=")</f>
        <v>#REF!</v>
      </c>
      <c r="AX106" t="e">
        <f>AND('BBP complete'!#REF!,"AAAAAH/r7jE=")</f>
        <v>#REF!</v>
      </c>
      <c r="AY106" t="e">
        <f>AND('BBP complete'!#REF!,"AAAAAH/r7jI=")</f>
        <v>#REF!</v>
      </c>
      <c r="AZ106" t="e">
        <f>AND('BBP complete'!#REF!,"AAAAAH/r7jM=")</f>
        <v>#REF!</v>
      </c>
      <c r="BA106" t="e">
        <f>AND('BBP complete'!C1462,"AAAAAH/r7jQ=")</f>
        <v>#VALUE!</v>
      </c>
      <c r="BB106" t="e">
        <f>AND('BBP complete'!M1461,"AAAAAH/r7jU=")</f>
        <v>#VALUE!</v>
      </c>
      <c r="BC106" t="e">
        <f>AND('BBP complete'!N1461,"AAAAAH/r7jY=")</f>
        <v>#VALUE!</v>
      </c>
      <c r="BD106" t="e">
        <f>AND('BBP complete'!P1475,"AAAAAH/r7jc=")</f>
        <v>#VALUE!</v>
      </c>
      <c r="BE106" s="60" t="e">
        <v>#VALUE!</v>
      </c>
      <c r="BF106" t="e">
        <f>AND('BBP complete'!B1466,"AAAAAH/r7jk=")</f>
        <v>#VALUE!</v>
      </c>
      <c r="BG106" t="e">
        <f>AND('BBP complete'!F1467,"AAAAAH/r7jo=")</f>
        <v>#VALUE!</v>
      </c>
      <c r="BH106" t="e">
        <f>AND('BBP complete'!G1467,"AAAAAH/r7js=")</f>
        <v>#VALUE!</v>
      </c>
      <c r="BI106" t="e">
        <f>AND('BBP complete'!D1466,"AAAAAH/r7jw=")</f>
        <v>#VALUE!</v>
      </c>
      <c r="BJ106" t="e">
        <f>AND('BBP complete'!H1465,"AAAAAH/r7j0=")</f>
        <v>#VALUE!</v>
      </c>
      <c r="BK106" t="e">
        <f>AND('BBP complete'!I1464,"AAAAAH/r7j4=")</f>
        <v>#VALUE!</v>
      </c>
      <c r="BL106" t="e">
        <f>AND('BBP complete'!#REF!,"AAAAAH/r7j8=")</f>
        <v>#REF!</v>
      </c>
      <c r="BM106" t="e">
        <f>AND('BBP complete'!#REF!,"AAAAAH/r7kA=")</f>
        <v>#REF!</v>
      </c>
      <c r="BN106" t="e">
        <f>AND('BBP complete'!#REF!,"AAAAAH/r7kE=")</f>
        <v>#REF!</v>
      </c>
      <c r="BO106" t="e">
        <f>AND('BBP complete'!#REF!,"AAAAAH/r7kI=")</f>
        <v>#REF!</v>
      </c>
      <c r="BP106" t="e">
        <f>AND('BBP complete'!#REF!,"AAAAAH/r7kM=")</f>
        <v>#REF!</v>
      </c>
      <c r="BQ106" t="e">
        <f>AND('BBP complete'!C1463,"AAAAAH/r7kQ=")</f>
        <v>#VALUE!</v>
      </c>
      <c r="BR106" t="e">
        <f>AND('BBP complete'!M1462,"AAAAAH/r7kU=")</f>
        <v>#VALUE!</v>
      </c>
      <c r="BS106" t="e">
        <f>AND('BBP complete'!N1462,"AAAAAH/r7kY=")</f>
        <v>#VALUE!</v>
      </c>
      <c r="BT106" t="e">
        <f>AND('BBP complete'!P1476,"AAAAAH/r7kc=")</f>
        <v>#VALUE!</v>
      </c>
      <c r="BU106" s="60" t="e">
        <v>#VALUE!</v>
      </c>
      <c r="BV106" t="e">
        <f>AND('BBP complete'!B1467,"AAAAAH/r7kk=")</f>
        <v>#VALUE!</v>
      </c>
      <c r="BW106" t="e">
        <f>AND('BBP complete'!F1468,"AAAAAH/r7ko=")</f>
        <v>#VALUE!</v>
      </c>
      <c r="BX106" t="e">
        <f>AND('BBP complete'!G1468,"AAAAAH/r7ks=")</f>
        <v>#VALUE!</v>
      </c>
      <c r="BY106" t="e">
        <f>AND('BBP complete'!D1467,"AAAAAH/r7kw=")</f>
        <v>#VALUE!</v>
      </c>
      <c r="BZ106" t="e">
        <f>AND('BBP complete'!H1466,"AAAAAH/r7k0=")</f>
        <v>#VALUE!</v>
      </c>
      <c r="CA106" t="e">
        <f>AND('BBP complete'!I1465,"AAAAAH/r7k4=")</f>
        <v>#VALUE!</v>
      </c>
      <c r="CB106" t="e">
        <f>AND('BBP complete'!#REF!,"AAAAAH/r7k8=")</f>
        <v>#REF!</v>
      </c>
      <c r="CC106" t="e">
        <f>AND('BBP complete'!#REF!,"AAAAAH/r7lA=")</f>
        <v>#REF!</v>
      </c>
      <c r="CD106" t="e">
        <f>AND('BBP complete'!#REF!,"AAAAAH/r7lE=")</f>
        <v>#REF!</v>
      </c>
      <c r="CE106" t="e">
        <f>AND('BBP complete'!#REF!,"AAAAAH/r7lI=")</f>
        <v>#REF!</v>
      </c>
      <c r="CF106" t="e">
        <f>AND('BBP complete'!#REF!,"AAAAAH/r7lM=")</f>
        <v>#REF!</v>
      </c>
      <c r="CG106" t="e">
        <f>AND('BBP complete'!C1464,"AAAAAH/r7lQ=")</f>
        <v>#VALUE!</v>
      </c>
      <c r="CH106" t="e">
        <f>AND('BBP complete'!M1463,"AAAAAH/r7lU=")</f>
        <v>#VALUE!</v>
      </c>
      <c r="CI106" t="e">
        <f>AND('BBP complete'!N1463,"AAAAAH/r7lY=")</f>
        <v>#VALUE!</v>
      </c>
      <c r="CJ106" t="e">
        <f>AND('BBP complete'!P1477,"AAAAAH/r7lc=")</f>
        <v>#VALUE!</v>
      </c>
      <c r="CK106" s="60" t="e">
        <v>#VALUE!</v>
      </c>
      <c r="CL106" t="e">
        <f>AND('BBP complete'!B1468,"AAAAAH/r7lk=")</f>
        <v>#VALUE!</v>
      </c>
      <c r="CM106" t="e">
        <f>AND('BBP complete'!F1469,"AAAAAH/r7lo=")</f>
        <v>#VALUE!</v>
      </c>
      <c r="CN106" t="e">
        <f>AND('BBP complete'!G1469,"AAAAAH/r7ls=")</f>
        <v>#VALUE!</v>
      </c>
      <c r="CO106" t="e">
        <f>AND('BBP complete'!D1468,"AAAAAH/r7lw=")</f>
        <v>#VALUE!</v>
      </c>
      <c r="CP106" t="e">
        <f>AND('BBP complete'!H1467,"AAAAAH/r7l0=")</f>
        <v>#VALUE!</v>
      </c>
      <c r="CQ106" t="e">
        <f>AND('BBP complete'!I1466,"AAAAAH/r7l4=")</f>
        <v>#VALUE!</v>
      </c>
      <c r="CR106" t="e">
        <f>AND('BBP complete'!#REF!,"AAAAAH/r7l8=")</f>
        <v>#REF!</v>
      </c>
      <c r="CS106" t="e">
        <f>AND('BBP complete'!#REF!,"AAAAAH/r7mA=")</f>
        <v>#REF!</v>
      </c>
      <c r="CT106" t="e">
        <f>AND('BBP complete'!#REF!,"AAAAAH/r7mE=")</f>
        <v>#REF!</v>
      </c>
      <c r="CU106" t="e">
        <f>AND('BBP complete'!#REF!,"AAAAAH/r7mI=")</f>
        <v>#REF!</v>
      </c>
      <c r="CV106" t="e">
        <f>AND('BBP complete'!#REF!,"AAAAAH/r7mM=")</f>
        <v>#REF!</v>
      </c>
      <c r="CW106" t="e">
        <f>AND('BBP complete'!C1465,"AAAAAH/r7mQ=")</f>
        <v>#VALUE!</v>
      </c>
      <c r="CX106" t="e">
        <f>AND('BBP complete'!M1464,"AAAAAH/r7mU=")</f>
        <v>#VALUE!</v>
      </c>
      <c r="CY106" t="e">
        <f>AND('BBP complete'!N1464,"AAAAAH/r7mY=")</f>
        <v>#VALUE!</v>
      </c>
      <c r="CZ106" t="e">
        <f>AND('BBP complete'!P1478,"AAAAAH/r7mc=")</f>
        <v>#VALUE!</v>
      </c>
      <c r="DA106" s="60" t="e">
        <v>#VALUE!</v>
      </c>
      <c r="DB106" t="e">
        <f>AND('BBP complete'!B1469,"AAAAAH/r7mk=")</f>
        <v>#VALUE!</v>
      </c>
      <c r="DC106" t="e">
        <f>AND('BBP complete'!F1470,"AAAAAH/r7mo=")</f>
        <v>#VALUE!</v>
      </c>
      <c r="DD106" t="e">
        <f>AND('BBP complete'!G1470,"AAAAAH/r7ms=")</f>
        <v>#VALUE!</v>
      </c>
      <c r="DE106" t="e">
        <f>AND('BBP complete'!D1469,"AAAAAH/r7mw=")</f>
        <v>#VALUE!</v>
      </c>
      <c r="DF106" t="e">
        <f>AND('BBP complete'!H1468,"AAAAAH/r7m0=")</f>
        <v>#VALUE!</v>
      </c>
      <c r="DG106" t="e">
        <f>AND('BBP complete'!I1467,"AAAAAH/r7m4=")</f>
        <v>#VALUE!</v>
      </c>
      <c r="DH106" t="e">
        <f>AND('BBP complete'!#REF!,"AAAAAH/r7m8=")</f>
        <v>#REF!</v>
      </c>
      <c r="DI106" t="e">
        <f>AND('BBP complete'!#REF!,"AAAAAH/r7nA=")</f>
        <v>#REF!</v>
      </c>
      <c r="DJ106" t="e">
        <f>AND('BBP complete'!#REF!,"AAAAAH/r7nE=")</f>
        <v>#REF!</v>
      </c>
      <c r="DK106" t="e">
        <f>AND('BBP complete'!#REF!,"AAAAAH/r7nI=")</f>
        <v>#REF!</v>
      </c>
      <c r="DL106" t="e">
        <f>AND('BBP complete'!#REF!,"AAAAAH/r7nM=")</f>
        <v>#REF!</v>
      </c>
      <c r="DM106" t="e">
        <f>AND('BBP complete'!C1466,"AAAAAH/r7nQ=")</f>
        <v>#VALUE!</v>
      </c>
      <c r="DN106" t="e">
        <f>AND('BBP complete'!M1465,"AAAAAH/r7nU=")</f>
        <v>#VALUE!</v>
      </c>
      <c r="DO106" t="e">
        <f>AND('BBP complete'!N1465,"AAAAAH/r7nY=")</f>
        <v>#VALUE!</v>
      </c>
      <c r="DP106" t="e">
        <f>AND('BBP complete'!P1479,"AAAAAH/r7nc=")</f>
        <v>#VALUE!</v>
      </c>
      <c r="DQ106" s="60" t="e">
        <v>#VALUE!</v>
      </c>
      <c r="DR106" t="e">
        <f>AND('BBP complete'!B1470,"AAAAAH/r7nk=")</f>
        <v>#VALUE!</v>
      </c>
      <c r="DS106" t="e">
        <f>AND('BBP complete'!F1471,"AAAAAH/r7no=")</f>
        <v>#VALUE!</v>
      </c>
      <c r="DT106" t="e">
        <f>AND('BBP complete'!G1471,"AAAAAH/r7ns=")</f>
        <v>#VALUE!</v>
      </c>
      <c r="DU106" t="e">
        <f>AND('BBP complete'!D1470,"AAAAAH/r7nw=")</f>
        <v>#VALUE!</v>
      </c>
      <c r="DV106" t="e">
        <f>AND('BBP complete'!H1469,"AAAAAH/r7n0=")</f>
        <v>#VALUE!</v>
      </c>
      <c r="DW106" t="e">
        <f>AND('BBP complete'!I1468,"AAAAAH/r7n4=")</f>
        <v>#VALUE!</v>
      </c>
      <c r="DX106" t="e">
        <f>AND('BBP complete'!#REF!,"AAAAAH/r7n8=")</f>
        <v>#REF!</v>
      </c>
      <c r="DY106" t="e">
        <f>AND('BBP complete'!#REF!,"AAAAAH/r7oA=")</f>
        <v>#REF!</v>
      </c>
      <c r="DZ106" t="e">
        <f>AND('BBP complete'!#REF!,"AAAAAH/r7oE=")</f>
        <v>#REF!</v>
      </c>
      <c r="EA106" t="e">
        <f>AND('BBP complete'!#REF!,"AAAAAH/r7oI=")</f>
        <v>#REF!</v>
      </c>
      <c r="EB106" t="e">
        <f>AND('BBP complete'!#REF!,"AAAAAH/r7oM=")</f>
        <v>#REF!</v>
      </c>
      <c r="EC106" t="e">
        <f>AND('BBP complete'!C1467,"AAAAAH/r7oQ=")</f>
        <v>#VALUE!</v>
      </c>
      <c r="ED106" t="e">
        <f>AND('BBP complete'!M1466,"AAAAAH/r7oU=")</f>
        <v>#VALUE!</v>
      </c>
      <c r="EE106" t="e">
        <f>AND('BBP complete'!N1466,"AAAAAH/r7oY=")</f>
        <v>#VALUE!</v>
      </c>
      <c r="EF106" t="e">
        <f>AND('BBP complete'!P1480,"AAAAAH/r7oc=")</f>
        <v>#VALUE!</v>
      </c>
      <c r="EG106" s="60" t="e">
        <v>#VALUE!</v>
      </c>
      <c r="EH106" t="e">
        <f>AND('BBP complete'!B1471,"AAAAAH/r7ok=")</f>
        <v>#VALUE!</v>
      </c>
      <c r="EI106" t="e">
        <f>AND('BBP complete'!F1472,"AAAAAH/r7oo=")</f>
        <v>#VALUE!</v>
      </c>
      <c r="EJ106" t="e">
        <f>AND('BBP complete'!G1472,"AAAAAH/r7os=")</f>
        <v>#VALUE!</v>
      </c>
      <c r="EK106" t="e">
        <f>AND('BBP complete'!D1471,"AAAAAH/r7ow=")</f>
        <v>#VALUE!</v>
      </c>
      <c r="EL106" t="e">
        <f>AND('BBP complete'!H1470,"AAAAAH/r7o0=")</f>
        <v>#VALUE!</v>
      </c>
      <c r="EM106" t="e">
        <f>AND('BBP complete'!I1469,"AAAAAH/r7o4=")</f>
        <v>#VALUE!</v>
      </c>
      <c r="EN106" t="e">
        <f>AND('BBP complete'!#REF!,"AAAAAH/r7o8=")</f>
        <v>#REF!</v>
      </c>
      <c r="EO106" t="e">
        <f>AND('BBP complete'!#REF!,"AAAAAH/r7pA=")</f>
        <v>#REF!</v>
      </c>
      <c r="EP106" t="e">
        <f>AND('BBP complete'!#REF!,"AAAAAH/r7pE=")</f>
        <v>#REF!</v>
      </c>
      <c r="EQ106" t="e">
        <f>AND('BBP complete'!#REF!,"AAAAAH/r7pI=")</f>
        <v>#REF!</v>
      </c>
      <c r="ER106" t="e">
        <f>AND('BBP complete'!#REF!,"AAAAAH/r7pM=")</f>
        <v>#REF!</v>
      </c>
      <c r="ES106" t="e">
        <f>AND('BBP complete'!C1468,"AAAAAH/r7pQ=")</f>
        <v>#VALUE!</v>
      </c>
      <c r="ET106" t="e">
        <f>AND('BBP complete'!M1467,"AAAAAH/r7pU=")</f>
        <v>#VALUE!</v>
      </c>
      <c r="EU106" t="e">
        <f>AND('BBP complete'!N1467,"AAAAAH/r7pY=")</f>
        <v>#VALUE!</v>
      </c>
      <c r="EV106" t="e">
        <f>AND('BBP complete'!P1481,"AAAAAH/r7pc=")</f>
        <v>#VALUE!</v>
      </c>
      <c r="EW106" s="60" t="e">
        <v>#VALUE!</v>
      </c>
      <c r="EX106" t="e">
        <f>AND('BBP complete'!B1472,"AAAAAH/r7pk=")</f>
        <v>#VALUE!</v>
      </c>
      <c r="EY106" t="e">
        <f>AND('BBP complete'!F1473,"AAAAAH/r7po=")</f>
        <v>#VALUE!</v>
      </c>
      <c r="EZ106" t="e">
        <f>AND('BBP complete'!G1473,"AAAAAH/r7ps=")</f>
        <v>#VALUE!</v>
      </c>
      <c r="FA106" t="e">
        <f>AND('BBP complete'!D1472,"AAAAAH/r7pw=")</f>
        <v>#VALUE!</v>
      </c>
      <c r="FB106" t="e">
        <f>AND('BBP complete'!H1471,"AAAAAH/r7p0=")</f>
        <v>#VALUE!</v>
      </c>
      <c r="FC106" t="e">
        <f>AND('BBP complete'!I1470,"AAAAAH/r7p4=")</f>
        <v>#VALUE!</v>
      </c>
      <c r="FD106" t="e">
        <f>AND('BBP complete'!#REF!,"AAAAAH/r7p8=")</f>
        <v>#REF!</v>
      </c>
      <c r="FE106" t="e">
        <f>AND('BBP complete'!#REF!,"AAAAAH/r7qA=")</f>
        <v>#REF!</v>
      </c>
      <c r="FF106" t="e">
        <f>AND('BBP complete'!#REF!,"AAAAAH/r7qE=")</f>
        <v>#REF!</v>
      </c>
      <c r="FG106" t="e">
        <f>AND('BBP complete'!#REF!,"AAAAAH/r7qI=")</f>
        <v>#REF!</v>
      </c>
      <c r="FH106" t="e">
        <f>AND('BBP complete'!#REF!,"AAAAAH/r7qM=")</f>
        <v>#REF!</v>
      </c>
      <c r="FI106" t="e">
        <f>AND('BBP complete'!C1469,"AAAAAH/r7qQ=")</f>
        <v>#VALUE!</v>
      </c>
      <c r="FJ106" t="e">
        <f>AND('BBP complete'!M1468,"AAAAAH/r7qU=")</f>
        <v>#VALUE!</v>
      </c>
      <c r="FK106" t="e">
        <f>AND('BBP complete'!N1468,"AAAAAH/r7qY=")</f>
        <v>#VALUE!</v>
      </c>
      <c r="FL106" t="e">
        <f>AND('BBP complete'!P1482,"AAAAAH/r7qc=")</f>
        <v>#VALUE!</v>
      </c>
      <c r="FM106" s="60" t="e">
        <v>#VALUE!</v>
      </c>
      <c r="FN106" t="e">
        <f>AND('BBP complete'!B1473,"AAAAAH/r7qk=")</f>
        <v>#VALUE!</v>
      </c>
      <c r="FO106" t="e">
        <f>AND('BBP complete'!F1474,"AAAAAH/r7qo=")</f>
        <v>#VALUE!</v>
      </c>
      <c r="FP106" t="e">
        <f>AND('BBP complete'!G1474,"AAAAAH/r7qs=")</f>
        <v>#VALUE!</v>
      </c>
      <c r="FQ106" t="e">
        <f>AND('BBP complete'!D1473,"AAAAAH/r7qw=")</f>
        <v>#VALUE!</v>
      </c>
      <c r="FR106" t="e">
        <f>AND('BBP complete'!H1472,"AAAAAH/r7q0=")</f>
        <v>#VALUE!</v>
      </c>
      <c r="FS106" t="e">
        <f>AND('BBP complete'!I1471,"AAAAAH/r7q4=")</f>
        <v>#VALUE!</v>
      </c>
      <c r="FT106" t="e">
        <f>AND('BBP complete'!#REF!,"AAAAAH/r7q8=")</f>
        <v>#REF!</v>
      </c>
      <c r="FU106" t="e">
        <f>AND('BBP complete'!#REF!,"AAAAAH/r7rA=")</f>
        <v>#REF!</v>
      </c>
      <c r="FV106" t="e">
        <f>AND('BBP complete'!#REF!,"AAAAAH/r7rE=")</f>
        <v>#REF!</v>
      </c>
      <c r="FW106" t="e">
        <f>AND('BBP complete'!#REF!,"AAAAAH/r7rI=")</f>
        <v>#REF!</v>
      </c>
      <c r="FX106" t="e">
        <f>AND('BBP complete'!#REF!,"AAAAAH/r7rM=")</f>
        <v>#REF!</v>
      </c>
      <c r="FY106" t="e">
        <f>AND('BBP complete'!C1470,"AAAAAH/r7rQ=")</f>
        <v>#VALUE!</v>
      </c>
      <c r="FZ106" t="e">
        <f>AND('BBP complete'!M1469,"AAAAAH/r7rU=")</f>
        <v>#VALUE!</v>
      </c>
      <c r="GA106" t="e">
        <f>AND('BBP complete'!N1469,"AAAAAH/r7rY=")</f>
        <v>#VALUE!</v>
      </c>
      <c r="GB106" t="e">
        <f>AND('BBP complete'!P1483,"AAAAAH/r7rc=")</f>
        <v>#VALUE!</v>
      </c>
      <c r="GC106" s="60" t="e">
        <v>#VALUE!</v>
      </c>
      <c r="GD106" t="e">
        <f>AND('BBP complete'!B1474,"AAAAAH/r7rk=")</f>
        <v>#VALUE!</v>
      </c>
      <c r="GE106" t="e">
        <f>AND('BBP complete'!F1475,"AAAAAH/r7ro=")</f>
        <v>#VALUE!</v>
      </c>
      <c r="GF106" t="e">
        <f>AND('BBP complete'!G1475,"AAAAAH/r7rs=")</f>
        <v>#VALUE!</v>
      </c>
      <c r="GG106" t="e">
        <f>AND('BBP complete'!D1474,"AAAAAH/r7rw=")</f>
        <v>#VALUE!</v>
      </c>
      <c r="GH106" t="e">
        <f>AND('BBP complete'!H1473,"AAAAAH/r7r0=")</f>
        <v>#VALUE!</v>
      </c>
      <c r="GI106" t="e">
        <f>AND('BBP complete'!I1472,"AAAAAH/r7r4=")</f>
        <v>#VALUE!</v>
      </c>
      <c r="GJ106" t="e">
        <f>AND('BBP complete'!#REF!,"AAAAAH/r7r8=")</f>
        <v>#REF!</v>
      </c>
      <c r="GK106" t="e">
        <f>AND('BBP complete'!#REF!,"AAAAAH/r7sA=")</f>
        <v>#REF!</v>
      </c>
      <c r="GL106" t="e">
        <f>AND('BBP complete'!#REF!,"AAAAAH/r7sE=")</f>
        <v>#REF!</v>
      </c>
      <c r="GM106" t="e">
        <f>AND('BBP complete'!#REF!,"AAAAAH/r7sI=")</f>
        <v>#REF!</v>
      </c>
      <c r="GN106" t="e">
        <f>AND('BBP complete'!#REF!,"AAAAAH/r7sM=")</f>
        <v>#REF!</v>
      </c>
      <c r="GO106" t="e">
        <f>AND('BBP complete'!C1471,"AAAAAH/r7sQ=")</f>
        <v>#VALUE!</v>
      </c>
      <c r="GP106" t="e">
        <f>AND('BBP complete'!M1470,"AAAAAH/r7sU=")</f>
        <v>#VALUE!</v>
      </c>
      <c r="GQ106" t="e">
        <f>AND('BBP complete'!N1470,"AAAAAH/r7sY=")</f>
        <v>#VALUE!</v>
      </c>
      <c r="GR106" t="e">
        <f>AND('BBP complete'!P1484,"AAAAAH/r7sc=")</f>
        <v>#VALUE!</v>
      </c>
      <c r="GS106" s="60" t="e">
        <v>#VALUE!</v>
      </c>
      <c r="GT106" t="e">
        <f>AND('BBP complete'!B1475,"AAAAAH/r7sk=")</f>
        <v>#VALUE!</v>
      </c>
      <c r="GU106" t="e">
        <f>AND('BBP complete'!F1476,"AAAAAH/r7so=")</f>
        <v>#VALUE!</v>
      </c>
      <c r="GV106" t="e">
        <f>AND('BBP complete'!G1476,"AAAAAH/r7ss=")</f>
        <v>#VALUE!</v>
      </c>
      <c r="GW106" t="e">
        <f>AND('BBP complete'!D1475,"AAAAAH/r7sw=")</f>
        <v>#VALUE!</v>
      </c>
      <c r="GX106" t="e">
        <f>AND('BBP complete'!H1474,"AAAAAH/r7s0=")</f>
        <v>#VALUE!</v>
      </c>
      <c r="GY106" t="e">
        <f>AND('BBP complete'!I1473,"AAAAAH/r7s4=")</f>
        <v>#VALUE!</v>
      </c>
      <c r="GZ106" t="e">
        <f>AND('BBP complete'!#REF!,"AAAAAH/r7s8=")</f>
        <v>#REF!</v>
      </c>
      <c r="HA106" t="e">
        <f>AND('BBP complete'!#REF!,"AAAAAH/r7tA=")</f>
        <v>#REF!</v>
      </c>
      <c r="HB106" t="e">
        <f>AND('BBP complete'!#REF!,"AAAAAH/r7tE=")</f>
        <v>#REF!</v>
      </c>
      <c r="HC106" t="e">
        <f>AND('BBP complete'!#REF!,"AAAAAH/r7tI=")</f>
        <v>#REF!</v>
      </c>
      <c r="HD106" t="e">
        <f>AND('BBP complete'!#REF!,"AAAAAH/r7tM=")</f>
        <v>#REF!</v>
      </c>
      <c r="HE106" t="e">
        <f>AND('BBP complete'!C1472,"AAAAAH/r7tQ=")</f>
        <v>#VALUE!</v>
      </c>
      <c r="HF106" t="e">
        <f>AND('BBP complete'!M1471,"AAAAAH/r7tU=")</f>
        <v>#VALUE!</v>
      </c>
      <c r="HG106" t="e">
        <f>AND('BBP complete'!N1471,"AAAAAH/r7tY=")</f>
        <v>#VALUE!</v>
      </c>
      <c r="HH106" t="e">
        <f>AND('BBP complete'!P1485,"AAAAAH/r7tc=")</f>
        <v>#VALUE!</v>
      </c>
      <c r="HI106" s="60" t="e">
        <v>#VALUE!</v>
      </c>
      <c r="HJ106" t="e">
        <f>AND('BBP complete'!B1476,"AAAAAH/r7tk=")</f>
        <v>#VALUE!</v>
      </c>
      <c r="HK106" t="e">
        <f>AND('BBP complete'!F1477,"AAAAAH/r7to=")</f>
        <v>#VALUE!</v>
      </c>
      <c r="HL106" t="e">
        <f>AND('BBP complete'!G1477,"AAAAAH/r7ts=")</f>
        <v>#VALUE!</v>
      </c>
      <c r="HM106" t="e">
        <f>AND('BBP complete'!D1476,"AAAAAH/r7tw=")</f>
        <v>#VALUE!</v>
      </c>
      <c r="HN106" t="e">
        <f>AND('BBP complete'!H1475,"AAAAAH/r7t0=")</f>
        <v>#VALUE!</v>
      </c>
      <c r="HO106" t="e">
        <f>AND('BBP complete'!I1474,"AAAAAH/r7t4=")</f>
        <v>#VALUE!</v>
      </c>
      <c r="HP106" t="e">
        <f>AND('BBP complete'!#REF!,"AAAAAH/r7t8=")</f>
        <v>#REF!</v>
      </c>
      <c r="HQ106" t="e">
        <f>AND('BBP complete'!#REF!,"AAAAAH/r7uA=")</f>
        <v>#REF!</v>
      </c>
      <c r="HR106" t="e">
        <f>AND('BBP complete'!#REF!,"AAAAAH/r7uE=")</f>
        <v>#REF!</v>
      </c>
      <c r="HS106" t="e">
        <f>AND('BBP complete'!#REF!,"AAAAAH/r7uI=")</f>
        <v>#REF!</v>
      </c>
      <c r="HT106" t="e">
        <f>AND('BBP complete'!#REF!,"AAAAAH/r7uM=")</f>
        <v>#REF!</v>
      </c>
      <c r="HU106" t="e">
        <f>AND('BBP complete'!C1473,"AAAAAH/r7uQ=")</f>
        <v>#VALUE!</v>
      </c>
      <c r="HV106" t="e">
        <f>AND('BBP complete'!M1472,"AAAAAH/r7uU=")</f>
        <v>#VALUE!</v>
      </c>
      <c r="HW106" t="e">
        <f>AND('BBP complete'!N1472,"AAAAAH/r7uY=")</f>
        <v>#VALUE!</v>
      </c>
      <c r="HX106" t="e">
        <f>AND('BBP complete'!P1486,"AAAAAH/r7uc=")</f>
        <v>#VALUE!</v>
      </c>
      <c r="HY106" s="60" t="e">
        <v>#VALUE!</v>
      </c>
      <c r="HZ106" t="e">
        <f>AND('BBP complete'!B1477,"AAAAAH/r7uk=")</f>
        <v>#VALUE!</v>
      </c>
      <c r="IA106" t="e">
        <f>AND('BBP complete'!F1478,"AAAAAH/r7uo=")</f>
        <v>#VALUE!</v>
      </c>
      <c r="IB106" t="e">
        <f>AND('BBP complete'!G1478,"AAAAAH/r7us=")</f>
        <v>#VALUE!</v>
      </c>
      <c r="IC106" t="e">
        <f>AND('BBP complete'!D1477,"AAAAAH/r7uw=")</f>
        <v>#VALUE!</v>
      </c>
      <c r="ID106" t="e">
        <f>AND('BBP complete'!H1476,"AAAAAH/r7u0=")</f>
        <v>#VALUE!</v>
      </c>
      <c r="IE106" t="e">
        <f>AND('BBP complete'!I1475,"AAAAAH/r7u4=")</f>
        <v>#VALUE!</v>
      </c>
      <c r="IF106" t="e">
        <f>AND('BBP complete'!#REF!,"AAAAAH/r7u8=")</f>
        <v>#REF!</v>
      </c>
      <c r="IG106" t="e">
        <f>AND('BBP complete'!#REF!,"AAAAAH/r7vA=")</f>
        <v>#REF!</v>
      </c>
      <c r="IH106" t="e">
        <f>AND('BBP complete'!#REF!,"AAAAAH/r7vE=")</f>
        <v>#REF!</v>
      </c>
      <c r="II106" t="e">
        <f>AND('BBP complete'!#REF!,"AAAAAH/r7vI=")</f>
        <v>#REF!</v>
      </c>
      <c r="IJ106" t="e">
        <f>AND('BBP complete'!#REF!,"AAAAAH/r7vM=")</f>
        <v>#REF!</v>
      </c>
      <c r="IK106" t="e">
        <f>AND('BBP complete'!C1474,"AAAAAH/r7vQ=")</f>
        <v>#VALUE!</v>
      </c>
      <c r="IL106" t="e">
        <f>AND('BBP complete'!M1473,"AAAAAH/r7vU=")</f>
        <v>#VALUE!</v>
      </c>
      <c r="IM106" t="e">
        <f>AND('BBP complete'!N1473,"AAAAAH/r7vY=")</f>
        <v>#VALUE!</v>
      </c>
      <c r="IN106" t="e">
        <f>AND('BBP complete'!P1487,"AAAAAH/r7vc=")</f>
        <v>#VALUE!</v>
      </c>
      <c r="IO106" s="60" t="e">
        <v>#VALUE!</v>
      </c>
      <c r="IP106" t="e">
        <f>AND('BBP complete'!B1478,"AAAAAH/r7vk=")</f>
        <v>#VALUE!</v>
      </c>
      <c r="IQ106" t="e">
        <f>AND('BBP complete'!F1479,"AAAAAH/r7vo=")</f>
        <v>#VALUE!</v>
      </c>
      <c r="IR106" t="e">
        <f>AND('BBP complete'!G1479,"AAAAAH/r7vs=")</f>
        <v>#VALUE!</v>
      </c>
      <c r="IS106" t="e">
        <f>AND('BBP complete'!D1478,"AAAAAH/r7vw=")</f>
        <v>#VALUE!</v>
      </c>
      <c r="IT106" t="e">
        <f>AND('BBP complete'!H1477,"AAAAAH/r7v0=")</f>
        <v>#VALUE!</v>
      </c>
      <c r="IU106" t="e">
        <f>AND('BBP complete'!I1476,"AAAAAH/r7v4=")</f>
        <v>#VALUE!</v>
      </c>
      <c r="IV106" t="e">
        <f>AND('BBP complete'!#REF!,"AAAAAH/r7v8=")</f>
        <v>#REF!</v>
      </c>
    </row>
    <row r="107" spans="1:256" ht="15" customHeight="1" x14ac:dyDescent="0.25">
      <c r="A107" t="e">
        <f>AND('BBP complete'!#REF!,"AAAAAH//8QA=")</f>
        <v>#REF!</v>
      </c>
      <c r="B107" t="e">
        <f>AND('BBP complete'!#REF!,"AAAAAH//8QE=")</f>
        <v>#REF!</v>
      </c>
      <c r="C107" t="e">
        <f>AND('BBP complete'!#REF!,"AAAAAH//8QI=")</f>
        <v>#REF!</v>
      </c>
      <c r="D107" t="e">
        <f>AND('BBP complete'!#REF!,"AAAAAH//8QM=")</f>
        <v>#REF!</v>
      </c>
      <c r="E107" t="e">
        <f>AND('BBP complete'!C1475,"AAAAAH//8QQ=")</f>
        <v>#VALUE!</v>
      </c>
      <c r="F107" t="e">
        <f>AND('BBP complete'!M1474,"AAAAAH//8QU=")</f>
        <v>#VALUE!</v>
      </c>
      <c r="G107" t="e">
        <f>AND('BBP complete'!N1474,"AAAAAH//8QY=")</f>
        <v>#VALUE!</v>
      </c>
      <c r="H107" t="e">
        <f>AND('BBP complete'!P1488,"AAAAAH//8Qc=")</f>
        <v>#VALUE!</v>
      </c>
      <c r="I107" s="60" t="e">
        <v>#VALUE!</v>
      </c>
      <c r="J107" t="e">
        <f>AND('BBP complete'!B1479,"AAAAAH//8Qk=")</f>
        <v>#VALUE!</v>
      </c>
      <c r="K107" t="e">
        <f>AND('BBP complete'!F1480,"AAAAAH//8Qo=")</f>
        <v>#VALUE!</v>
      </c>
      <c r="L107" t="e">
        <f>AND('BBP complete'!G1480,"AAAAAH//8Qs=")</f>
        <v>#VALUE!</v>
      </c>
      <c r="M107" t="e">
        <f>AND('BBP complete'!D1479,"AAAAAH//8Qw=")</f>
        <v>#VALUE!</v>
      </c>
      <c r="N107" t="e">
        <f>AND('BBP complete'!H1478,"AAAAAH//8Q0=")</f>
        <v>#VALUE!</v>
      </c>
      <c r="O107" t="e">
        <f>AND('BBP complete'!I1477,"AAAAAH//8Q4=")</f>
        <v>#VALUE!</v>
      </c>
      <c r="P107" t="e">
        <f>AND('BBP complete'!#REF!,"AAAAAH//8Q8=")</f>
        <v>#REF!</v>
      </c>
      <c r="Q107" t="e">
        <f>AND('BBP complete'!#REF!,"AAAAAH//8RA=")</f>
        <v>#REF!</v>
      </c>
      <c r="R107" t="e">
        <f>AND('BBP complete'!#REF!,"AAAAAH//8RE=")</f>
        <v>#REF!</v>
      </c>
      <c r="S107" t="e">
        <f>AND('BBP complete'!#REF!,"AAAAAH//8RI=")</f>
        <v>#REF!</v>
      </c>
      <c r="T107" t="e">
        <f>AND('BBP complete'!#REF!,"AAAAAH//8RM=")</f>
        <v>#REF!</v>
      </c>
      <c r="U107" t="e">
        <f>AND('BBP complete'!C1476,"AAAAAH//8RQ=")</f>
        <v>#VALUE!</v>
      </c>
      <c r="V107" t="e">
        <f>AND('BBP complete'!M1475,"AAAAAH//8RU=")</f>
        <v>#VALUE!</v>
      </c>
      <c r="W107" t="e">
        <f>AND('BBP complete'!N1475,"AAAAAH//8RY=")</f>
        <v>#VALUE!</v>
      </c>
      <c r="X107" t="e">
        <f>AND('BBP complete'!P1489,"AAAAAH//8Rc=")</f>
        <v>#VALUE!</v>
      </c>
      <c r="Y107" s="60" t="e">
        <v>#VALUE!</v>
      </c>
      <c r="Z107" t="e">
        <f>AND('BBP complete'!B1480,"AAAAAH//8Rk=")</f>
        <v>#VALUE!</v>
      </c>
      <c r="AA107" t="e">
        <f>AND('BBP complete'!F1481,"AAAAAH//8Ro=")</f>
        <v>#VALUE!</v>
      </c>
      <c r="AB107" t="e">
        <f>AND('BBP complete'!G1481,"AAAAAH//8Rs=")</f>
        <v>#VALUE!</v>
      </c>
      <c r="AC107" t="e">
        <f>AND('BBP complete'!D1480,"AAAAAH//8Rw=")</f>
        <v>#VALUE!</v>
      </c>
      <c r="AD107" t="e">
        <f>AND('BBP complete'!H1479,"AAAAAH//8R0=")</f>
        <v>#VALUE!</v>
      </c>
      <c r="AE107" t="e">
        <f>AND('BBP complete'!I1478,"AAAAAH//8R4=")</f>
        <v>#VALUE!</v>
      </c>
      <c r="AF107" t="e">
        <f>AND('BBP complete'!#REF!,"AAAAAH//8R8=")</f>
        <v>#REF!</v>
      </c>
      <c r="AG107" t="e">
        <f>AND('BBP complete'!#REF!,"AAAAAH//8SA=")</f>
        <v>#REF!</v>
      </c>
      <c r="AH107" t="e">
        <f>AND('BBP complete'!#REF!,"AAAAAH//8SE=")</f>
        <v>#REF!</v>
      </c>
      <c r="AI107" t="e">
        <f>AND('BBP complete'!#REF!,"AAAAAH//8SI=")</f>
        <v>#REF!</v>
      </c>
      <c r="AJ107" t="e">
        <f>AND('BBP complete'!#REF!,"AAAAAH//8SM=")</f>
        <v>#REF!</v>
      </c>
      <c r="AK107" t="e">
        <f>AND('BBP complete'!C1477,"AAAAAH//8SQ=")</f>
        <v>#VALUE!</v>
      </c>
      <c r="AL107" t="e">
        <f>AND('BBP complete'!M1476,"AAAAAH//8SU=")</f>
        <v>#VALUE!</v>
      </c>
      <c r="AM107" t="e">
        <f>AND('BBP complete'!N1476,"AAAAAH//8SY=")</f>
        <v>#VALUE!</v>
      </c>
      <c r="AN107" t="e">
        <f>AND('BBP complete'!P1490,"AAAAAH//8Sc=")</f>
        <v>#VALUE!</v>
      </c>
      <c r="AO107" s="60" t="e">
        <v>#VALUE!</v>
      </c>
      <c r="AP107" t="e">
        <f>AND('BBP complete'!B1481,"AAAAAH//8Sk=")</f>
        <v>#VALUE!</v>
      </c>
      <c r="AQ107" t="e">
        <f>AND('BBP complete'!F1482,"AAAAAH//8So=")</f>
        <v>#VALUE!</v>
      </c>
      <c r="AR107" t="e">
        <f>AND('BBP complete'!G1482,"AAAAAH//8Ss=")</f>
        <v>#VALUE!</v>
      </c>
      <c r="AS107" t="e">
        <f>AND('BBP complete'!D1481,"AAAAAH//8Sw=")</f>
        <v>#VALUE!</v>
      </c>
      <c r="AT107" t="e">
        <f>AND('BBP complete'!H1480,"AAAAAH//8S0=")</f>
        <v>#VALUE!</v>
      </c>
      <c r="AU107" t="e">
        <f>AND('BBP complete'!I1479,"AAAAAH//8S4=")</f>
        <v>#VALUE!</v>
      </c>
      <c r="AV107" t="e">
        <f>AND('BBP complete'!#REF!,"AAAAAH//8S8=")</f>
        <v>#REF!</v>
      </c>
      <c r="AW107" t="e">
        <f>AND('BBP complete'!#REF!,"AAAAAH//8TA=")</f>
        <v>#REF!</v>
      </c>
      <c r="AX107" t="e">
        <f>AND('BBP complete'!#REF!,"AAAAAH//8TE=")</f>
        <v>#REF!</v>
      </c>
      <c r="AY107" t="e">
        <f>AND('BBP complete'!#REF!,"AAAAAH//8TI=")</f>
        <v>#REF!</v>
      </c>
      <c r="AZ107" t="e">
        <f>AND('BBP complete'!#REF!,"AAAAAH//8TM=")</f>
        <v>#REF!</v>
      </c>
      <c r="BA107" t="e">
        <f>AND('BBP complete'!C1478,"AAAAAH//8TQ=")</f>
        <v>#VALUE!</v>
      </c>
      <c r="BB107" t="e">
        <f>AND('BBP complete'!M1477,"AAAAAH//8TU=")</f>
        <v>#VALUE!</v>
      </c>
      <c r="BC107" t="e">
        <f>AND('BBP complete'!N1477,"AAAAAH//8TY=")</f>
        <v>#VALUE!</v>
      </c>
      <c r="BD107" t="e">
        <f>AND('BBP complete'!P1491,"AAAAAH//8Tc=")</f>
        <v>#VALUE!</v>
      </c>
      <c r="BE107" s="60" t="e">
        <v>#VALUE!</v>
      </c>
      <c r="BF107" t="e">
        <f>AND('BBP complete'!B1482,"AAAAAH//8Tk=")</f>
        <v>#VALUE!</v>
      </c>
      <c r="BG107" t="e">
        <f>AND('BBP complete'!F1483,"AAAAAH//8To=")</f>
        <v>#VALUE!</v>
      </c>
      <c r="BH107" t="e">
        <f>AND('BBP complete'!G1483,"AAAAAH//8Ts=")</f>
        <v>#VALUE!</v>
      </c>
      <c r="BI107" t="e">
        <f>AND('BBP complete'!D1482,"AAAAAH//8Tw=")</f>
        <v>#VALUE!</v>
      </c>
      <c r="BJ107" t="e">
        <f>AND('BBP complete'!H1481,"AAAAAH//8T0=")</f>
        <v>#VALUE!</v>
      </c>
      <c r="BK107" t="e">
        <f>AND('BBP complete'!I1480,"AAAAAH//8T4=")</f>
        <v>#VALUE!</v>
      </c>
      <c r="BL107" t="e">
        <f>AND('BBP complete'!#REF!,"AAAAAH//8T8=")</f>
        <v>#REF!</v>
      </c>
      <c r="BM107" t="e">
        <f>AND('BBP complete'!#REF!,"AAAAAH//8UA=")</f>
        <v>#REF!</v>
      </c>
      <c r="BN107" t="e">
        <f>AND('BBP complete'!#REF!,"AAAAAH//8UE=")</f>
        <v>#REF!</v>
      </c>
      <c r="BO107" t="e">
        <f>AND('BBP complete'!#REF!,"AAAAAH//8UI=")</f>
        <v>#REF!</v>
      </c>
      <c r="BP107" t="e">
        <f>AND('BBP complete'!#REF!,"AAAAAH//8UM=")</f>
        <v>#REF!</v>
      </c>
      <c r="BQ107" t="e">
        <f>AND('BBP complete'!C1479,"AAAAAH//8UQ=")</f>
        <v>#VALUE!</v>
      </c>
      <c r="BR107" t="e">
        <f>AND('BBP complete'!M1478,"AAAAAH//8UU=")</f>
        <v>#VALUE!</v>
      </c>
      <c r="BS107" t="e">
        <f>AND('BBP complete'!N1478,"AAAAAH//8UY=")</f>
        <v>#VALUE!</v>
      </c>
      <c r="BT107" t="e">
        <f>AND('BBP complete'!P1492,"AAAAAH//8Uc=")</f>
        <v>#VALUE!</v>
      </c>
      <c r="BU107" s="60" t="e">
        <v>#VALUE!</v>
      </c>
      <c r="BV107" t="e">
        <f>AND('BBP complete'!B1483,"AAAAAH//8Uk=")</f>
        <v>#VALUE!</v>
      </c>
      <c r="BW107" t="e">
        <f>AND('BBP complete'!F1484,"AAAAAH//8Uo=")</f>
        <v>#VALUE!</v>
      </c>
      <c r="BX107" t="e">
        <f>AND('BBP complete'!G1484,"AAAAAH//8Us=")</f>
        <v>#VALUE!</v>
      </c>
      <c r="BY107" t="e">
        <f>AND('BBP complete'!D1483,"AAAAAH//8Uw=")</f>
        <v>#VALUE!</v>
      </c>
      <c r="BZ107" t="e">
        <f>AND('BBP complete'!H1482,"AAAAAH//8U0=")</f>
        <v>#VALUE!</v>
      </c>
      <c r="CA107" t="e">
        <f>AND('BBP complete'!I1481,"AAAAAH//8U4=")</f>
        <v>#VALUE!</v>
      </c>
      <c r="CB107" t="e">
        <f>AND('BBP complete'!#REF!,"AAAAAH//8U8=")</f>
        <v>#REF!</v>
      </c>
      <c r="CC107" t="e">
        <f>AND('BBP complete'!#REF!,"AAAAAH//8VA=")</f>
        <v>#REF!</v>
      </c>
      <c r="CD107" t="e">
        <f>AND('BBP complete'!#REF!,"AAAAAH//8VE=")</f>
        <v>#REF!</v>
      </c>
      <c r="CE107" t="e">
        <f>AND('BBP complete'!#REF!,"AAAAAH//8VI=")</f>
        <v>#REF!</v>
      </c>
      <c r="CF107" t="e">
        <f>AND('BBP complete'!#REF!,"AAAAAH//8VM=")</f>
        <v>#REF!</v>
      </c>
      <c r="CG107" t="e">
        <f>AND('BBP complete'!C1480,"AAAAAH//8VQ=")</f>
        <v>#VALUE!</v>
      </c>
      <c r="CH107" t="e">
        <f>AND('BBP complete'!M1479,"AAAAAH//8VU=")</f>
        <v>#VALUE!</v>
      </c>
      <c r="CI107" t="e">
        <f>AND('BBP complete'!N1479,"AAAAAH//8VY=")</f>
        <v>#VALUE!</v>
      </c>
      <c r="CJ107" t="e">
        <f>AND('BBP complete'!P1493,"AAAAAH//8Vc=")</f>
        <v>#VALUE!</v>
      </c>
      <c r="CK107" s="60" t="e">
        <v>#VALUE!</v>
      </c>
      <c r="CL107" t="e">
        <f>AND('BBP complete'!B1484,"AAAAAH//8Vk=")</f>
        <v>#VALUE!</v>
      </c>
      <c r="CM107" t="e">
        <f>AND('BBP complete'!F1485,"AAAAAH//8Vo=")</f>
        <v>#VALUE!</v>
      </c>
      <c r="CN107" t="e">
        <f>AND('BBP complete'!G1485,"AAAAAH//8Vs=")</f>
        <v>#VALUE!</v>
      </c>
      <c r="CO107" t="e">
        <f>AND('BBP complete'!D1484,"AAAAAH//8Vw=")</f>
        <v>#VALUE!</v>
      </c>
      <c r="CP107" t="e">
        <f>AND('BBP complete'!H1483,"AAAAAH//8V0=")</f>
        <v>#VALUE!</v>
      </c>
      <c r="CQ107" t="e">
        <f>AND('BBP complete'!I1482,"AAAAAH//8V4=")</f>
        <v>#VALUE!</v>
      </c>
      <c r="CR107" t="e">
        <f>AND('BBP complete'!#REF!,"AAAAAH//8V8=")</f>
        <v>#REF!</v>
      </c>
      <c r="CS107" t="e">
        <f>AND('BBP complete'!#REF!,"AAAAAH//8WA=")</f>
        <v>#REF!</v>
      </c>
      <c r="CT107" t="e">
        <f>AND('BBP complete'!#REF!,"AAAAAH//8WE=")</f>
        <v>#REF!</v>
      </c>
      <c r="CU107" t="e">
        <f>AND('BBP complete'!#REF!,"AAAAAH//8WI=")</f>
        <v>#REF!</v>
      </c>
      <c r="CV107" t="e">
        <f>AND('BBP complete'!#REF!,"AAAAAH//8WM=")</f>
        <v>#REF!</v>
      </c>
      <c r="CW107" t="e">
        <f>AND('BBP complete'!C1481,"AAAAAH//8WQ=")</f>
        <v>#VALUE!</v>
      </c>
      <c r="CX107" t="e">
        <f>AND('BBP complete'!M1480,"AAAAAH//8WU=")</f>
        <v>#VALUE!</v>
      </c>
      <c r="CY107" t="e">
        <f>AND('BBP complete'!N1480,"AAAAAH//8WY=")</f>
        <v>#VALUE!</v>
      </c>
      <c r="CZ107" t="e">
        <f>AND('BBP complete'!P1494,"AAAAAH//8Wc=")</f>
        <v>#VALUE!</v>
      </c>
      <c r="DA107" s="60" t="e">
        <v>#VALUE!</v>
      </c>
      <c r="DB107" t="e">
        <f>AND('BBP complete'!B1485,"AAAAAH//8Wk=")</f>
        <v>#VALUE!</v>
      </c>
      <c r="DC107" t="e">
        <f>AND('BBP complete'!F1486,"AAAAAH//8Wo=")</f>
        <v>#VALUE!</v>
      </c>
      <c r="DD107" t="e">
        <f>AND('BBP complete'!G1486,"AAAAAH//8Ws=")</f>
        <v>#VALUE!</v>
      </c>
      <c r="DE107" t="e">
        <f>AND('BBP complete'!D1485,"AAAAAH//8Ww=")</f>
        <v>#VALUE!</v>
      </c>
      <c r="DF107" t="e">
        <f>AND('BBP complete'!H1484,"AAAAAH//8W0=")</f>
        <v>#VALUE!</v>
      </c>
      <c r="DG107" t="e">
        <f>AND('BBP complete'!I1483,"AAAAAH//8W4=")</f>
        <v>#VALUE!</v>
      </c>
      <c r="DH107" t="e">
        <f>AND('BBP complete'!#REF!,"AAAAAH//8W8=")</f>
        <v>#REF!</v>
      </c>
      <c r="DI107" t="e">
        <f>AND('BBP complete'!#REF!,"AAAAAH//8XA=")</f>
        <v>#REF!</v>
      </c>
      <c r="DJ107" t="e">
        <f>AND('BBP complete'!#REF!,"AAAAAH//8XE=")</f>
        <v>#REF!</v>
      </c>
      <c r="DK107" t="e">
        <f>AND('BBP complete'!#REF!,"AAAAAH//8XI=")</f>
        <v>#REF!</v>
      </c>
      <c r="DL107" t="e">
        <f>AND('BBP complete'!#REF!,"AAAAAH//8XM=")</f>
        <v>#REF!</v>
      </c>
      <c r="DM107" t="e">
        <f>AND('BBP complete'!C1482,"AAAAAH//8XQ=")</f>
        <v>#VALUE!</v>
      </c>
      <c r="DN107" t="e">
        <f>AND('BBP complete'!M1481,"AAAAAH//8XU=")</f>
        <v>#VALUE!</v>
      </c>
      <c r="DO107" t="e">
        <f>AND('BBP complete'!N1481,"AAAAAH//8XY=")</f>
        <v>#VALUE!</v>
      </c>
      <c r="DP107" t="e">
        <f>AND('BBP complete'!P1495,"AAAAAH//8Xc=")</f>
        <v>#VALUE!</v>
      </c>
      <c r="DQ107" s="60" t="e">
        <v>#VALUE!</v>
      </c>
      <c r="DR107" t="e">
        <f>AND('BBP complete'!B1486,"AAAAAH//8Xk=")</f>
        <v>#VALUE!</v>
      </c>
      <c r="DS107" t="e">
        <f>AND('BBP complete'!F1487,"AAAAAH//8Xo=")</f>
        <v>#VALUE!</v>
      </c>
      <c r="DT107" t="e">
        <f>AND('BBP complete'!G1487,"AAAAAH//8Xs=")</f>
        <v>#VALUE!</v>
      </c>
      <c r="DU107" t="e">
        <f>AND('BBP complete'!D1486,"AAAAAH//8Xw=")</f>
        <v>#VALUE!</v>
      </c>
      <c r="DV107" t="e">
        <f>AND('BBP complete'!H1485,"AAAAAH//8X0=")</f>
        <v>#VALUE!</v>
      </c>
      <c r="DW107" t="e">
        <f>AND('BBP complete'!I1484,"AAAAAH//8X4=")</f>
        <v>#VALUE!</v>
      </c>
      <c r="DX107" t="e">
        <f>AND('BBP complete'!#REF!,"AAAAAH//8X8=")</f>
        <v>#REF!</v>
      </c>
      <c r="DY107" t="e">
        <f>AND('BBP complete'!#REF!,"AAAAAH//8YA=")</f>
        <v>#REF!</v>
      </c>
      <c r="DZ107" t="e">
        <f>AND('BBP complete'!#REF!,"AAAAAH//8YE=")</f>
        <v>#REF!</v>
      </c>
      <c r="EA107" t="e">
        <f>AND('BBP complete'!#REF!,"AAAAAH//8YI=")</f>
        <v>#REF!</v>
      </c>
      <c r="EB107" t="e">
        <f>AND('BBP complete'!#REF!,"AAAAAH//8YM=")</f>
        <v>#REF!</v>
      </c>
      <c r="EC107" t="e">
        <f>AND('BBP complete'!C1483,"AAAAAH//8YQ=")</f>
        <v>#VALUE!</v>
      </c>
      <c r="ED107" t="e">
        <f>AND('BBP complete'!M1482,"AAAAAH//8YU=")</f>
        <v>#VALUE!</v>
      </c>
      <c r="EE107" t="e">
        <f>AND('BBP complete'!N1482,"AAAAAH//8YY=")</f>
        <v>#VALUE!</v>
      </c>
      <c r="EF107" t="e">
        <f>AND('BBP complete'!P1496,"AAAAAH//8Yc=")</f>
        <v>#VALUE!</v>
      </c>
      <c r="EG107" s="60" t="e">
        <v>#VALUE!</v>
      </c>
      <c r="EH107" t="e">
        <f>AND('BBP complete'!B1487,"AAAAAH//8Yk=")</f>
        <v>#VALUE!</v>
      </c>
      <c r="EI107" t="e">
        <f>AND('BBP complete'!F1488,"AAAAAH//8Yo=")</f>
        <v>#VALUE!</v>
      </c>
      <c r="EJ107" t="e">
        <f>AND('BBP complete'!G1488,"AAAAAH//8Ys=")</f>
        <v>#VALUE!</v>
      </c>
      <c r="EK107" t="e">
        <f>AND('BBP complete'!D1487,"AAAAAH//8Yw=")</f>
        <v>#VALUE!</v>
      </c>
      <c r="EL107" t="e">
        <f>AND('BBP complete'!H1486,"AAAAAH//8Y0=")</f>
        <v>#VALUE!</v>
      </c>
      <c r="EM107" t="e">
        <f>AND('BBP complete'!I1485,"AAAAAH//8Y4=")</f>
        <v>#VALUE!</v>
      </c>
      <c r="EN107" t="e">
        <f>AND('BBP complete'!#REF!,"AAAAAH//8Y8=")</f>
        <v>#REF!</v>
      </c>
      <c r="EO107" t="e">
        <f>AND('BBP complete'!#REF!,"AAAAAH//8ZA=")</f>
        <v>#REF!</v>
      </c>
      <c r="EP107" t="e">
        <f>AND('BBP complete'!#REF!,"AAAAAH//8ZE=")</f>
        <v>#REF!</v>
      </c>
      <c r="EQ107" t="e">
        <f>AND('BBP complete'!#REF!,"AAAAAH//8ZI=")</f>
        <v>#REF!</v>
      </c>
      <c r="ER107" t="e">
        <f>AND('BBP complete'!#REF!,"AAAAAH//8ZM=")</f>
        <v>#REF!</v>
      </c>
      <c r="ES107" t="e">
        <f>AND('BBP complete'!C1484,"AAAAAH//8ZQ=")</f>
        <v>#VALUE!</v>
      </c>
      <c r="ET107" t="e">
        <f>AND('BBP complete'!M1483,"AAAAAH//8ZU=")</f>
        <v>#VALUE!</v>
      </c>
      <c r="EU107" t="e">
        <f>AND('BBP complete'!N1483,"AAAAAH//8ZY=")</f>
        <v>#VALUE!</v>
      </c>
      <c r="EV107" t="e">
        <f>AND('BBP complete'!P1497,"AAAAAH//8Zc=")</f>
        <v>#VALUE!</v>
      </c>
      <c r="EW107" s="60" t="e">
        <v>#VALUE!</v>
      </c>
      <c r="EX107" t="e">
        <f>AND('BBP complete'!B1488,"AAAAAH//8Zk=")</f>
        <v>#VALUE!</v>
      </c>
      <c r="EY107" t="e">
        <f>AND('BBP complete'!F1489,"AAAAAH//8Zo=")</f>
        <v>#VALUE!</v>
      </c>
      <c r="EZ107" t="e">
        <f>AND('BBP complete'!G1489,"AAAAAH//8Zs=")</f>
        <v>#VALUE!</v>
      </c>
      <c r="FA107" t="e">
        <f>AND('BBP complete'!D1488,"AAAAAH//8Zw=")</f>
        <v>#VALUE!</v>
      </c>
      <c r="FB107" t="e">
        <f>AND('BBP complete'!H1487,"AAAAAH//8Z0=")</f>
        <v>#VALUE!</v>
      </c>
      <c r="FC107" t="e">
        <f>AND('BBP complete'!I1486,"AAAAAH//8Z4=")</f>
        <v>#VALUE!</v>
      </c>
      <c r="FD107" t="e">
        <f>AND('BBP complete'!#REF!,"AAAAAH//8Z8=")</f>
        <v>#REF!</v>
      </c>
      <c r="FE107" t="e">
        <f>AND('BBP complete'!#REF!,"AAAAAH//8aA=")</f>
        <v>#REF!</v>
      </c>
      <c r="FF107" t="e">
        <f>AND('BBP complete'!#REF!,"AAAAAH//8aE=")</f>
        <v>#REF!</v>
      </c>
      <c r="FG107" t="e">
        <f>AND('BBP complete'!#REF!,"AAAAAH//8aI=")</f>
        <v>#REF!</v>
      </c>
      <c r="FH107" t="e">
        <f>AND('BBP complete'!#REF!,"AAAAAH//8aM=")</f>
        <v>#REF!</v>
      </c>
      <c r="FI107" t="e">
        <f>AND('BBP complete'!C1485,"AAAAAH//8aQ=")</f>
        <v>#VALUE!</v>
      </c>
      <c r="FJ107" t="e">
        <f>AND('BBP complete'!M1484,"AAAAAH//8aU=")</f>
        <v>#VALUE!</v>
      </c>
      <c r="FK107" t="e">
        <f>AND('BBP complete'!N1484,"AAAAAH//8aY=")</f>
        <v>#VALUE!</v>
      </c>
      <c r="FL107" t="e">
        <f>AND('BBP complete'!P1498,"AAAAAH//8ac=")</f>
        <v>#VALUE!</v>
      </c>
      <c r="FM107" s="60" t="e">
        <v>#VALUE!</v>
      </c>
      <c r="FN107" t="e">
        <f>AND('BBP complete'!B1489,"AAAAAH//8ak=")</f>
        <v>#VALUE!</v>
      </c>
      <c r="FO107" t="e">
        <f>AND('BBP complete'!F1490,"AAAAAH//8ao=")</f>
        <v>#VALUE!</v>
      </c>
      <c r="FP107" t="e">
        <f>AND('BBP complete'!G1490,"AAAAAH//8as=")</f>
        <v>#VALUE!</v>
      </c>
      <c r="FQ107" t="e">
        <f>AND('BBP complete'!D1489,"AAAAAH//8aw=")</f>
        <v>#VALUE!</v>
      </c>
      <c r="FR107" t="e">
        <f>AND('BBP complete'!H1488,"AAAAAH//8a0=")</f>
        <v>#VALUE!</v>
      </c>
      <c r="FS107" t="e">
        <f>AND('BBP complete'!I1487,"AAAAAH//8a4=")</f>
        <v>#VALUE!</v>
      </c>
      <c r="FT107" t="e">
        <f>AND('BBP complete'!#REF!,"AAAAAH//8a8=")</f>
        <v>#REF!</v>
      </c>
      <c r="FU107" t="e">
        <f>AND('BBP complete'!#REF!,"AAAAAH//8bA=")</f>
        <v>#REF!</v>
      </c>
      <c r="FV107" t="e">
        <f>AND('BBP complete'!#REF!,"AAAAAH//8bE=")</f>
        <v>#REF!</v>
      </c>
      <c r="FW107" t="e">
        <f>AND('BBP complete'!#REF!,"AAAAAH//8bI=")</f>
        <v>#REF!</v>
      </c>
      <c r="FX107" t="e">
        <f>AND('BBP complete'!#REF!,"AAAAAH//8bM=")</f>
        <v>#REF!</v>
      </c>
      <c r="FY107" t="e">
        <f>AND('BBP complete'!C1486,"AAAAAH//8bQ=")</f>
        <v>#VALUE!</v>
      </c>
      <c r="FZ107" t="e">
        <f>AND('BBP complete'!M1485,"AAAAAH//8bU=")</f>
        <v>#VALUE!</v>
      </c>
      <c r="GA107" t="e">
        <f>AND('BBP complete'!N1485,"AAAAAH//8bY=")</f>
        <v>#VALUE!</v>
      </c>
      <c r="GB107" t="e">
        <f>AND('BBP complete'!P1499,"AAAAAH//8bc=")</f>
        <v>#VALUE!</v>
      </c>
      <c r="GC107" s="60" t="e">
        <v>#VALUE!</v>
      </c>
      <c r="GD107" t="e">
        <f>AND('BBP complete'!B1490,"AAAAAH//8bk=")</f>
        <v>#VALUE!</v>
      </c>
      <c r="GE107" t="e">
        <f>AND('BBP complete'!F1491,"AAAAAH//8bo=")</f>
        <v>#VALUE!</v>
      </c>
      <c r="GF107" t="e">
        <f>AND('BBP complete'!G1491,"AAAAAH//8bs=")</f>
        <v>#VALUE!</v>
      </c>
      <c r="GG107" t="e">
        <f>AND('BBP complete'!D1490,"AAAAAH//8bw=")</f>
        <v>#VALUE!</v>
      </c>
      <c r="GH107" t="e">
        <f>AND('BBP complete'!H1489,"AAAAAH//8b0=")</f>
        <v>#VALUE!</v>
      </c>
      <c r="GI107" t="e">
        <f>AND('BBP complete'!I1488,"AAAAAH//8b4=")</f>
        <v>#VALUE!</v>
      </c>
      <c r="GJ107" t="e">
        <f>AND('BBP complete'!#REF!,"AAAAAH//8b8=")</f>
        <v>#REF!</v>
      </c>
      <c r="GK107" t="e">
        <f>AND('BBP complete'!#REF!,"AAAAAH//8cA=")</f>
        <v>#REF!</v>
      </c>
      <c r="GL107" t="e">
        <f>AND('BBP complete'!#REF!,"AAAAAH//8cE=")</f>
        <v>#REF!</v>
      </c>
      <c r="GM107" t="e">
        <f>AND('BBP complete'!#REF!,"AAAAAH//8cI=")</f>
        <v>#REF!</v>
      </c>
      <c r="GN107" t="e">
        <f>AND('BBP complete'!#REF!,"AAAAAH//8cM=")</f>
        <v>#REF!</v>
      </c>
      <c r="GO107" t="e">
        <f>AND('BBP complete'!C1487,"AAAAAH//8cQ=")</f>
        <v>#VALUE!</v>
      </c>
      <c r="GP107" t="e">
        <f>AND('BBP complete'!M1486,"AAAAAH//8cU=")</f>
        <v>#VALUE!</v>
      </c>
      <c r="GQ107" t="e">
        <f>AND('BBP complete'!N1486,"AAAAAH//8cY=")</f>
        <v>#VALUE!</v>
      </c>
      <c r="GR107" t="e">
        <f>AND('BBP complete'!P1500,"AAAAAH//8cc=")</f>
        <v>#VALUE!</v>
      </c>
      <c r="GS107" s="60" t="e">
        <v>#VALUE!</v>
      </c>
      <c r="GT107" t="e">
        <f>AND('BBP complete'!B1491,"AAAAAH//8ck=")</f>
        <v>#VALUE!</v>
      </c>
      <c r="GU107" t="e">
        <f>AND('BBP complete'!F1492,"AAAAAH//8co=")</f>
        <v>#VALUE!</v>
      </c>
      <c r="GV107" t="e">
        <f>AND('BBP complete'!G1492,"AAAAAH//8cs=")</f>
        <v>#VALUE!</v>
      </c>
      <c r="GW107" t="e">
        <f>AND('BBP complete'!D1491,"AAAAAH//8cw=")</f>
        <v>#VALUE!</v>
      </c>
      <c r="GX107" t="e">
        <f>AND('BBP complete'!H1490,"AAAAAH//8c0=")</f>
        <v>#VALUE!</v>
      </c>
      <c r="GY107" t="e">
        <f>AND('BBP complete'!I1489,"AAAAAH//8c4=")</f>
        <v>#VALUE!</v>
      </c>
      <c r="GZ107" t="e">
        <f>AND('BBP complete'!#REF!,"AAAAAH//8c8=")</f>
        <v>#REF!</v>
      </c>
      <c r="HA107" t="e">
        <f>AND('BBP complete'!#REF!,"AAAAAH//8dA=")</f>
        <v>#REF!</v>
      </c>
      <c r="HB107" t="e">
        <f>AND('BBP complete'!#REF!,"AAAAAH//8dE=")</f>
        <v>#REF!</v>
      </c>
      <c r="HC107" t="e">
        <f>AND('BBP complete'!#REF!,"AAAAAH//8dI=")</f>
        <v>#REF!</v>
      </c>
      <c r="HD107" t="e">
        <f>AND('BBP complete'!#REF!,"AAAAAH//8dM=")</f>
        <v>#REF!</v>
      </c>
      <c r="HE107" t="e">
        <f>AND('BBP complete'!C1488,"AAAAAH//8dQ=")</f>
        <v>#VALUE!</v>
      </c>
      <c r="HF107" t="e">
        <f>AND('BBP complete'!M1487,"AAAAAH//8dU=")</f>
        <v>#VALUE!</v>
      </c>
      <c r="HG107" t="e">
        <f>AND('BBP complete'!N1487,"AAAAAH//8dY=")</f>
        <v>#VALUE!</v>
      </c>
      <c r="HH107" t="e">
        <f>AND('BBP complete'!P1501,"AAAAAH//8dc=")</f>
        <v>#VALUE!</v>
      </c>
      <c r="HI107" s="60" t="e">
        <v>#VALUE!</v>
      </c>
      <c r="HJ107" t="e">
        <f>AND('BBP complete'!B1492,"AAAAAH//8dk=")</f>
        <v>#VALUE!</v>
      </c>
      <c r="HK107" t="e">
        <f>AND('BBP complete'!F1493,"AAAAAH//8do=")</f>
        <v>#VALUE!</v>
      </c>
      <c r="HL107" t="e">
        <f>AND('BBP complete'!G1493,"AAAAAH//8ds=")</f>
        <v>#VALUE!</v>
      </c>
      <c r="HM107" t="e">
        <f>AND('BBP complete'!D1492,"AAAAAH//8dw=")</f>
        <v>#VALUE!</v>
      </c>
      <c r="HN107" t="e">
        <f>AND('BBP complete'!H1491,"AAAAAH//8d0=")</f>
        <v>#VALUE!</v>
      </c>
      <c r="HO107" t="e">
        <f>AND('BBP complete'!I1490,"AAAAAH//8d4=")</f>
        <v>#VALUE!</v>
      </c>
      <c r="HP107" t="e">
        <f>AND('BBP complete'!#REF!,"AAAAAH//8d8=")</f>
        <v>#REF!</v>
      </c>
      <c r="HQ107" t="e">
        <f>AND('BBP complete'!#REF!,"AAAAAH//8eA=")</f>
        <v>#REF!</v>
      </c>
      <c r="HR107" t="e">
        <f>AND('BBP complete'!#REF!,"AAAAAH//8eE=")</f>
        <v>#REF!</v>
      </c>
      <c r="HS107" t="e">
        <f>AND('BBP complete'!#REF!,"AAAAAH//8eI=")</f>
        <v>#REF!</v>
      </c>
      <c r="HT107" t="e">
        <f>AND('BBP complete'!#REF!,"AAAAAH//8eM=")</f>
        <v>#REF!</v>
      </c>
      <c r="HU107" t="e">
        <f>AND('BBP complete'!C1489,"AAAAAH//8eQ=")</f>
        <v>#VALUE!</v>
      </c>
      <c r="HV107" t="e">
        <f>AND('BBP complete'!M1488,"AAAAAH//8eU=")</f>
        <v>#VALUE!</v>
      </c>
      <c r="HW107" t="e">
        <f>AND('BBP complete'!N1488,"AAAAAH//8eY=")</f>
        <v>#VALUE!</v>
      </c>
      <c r="HX107" t="e">
        <f>AND('BBP complete'!P1502,"AAAAAH//8ec=")</f>
        <v>#VALUE!</v>
      </c>
      <c r="HY107" s="60" t="e">
        <v>#VALUE!</v>
      </c>
      <c r="HZ107" t="e">
        <f>AND('BBP complete'!B1493,"AAAAAH//8ek=")</f>
        <v>#VALUE!</v>
      </c>
      <c r="IA107" t="e">
        <f>AND('BBP complete'!F1494,"AAAAAH//8eo=")</f>
        <v>#VALUE!</v>
      </c>
      <c r="IB107" t="e">
        <f>AND('BBP complete'!G1494,"AAAAAH//8es=")</f>
        <v>#VALUE!</v>
      </c>
      <c r="IC107" t="e">
        <f>AND('BBP complete'!D1493,"AAAAAH//8ew=")</f>
        <v>#VALUE!</v>
      </c>
      <c r="ID107" t="e">
        <f>AND('BBP complete'!H1492,"AAAAAH//8e0=")</f>
        <v>#VALUE!</v>
      </c>
      <c r="IE107" t="e">
        <f>AND('BBP complete'!I1491,"AAAAAH//8e4=")</f>
        <v>#VALUE!</v>
      </c>
      <c r="IF107" t="e">
        <f>AND('BBP complete'!#REF!,"AAAAAH//8e8=")</f>
        <v>#REF!</v>
      </c>
      <c r="IG107" t="e">
        <f>AND('BBP complete'!#REF!,"AAAAAH//8fA=")</f>
        <v>#REF!</v>
      </c>
      <c r="IH107" t="e">
        <f>AND('BBP complete'!#REF!,"AAAAAH//8fE=")</f>
        <v>#REF!</v>
      </c>
      <c r="II107" t="e">
        <f>AND('BBP complete'!#REF!,"AAAAAH//8fI=")</f>
        <v>#REF!</v>
      </c>
      <c r="IJ107" t="e">
        <f>AND('BBP complete'!#REF!,"AAAAAH//8fM=")</f>
        <v>#REF!</v>
      </c>
      <c r="IK107" t="e">
        <f>AND('BBP complete'!C1490,"AAAAAH//8fQ=")</f>
        <v>#VALUE!</v>
      </c>
      <c r="IL107" t="e">
        <f>AND('BBP complete'!M1489,"AAAAAH//8fU=")</f>
        <v>#VALUE!</v>
      </c>
      <c r="IM107" t="e">
        <f>AND('BBP complete'!N1489,"AAAAAH//8fY=")</f>
        <v>#VALUE!</v>
      </c>
      <c r="IN107" t="e">
        <f>AND('BBP complete'!P1503,"AAAAAH//8fc=")</f>
        <v>#VALUE!</v>
      </c>
      <c r="IO107" s="60" t="e">
        <v>#VALUE!</v>
      </c>
      <c r="IP107" t="e">
        <f>AND('BBP complete'!B1494,"AAAAAH//8fk=")</f>
        <v>#VALUE!</v>
      </c>
      <c r="IQ107" t="e">
        <f>AND('BBP complete'!F1495,"AAAAAH//8fo=")</f>
        <v>#VALUE!</v>
      </c>
      <c r="IR107" t="e">
        <f>AND('BBP complete'!G1495,"AAAAAH//8fs=")</f>
        <v>#VALUE!</v>
      </c>
      <c r="IS107" t="e">
        <f>AND('BBP complete'!D1494,"AAAAAH//8fw=")</f>
        <v>#VALUE!</v>
      </c>
      <c r="IT107" t="e">
        <f>AND('BBP complete'!H1493,"AAAAAH//8f0=")</f>
        <v>#VALUE!</v>
      </c>
      <c r="IU107" t="e">
        <f>AND('BBP complete'!I1492,"AAAAAH//8f4=")</f>
        <v>#VALUE!</v>
      </c>
      <c r="IV107" t="e">
        <f>AND('BBP complete'!#REF!,"AAAAAH//8f8=")</f>
        <v>#REF!</v>
      </c>
    </row>
    <row r="108" spans="1:256" ht="15" customHeight="1" x14ac:dyDescent="0.25">
      <c r="A108" t="e">
        <f>AND('BBP complete'!#REF!,"AAAAAHu3/wA=")</f>
        <v>#REF!</v>
      </c>
      <c r="B108" t="e">
        <f>AND('BBP complete'!#REF!,"AAAAAHu3/wE=")</f>
        <v>#REF!</v>
      </c>
      <c r="C108" t="e">
        <f>AND('BBP complete'!#REF!,"AAAAAHu3/wI=")</f>
        <v>#REF!</v>
      </c>
      <c r="D108" t="e">
        <f>AND('BBP complete'!#REF!,"AAAAAHu3/wM=")</f>
        <v>#REF!</v>
      </c>
      <c r="E108" t="e">
        <f>AND('BBP complete'!#REF!,"AAAAAHu3/wQ=")</f>
        <v>#REF!</v>
      </c>
      <c r="F108" t="e">
        <f>AND('BBP complete'!M1490,"AAAAAHu3/wU=")</f>
        <v>#VALUE!</v>
      </c>
      <c r="G108" t="e">
        <f>AND('BBP complete'!N1490,"AAAAAHu3/wY=")</f>
        <v>#VALUE!</v>
      </c>
      <c r="H108" t="e">
        <f>AND('BBP complete'!P1504,"AAAAAHu3/wc=")</f>
        <v>#VALUE!</v>
      </c>
      <c r="I108" s="60" t="e">
        <v>#VALUE!</v>
      </c>
      <c r="J108" t="e">
        <f>AND('BBP complete'!B1495,"AAAAAHu3/wk=")</f>
        <v>#VALUE!</v>
      </c>
      <c r="K108" t="e">
        <f>AND('BBP complete'!F1496,"AAAAAHu3/wo=")</f>
        <v>#VALUE!</v>
      </c>
      <c r="L108" t="e">
        <f>AND('BBP complete'!G1496,"AAAAAHu3/ws=")</f>
        <v>#VALUE!</v>
      </c>
      <c r="M108" t="e">
        <f>AND('BBP complete'!D1495,"AAAAAHu3/ww=")</f>
        <v>#VALUE!</v>
      </c>
      <c r="N108" t="e">
        <f>AND('BBP complete'!H1494,"AAAAAHu3/w0=")</f>
        <v>#VALUE!</v>
      </c>
      <c r="O108" t="e">
        <f>AND('BBP complete'!I1493,"AAAAAHu3/w4=")</f>
        <v>#VALUE!</v>
      </c>
      <c r="P108" t="e">
        <f>AND('BBP complete'!#REF!,"AAAAAHu3/w8=")</f>
        <v>#REF!</v>
      </c>
      <c r="Q108" t="e">
        <f>AND('BBP complete'!#REF!,"AAAAAHu3/xA=")</f>
        <v>#REF!</v>
      </c>
      <c r="R108" t="e">
        <f>AND('BBP complete'!#REF!,"AAAAAHu3/xE=")</f>
        <v>#REF!</v>
      </c>
      <c r="S108" t="e">
        <f>AND('BBP complete'!#REF!,"AAAAAHu3/xI=")</f>
        <v>#REF!</v>
      </c>
      <c r="T108" t="e">
        <f>AND('BBP complete'!#REF!,"AAAAAHu3/xM=")</f>
        <v>#REF!</v>
      </c>
      <c r="U108" t="e">
        <f>AND('BBP complete'!C1525,"AAAAAHu3/xQ=")</f>
        <v>#VALUE!</v>
      </c>
      <c r="V108" t="e">
        <f>AND('BBP complete'!M1491,"AAAAAHu3/xU=")</f>
        <v>#VALUE!</v>
      </c>
      <c r="W108" t="e">
        <f>AND('BBP complete'!N1491,"AAAAAHu3/xY=")</f>
        <v>#VALUE!</v>
      </c>
      <c r="X108" t="e">
        <f>AND('BBP complete'!P1505,"AAAAAHu3/xc=")</f>
        <v>#VALUE!</v>
      </c>
      <c r="Y108" s="60" t="e">
        <v>#VALUE!</v>
      </c>
      <c r="Z108" t="e">
        <f>AND('BBP complete'!B1496,"AAAAAHu3/xk=")</f>
        <v>#VALUE!</v>
      </c>
      <c r="AA108" t="e">
        <f>AND('BBP complete'!F1497,"AAAAAHu3/xo=")</f>
        <v>#VALUE!</v>
      </c>
      <c r="AB108" t="e">
        <f>AND('BBP complete'!G1497,"AAAAAHu3/xs=")</f>
        <v>#VALUE!</v>
      </c>
      <c r="AC108" t="e">
        <f>AND('BBP complete'!D1496,"AAAAAHu3/xw=")</f>
        <v>#VALUE!</v>
      </c>
      <c r="AD108" t="e">
        <f>AND('BBP complete'!H1495,"AAAAAHu3/x0=")</f>
        <v>#VALUE!</v>
      </c>
      <c r="AE108" t="e">
        <f>AND('BBP complete'!I1494,"AAAAAHu3/x4=")</f>
        <v>#VALUE!</v>
      </c>
      <c r="AF108" t="e">
        <f>AND('BBP complete'!#REF!,"AAAAAHu3/x8=")</f>
        <v>#REF!</v>
      </c>
      <c r="AG108" t="e">
        <f>AND('BBP complete'!#REF!,"AAAAAHu3/yA=")</f>
        <v>#REF!</v>
      </c>
      <c r="AH108" t="e">
        <f>AND('BBP complete'!#REF!,"AAAAAHu3/yE=")</f>
        <v>#REF!</v>
      </c>
      <c r="AI108" t="e">
        <f>AND('BBP complete'!#REF!,"AAAAAHu3/yI=")</f>
        <v>#REF!</v>
      </c>
      <c r="AJ108" t="e">
        <f>AND('BBP complete'!#REF!,"AAAAAHu3/yM=")</f>
        <v>#REF!</v>
      </c>
      <c r="AK108" t="e">
        <f>AND('BBP complete'!C1528,"AAAAAHu3/yQ=")</f>
        <v>#VALUE!</v>
      </c>
      <c r="AL108" t="e">
        <f>AND('BBP complete'!M1492,"AAAAAHu3/yU=")</f>
        <v>#VALUE!</v>
      </c>
      <c r="AM108" t="e">
        <f>AND('BBP complete'!N1492,"AAAAAHu3/yY=")</f>
        <v>#VALUE!</v>
      </c>
      <c r="AN108" t="e">
        <f>AND('BBP complete'!P1506,"AAAAAHu3/yc=")</f>
        <v>#VALUE!</v>
      </c>
      <c r="AO108" s="60" t="e">
        <v>#VALUE!</v>
      </c>
      <c r="AP108" t="e">
        <f>AND('BBP complete'!B1497,"AAAAAHu3/yk=")</f>
        <v>#VALUE!</v>
      </c>
      <c r="AQ108" t="e">
        <f>AND('BBP complete'!F1498,"AAAAAHu3/yo=")</f>
        <v>#VALUE!</v>
      </c>
      <c r="AR108" t="e">
        <f>AND('BBP complete'!G1498,"AAAAAHu3/ys=")</f>
        <v>#VALUE!</v>
      </c>
      <c r="AS108" t="e">
        <f>AND('BBP complete'!D1497,"AAAAAHu3/yw=")</f>
        <v>#VALUE!</v>
      </c>
      <c r="AT108" t="e">
        <f>AND('BBP complete'!H1496,"AAAAAHu3/y0=")</f>
        <v>#VALUE!</v>
      </c>
      <c r="AU108" t="e">
        <f>AND('BBP complete'!I1495,"AAAAAHu3/y4=")</f>
        <v>#VALUE!</v>
      </c>
      <c r="AV108" t="e">
        <f>AND('BBP complete'!#REF!,"AAAAAHu3/y8=")</f>
        <v>#REF!</v>
      </c>
      <c r="AW108" t="e">
        <f>AND('BBP complete'!#REF!,"AAAAAHu3/zA=")</f>
        <v>#REF!</v>
      </c>
      <c r="AX108" t="e">
        <f>AND('BBP complete'!#REF!,"AAAAAHu3/zE=")</f>
        <v>#REF!</v>
      </c>
      <c r="AY108" t="e">
        <f>AND('BBP complete'!#REF!,"AAAAAHu3/zI=")</f>
        <v>#REF!</v>
      </c>
      <c r="AZ108" t="e">
        <f>AND('BBP complete'!#REF!,"AAAAAHu3/zM=")</f>
        <v>#REF!</v>
      </c>
      <c r="BA108" t="e">
        <f>AND('BBP complete'!C1542,"AAAAAHu3/zQ=")</f>
        <v>#VALUE!</v>
      </c>
      <c r="BB108" t="e">
        <f>AND('BBP complete'!M1493,"AAAAAHu3/zU=")</f>
        <v>#VALUE!</v>
      </c>
      <c r="BC108" t="e">
        <f>AND('BBP complete'!N1493,"AAAAAHu3/zY=")</f>
        <v>#VALUE!</v>
      </c>
      <c r="BD108" t="e">
        <f>AND('BBP complete'!P1507,"AAAAAHu3/zc=")</f>
        <v>#VALUE!</v>
      </c>
      <c r="BE108" s="60" t="e">
        <v>#VALUE!</v>
      </c>
      <c r="BF108" t="e">
        <f>AND('BBP complete'!B1498,"AAAAAHu3/zk=")</f>
        <v>#VALUE!</v>
      </c>
      <c r="BG108" t="e">
        <f>AND('BBP complete'!F1499,"AAAAAHu3/zo=")</f>
        <v>#VALUE!</v>
      </c>
      <c r="BH108" t="e">
        <f>AND('BBP complete'!G1499,"AAAAAHu3/zs=")</f>
        <v>#VALUE!</v>
      </c>
      <c r="BI108" t="e">
        <f>AND('BBP complete'!D1498,"AAAAAHu3/zw=")</f>
        <v>#VALUE!</v>
      </c>
      <c r="BJ108" t="e">
        <f>AND('BBP complete'!H1497,"AAAAAHu3/z0=")</f>
        <v>#VALUE!</v>
      </c>
      <c r="BK108" t="e">
        <f>AND('BBP complete'!I1496,"AAAAAHu3/z4=")</f>
        <v>#VALUE!</v>
      </c>
      <c r="BL108" t="e">
        <f>AND('BBP complete'!#REF!,"AAAAAHu3/z8=")</f>
        <v>#REF!</v>
      </c>
      <c r="BM108" t="e">
        <f>AND('BBP complete'!#REF!,"AAAAAHu3/0A=")</f>
        <v>#REF!</v>
      </c>
      <c r="BN108" t="e">
        <f>AND('BBP complete'!#REF!,"AAAAAHu3/0E=")</f>
        <v>#REF!</v>
      </c>
      <c r="BO108" t="e">
        <f>AND('BBP complete'!#REF!,"AAAAAHu3/0I=")</f>
        <v>#REF!</v>
      </c>
      <c r="BP108" t="e">
        <f>AND('BBP complete'!#REF!,"AAAAAHu3/0M=")</f>
        <v>#REF!</v>
      </c>
      <c r="BQ108" t="e">
        <f>AND('BBP complete'!C1543,"AAAAAHu3/0Q=")</f>
        <v>#VALUE!</v>
      </c>
      <c r="BR108" t="e">
        <f>AND('BBP complete'!M1494,"AAAAAHu3/0U=")</f>
        <v>#VALUE!</v>
      </c>
      <c r="BS108" t="e">
        <f>AND('BBP complete'!N1494,"AAAAAHu3/0Y=")</f>
        <v>#VALUE!</v>
      </c>
      <c r="BT108" t="e">
        <f>AND('BBP complete'!P1508,"AAAAAHu3/0c=")</f>
        <v>#VALUE!</v>
      </c>
      <c r="BU108" s="60" t="e">
        <v>#VALUE!</v>
      </c>
      <c r="BV108" t="e">
        <f>AND('BBP complete'!B1499,"AAAAAHu3/0k=")</f>
        <v>#VALUE!</v>
      </c>
      <c r="BW108" t="e">
        <f>AND('BBP complete'!F1500,"AAAAAHu3/0o=")</f>
        <v>#VALUE!</v>
      </c>
      <c r="BX108" t="e">
        <f>AND('BBP complete'!G1500,"AAAAAHu3/0s=")</f>
        <v>#VALUE!</v>
      </c>
      <c r="BY108" t="e">
        <f>AND('BBP complete'!D1499,"AAAAAHu3/0w=")</f>
        <v>#VALUE!</v>
      </c>
      <c r="BZ108" t="e">
        <f>AND('BBP complete'!H1498,"AAAAAHu3/00=")</f>
        <v>#VALUE!</v>
      </c>
      <c r="CA108" t="e">
        <f>AND('BBP complete'!I1497,"AAAAAHu3/04=")</f>
        <v>#VALUE!</v>
      </c>
      <c r="CB108" t="e">
        <f>AND('BBP complete'!#REF!,"AAAAAHu3/08=")</f>
        <v>#REF!</v>
      </c>
      <c r="CC108" t="e">
        <f>AND('BBP complete'!#REF!,"AAAAAHu3/1A=")</f>
        <v>#REF!</v>
      </c>
      <c r="CD108" t="e">
        <f>AND('BBP complete'!#REF!,"AAAAAHu3/1E=")</f>
        <v>#REF!</v>
      </c>
      <c r="CE108" t="e">
        <f>AND('BBP complete'!#REF!,"AAAAAHu3/1I=")</f>
        <v>#REF!</v>
      </c>
      <c r="CF108" t="e">
        <f>AND('BBP complete'!#REF!,"AAAAAHu3/1M=")</f>
        <v>#REF!</v>
      </c>
      <c r="CG108" t="e">
        <f>AND('BBP complete'!C1547,"AAAAAHu3/1Q=")</f>
        <v>#VALUE!</v>
      </c>
      <c r="CH108" t="e">
        <f>AND('BBP complete'!M1495,"AAAAAHu3/1U=")</f>
        <v>#VALUE!</v>
      </c>
      <c r="CI108" t="e">
        <f>AND('BBP complete'!N1495,"AAAAAHu3/1Y=")</f>
        <v>#VALUE!</v>
      </c>
      <c r="CJ108" t="e">
        <f>AND('BBP complete'!P1509,"AAAAAHu3/1c=")</f>
        <v>#VALUE!</v>
      </c>
      <c r="CK108" s="60" t="e">
        <v>#VALUE!</v>
      </c>
      <c r="CL108" t="e">
        <f>AND('BBP complete'!B1500,"AAAAAHu3/1k=")</f>
        <v>#VALUE!</v>
      </c>
      <c r="CM108" t="e">
        <f>AND('BBP complete'!F1501,"AAAAAHu3/1o=")</f>
        <v>#VALUE!</v>
      </c>
      <c r="CN108" t="e">
        <f>AND('BBP complete'!G1501,"AAAAAHu3/1s=")</f>
        <v>#VALUE!</v>
      </c>
      <c r="CO108" t="e">
        <f>AND('BBP complete'!D1500,"AAAAAHu3/1w=")</f>
        <v>#VALUE!</v>
      </c>
      <c r="CP108" t="e">
        <f>AND('BBP complete'!H1499,"AAAAAHu3/10=")</f>
        <v>#VALUE!</v>
      </c>
      <c r="CQ108" t="e">
        <f>AND('BBP complete'!I1498,"AAAAAHu3/14=")</f>
        <v>#VALUE!</v>
      </c>
      <c r="CR108" t="e">
        <f>AND('BBP complete'!#REF!,"AAAAAHu3/18=")</f>
        <v>#REF!</v>
      </c>
      <c r="CS108" t="e">
        <f>AND('BBP complete'!#REF!,"AAAAAHu3/2A=")</f>
        <v>#REF!</v>
      </c>
      <c r="CT108" t="e">
        <f>AND('BBP complete'!#REF!,"AAAAAHu3/2E=")</f>
        <v>#REF!</v>
      </c>
      <c r="CU108" t="e">
        <f>AND('BBP complete'!#REF!,"AAAAAHu3/2I=")</f>
        <v>#REF!</v>
      </c>
      <c r="CV108" t="e">
        <f>AND('BBP complete'!#REF!,"AAAAAHu3/2M=")</f>
        <v>#REF!</v>
      </c>
      <c r="CW108" t="e">
        <f>AND('BBP complete'!C1548,"AAAAAHu3/2Q=")</f>
        <v>#VALUE!</v>
      </c>
      <c r="CX108" t="e">
        <f>AND('BBP complete'!K1497,"AAAAAHu3/2U=")</f>
        <v>#VALUE!</v>
      </c>
      <c r="CY108" t="e">
        <f>AND('BBP complete'!C1497,"AAAAAHu3/2Y=")</f>
        <v>#VALUE!</v>
      </c>
      <c r="CZ108" t="e">
        <f>AND('BBP complete'!P1510,"AAAAAHu3/2c=")</f>
        <v>#VALUE!</v>
      </c>
      <c r="DA108" s="60" t="e">
        <v>#VALUE!</v>
      </c>
      <c r="DB108" t="e">
        <f>AND('BBP complete'!B1501,"AAAAAHu3/2k=")</f>
        <v>#VALUE!</v>
      </c>
      <c r="DC108" t="e">
        <f>AND('BBP complete'!F1502,"AAAAAHu3/2o=")</f>
        <v>#VALUE!</v>
      </c>
      <c r="DD108" t="e">
        <f>AND('BBP complete'!G1502,"AAAAAHu3/2s=")</f>
        <v>#VALUE!</v>
      </c>
      <c r="DE108" t="e">
        <f>AND('BBP complete'!D1501,"AAAAAHu3/2w=")</f>
        <v>#VALUE!</v>
      </c>
      <c r="DF108" t="e">
        <f>AND('BBP complete'!H1500,"AAAAAHu3/20=")</f>
        <v>#VALUE!</v>
      </c>
      <c r="DG108" t="e">
        <f>AND('BBP complete'!I1499,"AAAAAHu3/24=")</f>
        <v>#VALUE!</v>
      </c>
      <c r="DH108" t="e">
        <f>AND('BBP complete'!#REF!,"AAAAAHu3/28=")</f>
        <v>#REF!</v>
      </c>
      <c r="DI108" t="e">
        <f>AND('BBP complete'!#REF!,"AAAAAHu3/3A=")</f>
        <v>#REF!</v>
      </c>
      <c r="DJ108" t="e">
        <f>AND('BBP complete'!#REF!,"AAAAAHu3/3E=")</f>
        <v>#REF!</v>
      </c>
      <c r="DK108" t="e">
        <f>AND('BBP complete'!#REF!,"AAAAAHu3/3I=")</f>
        <v>#REF!</v>
      </c>
      <c r="DL108" t="e">
        <f>AND('BBP complete'!#REF!,"AAAAAHu3/3M=")</f>
        <v>#REF!</v>
      </c>
      <c r="DM108" t="e">
        <f>AND('BBP complete'!C1549,"AAAAAHu3/3Q=")</f>
        <v>#VALUE!</v>
      </c>
      <c r="DN108" t="e">
        <f>AND('BBP complete'!K1498,"AAAAAHu3/3U=")</f>
        <v>#VALUE!</v>
      </c>
      <c r="DO108" t="e">
        <f>AND('BBP complete'!C1498,"AAAAAHu3/3Y=")</f>
        <v>#VALUE!</v>
      </c>
      <c r="DP108" t="e">
        <f>AND('BBP complete'!P1511,"AAAAAHu3/3c=")</f>
        <v>#VALUE!</v>
      </c>
      <c r="DQ108" s="60" t="e">
        <v>#VALUE!</v>
      </c>
      <c r="DR108" t="e">
        <f>AND('BBP complete'!B1502,"AAAAAHu3/3k=")</f>
        <v>#VALUE!</v>
      </c>
      <c r="DS108" t="e">
        <f>AND('BBP complete'!F1503,"AAAAAHu3/3o=")</f>
        <v>#VALUE!</v>
      </c>
      <c r="DT108" t="e">
        <f>AND('BBP complete'!G1503,"AAAAAHu3/3s=")</f>
        <v>#VALUE!</v>
      </c>
      <c r="DU108" t="e">
        <f>AND('BBP complete'!D1502,"AAAAAHu3/3w=")</f>
        <v>#VALUE!</v>
      </c>
      <c r="DV108" t="e">
        <f>AND('BBP complete'!H1501,"AAAAAHu3/30=")</f>
        <v>#VALUE!</v>
      </c>
      <c r="DW108" t="e">
        <f>AND('BBP complete'!I1500,"AAAAAHu3/34=")</f>
        <v>#VALUE!</v>
      </c>
      <c r="DX108" t="e">
        <f>AND('BBP complete'!#REF!,"AAAAAHu3/38=")</f>
        <v>#REF!</v>
      </c>
      <c r="DY108" t="e">
        <f>AND('BBP complete'!#REF!,"AAAAAHu3/4A=")</f>
        <v>#REF!</v>
      </c>
      <c r="DZ108" t="e">
        <f>AND('BBP complete'!#REF!,"AAAAAHu3/4E=")</f>
        <v>#REF!</v>
      </c>
      <c r="EA108" t="e">
        <f>AND('BBP complete'!#REF!,"AAAAAHu3/4I=")</f>
        <v>#REF!</v>
      </c>
      <c r="EB108" t="e">
        <f>AND('BBP complete'!#REF!,"AAAAAHu3/4M=")</f>
        <v>#REF!</v>
      </c>
      <c r="EC108" t="e">
        <f>AND('BBP complete'!C1550,"AAAAAHu3/4Q=")</f>
        <v>#VALUE!</v>
      </c>
      <c r="ED108" t="e">
        <f>AND('BBP complete'!K1499,"AAAAAHu3/4U=")</f>
        <v>#VALUE!</v>
      </c>
      <c r="EE108" t="e">
        <f>AND('BBP complete'!C1499,"AAAAAHu3/4Y=")</f>
        <v>#VALUE!</v>
      </c>
      <c r="EF108" t="e">
        <f>AND('BBP complete'!P1512,"AAAAAHu3/4c=")</f>
        <v>#VALUE!</v>
      </c>
      <c r="EG108" s="60" t="e">
        <v>#VALUE!</v>
      </c>
      <c r="EH108" t="e">
        <f>AND('BBP complete'!B1503,"AAAAAHu3/4k=")</f>
        <v>#VALUE!</v>
      </c>
      <c r="EI108" t="e">
        <f>AND('BBP complete'!F1504,"AAAAAHu3/4o=")</f>
        <v>#VALUE!</v>
      </c>
      <c r="EJ108" t="e">
        <f>AND('BBP complete'!G1504,"AAAAAHu3/4s=")</f>
        <v>#VALUE!</v>
      </c>
      <c r="EK108" t="e">
        <f>AND('BBP complete'!D1503,"AAAAAHu3/4w=")</f>
        <v>#VALUE!</v>
      </c>
      <c r="EL108" t="e">
        <f>AND('BBP complete'!H1502,"AAAAAHu3/40=")</f>
        <v>#VALUE!</v>
      </c>
      <c r="EM108" t="e">
        <f>AND('BBP complete'!I1501,"AAAAAHu3/44=")</f>
        <v>#VALUE!</v>
      </c>
      <c r="EN108" t="e">
        <f>AND('BBP complete'!#REF!,"AAAAAHu3/48=")</f>
        <v>#REF!</v>
      </c>
      <c r="EO108" t="e">
        <f>AND('BBP complete'!#REF!,"AAAAAHu3/5A=")</f>
        <v>#REF!</v>
      </c>
      <c r="EP108" t="e">
        <f>AND('BBP complete'!#REF!,"AAAAAHu3/5E=")</f>
        <v>#REF!</v>
      </c>
      <c r="EQ108" t="e">
        <f>AND('BBP complete'!#REF!,"AAAAAHu3/5I=")</f>
        <v>#REF!</v>
      </c>
      <c r="ER108" t="e">
        <f>AND('BBP complete'!#REF!,"AAAAAHu3/5M=")</f>
        <v>#REF!</v>
      </c>
      <c r="ES108" t="e">
        <f>AND('BBP complete'!C1551,"AAAAAHu3/5Q=")</f>
        <v>#VALUE!</v>
      </c>
      <c r="ET108" t="e">
        <f>AND('BBP complete'!K1500,"AAAAAHu3/5U=")</f>
        <v>#VALUE!</v>
      </c>
      <c r="EU108" t="e">
        <f>AND('BBP complete'!C1500,"AAAAAHu3/5Y=")</f>
        <v>#VALUE!</v>
      </c>
      <c r="EV108" t="e">
        <f>AND('BBP complete'!P1513,"AAAAAHu3/5c=")</f>
        <v>#VALUE!</v>
      </c>
      <c r="EW108" s="60" t="e">
        <v>#VALUE!</v>
      </c>
      <c r="EX108" t="e">
        <f>AND('BBP complete'!B1504,"AAAAAHu3/5k=")</f>
        <v>#VALUE!</v>
      </c>
      <c r="EY108" t="e">
        <f>AND('BBP complete'!F1505,"AAAAAHu3/5o=")</f>
        <v>#VALUE!</v>
      </c>
      <c r="EZ108" t="e">
        <f>AND('BBP complete'!G1505,"AAAAAHu3/5s=")</f>
        <v>#VALUE!</v>
      </c>
      <c r="FA108" t="e">
        <f>AND('BBP complete'!D1504,"AAAAAHu3/5w=")</f>
        <v>#VALUE!</v>
      </c>
      <c r="FB108" t="e">
        <f>AND('BBP complete'!H1503,"AAAAAHu3/50=")</f>
        <v>#VALUE!</v>
      </c>
      <c r="FC108" t="e">
        <f>AND('BBP complete'!I1502,"AAAAAHu3/54=")</f>
        <v>#VALUE!</v>
      </c>
      <c r="FD108" t="e">
        <f>AND('BBP complete'!#REF!,"AAAAAHu3/58=")</f>
        <v>#REF!</v>
      </c>
      <c r="FE108" t="e">
        <f>AND('BBP complete'!#REF!,"AAAAAHu3/6A=")</f>
        <v>#REF!</v>
      </c>
      <c r="FF108" t="e">
        <f>AND('BBP complete'!#REF!,"AAAAAHu3/6E=")</f>
        <v>#REF!</v>
      </c>
      <c r="FG108" t="e">
        <f>AND('BBP complete'!#REF!,"AAAAAHu3/6I=")</f>
        <v>#REF!</v>
      </c>
      <c r="FH108" t="e">
        <f>AND('BBP complete'!#REF!,"AAAAAHu3/6M=")</f>
        <v>#REF!</v>
      </c>
      <c r="FI108" t="e">
        <f>AND('BBP complete'!C1552,"AAAAAHu3/6Q=")</f>
        <v>#VALUE!</v>
      </c>
      <c r="FJ108" t="e">
        <f>AND('BBP complete'!K1501,"AAAAAHu3/6U=")</f>
        <v>#VALUE!</v>
      </c>
      <c r="FK108" t="e">
        <f>AND('BBP complete'!C1501,"AAAAAHu3/6Y=")</f>
        <v>#VALUE!</v>
      </c>
      <c r="FL108" t="e">
        <f>AND('BBP complete'!P1514,"AAAAAHu3/6c=")</f>
        <v>#VALUE!</v>
      </c>
      <c r="FM108" s="60" t="e">
        <v>#VALUE!</v>
      </c>
      <c r="FN108" t="e">
        <f>AND('BBP complete'!B1505,"AAAAAHu3/6k=")</f>
        <v>#VALUE!</v>
      </c>
      <c r="FO108" t="e">
        <f>AND('BBP complete'!F1506,"AAAAAHu3/6o=")</f>
        <v>#VALUE!</v>
      </c>
      <c r="FP108" t="e">
        <f>AND('BBP complete'!G1506,"AAAAAHu3/6s=")</f>
        <v>#VALUE!</v>
      </c>
      <c r="FQ108" t="e">
        <f>AND('BBP complete'!D1505,"AAAAAHu3/6w=")</f>
        <v>#VALUE!</v>
      </c>
      <c r="FR108" t="e">
        <f>AND('BBP complete'!H1504,"AAAAAHu3/60=")</f>
        <v>#VALUE!</v>
      </c>
      <c r="FS108" t="e">
        <f>AND('BBP complete'!I1503,"AAAAAHu3/64=")</f>
        <v>#VALUE!</v>
      </c>
      <c r="FT108" t="e">
        <f>AND('BBP complete'!#REF!,"AAAAAHu3/68=")</f>
        <v>#REF!</v>
      </c>
      <c r="FU108" t="e">
        <f>AND('BBP complete'!#REF!,"AAAAAHu3/7A=")</f>
        <v>#REF!</v>
      </c>
      <c r="FV108" t="e">
        <f>AND('BBP complete'!#REF!,"AAAAAHu3/7E=")</f>
        <v>#REF!</v>
      </c>
      <c r="FW108" t="e">
        <f>AND('BBP complete'!#REF!,"AAAAAHu3/7I=")</f>
        <v>#REF!</v>
      </c>
      <c r="FX108" t="e">
        <f>AND('BBP complete'!#REF!,"AAAAAHu3/7M=")</f>
        <v>#REF!</v>
      </c>
      <c r="FY108" t="e">
        <f>AND('BBP complete'!C1553,"AAAAAHu3/7Q=")</f>
        <v>#VALUE!</v>
      </c>
      <c r="FZ108" t="e">
        <f>AND('BBP complete'!K1502,"AAAAAHu3/7U=")</f>
        <v>#VALUE!</v>
      </c>
      <c r="GA108" t="e">
        <f>AND('BBP complete'!C1502,"AAAAAHu3/7Y=")</f>
        <v>#VALUE!</v>
      </c>
      <c r="GB108" t="e">
        <f>AND('BBP complete'!P1515,"AAAAAHu3/7c=")</f>
        <v>#VALUE!</v>
      </c>
      <c r="GC108" s="60" t="e">
        <v>#VALUE!</v>
      </c>
      <c r="GD108" t="e">
        <f>AND('BBP complete'!B1506,"AAAAAHu3/7k=")</f>
        <v>#VALUE!</v>
      </c>
      <c r="GE108" t="e">
        <f>AND('BBP complete'!F1507,"AAAAAHu3/7o=")</f>
        <v>#VALUE!</v>
      </c>
      <c r="GF108" t="e">
        <f>AND('BBP complete'!G1507,"AAAAAHu3/7s=")</f>
        <v>#VALUE!</v>
      </c>
      <c r="GG108" t="e">
        <f>AND('BBP complete'!D1506,"AAAAAHu3/7w=")</f>
        <v>#VALUE!</v>
      </c>
      <c r="GH108" t="e">
        <f>AND('BBP complete'!H1505,"AAAAAHu3/70=")</f>
        <v>#VALUE!</v>
      </c>
      <c r="GI108" t="e">
        <f>AND('BBP complete'!I1504,"AAAAAHu3/74=")</f>
        <v>#VALUE!</v>
      </c>
      <c r="GJ108" t="e">
        <f>AND('BBP complete'!#REF!,"AAAAAHu3/78=")</f>
        <v>#REF!</v>
      </c>
      <c r="GK108" t="e">
        <f>AND('BBP complete'!#REF!,"AAAAAHu3/8A=")</f>
        <v>#REF!</v>
      </c>
      <c r="GL108" t="e">
        <f>AND('BBP complete'!#REF!,"AAAAAHu3/8E=")</f>
        <v>#REF!</v>
      </c>
      <c r="GM108" t="e">
        <f>AND('BBP complete'!#REF!,"AAAAAHu3/8I=")</f>
        <v>#REF!</v>
      </c>
      <c r="GN108" t="e">
        <f>AND('BBP complete'!#REF!,"AAAAAHu3/8M=")</f>
        <v>#REF!</v>
      </c>
      <c r="GO108" t="e">
        <f>AND('BBP complete'!C1554,"AAAAAHu3/8Q=")</f>
        <v>#VALUE!</v>
      </c>
      <c r="GP108" t="e">
        <f>AND('BBP complete'!K1503,"AAAAAHu3/8U=")</f>
        <v>#VALUE!</v>
      </c>
      <c r="GQ108" t="e">
        <f>AND('BBP complete'!C1503,"AAAAAHu3/8Y=")</f>
        <v>#VALUE!</v>
      </c>
      <c r="GR108" t="e">
        <f>AND('BBP complete'!P1516,"AAAAAHu3/8c=")</f>
        <v>#VALUE!</v>
      </c>
      <c r="GS108" s="60" t="e">
        <v>#VALUE!</v>
      </c>
      <c r="GT108" t="e">
        <f>AND('BBP complete'!B1507,"AAAAAHu3/8k=")</f>
        <v>#VALUE!</v>
      </c>
      <c r="GU108" t="e">
        <f>AND('BBP complete'!F1508,"AAAAAHu3/8o=")</f>
        <v>#VALUE!</v>
      </c>
      <c r="GV108" t="e">
        <f>AND('BBP complete'!G1508,"AAAAAHu3/8s=")</f>
        <v>#VALUE!</v>
      </c>
      <c r="GW108" t="e">
        <f>AND('BBP complete'!D1507,"AAAAAHu3/8w=")</f>
        <v>#VALUE!</v>
      </c>
      <c r="GX108" t="e">
        <f>AND('BBP complete'!H1506,"AAAAAHu3/80=")</f>
        <v>#VALUE!</v>
      </c>
      <c r="GY108" t="e">
        <f>AND('BBP complete'!I1505,"AAAAAHu3/84=")</f>
        <v>#VALUE!</v>
      </c>
      <c r="GZ108" t="e">
        <f>AND('BBP complete'!#REF!,"AAAAAHu3/88=")</f>
        <v>#REF!</v>
      </c>
      <c r="HA108" t="e">
        <f>AND('BBP complete'!#REF!,"AAAAAHu3/9A=")</f>
        <v>#REF!</v>
      </c>
      <c r="HB108" t="e">
        <f>AND('BBP complete'!#REF!,"AAAAAHu3/9E=")</f>
        <v>#REF!</v>
      </c>
      <c r="HC108" t="e">
        <f>AND('BBP complete'!#REF!,"AAAAAHu3/9I=")</f>
        <v>#REF!</v>
      </c>
      <c r="HD108" t="e">
        <f>AND('BBP complete'!#REF!,"AAAAAHu3/9M=")</f>
        <v>#REF!</v>
      </c>
      <c r="HE108" t="e">
        <f>AND('BBP complete'!C1555,"AAAAAHu3/9Q=")</f>
        <v>#VALUE!</v>
      </c>
      <c r="HF108" t="e">
        <f>AND('BBP complete'!K1504,"AAAAAHu3/9U=")</f>
        <v>#VALUE!</v>
      </c>
      <c r="HG108" t="e">
        <f>AND('BBP complete'!C1504,"AAAAAHu3/9Y=")</f>
        <v>#VALUE!</v>
      </c>
      <c r="HH108" t="e">
        <f>AND('BBP complete'!P1517,"AAAAAHu3/9c=")</f>
        <v>#VALUE!</v>
      </c>
      <c r="HI108" s="60" t="e">
        <v>#VALUE!</v>
      </c>
      <c r="HJ108" t="e">
        <f>AND('BBP complete'!B1508,"AAAAAHu3/9k=")</f>
        <v>#VALUE!</v>
      </c>
      <c r="HK108" t="e">
        <f>AND('BBP complete'!F1509,"AAAAAHu3/9o=")</f>
        <v>#VALUE!</v>
      </c>
      <c r="HL108" t="e">
        <f>AND('BBP complete'!G1509,"AAAAAHu3/9s=")</f>
        <v>#VALUE!</v>
      </c>
      <c r="HM108" t="e">
        <f>AND('BBP complete'!D1508,"AAAAAHu3/9w=")</f>
        <v>#VALUE!</v>
      </c>
      <c r="HN108" t="e">
        <f>AND('BBP complete'!H1507,"AAAAAHu3/90=")</f>
        <v>#VALUE!</v>
      </c>
      <c r="HO108" t="e">
        <f>AND('BBP complete'!I1506,"AAAAAHu3/94=")</f>
        <v>#VALUE!</v>
      </c>
      <c r="HP108" t="e">
        <f>AND('BBP complete'!#REF!,"AAAAAHu3/98=")</f>
        <v>#REF!</v>
      </c>
      <c r="HQ108" t="e">
        <f>AND('BBP complete'!#REF!,"AAAAAHu3/+A=")</f>
        <v>#REF!</v>
      </c>
      <c r="HR108" t="e">
        <f>AND('BBP complete'!#REF!,"AAAAAHu3/+E=")</f>
        <v>#REF!</v>
      </c>
      <c r="HS108" t="e">
        <f>AND('BBP complete'!#REF!,"AAAAAHu3/+I=")</f>
        <v>#REF!</v>
      </c>
      <c r="HT108" t="e">
        <f>AND('BBP complete'!#REF!,"AAAAAHu3/+M=")</f>
        <v>#REF!</v>
      </c>
      <c r="HU108" t="e">
        <f>AND('BBP complete'!C1556,"AAAAAHu3/+Q=")</f>
        <v>#VALUE!</v>
      </c>
      <c r="HV108" t="e">
        <f>AND('BBP complete'!K1505,"AAAAAHu3/+U=")</f>
        <v>#VALUE!</v>
      </c>
      <c r="HW108" t="e">
        <f>AND('BBP complete'!C1505,"AAAAAHu3/+Y=")</f>
        <v>#VALUE!</v>
      </c>
      <c r="HX108" t="e">
        <f>AND('BBP complete'!P1518,"AAAAAHu3/+c=")</f>
        <v>#VALUE!</v>
      </c>
      <c r="HY108" s="60" t="e">
        <v>#VALUE!</v>
      </c>
      <c r="HZ108" t="e">
        <f>AND('BBP complete'!B1509,"AAAAAHu3/+k=")</f>
        <v>#VALUE!</v>
      </c>
      <c r="IA108" t="e">
        <f>AND('BBP complete'!F1510,"AAAAAHu3/+o=")</f>
        <v>#VALUE!</v>
      </c>
      <c r="IB108" t="e">
        <f>AND('BBP complete'!G1510,"AAAAAHu3/+s=")</f>
        <v>#VALUE!</v>
      </c>
      <c r="IC108" t="e">
        <f>AND('BBP complete'!D1509,"AAAAAHu3/+w=")</f>
        <v>#VALUE!</v>
      </c>
      <c r="ID108" t="e">
        <f>AND('BBP complete'!H1508,"AAAAAHu3/+0=")</f>
        <v>#VALUE!</v>
      </c>
      <c r="IE108" t="e">
        <f>AND('BBP complete'!I1507,"AAAAAHu3/+4=")</f>
        <v>#VALUE!</v>
      </c>
      <c r="IF108" t="e">
        <f>AND('BBP complete'!#REF!,"AAAAAHu3/+8=")</f>
        <v>#REF!</v>
      </c>
      <c r="IG108" t="e">
        <f>AND('BBP complete'!#REF!,"AAAAAHu3//A=")</f>
        <v>#REF!</v>
      </c>
      <c r="IH108" t="e">
        <f>AND('BBP complete'!#REF!,"AAAAAHu3//E=")</f>
        <v>#REF!</v>
      </c>
      <c r="II108" t="e">
        <f>AND('BBP complete'!#REF!,"AAAAAHu3//I=")</f>
        <v>#REF!</v>
      </c>
      <c r="IJ108" t="e">
        <f>AND('BBP complete'!#REF!,"AAAAAHu3//M=")</f>
        <v>#REF!</v>
      </c>
      <c r="IK108" t="e">
        <f>AND('BBP complete'!C1557,"AAAAAHu3//Q=")</f>
        <v>#VALUE!</v>
      </c>
      <c r="IL108" t="e">
        <f>AND('BBP complete'!K1506,"AAAAAHu3//U=")</f>
        <v>#VALUE!</v>
      </c>
      <c r="IM108" t="e">
        <f>AND('BBP complete'!C1506,"AAAAAHu3//Y=")</f>
        <v>#VALUE!</v>
      </c>
      <c r="IN108" t="e">
        <f>AND('BBP complete'!P1519,"AAAAAHu3//c=")</f>
        <v>#VALUE!</v>
      </c>
      <c r="IO108" s="60" t="e">
        <v>#VALUE!</v>
      </c>
      <c r="IP108" t="e">
        <f>AND('BBP complete'!B1510,"AAAAAHu3//k=")</f>
        <v>#VALUE!</v>
      </c>
      <c r="IQ108" t="e">
        <f>AND('BBP complete'!F1511,"AAAAAHu3//o=")</f>
        <v>#VALUE!</v>
      </c>
      <c r="IR108" t="e">
        <f>AND('BBP complete'!G1511,"AAAAAHu3//s=")</f>
        <v>#VALUE!</v>
      </c>
      <c r="IS108" t="e">
        <f>AND('BBP complete'!D1510,"AAAAAHu3//w=")</f>
        <v>#VALUE!</v>
      </c>
      <c r="IT108" t="e">
        <f>AND('BBP complete'!H1509,"AAAAAHu3//0=")</f>
        <v>#VALUE!</v>
      </c>
      <c r="IU108" t="e">
        <f>AND('BBP complete'!I1508,"AAAAAHu3//4=")</f>
        <v>#VALUE!</v>
      </c>
      <c r="IV108" t="e">
        <f>AND('BBP complete'!#REF!,"AAAAAHu3//8=")</f>
        <v>#REF!</v>
      </c>
    </row>
    <row r="109" spans="1:256" ht="15" customHeight="1" x14ac:dyDescent="0.25">
      <c r="A109" t="e">
        <f>AND('BBP complete'!#REF!,"AAAAAFvY7QA=")</f>
        <v>#REF!</v>
      </c>
      <c r="B109" t="e">
        <f>AND('BBP complete'!#REF!,"AAAAAFvY7QE=")</f>
        <v>#REF!</v>
      </c>
      <c r="C109" t="e">
        <f>AND('BBP complete'!#REF!,"AAAAAFvY7QI=")</f>
        <v>#REF!</v>
      </c>
      <c r="D109" t="e">
        <f>AND('BBP complete'!#REF!,"AAAAAFvY7QM=")</f>
        <v>#REF!</v>
      </c>
      <c r="E109" t="e">
        <f>AND('BBP complete'!C1558,"AAAAAFvY7QQ=")</f>
        <v>#VALUE!</v>
      </c>
      <c r="F109" t="e">
        <f>AND('BBP complete'!K1507,"AAAAAFvY7QU=")</f>
        <v>#VALUE!</v>
      </c>
      <c r="G109" t="e">
        <f>AND('BBP complete'!C1507,"AAAAAFvY7QY=")</f>
        <v>#VALUE!</v>
      </c>
      <c r="H109" t="e">
        <f>AND('BBP complete'!P1520,"AAAAAFvY7Qc=")</f>
        <v>#VALUE!</v>
      </c>
      <c r="I109" s="60" t="e">
        <v>#VALUE!</v>
      </c>
      <c r="J109" t="e">
        <f>AND('BBP complete'!B1511,"AAAAAFvY7Qk=")</f>
        <v>#VALUE!</v>
      </c>
      <c r="K109" t="e">
        <f>AND('BBP complete'!F1512,"AAAAAFvY7Qo=")</f>
        <v>#VALUE!</v>
      </c>
      <c r="L109" t="e">
        <f>AND('BBP complete'!G1512,"AAAAAFvY7Qs=")</f>
        <v>#VALUE!</v>
      </c>
      <c r="M109" t="e">
        <f>AND('BBP complete'!D1511,"AAAAAFvY7Qw=")</f>
        <v>#VALUE!</v>
      </c>
      <c r="N109" t="e">
        <f>AND('BBP complete'!H1510,"AAAAAFvY7Q0=")</f>
        <v>#VALUE!</v>
      </c>
      <c r="O109" t="e">
        <f>AND('BBP complete'!I1509,"AAAAAFvY7Q4=")</f>
        <v>#VALUE!</v>
      </c>
      <c r="P109" t="e">
        <f>AND('BBP complete'!#REF!,"AAAAAFvY7Q8=")</f>
        <v>#REF!</v>
      </c>
      <c r="Q109" t="e">
        <f>AND('BBP complete'!#REF!,"AAAAAFvY7RA=")</f>
        <v>#REF!</v>
      </c>
      <c r="R109" t="e">
        <f>AND('BBP complete'!#REF!,"AAAAAFvY7RE=")</f>
        <v>#REF!</v>
      </c>
      <c r="S109" t="e">
        <f>AND('BBP complete'!#REF!,"AAAAAFvY7RI=")</f>
        <v>#REF!</v>
      </c>
      <c r="T109" t="e">
        <f>AND('BBP complete'!#REF!,"AAAAAFvY7RM=")</f>
        <v>#REF!</v>
      </c>
      <c r="U109" t="e">
        <f>AND('BBP complete'!C1559,"AAAAAFvY7RQ=")</f>
        <v>#VALUE!</v>
      </c>
      <c r="V109" t="e">
        <f>AND('BBP complete'!K1508,"AAAAAFvY7RU=")</f>
        <v>#VALUE!</v>
      </c>
      <c r="W109" t="e">
        <f>AND('BBP complete'!C1508,"AAAAAFvY7RY=")</f>
        <v>#VALUE!</v>
      </c>
      <c r="X109" t="e">
        <f>AND('BBP complete'!P1521,"AAAAAFvY7Rc=")</f>
        <v>#VALUE!</v>
      </c>
      <c r="Y109" s="60" t="e">
        <v>#VALUE!</v>
      </c>
      <c r="Z109" t="e">
        <f>AND('BBP complete'!B1512,"AAAAAFvY7Rk=")</f>
        <v>#VALUE!</v>
      </c>
      <c r="AA109" t="e">
        <f>AND('BBP complete'!F1513,"AAAAAFvY7Ro=")</f>
        <v>#VALUE!</v>
      </c>
      <c r="AB109" t="e">
        <f>AND('BBP complete'!G1513,"AAAAAFvY7Rs=")</f>
        <v>#VALUE!</v>
      </c>
      <c r="AC109" t="e">
        <f>AND('BBP complete'!D1512,"AAAAAFvY7Rw=")</f>
        <v>#VALUE!</v>
      </c>
      <c r="AD109" t="e">
        <f>AND('BBP complete'!H1511,"AAAAAFvY7R0=")</f>
        <v>#VALUE!</v>
      </c>
      <c r="AE109" t="e">
        <f>AND('BBP complete'!I1510,"AAAAAFvY7R4=")</f>
        <v>#VALUE!</v>
      </c>
      <c r="AF109" t="e">
        <f>AND('BBP complete'!#REF!,"AAAAAFvY7R8=")</f>
        <v>#REF!</v>
      </c>
      <c r="AG109" t="e">
        <f>AND('BBP complete'!#REF!,"AAAAAFvY7SA=")</f>
        <v>#REF!</v>
      </c>
      <c r="AH109" t="e">
        <f>AND('BBP complete'!#REF!,"AAAAAFvY7SE=")</f>
        <v>#REF!</v>
      </c>
      <c r="AI109" t="e">
        <f>AND('BBP complete'!#REF!,"AAAAAFvY7SI=")</f>
        <v>#REF!</v>
      </c>
      <c r="AJ109" t="e">
        <f>AND('BBP complete'!#REF!,"AAAAAFvY7SM=")</f>
        <v>#REF!</v>
      </c>
      <c r="AK109" t="e">
        <f>AND('BBP complete'!C1560,"AAAAAFvY7SQ=")</f>
        <v>#VALUE!</v>
      </c>
      <c r="AL109" t="e">
        <f>AND('BBP complete'!K1509,"AAAAAFvY7SU=")</f>
        <v>#VALUE!</v>
      </c>
      <c r="AM109" t="e">
        <f>AND('BBP complete'!C1509,"AAAAAFvY7SY=")</f>
        <v>#VALUE!</v>
      </c>
      <c r="AN109" t="e">
        <f>AND('BBP complete'!P1522,"AAAAAFvY7Sc=")</f>
        <v>#VALUE!</v>
      </c>
      <c r="AO109" s="60" t="e">
        <v>#VALUE!</v>
      </c>
      <c r="AP109" t="e">
        <f>AND('BBP complete'!B1513,"AAAAAFvY7Sk=")</f>
        <v>#VALUE!</v>
      </c>
      <c r="AQ109" t="e">
        <f>AND('BBP complete'!F1514,"AAAAAFvY7So=")</f>
        <v>#VALUE!</v>
      </c>
      <c r="AR109" t="e">
        <f>AND('BBP complete'!G1514,"AAAAAFvY7Ss=")</f>
        <v>#VALUE!</v>
      </c>
      <c r="AS109" t="e">
        <f>AND('BBP complete'!D1513,"AAAAAFvY7Sw=")</f>
        <v>#VALUE!</v>
      </c>
      <c r="AT109" t="e">
        <f>AND('BBP complete'!H1512,"AAAAAFvY7S0=")</f>
        <v>#VALUE!</v>
      </c>
      <c r="AU109" t="e">
        <f>AND('BBP complete'!I1511,"AAAAAFvY7S4=")</f>
        <v>#VALUE!</v>
      </c>
      <c r="AV109" t="e">
        <f>AND('BBP complete'!#REF!,"AAAAAFvY7S8=")</f>
        <v>#REF!</v>
      </c>
      <c r="AW109" t="e">
        <f>AND('BBP complete'!#REF!,"AAAAAFvY7TA=")</f>
        <v>#REF!</v>
      </c>
      <c r="AX109" t="e">
        <f>AND('BBP complete'!#REF!,"AAAAAFvY7TE=")</f>
        <v>#REF!</v>
      </c>
      <c r="AY109" t="e">
        <f>AND('BBP complete'!#REF!,"AAAAAFvY7TI=")</f>
        <v>#REF!</v>
      </c>
      <c r="AZ109" t="e">
        <f>AND('BBP complete'!#REF!,"AAAAAFvY7TM=")</f>
        <v>#REF!</v>
      </c>
      <c r="BA109" t="e">
        <f>AND('BBP complete'!C1561,"AAAAAFvY7TQ=")</f>
        <v>#VALUE!</v>
      </c>
      <c r="BB109" t="e">
        <f>AND('BBP complete'!K1510,"AAAAAFvY7TU=")</f>
        <v>#VALUE!</v>
      </c>
      <c r="BC109" t="e">
        <f>AND('BBP complete'!C1510,"AAAAAFvY7TY=")</f>
        <v>#VALUE!</v>
      </c>
      <c r="BD109" t="e">
        <f>AND('BBP complete'!P1523,"AAAAAFvY7Tc=")</f>
        <v>#VALUE!</v>
      </c>
      <c r="BE109" s="60" t="e">
        <v>#VALUE!</v>
      </c>
      <c r="BF109" t="e">
        <f>AND('BBP complete'!B1514,"AAAAAFvY7Tk=")</f>
        <v>#VALUE!</v>
      </c>
      <c r="BG109" t="e">
        <f>AND('BBP complete'!F1515,"AAAAAFvY7To=")</f>
        <v>#VALUE!</v>
      </c>
      <c r="BH109" t="e">
        <f>AND('BBP complete'!G1515,"AAAAAFvY7Ts=")</f>
        <v>#VALUE!</v>
      </c>
      <c r="BI109" t="e">
        <f>AND('BBP complete'!D1514,"AAAAAFvY7Tw=")</f>
        <v>#VALUE!</v>
      </c>
      <c r="BJ109" t="e">
        <f>AND('BBP complete'!H1513,"AAAAAFvY7T0=")</f>
        <v>#VALUE!</v>
      </c>
      <c r="BK109" t="e">
        <f>AND('BBP complete'!I1512,"AAAAAFvY7T4=")</f>
        <v>#VALUE!</v>
      </c>
      <c r="BL109" t="e">
        <f>AND('BBP complete'!#REF!,"AAAAAFvY7T8=")</f>
        <v>#REF!</v>
      </c>
      <c r="BM109" t="e">
        <f>AND('BBP complete'!#REF!,"AAAAAFvY7UA=")</f>
        <v>#REF!</v>
      </c>
      <c r="BN109" t="e">
        <f>AND('BBP complete'!#REF!,"AAAAAFvY7UE=")</f>
        <v>#REF!</v>
      </c>
      <c r="BO109" t="e">
        <f>AND('BBP complete'!#REF!,"AAAAAFvY7UI=")</f>
        <v>#REF!</v>
      </c>
      <c r="BP109" t="e">
        <f>AND('BBP complete'!#REF!,"AAAAAFvY7UM=")</f>
        <v>#REF!</v>
      </c>
      <c r="BQ109" t="e">
        <f>AND('BBP complete'!C1562,"AAAAAFvY7UQ=")</f>
        <v>#VALUE!</v>
      </c>
      <c r="BR109" t="e">
        <f>AND('BBP complete'!K1511,"AAAAAFvY7UU=")</f>
        <v>#VALUE!</v>
      </c>
      <c r="BS109" t="e">
        <f>AND('BBP complete'!C1511,"AAAAAFvY7UY=")</f>
        <v>#VALUE!</v>
      </c>
      <c r="BT109" t="e">
        <f>AND('BBP complete'!P1524,"AAAAAFvY7Uc=")</f>
        <v>#VALUE!</v>
      </c>
      <c r="BU109" s="60" t="e">
        <v>#VALUE!</v>
      </c>
      <c r="BV109" t="e">
        <f>AND('BBP complete'!B1515,"AAAAAFvY7Uk=")</f>
        <v>#VALUE!</v>
      </c>
      <c r="BW109" t="e">
        <f>AND('BBP complete'!F1516,"AAAAAFvY7Uo=")</f>
        <v>#VALUE!</v>
      </c>
      <c r="BX109" t="e">
        <f>AND('BBP complete'!G1516,"AAAAAFvY7Us=")</f>
        <v>#VALUE!</v>
      </c>
      <c r="BY109" t="e">
        <f>AND('BBP complete'!D1515,"AAAAAFvY7Uw=")</f>
        <v>#VALUE!</v>
      </c>
      <c r="BZ109" t="e">
        <f>AND('BBP complete'!H1514,"AAAAAFvY7U0=")</f>
        <v>#VALUE!</v>
      </c>
      <c r="CA109" t="e">
        <f>AND('BBP complete'!I1513,"AAAAAFvY7U4=")</f>
        <v>#VALUE!</v>
      </c>
      <c r="CB109" t="e">
        <f>AND('BBP complete'!#REF!,"AAAAAFvY7U8=")</f>
        <v>#REF!</v>
      </c>
      <c r="CC109" t="e">
        <f>AND('BBP complete'!#REF!,"AAAAAFvY7VA=")</f>
        <v>#REF!</v>
      </c>
      <c r="CD109" t="e">
        <f>AND('BBP complete'!#REF!,"AAAAAFvY7VE=")</f>
        <v>#REF!</v>
      </c>
      <c r="CE109" t="e">
        <f>AND('BBP complete'!#REF!,"AAAAAFvY7VI=")</f>
        <v>#REF!</v>
      </c>
      <c r="CF109" t="e">
        <f>AND('BBP complete'!#REF!,"AAAAAFvY7VM=")</f>
        <v>#REF!</v>
      </c>
      <c r="CG109" t="e">
        <f>AND('BBP complete'!C1563,"AAAAAFvY7VQ=")</f>
        <v>#VALUE!</v>
      </c>
      <c r="CH109" t="e">
        <f>AND('BBP complete'!K1512,"AAAAAFvY7VU=")</f>
        <v>#VALUE!</v>
      </c>
      <c r="CI109" t="e">
        <f>AND('BBP complete'!C1512,"AAAAAFvY7VY=")</f>
        <v>#VALUE!</v>
      </c>
      <c r="CJ109" t="e">
        <f>AND('BBP complete'!P1525,"AAAAAFvY7Vc=")</f>
        <v>#VALUE!</v>
      </c>
      <c r="CK109" s="60" t="e">
        <v>#VALUE!</v>
      </c>
      <c r="CL109" t="e">
        <f>AND('BBP complete'!B1516,"AAAAAFvY7Vk=")</f>
        <v>#VALUE!</v>
      </c>
      <c r="CM109" t="e">
        <f>AND('BBP complete'!F1517,"AAAAAFvY7Vo=")</f>
        <v>#VALUE!</v>
      </c>
      <c r="CN109" t="e">
        <f>AND('BBP complete'!G1517,"AAAAAFvY7Vs=")</f>
        <v>#VALUE!</v>
      </c>
      <c r="CO109" t="e">
        <f>AND('BBP complete'!D1516,"AAAAAFvY7Vw=")</f>
        <v>#VALUE!</v>
      </c>
      <c r="CP109" t="e">
        <f>AND('BBP complete'!H1515,"AAAAAFvY7V0=")</f>
        <v>#VALUE!</v>
      </c>
      <c r="CQ109" t="e">
        <f>AND('BBP complete'!I1514,"AAAAAFvY7V4=")</f>
        <v>#VALUE!</v>
      </c>
      <c r="CR109" t="e">
        <f>AND('BBP complete'!#REF!,"AAAAAFvY7V8=")</f>
        <v>#REF!</v>
      </c>
      <c r="CS109" t="e">
        <f>AND('BBP complete'!#REF!,"AAAAAFvY7WA=")</f>
        <v>#REF!</v>
      </c>
      <c r="CT109" t="e">
        <f>AND('BBP complete'!#REF!,"AAAAAFvY7WE=")</f>
        <v>#REF!</v>
      </c>
      <c r="CU109" t="e">
        <f>AND('BBP complete'!#REF!,"AAAAAFvY7WI=")</f>
        <v>#REF!</v>
      </c>
      <c r="CV109" t="e">
        <f>AND('BBP complete'!#REF!,"AAAAAFvY7WM=")</f>
        <v>#REF!</v>
      </c>
      <c r="CW109" t="e">
        <f>AND('BBP complete'!C1564,"AAAAAFvY7WQ=")</f>
        <v>#VALUE!</v>
      </c>
      <c r="CX109" t="e">
        <f>AND('BBP complete'!K1513,"AAAAAFvY7WU=")</f>
        <v>#VALUE!</v>
      </c>
      <c r="CY109" t="e">
        <f>AND('BBP complete'!C1513,"AAAAAFvY7WY=")</f>
        <v>#VALUE!</v>
      </c>
      <c r="CZ109" t="e">
        <f>AND('BBP complete'!P1526,"AAAAAFvY7Wc=")</f>
        <v>#VALUE!</v>
      </c>
      <c r="DA109" s="60" t="e">
        <v>#VALUE!</v>
      </c>
      <c r="DB109" t="e">
        <f>AND('BBP complete'!B1517,"AAAAAFvY7Wk=")</f>
        <v>#VALUE!</v>
      </c>
      <c r="DC109" t="e">
        <f>AND('BBP complete'!F1518,"AAAAAFvY7Wo=")</f>
        <v>#VALUE!</v>
      </c>
      <c r="DD109" t="e">
        <f>AND('BBP complete'!G1518,"AAAAAFvY7Ws=")</f>
        <v>#VALUE!</v>
      </c>
      <c r="DE109" t="e">
        <f>AND('BBP complete'!D1517,"AAAAAFvY7Ww=")</f>
        <v>#VALUE!</v>
      </c>
      <c r="DF109" t="e">
        <f>AND('BBP complete'!H1516,"AAAAAFvY7W0=")</f>
        <v>#VALUE!</v>
      </c>
      <c r="DG109" t="e">
        <f>AND('BBP complete'!I1515,"AAAAAFvY7W4=")</f>
        <v>#VALUE!</v>
      </c>
      <c r="DH109" t="e">
        <f>AND('BBP complete'!#REF!,"AAAAAFvY7W8=")</f>
        <v>#REF!</v>
      </c>
      <c r="DI109" t="e">
        <f>AND('BBP complete'!#REF!,"AAAAAFvY7XA=")</f>
        <v>#REF!</v>
      </c>
      <c r="DJ109" t="e">
        <f>AND('BBP complete'!#REF!,"AAAAAFvY7XE=")</f>
        <v>#REF!</v>
      </c>
      <c r="DK109" t="e">
        <f>AND('BBP complete'!#REF!,"AAAAAFvY7XI=")</f>
        <v>#REF!</v>
      </c>
      <c r="DL109" t="e">
        <f>AND('BBP complete'!#REF!,"AAAAAFvY7XM=")</f>
        <v>#REF!</v>
      </c>
      <c r="DM109" t="e">
        <f>AND('BBP complete'!C1565,"AAAAAFvY7XQ=")</f>
        <v>#VALUE!</v>
      </c>
      <c r="DN109" t="e">
        <f>AND('BBP complete'!K1514,"AAAAAFvY7XU=")</f>
        <v>#VALUE!</v>
      </c>
      <c r="DO109" t="e">
        <f>AND('BBP complete'!C1514,"AAAAAFvY7XY=")</f>
        <v>#VALUE!</v>
      </c>
      <c r="DP109" t="e">
        <f>AND('BBP complete'!P1527,"AAAAAFvY7Xc=")</f>
        <v>#VALUE!</v>
      </c>
      <c r="DQ109" s="60" t="e">
        <v>#VALUE!</v>
      </c>
      <c r="DR109" t="e">
        <f>AND('BBP complete'!B1518,"AAAAAFvY7Xk=")</f>
        <v>#VALUE!</v>
      </c>
      <c r="DS109" t="e">
        <f>AND('BBP complete'!F1519,"AAAAAFvY7Xo=")</f>
        <v>#VALUE!</v>
      </c>
      <c r="DT109" t="e">
        <f>AND('BBP complete'!G1519,"AAAAAFvY7Xs=")</f>
        <v>#VALUE!</v>
      </c>
      <c r="DU109" t="e">
        <f>AND('BBP complete'!D1518,"AAAAAFvY7Xw=")</f>
        <v>#VALUE!</v>
      </c>
      <c r="DV109" t="e">
        <f>AND('BBP complete'!H1517,"AAAAAFvY7X0=")</f>
        <v>#VALUE!</v>
      </c>
      <c r="DW109" t="e">
        <f>AND('BBP complete'!I1516,"AAAAAFvY7X4=")</f>
        <v>#VALUE!</v>
      </c>
      <c r="DX109" t="e">
        <f>AND('BBP complete'!#REF!,"AAAAAFvY7X8=")</f>
        <v>#REF!</v>
      </c>
      <c r="DY109" t="e">
        <f>AND('BBP complete'!#REF!,"AAAAAFvY7YA=")</f>
        <v>#REF!</v>
      </c>
      <c r="DZ109" t="e">
        <f>AND('BBP complete'!#REF!,"AAAAAFvY7YE=")</f>
        <v>#REF!</v>
      </c>
      <c r="EA109" t="e">
        <f>AND('BBP complete'!#REF!,"AAAAAFvY7YI=")</f>
        <v>#REF!</v>
      </c>
      <c r="EB109" t="e">
        <f>AND('BBP complete'!#REF!,"AAAAAFvY7YM=")</f>
        <v>#REF!</v>
      </c>
      <c r="EC109" t="e">
        <f>AND('BBP complete'!K1566,"AAAAAFvY7YQ=")</f>
        <v>#VALUE!</v>
      </c>
      <c r="ED109" t="e">
        <f>AND('BBP complete'!K1515,"AAAAAFvY7YU=")</f>
        <v>#VALUE!</v>
      </c>
      <c r="EE109" t="e">
        <f>AND('BBP complete'!C1515,"AAAAAFvY7YY=")</f>
        <v>#VALUE!</v>
      </c>
      <c r="EF109" t="e">
        <f>AND('BBP complete'!P1528,"AAAAAFvY7Yc=")</f>
        <v>#VALUE!</v>
      </c>
      <c r="EG109" s="60" t="e">
        <v>#VALUE!</v>
      </c>
      <c r="EH109" t="e">
        <f>AND('BBP complete'!B1519,"AAAAAFvY7Yk=")</f>
        <v>#VALUE!</v>
      </c>
      <c r="EI109" t="e">
        <f>AND('BBP complete'!F1520,"AAAAAFvY7Yo=")</f>
        <v>#VALUE!</v>
      </c>
      <c r="EJ109" t="e">
        <f>AND('BBP complete'!G1520,"AAAAAFvY7Ys=")</f>
        <v>#VALUE!</v>
      </c>
      <c r="EK109" t="e">
        <f>AND('BBP complete'!D1519,"AAAAAFvY7Yw=")</f>
        <v>#VALUE!</v>
      </c>
      <c r="EL109" t="e">
        <f>AND('BBP complete'!H1518,"AAAAAFvY7Y0=")</f>
        <v>#VALUE!</v>
      </c>
      <c r="EM109" t="e">
        <f>AND('BBP complete'!I1517,"AAAAAFvY7Y4=")</f>
        <v>#VALUE!</v>
      </c>
      <c r="EN109" t="e">
        <f>AND('BBP complete'!#REF!,"AAAAAFvY7Y8=")</f>
        <v>#REF!</v>
      </c>
      <c r="EO109" t="e">
        <f>AND('BBP complete'!#REF!,"AAAAAFvY7ZA=")</f>
        <v>#REF!</v>
      </c>
      <c r="EP109" t="e">
        <f>AND('BBP complete'!#REF!,"AAAAAFvY7ZE=")</f>
        <v>#REF!</v>
      </c>
      <c r="EQ109" t="e">
        <f>AND('BBP complete'!#REF!,"AAAAAFvY7ZI=")</f>
        <v>#REF!</v>
      </c>
      <c r="ER109" t="e">
        <f>AND('BBP complete'!#REF!,"AAAAAFvY7ZM=")</f>
        <v>#REF!</v>
      </c>
      <c r="ES109" t="e">
        <f>AND('BBP complete'!C1567,"AAAAAFvY7ZQ=")</f>
        <v>#VALUE!</v>
      </c>
      <c r="ET109" t="e">
        <f>AND('BBP complete'!K1516,"AAAAAFvY7ZU=")</f>
        <v>#VALUE!</v>
      </c>
      <c r="EU109" t="e">
        <f>AND('BBP complete'!C1516,"AAAAAFvY7ZY=")</f>
        <v>#VALUE!</v>
      </c>
      <c r="EV109" t="e">
        <f>AND('BBP complete'!P1529,"AAAAAFvY7Zc=")</f>
        <v>#VALUE!</v>
      </c>
      <c r="EW109" s="60" t="e">
        <v>#VALUE!</v>
      </c>
      <c r="EX109" t="e">
        <f>AND('BBP complete'!B1520,"AAAAAFvY7Zk=")</f>
        <v>#VALUE!</v>
      </c>
      <c r="EY109" t="e">
        <f>AND('BBP complete'!F1521,"AAAAAFvY7Zo=")</f>
        <v>#VALUE!</v>
      </c>
      <c r="EZ109" t="e">
        <f>AND('BBP complete'!G1521,"AAAAAFvY7Zs=")</f>
        <v>#VALUE!</v>
      </c>
      <c r="FA109" t="e">
        <f>AND('BBP complete'!D1520,"AAAAAFvY7Zw=")</f>
        <v>#VALUE!</v>
      </c>
      <c r="FB109" t="e">
        <f>AND('BBP complete'!H1519,"AAAAAFvY7Z0=")</f>
        <v>#VALUE!</v>
      </c>
      <c r="FC109" t="e">
        <f>AND('BBP complete'!I1518,"AAAAAFvY7Z4=")</f>
        <v>#VALUE!</v>
      </c>
      <c r="FD109" t="e">
        <f>AND('BBP complete'!#REF!,"AAAAAFvY7Z8=")</f>
        <v>#REF!</v>
      </c>
      <c r="FE109" t="e">
        <f>AND('BBP complete'!#REF!,"AAAAAFvY7aA=")</f>
        <v>#REF!</v>
      </c>
      <c r="FF109" t="e">
        <f>AND('BBP complete'!#REF!,"AAAAAFvY7aE=")</f>
        <v>#REF!</v>
      </c>
      <c r="FG109" t="e">
        <f>AND('BBP complete'!#REF!,"AAAAAFvY7aI=")</f>
        <v>#REF!</v>
      </c>
      <c r="FH109" t="e">
        <f>AND('BBP complete'!#REF!,"AAAAAFvY7aM=")</f>
        <v>#REF!</v>
      </c>
      <c r="FI109" t="e">
        <f>AND('BBP complete'!K1568,"AAAAAFvY7aQ=")</f>
        <v>#VALUE!</v>
      </c>
      <c r="FJ109" t="e">
        <f>AND('BBP complete'!K1517,"AAAAAFvY7aU=")</f>
        <v>#VALUE!</v>
      </c>
      <c r="FK109" t="e">
        <f>AND('BBP complete'!C1517,"AAAAAFvY7aY=")</f>
        <v>#VALUE!</v>
      </c>
      <c r="FL109" t="e">
        <f>AND('BBP complete'!P1530,"AAAAAFvY7ac=")</f>
        <v>#VALUE!</v>
      </c>
      <c r="FM109" s="60" t="e">
        <v>#VALUE!</v>
      </c>
      <c r="FN109" t="e">
        <f>AND('BBP complete'!B1521,"AAAAAFvY7ak=")</f>
        <v>#VALUE!</v>
      </c>
      <c r="FO109" t="e">
        <f>AND('BBP complete'!F1522,"AAAAAFvY7ao=")</f>
        <v>#VALUE!</v>
      </c>
      <c r="FP109" t="e">
        <f>AND('BBP complete'!G1522,"AAAAAFvY7as=")</f>
        <v>#VALUE!</v>
      </c>
      <c r="FQ109" t="e">
        <f>AND('BBP complete'!D1521,"AAAAAFvY7aw=")</f>
        <v>#VALUE!</v>
      </c>
      <c r="FR109" t="e">
        <f>AND('BBP complete'!H1520,"AAAAAFvY7a0=")</f>
        <v>#VALUE!</v>
      </c>
      <c r="FS109" t="e">
        <f>AND('BBP complete'!I1519,"AAAAAFvY7a4=")</f>
        <v>#VALUE!</v>
      </c>
      <c r="FT109" t="e">
        <f>AND('BBP complete'!#REF!,"AAAAAFvY7a8=")</f>
        <v>#REF!</v>
      </c>
      <c r="FU109" t="e">
        <f>AND('BBP complete'!#REF!,"AAAAAFvY7bA=")</f>
        <v>#REF!</v>
      </c>
      <c r="FV109" t="e">
        <f>AND('BBP complete'!#REF!,"AAAAAFvY7bE=")</f>
        <v>#REF!</v>
      </c>
      <c r="FW109" t="e">
        <f>AND('BBP complete'!#REF!,"AAAAAFvY7bI=")</f>
        <v>#REF!</v>
      </c>
      <c r="FX109" t="e">
        <f>AND('BBP complete'!#REF!,"AAAAAFvY7bM=")</f>
        <v>#REF!</v>
      </c>
      <c r="FY109" t="e">
        <f>AND('BBP complete'!K1569,"AAAAAFvY7bQ=")</f>
        <v>#VALUE!</v>
      </c>
      <c r="FZ109" t="e">
        <f>AND('BBP complete'!K1518,"AAAAAFvY7bU=")</f>
        <v>#VALUE!</v>
      </c>
      <c r="GA109" t="e">
        <f>AND('BBP complete'!C1518,"AAAAAFvY7bY=")</f>
        <v>#VALUE!</v>
      </c>
      <c r="GB109" t="e">
        <f>AND('BBP complete'!P1531,"AAAAAFvY7bc=")</f>
        <v>#VALUE!</v>
      </c>
      <c r="GC109" s="60" t="e">
        <v>#VALUE!</v>
      </c>
      <c r="GD109" t="e">
        <f>AND('BBP complete'!B1522,"AAAAAFvY7bk=")</f>
        <v>#VALUE!</v>
      </c>
      <c r="GE109" t="e">
        <f>AND('BBP complete'!F1523,"AAAAAFvY7bo=")</f>
        <v>#VALUE!</v>
      </c>
      <c r="GF109" t="e">
        <f>AND('BBP complete'!G1523,"AAAAAFvY7bs=")</f>
        <v>#VALUE!</v>
      </c>
      <c r="GG109" t="e">
        <f>AND('BBP complete'!D1522,"AAAAAFvY7bw=")</f>
        <v>#VALUE!</v>
      </c>
      <c r="GH109" t="e">
        <f>AND('BBP complete'!H1521,"AAAAAFvY7b0=")</f>
        <v>#VALUE!</v>
      </c>
      <c r="GI109" t="e">
        <f>AND('BBP complete'!I1520,"AAAAAFvY7b4=")</f>
        <v>#VALUE!</v>
      </c>
      <c r="GJ109" t="e">
        <f>AND('BBP complete'!#REF!,"AAAAAFvY7b8=")</f>
        <v>#REF!</v>
      </c>
      <c r="GK109" t="e">
        <f>AND('BBP complete'!#REF!,"AAAAAFvY7cA=")</f>
        <v>#REF!</v>
      </c>
      <c r="GL109" t="e">
        <f>AND('BBP complete'!#REF!,"AAAAAFvY7cE=")</f>
        <v>#REF!</v>
      </c>
      <c r="GM109" t="e">
        <f>AND('BBP complete'!#REF!,"AAAAAFvY7cI=")</f>
        <v>#REF!</v>
      </c>
      <c r="GN109" t="e">
        <f>AND('BBP complete'!#REF!,"AAAAAFvY7cM=")</f>
        <v>#REF!</v>
      </c>
      <c r="GO109" t="e">
        <f>AND('BBP complete'!K1570,"AAAAAFvY7cQ=")</f>
        <v>#VALUE!</v>
      </c>
      <c r="GP109" t="e">
        <f>AND('BBP complete'!K1519,"AAAAAFvY7cU=")</f>
        <v>#VALUE!</v>
      </c>
      <c r="GQ109" t="e">
        <f>AND('BBP complete'!C1519,"AAAAAFvY7cY=")</f>
        <v>#VALUE!</v>
      </c>
      <c r="GR109" t="e">
        <f>AND('BBP complete'!P1532,"AAAAAFvY7cc=")</f>
        <v>#VALUE!</v>
      </c>
      <c r="GS109" s="60" t="e">
        <v>#VALUE!</v>
      </c>
      <c r="GT109" t="e">
        <f>AND('BBP complete'!B1523,"AAAAAFvY7ck=")</f>
        <v>#VALUE!</v>
      </c>
      <c r="GU109" t="e">
        <f>AND('BBP complete'!F1524,"AAAAAFvY7co=")</f>
        <v>#VALUE!</v>
      </c>
      <c r="GV109" t="e">
        <f>AND('BBP complete'!G1524,"AAAAAFvY7cs=")</f>
        <v>#VALUE!</v>
      </c>
      <c r="GW109" t="e">
        <f>AND('BBP complete'!D1523,"AAAAAFvY7cw=")</f>
        <v>#VALUE!</v>
      </c>
      <c r="GX109" t="e">
        <f>AND('BBP complete'!H1522,"AAAAAFvY7c0=")</f>
        <v>#VALUE!</v>
      </c>
      <c r="GY109" t="e">
        <f>AND('BBP complete'!I1521,"AAAAAFvY7c4=")</f>
        <v>#VALUE!</v>
      </c>
      <c r="GZ109" t="e">
        <f>AND('BBP complete'!#REF!,"AAAAAFvY7c8=")</f>
        <v>#REF!</v>
      </c>
      <c r="HA109" t="e">
        <f>AND('BBP complete'!#REF!,"AAAAAFvY7dA=")</f>
        <v>#REF!</v>
      </c>
      <c r="HB109" t="e">
        <f>AND('BBP complete'!#REF!,"AAAAAFvY7dE=")</f>
        <v>#REF!</v>
      </c>
      <c r="HC109" t="e">
        <f>AND('BBP complete'!#REF!,"AAAAAFvY7dI=")</f>
        <v>#REF!</v>
      </c>
      <c r="HD109" t="e">
        <f>AND('BBP complete'!#REF!,"AAAAAFvY7dM=")</f>
        <v>#REF!</v>
      </c>
      <c r="HE109" t="e">
        <f>AND('BBP complete'!K1571,"AAAAAFvY7dQ=")</f>
        <v>#VALUE!</v>
      </c>
      <c r="HF109" t="e">
        <f>AND('BBP complete'!K1520,"AAAAAFvY7dU=")</f>
        <v>#VALUE!</v>
      </c>
      <c r="HG109" t="e">
        <f>AND('BBP complete'!C1520,"AAAAAFvY7dY=")</f>
        <v>#VALUE!</v>
      </c>
      <c r="HH109" t="e">
        <f>AND('BBP complete'!P1533,"AAAAAFvY7dc=")</f>
        <v>#VALUE!</v>
      </c>
      <c r="HI109" s="60" t="e">
        <v>#VALUE!</v>
      </c>
      <c r="HJ109" t="e">
        <f>AND('BBP complete'!B1524,"AAAAAFvY7dk=")</f>
        <v>#VALUE!</v>
      </c>
      <c r="HK109" t="e">
        <f>AND('BBP complete'!F1525,"AAAAAFvY7do=")</f>
        <v>#VALUE!</v>
      </c>
      <c r="HL109" t="e">
        <f>AND('BBP complete'!G1525,"AAAAAFvY7ds=")</f>
        <v>#VALUE!</v>
      </c>
      <c r="HM109" t="e">
        <f>AND('BBP complete'!D1524,"AAAAAFvY7dw=")</f>
        <v>#VALUE!</v>
      </c>
      <c r="HN109" t="e">
        <f>AND('BBP complete'!H1523,"AAAAAFvY7d0=")</f>
        <v>#VALUE!</v>
      </c>
      <c r="HO109" t="e">
        <f>AND('BBP complete'!I1522,"AAAAAFvY7d4=")</f>
        <v>#VALUE!</v>
      </c>
      <c r="HP109" t="e">
        <f>AND('BBP complete'!#REF!,"AAAAAFvY7d8=")</f>
        <v>#REF!</v>
      </c>
      <c r="HQ109" t="e">
        <f>AND('BBP complete'!#REF!,"AAAAAFvY7eA=")</f>
        <v>#REF!</v>
      </c>
      <c r="HR109" t="e">
        <f>AND('BBP complete'!#REF!,"AAAAAFvY7eE=")</f>
        <v>#REF!</v>
      </c>
      <c r="HS109" t="e">
        <f>AND('BBP complete'!#REF!,"AAAAAFvY7eI=")</f>
        <v>#REF!</v>
      </c>
      <c r="HT109" t="e">
        <f>AND('BBP complete'!#REF!,"AAAAAFvY7eM=")</f>
        <v>#REF!</v>
      </c>
      <c r="HU109" t="e">
        <f>AND('BBP complete'!K1572,"AAAAAFvY7eQ=")</f>
        <v>#VALUE!</v>
      </c>
      <c r="HV109" t="e">
        <f>AND('BBP complete'!K1523,"AAAAAFvY7eU=")</f>
        <v>#VALUE!</v>
      </c>
      <c r="HW109" t="e">
        <f>AND('BBP complete'!C1523,"AAAAAFvY7eY=")</f>
        <v>#VALUE!</v>
      </c>
      <c r="HX109" t="e">
        <f>AND('BBP complete'!P1534,"AAAAAFvY7ec=")</f>
        <v>#VALUE!</v>
      </c>
      <c r="HY109" s="60" t="e">
        <v>#VALUE!</v>
      </c>
      <c r="HZ109" t="e">
        <f>AND('BBP complete'!B1525,"AAAAAFvY7ek=")</f>
        <v>#VALUE!</v>
      </c>
      <c r="IA109" t="e">
        <f>AND('BBP complete'!F1526,"AAAAAFvY7eo=")</f>
        <v>#VALUE!</v>
      </c>
      <c r="IB109" t="e">
        <f>AND('BBP complete'!G1526,"AAAAAFvY7es=")</f>
        <v>#VALUE!</v>
      </c>
      <c r="IC109" t="e">
        <f>AND('BBP complete'!D1525,"AAAAAFvY7ew=")</f>
        <v>#VALUE!</v>
      </c>
      <c r="ID109" t="e">
        <f>AND('BBP complete'!H1524,"AAAAAFvY7e0=")</f>
        <v>#VALUE!</v>
      </c>
      <c r="IE109" t="e">
        <f>AND('BBP complete'!I1523,"AAAAAFvY7e4=")</f>
        <v>#VALUE!</v>
      </c>
      <c r="IF109" t="e">
        <f>AND('BBP complete'!#REF!,"AAAAAFvY7e8=")</f>
        <v>#REF!</v>
      </c>
      <c r="IG109" t="e">
        <f>AND('BBP complete'!#REF!,"AAAAAFvY7fA=")</f>
        <v>#REF!</v>
      </c>
      <c r="IH109" t="e">
        <f>AND('BBP complete'!#REF!,"AAAAAFvY7fE=")</f>
        <v>#REF!</v>
      </c>
      <c r="II109" t="e">
        <f>AND('BBP complete'!#REF!,"AAAAAFvY7fI=")</f>
        <v>#REF!</v>
      </c>
      <c r="IJ109" t="e">
        <f>AND('BBP complete'!#REF!,"AAAAAFvY7fM=")</f>
        <v>#REF!</v>
      </c>
      <c r="IK109" t="e">
        <f>AND('BBP complete'!K1573,"AAAAAFvY7fQ=")</f>
        <v>#VALUE!</v>
      </c>
      <c r="IL109" t="e">
        <f>AND('BBP complete'!K1524,"AAAAAFvY7fU=")</f>
        <v>#VALUE!</v>
      </c>
      <c r="IM109" t="e">
        <f>AND('BBP complete'!C1524,"AAAAAFvY7fY=")</f>
        <v>#VALUE!</v>
      </c>
      <c r="IN109" t="e">
        <f>AND('BBP complete'!P1535,"AAAAAFvY7fc=")</f>
        <v>#VALUE!</v>
      </c>
      <c r="IO109" s="60" t="e">
        <v>#VALUE!</v>
      </c>
      <c r="IP109" t="e">
        <f>AND('BBP complete'!B1526,"AAAAAFvY7fk=")</f>
        <v>#VALUE!</v>
      </c>
      <c r="IQ109" t="e">
        <f>AND('BBP complete'!F1527,"AAAAAFvY7fo=")</f>
        <v>#VALUE!</v>
      </c>
      <c r="IR109" t="e">
        <f>AND('BBP complete'!G1527,"AAAAAFvY7fs=")</f>
        <v>#VALUE!</v>
      </c>
      <c r="IS109" t="e">
        <f>AND('BBP complete'!D1526,"AAAAAFvY7fw=")</f>
        <v>#VALUE!</v>
      </c>
      <c r="IT109" t="e">
        <f>AND('BBP complete'!H1525,"AAAAAFvY7f0=")</f>
        <v>#VALUE!</v>
      </c>
      <c r="IU109" t="e">
        <f>AND('BBP complete'!I1524,"AAAAAFvY7f4=")</f>
        <v>#VALUE!</v>
      </c>
      <c r="IV109" t="e">
        <f>AND('BBP complete'!#REF!,"AAAAAFvY7f8=")</f>
        <v>#REF!</v>
      </c>
    </row>
    <row r="110" spans="1:256" ht="15" customHeight="1" x14ac:dyDescent="0.25">
      <c r="A110" t="e">
        <f>AND('BBP complete'!#REF!,"AAAAAE9+9QA=")</f>
        <v>#REF!</v>
      </c>
      <c r="B110" t="e">
        <f>AND('BBP complete'!#REF!,"AAAAAE9+9QE=")</f>
        <v>#REF!</v>
      </c>
      <c r="C110" t="e">
        <f>AND('BBP complete'!#REF!,"AAAAAE9+9QI=")</f>
        <v>#REF!</v>
      </c>
      <c r="D110" t="e">
        <f>AND('BBP complete'!#REF!,"AAAAAE9+9QM=")</f>
        <v>#REF!</v>
      </c>
      <c r="E110" t="e">
        <f>AND('BBP complete'!K1574,"AAAAAE9+9QQ=")</f>
        <v>#VALUE!</v>
      </c>
      <c r="F110" t="e">
        <f>AND('BBP complete'!K1581,"AAAAAE9+9QU=")</f>
        <v>#VALUE!</v>
      </c>
      <c r="G110" t="e">
        <f>AND('BBP complete'!N1522,"AAAAAE9+9QY=")</f>
        <v>#VALUE!</v>
      </c>
      <c r="H110" t="e">
        <f>AND('BBP complete'!P1536,"AAAAAE9+9Qc=")</f>
        <v>#VALUE!</v>
      </c>
      <c r="I110" s="60" t="e">
        <v>#VALUE!</v>
      </c>
      <c r="J110" t="e">
        <f>AND('BBP complete'!B1527,"AAAAAE9+9Qk=")</f>
        <v>#VALUE!</v>
      </c>
      <c r="K110" t="e">
        <f>AND('BBP complete'!F1528,"AAAAAE9+9Qo=")</f>
        <v>#VALUE!</v>
      </c>
      <c r="L110" t="e">
        <f>AND('BBP complete'!G1528,"AAAAAE9+9Qs=")</f>
        <v>#VALUE!</v>
      </c>
      <c r="M110" t="e">
        <f>AND('BBP complete'!D1527,"AAAAAE9+9Qw=")</f>
        <v>#VALUE!</v>
      </c>
      <c r="N110" t="e">
        <f>AND('BBP complete'!H1526,"AAAAAE9+9Q0=")</f>
        <v>#VALUE!</v>
      </c>
      <c r="O110" t="e">
        <f>AND('BBP complete'!I1525,"AAAAAE9+9Q4=")</f>
        <v>#VALUE!</v>
      </c>
      <c r="P110" t="e">
        <f>AND('BBP complete'!#REF!,"AAAAAE9+9Q8=")</f>
        <v>#REF!</v>
      </c>
      <c r="Q110" t="e">
        <f>AND('BBP complete'!#REF!,"AAAAAE9+9RA=")</f>
        <v>#REF!</v>
      </c>
      <c r="R110" t="e">
        <f>AND('BBP complete'!#REF!,"AAAAAE9+9RE=")</f>
        <v>#REF!</v>
      </c>
      <c r="S110" t="e">
        <f>AND('BBP complete'!#REF!,"AAAAAE9+9RI=")</f>
        <v>#REF!</v>
      </c>
      <c r="T110" t="e">
        <f>AND('BBP complete'!#REF!,"AAAAAE9+9RM=")</f>
        <v>#REF!</v>
      </c>
      <c r="U110" t="e">
        <f>AND('BBP complete'!#REF!,"AAAAAE9+9RQ=")</f>
        <v>#REF!</v>
      </c>
      <c r="V110" t="e">
        <f>AND('BBP complete'!K1582,"AAAAAE9+9RU=")</f>
        <v>#VALUE!</v>
      </c>
      <c r="W110" t="e">
        <f>AND('BBP complete'!N1523,"AAAAAE9+9RY=")</f>
        <v>#VALUE!</v>
      </c>
      <c r="X110" t="e">
        <f>AND('BBP complete'!P1537,"AAAAAE9+9Rc=")</f>
        <v>#VALUE!</v>
      </c>
      <c r="Y110" s="60" t="e">
        <v>#VALUE!</v>
      </c>
      <c r="Z110" t="e">
        <f>AND('BBP complete'!B1528,"AAAAAE9+9Rk=")</f>
        <v>#VALUE!</v>
      </c>
      <c r="AA110" t="e">
        <f>AND('BBP complete'!F1529,"AAAAAE9+9Ro=")</f>
        <v>#VALUE!</v>
      </c>
      <c r="AB110" t="e">
        <f>AND('BBP complete'!G1529,"AAAAAE9+9Rs=")</f>
        <v>#VALUE!</v>
      </c>
      <c r="AC110" t="e">
        <f>AND('BBP complete'!D1528,"AAAAAE9+9Rw=")</f>
        <v>#VALUE!</v>
      </c>
      <c r="AD110" t="e">
        <f>AND('BBP complete'!H1527,"AAAAAE9+9R0=")</f>
        <v>#VALUE!</v>
      </c>
      <c r="AE110" t="e">
        <f>AND('BBP complete'!I1526,"AAAAAE9+9R4=")</f>
        <v>#VALUE!</v>
      </c>
      <c r="AF110" t="e">
        <f>AND('BBP complete'!#REF!,"AAAAAE9+9R8=")</f>
        <v>#REF!</v>
      </c>
      <c r="AG110" t="e">
        <f>AND('BBP complete'!#REF!,"AAAAAE9+9SA=")</f>
        <v>#REF!</v>
      </c>
      <c r="AH110" t="e">
        <f>AND('BBP complete'!#REF!,"AAAAAE9+9SE=")</f>
        <v>#REF!</v>
      </c>
      <c r="AI110" t="e">
        <f>AND('BBP complete'!#REF!,"AAAAAE9+9SI=")</f>
        <v>#REF!</v>
      </c>
      <c r="AJ110" t="e">
        <f>AND('BBP complete'!#REF!,"AAAAAE9+9SM=")</f>
        <v>#REF!</v>
      </c>
      <c r="AK110" t="e">
        <f>AND('BBP complete'!#REF!,"AAAAAE9+9SQ=")</f>
        <v>#REF!</v>
      </c>
      <c r="AL110" t="e">
        <f>AND('BBP complete'!K1583,"AAAAAE9+9SU=")</f>
        <v>#VALUE!</v>
      </c>
      <c r="AM110" t="e">
        <f>AND('BBP complete'!N1524,"AAAAAE9+9SY=")</f>
        <v>#VALUE!</v>
      </c>
      <c r="AN110" t="e">
        <f>AND('BBP complete'!P1538,"AAAAAE9+9Sc=")</f>
        <v>#VALUE!</v>
      </c>
      <c r="AO110" s="60" t="e">
        <v>#VALUE!</v>
      </c>
      <c r="AP110" t="e">
        <f>AND('BBP complete'!B1529,"AAAAAE9+9Sk=")</f>
        <v>#VALUE!</v>
      </c>
      <c r="AQ110" t="e">
        <f>AND('BBP complete'!F1530,"AAAAAE9+9So=")</f>
        <v>#VALUE!</v>
      </c>
      <c r="AR110" t="e">
        <f>AND('BBP complete'!G1530,"AAAAAE9+9Ss=")</f>
        <v>#VALUE!</v>
      </c>
      <c r="AS110" t="e">
        <f>AND('BBP complete'!D1529,"AAAAAE9+9Sw=")</f>
        <v>#VALUE!</v>
      </c>
      <c r="AT110" t="e">
        <f>AND('BBP complete'!H1528,"AAAAAE9+9S0=")</f>
        <v>#VALUE!</v>
      </c>
      <c r="AU110" t="e">
        <f>AND('BBP complete'!I1527,"AAAAAE9+9S4=")</f>
        <v>#VALUE!</v>
      </c>
      <c r="AV110" t="e">
        <f>AND('BBP complete'!#REF!,"AAAAAE9+9S8=")</f>
        <v>#REF!</v>
      </c>
      <c r="AW110" t="e">
        <f>AND('BBP complete'!#REF!,"AAAAAE9+9TA=")</f>
        <v>#REF!</v>
      </c>
      <c r="AX110" t="e">
        <f>AND('BBP complete'!#REF!,"AAAAAE9+9TE=")</f>
        <v>#REF!</v>
      </c>
      <c r="AY110" t="e">
        <f>AND('BBP complete'!#REF!,"AAAAAE9+9TI=")</f>
        <v>#REF!</v>
      </c>
      <c r="AZ110" t="e">
        <f>AND('BBP complete'!#REF!,"AAAAAE9+9TM=")</f>
        <v>#REF!</v>
      </c>
      <c r="BA110" t="e">
        <f>AND('BBP complete'!#REF!,"AAAAAE9+9TQ=")</f>
        <v>#REF!</v>
      </c>
      <c r="BB110" t="e">
        <f>AND('BBP complete'!K1584,"AAAAAE9+9TU=")</f>
        <v>#VALUE!</v>
      </c>
      <c r="BC110" t="e">
        <f>AND('BBP complete'!N1525,"AAAAAE9+9TY=")</f>
        <v>#VALUE!</v>
      </c>
      <c r="BD110" t="e">
        <f>AND('BBP complete'!P1539,"AAAAAE9+9Tc=")</f>
        <v>#VALUE!</v>
      </c>
      <c r="BE110" s="60" t="e">
        <v>#VALUE!</v>
      </c>
      <c r="BF110" t="e">
        <f>AND('BBP complete'!B1530,"AAAAAE9+9Tk=")</f>
        <v>#VALUE!</v>
      </c>
      <c r="BG110" t="e">
        <f>AND('BBP complete'!F1531,"AAAAAE9+9To=")</f>
        <v>#VALUE!</v>
      </c>
      <c r="BH110" t="e">
        <f>AND('BBP complete'!G1531,"AAAAAE9+9Ts=")</f>
        <v>#VALUE!</v>
      </c>
      <c r="BI110" t="e">
        <f>AND('BBP complete'!D1530,"AAAAAE9+9Tw=")</f>
        <v>#VALUE!</v>
      </c>
      <c r="BJ110" t="e">
        <f>AND('BBP complete'!H1529,"AAAAAE9+9T0=")</f>
        <v>#VALUE!</v>
      </c>
      <c r="BK110" t="e">
        <f>AND('BBP complete'!I1528,"AAAAAE9+9T4=")</f>
        <v>#VALUE!</v>
      </c>
      <c r="BL110" t="e">
        <f>AND('BBP complete'!#REF!,"AAAAAE9+9T8=")</f>
        <v>#REF!</v>
      </c>
      <c r="BM110" t="e">
        <f>AND('BBP complete'!#REF!,"AAAAAE9+9UA=")</f>
        <v>#REF!</v>
      </c>
      <c r="BN110" t="e">
        <f>AND('BBP complete'!#REF!,"AAAAAE9+9UE=")</f>
        <v>#REF!</v>
      </c>
      <c r="BO110" t="e">
        <f>AND('BBP complete'!#REF!,"AAAAAE9+9UI=")</f>
        <v>#REF!</v>
      </c>
      <c r="BP110" t="e">
        <f>AND('BBP complete'!#REF!,"AAAAAE9+9UM=")</f>
        <v>#REF!</v>
      </c>
      <c r="BQ110" t="e">
        <f>AND('BBP complete'!#REF!,"AAAAAE9+9UQ=")</f>
        <v>#REF!</v>
      </c>
      <c r="BR110" t="e">
        <f>AND('BBP complete'!K1585,"AAAAAE9+9UU=")</f>
        <v>#VALUE!</v>
      </c>
      <c r="BS110" t="e">
        <f>AND('BBP complete'!N1526,"AAAAAE9+9UY=")</f>
        <v>#VALUE!</v>
      </c>
      <c r="BT110" t="e">
        <f>AND('BBP complete'!P1540,"AAAAAE9+9Uc=")</f>
        <v>#VALUE!</v>
      </c>
      <c r="BU110" s="60" t="e">
        <v>#VALUE!</v>
      </c>
      <c r="BV110" t="e">
        <f>AND('BBP complete'!B1531,"AAAAAE9+9Uk=")</f>
        <v>#VALUE!</v>
      </c>
      <c r="BW110" t="e">
        <f>AND('BBP complete'!F1532,"AAAAAE9+9Uo=")</f>
        <v>#VALUE!</v>
      </c>
      <c r="BX110" t="e">
        <f>AND('BBP complete'!G1532,"AAAAAE9+9Us=")</f>
        <v>#VALUE!</v>
      </c>
      <c r="BY110" t="e">
        <f>AND('BBP complete'!D1531,"AAAAAE9+9Uw=")</f>
        <v>#VALUE!</v>
      </c>
      <c r="BZ110" t="e">
        <f>AND('BBP complete'!H1530,"AAAAAE9+9U0=")</f>
        <v>#VALUE!</v>
      </c>
      <c r="CA110" t="e">
        <f>AND('BBP complete'!I1529,"AAAAAE9+9U4=")</f>
        <v>#VALUE!</v>
      </c>
      <c r="CB110" t="e">
        <f>AND('BBP complete'!#REF!,"AAAAAE9+9U8=")</f>
        <v>#REF!</v>
      </c>
      <c r="CC110" t="e">
        <f>AND('BBP complete'!#REF!,"AAAAAE9+9VA=")</f>
        <v>#REF!</v>
      </c>
      <c r="CD110" t="e">
        <f>AND('BBP complete'!#REF!,"AAAAAE9+9VE=")</f>
        <v>#REF!</v>
      </c>
      <c r="CE110" t="e">
        <f>AND('BBP complete'!#REF!,"AAAAAE9+9VI=")</f>
        <v>#REF!</v>
      </c>
      <c r="CF110" t="e">
        <f>AND('BBP complete'!#REF!,"AAAAAE9+9VM=")</f>
        <v>#REF!</v>
      </c>
      <c r="CG110" t="e">
        <f>AND('BBP complete'!#REF!,"AAAAAE9+9VQ=")</f>
        <v>#REF!</v>
      </c>
      <c r="CH110" t="e">
        <f>AND('BBP complete'!K1586,"AAAAAE9+9VU=")</f>
        <v>#VALUE!</v>
      </c>
      <c r="CI110" t="e">
        <f>AND('BBP complete'!N1527,"AAAAAE9+9VY=")</f>
        <v>#VALUE!</v>
      </c>
      <c r="CJ110" t="e">
        <f>AND('BBP complete'!P1541,"AAAAAE9+9Vc=")</f>
        <v>#VALUE!</v>
      </c>
      <c r="CK110" s="60" t="e">
        <v>#VALUE!</v>
      </c>
      <c r="CL110" t="e">
        <f>AND('BBP complete'!B1532,"AAAAAE9+9Vk=")</f>
        <v>#VALUE!</v>
      </c>
      <c r="CM110" t="e">
        <f>AND('BBP complete'!F1533,"AAAAAE9+9Vo=")</f>
        <v>#VALUE!</v>
      </c>
      <c r="CN110" t="e">
        <f>AND('BBP complete'!G1533,"AAAAAE9+9Vs=")</f>
        <v>#VALUE!</v>
      </c>
      <c r="CO110" t="e">
        <f>AND('BBP complete'!D1532,"AAAAAE9+9Vw=")</f>
        <v>#VALUE!</v>
      </c>
      <c r="CP110" t="e">
        <f>AND('BBP complete'!H1531,"AAAAAE9+9V0=")</f>
        <v>#VALUE!</v>
      </c>
      <c r="CQ110" t="e">
        <f>AND('BBP complete'!I1530,"AAAAAE9+9V4=")</f>
        <v>#VALUE!</v>
      </c>
      <c r="CR110" t="e">
        <f>AND('BBP complete'!#REF!,"AAAAAE9+9V8=")</f>
        <v>#REF!</v>
      </c>
      <c r="CS110" t="e">
        <f>AND('BBP complete'!#REF!,"AAAAAE9+9WA=")</f>
        <v>#REF!</v>
      </c>
      <c r="CT110" t="e">
        <f>AND('BBP complete'!#REF!,"AAAAAE9+9WE=")</f>
        <v>#REF!</v>
      </c>
      <c r="CU110" t="e">
        <f>AND('BBP complete'!#REF!,"AAAAAE9+9WI=")</f>
        <v>#REF!</v>
      </c>
      <c r="CV110" t="e">
        <f>AND('BBP complete'!#REF!,"AAAAAE9+9WM=")</f>
        <v>#REF!</v>
      </c>
      <c r="CW110" t="e">
        <f>AND('BBP complete'!#REF!,"AAAAAE9+9WQ=")</f>
        <v>#REF!</v>
      </c>
      <c r="CX110" t="e">
        <f>AND('BBP complete'!K1587,"AAAAAE9+9WU=")</f>
        <v>#VALUE!</v>
      </c>
      <c r="CY110" t="e">
        <f>AND('BBP complete'!N1528,"AAAAAE9+9WY=")</f>
        <v>#VALUE!</v>
      </c>
      <c r="CZ110" t="e">
        <f>AND('BBP complete'!P1542,"AAAAAE9+9Wc=")</f>
        <v>#VALUE!</v>
      </c>
      <c r="DA110" s="60" t="e">
        <v>#VALUE!</v>
      </c>
      <c r="DB110" t="e">
        <f>AND('BBP complete'!B1533,"AAAAAE9+9Wk=")</f>
        <v>#VALUE!</v>
      </c>
      <c r="DC110" t="e">
        <f>AND('BBP complete'!F1534,"AAAAAE9+9Wo=")</f>
        <v>#VALUE!</v>
      </c>
      <c r="DD110" t="e">
        <f>AND('BBP complete'!G1534,"AAAAAE9+9Ws=")</f>
        <v>#VALUE!</v>
      </c>
      <c r="DE110" t="e">
        <f>AND('BBP complete'!D1533,"AAAAAE9+9Ww=")</f>
        <v>#VALUE!</v>
      </c>
      <c r="DF110" t="e">
        <f>AND('BBP complete'!H1532,"AAAAAE9+9W0=")</f>
        <v>#VALUE!</v>
      </c>
      <c r="DG110" t="e">
        <f>AND('BBP complete'!I1531,"AAAAAE9+9W4=")</f>
        <v>#VALUE!</v>
      </c>
      <c r="DH110" t="e">
        <f>AND('BBP complete'!#REF!,"AAAAAE9+9W8=")</f>
        <v>#REF!</v>
      </c>
      <c r="DI110" t="e">
        <f>AND('BBP complete'!#REF!,"AAAAAE9+9XA=")</f>
        <v>#REF!</v>
      </c>
      <c r="DJ110" t="e">
        <f>AND('BBP complete'!#REF!,"AAAAAE9+9XE=")</f>
        <v>#REF!</v>
      </c>
      <c r="DK110" t="e">
        <f>AND('BBP complete'!#REF!,"AAAAAE9+9XI=")</f>
        <v>#REF!</v>
      </c>
      <c r="DL110" t="e">
        <f>AND('BBP complete'!#REF!,"AAAAAE9+9XM=")</f>
        <v>#REF!</v>
      </c>
      <c r="DM110" t="e">
        <f>AND('BBP complete'!#REF!,"AAAAAE9+9XQ=")</f>
        <v>#REF!</v>
      </c>
      <c r="DN110" t="e">
        <f>AND('BBP complete'!K1588,"AAAAAE9+9XU=")</f>
        <v>#VALUE!</v>
      </c>
      <c r="DO110" t="e">
        <f>AND('BBP complete'!N1529,"AAAAAE9+9XY=")</f>
        <v>#VALUE!</v>
      </c>
      <c r="DP110" t="e">
        <f>AND('BBP complete'!P1543,"AAAAAE9+9Xc=")</f>
        <v>#VALUE!</v>
      </c>
      <c r="DQ110" s="60" t="e">
        <v>#VALUE!</v>
      </c>
      <c r="DR110" t="e">
        <f>AND('BBP complete'!B1534,"AAAAAE9+9Xk=")</f>
        <v>#VALUE!</v>
      </c>
      <c r="DS110" t="e">
        <f>AND('BBP complete'!F1535,"AAAAAE9+9Xo=")</f>
        <v>#VALUE!</v>
      </c>
      <c r="DT110" t="e">
        <f>AND('BBP complete'!G1535,"AAAAAE9+9Xs=")</f>
        <v>#VALUE!</v>
      </c>
      <c r="DU110" t="e">
        <f>AND('BBP complete'!D1534,"AAAAAE9+9Xw=")</f>
        <v>#VALUE!</v>
      </c>
      <c r="DV110" t="e">
        <f>AND('BBP complete'!H1533,"AAAAAE9+9X0=")</f>
        <v>#VALUE!</v>
      </c>
      <c r="DW110" t="e">
        <f>AND('BBP complete'!I1532,"AAAAAE9+9X4=")</f>
        <v>#VALUE!</v>
      </c>
      <c r="DX110" t="e">
        <f>AND('BBP complete'!#REF!,"AAAAAE9+9X8=")</f>
        <v>#REF!</v>
      </c>
      <c r="DY110" t="e">
        <f>AND('BBP complete'!#REF!,"AAAAAE9+9YA=")</f>
        <v>#REF!</v>
      </c>
      <c r="DZ110" t="e">
        <f>AND('BBP complete'!#REF!,"AAAAAE9+9YE=")</f>
        <v>#REF!</v>
      </c>
      <c r="EA110" t="e">
        <f>AND('BBP complete'!#REF!,"AAAAAE9+9YI=")</f>
        <v>#REF!</v>
      </c>
      <c r="EB110" t="e">
        <f>AND('BBP complete'!#REF!,"AAAAAE9+9YM=")</f>
        <v>#REF!</v>
      </c>
      <c r="EC110" t="e">
        <f>AND('BBP complete'!#REF!,"AAAAAE9+9YQ=")</f>
        <v>#REF!</v>
      </c>
      <c r="ED110" t="e">
        <f>AND('BBP complete'!K1589,"AAAAAE9+9YU=")</f>
        <v>#VALUE!</v>
      </c>
      <c r="EE110" t="e">
        <f>AND('BBP complete'!N1530,"AAAAAE9+9YY=")</f>
        <v>#VALUE!</v>
      </c>
      <c r="EF110" t="e">
        <f>AND('BBP complete'!P1544,"AAAAAE9+9Yc=")</f>
        <v>#VALUE!</v>
      </c>
      <c r="EG110" s="60" t="e">
        <v>#VALUE!</v>
      </c>
      <c r="EH110" t="e">
        <f>AND('BBP complete'!B1535,"AAAAAE9+9Yk=")</f>
        <v>#VALUE!</v>
      </c>
      <c r="EI110" t="e">
        <f>AND('BBP complete'!F1536,"AAAAAE9+9Yo=")</f>
        <v>#VALUE!</v>
      </c>
      <c r="EJ110" t="e">
        <f>AND('BBP complete'!G1536,"AAAAAE9+9Ys=")</f>
        <v>#VALUE!</v>
      </c>
      <c r="EK110" t="e">
        <f>AND('BBP complete'!D1535,"AAAAAE9+9Yw=")</f>
        <v>#VALUE!</v>
      </c>
      <c r="EL110" t="e">
        <f>AND('BBP complete'!H1534,"AAAAAE9+9Y0=")</f>
        <v>#VALUE!</v>
      </c>
      <c r="EM110" t="e">
        <f>AND('BBP complete'!I1533,"AAAAAE9+9Y4=")</f>
        <v>#VALUE!</v>
      </c>
      <c r="EN110" t="e">
        <f>AND('BBP complete'!#REF!,"AAAAAE9+9Y8=")</f>
        <v>#REF!</v>
      </c>
      <c r="EO110" t="e">
        <f>AND('BBP complete'!#REF!,"AAAAAE9+9ZA=")</f>
        <v>#REF!</v>
      </c>
      <c r="EP110" t="e">
        <f>AND('BBP complete'!#REF!,"AAAAAE9+9ZE=")</f>
        <v>#REF!</v>
      </c>
      <c r="EQ110" t="e">
        <f>AND('BBP complete'!#REF!,"AAAAAE9+9ZI=")</f>
        <v>#REF!</v>
      </c>
      <c r="ER110" t="e">
        <f>AND('BBP complete'!#REF!,"AAAAAE9+9ZM=")</f>
        <v>#REF!</v>
      </c>
      <c r="ES110" t="e">
        <f>AND('BBP complete'!#REF!,"AAAAAE9+9ZQ=")</f>
        <v>#REF!</v>
      </c>
      <c r="ET110" t="e">
        <f>AND('BBP complete'!K1590,"AAAAAE9+9ZU=")</f>
        <v>#VALUE!</v>
      </c>
      <c r="EU110" t="e">
        <f>AND('BBP complete'!N1531,"AAAAAE9+9ZY=")</f>
        <v>#VALUE!</v>
      </c>
      <c r="EV110" t="e">
        <f>AND('BBP complete'!P1545,"AAAAAE9+9Zc=")</f>
        <v>#VALUE!</v>
      </c>
      <c r="EW110" s="60" t="e">
        <v>#VALUE!</v>
      </c>
      <c r="EX110" t="e">
        <f>AND('BBP complete'!B1536,"AAAAAE9+9Zk=")</f>
        <v>#VALUE!</v>
      </c>
      <c r="EY110" t="e">
        <f>AND('BBP complete'!F1537,"AAAAAE9+9Zo=")</f>
        <v>#VALUE!</v>
      </c>
      <c r="EZ110" t="e">
        <f>AND('BBP complete'!G1537,"AAAAAE9+9Zs=")</f>
        <v>#VALUE!</v>
      </c>
      <c r="FA110" t="e">
        <f>AND('BBP complete'!D1536,"AAAAAE9+9Zw=")</f>
        <v>#VALUE!</v>
      </c>
      <c r="FB110" t="e">
        <f>AND('BBP complete'!H1535,"AAAAAE9+9Z0=")</f>
        <v>#VALUE!</v>
      </c>
      <c r="FC110" t="e">
        <f>AND('BBP complete'!I1534,"AAAAAE9+9Z4=")</f>
        <v>#VALUE!</v>
      </c>
      <c r="FD110" t="e">
        <f>AND('BBP complete'!#REF!,"AAAAAE9+9Z8=")</f>
        <v>#REF!</v>
      </c>
      <c r="FE110" t="e">
        <f>AND('BBP complete'!#REF!,"AAAAAE9+9aA=")</f>
        <v>#REF!</v>
      </c>
      <c r="FF110" t="e">
        <f>AND('BBP complete'!#REF!,"AAAAAE9+9aE=")</f>
        <v>#REF!</v>
      </c>
      <c r="FG110" t="e">
        <f>AND('BBP complete'!#REF!,"AAAAAE9+9aI=")</f>
        <v>#REF!</v>
      </c>
      <c r="FH110" t="e">
        <f>AND('BBP complete'!#REF!,"AAAAAE9+9aM=")</f>
        <v>#REF!</v>
      </c>
      <c r="FI110" t="e">
        <f>AND('BBP complete'!#REF!,"AAAAAE9+9aQ=")</f>
        <v>#REF!</v>
      </c>
      <c r="FJ110" t="e">
        <f>AND('BBP complete'!K1591,"AAAAAE9+9aU=")</f>
        <v>#VALUE!</v>
      </c>
      <c r="FK110" t="e">
        <f>AND('BBP complete'!N1532,"AAAAAE9+9aY=")</f>
        <v>#VALUE!</v>
      </c>
      <c r="FL110" t="e">
        <f>AND('BBP complete'!P1546,"AAAAAE9+9ac=")</f>
        <v>#VALUE!</v>
      </c>
      <c r="FM110" s="60" t="e">
        <v>#VALUE!</v>
      </c>
      <c r="FN110" t="e">
        <f>AND('BBP complete'!B1537,"AAAAAE9+9ak=")</f>
        <v>#VALUE!</v>
      </c>
      <c r="FO110" t="e">
        <f>AND('BBP complete'!F1538,"AAAAAE9+9ao=")</f>
        <v>#VALUE!</v>
      </c>
      <c r="FP110" t="e">
        <f>AND('BBP complete'!G1538,"AAAAAE9+9as=")</f>
        <v>#VALUE!</v>
      </c>
      <c r="FQ110" t="e">
        <f>AND('BBP complete'!D1537,"AAAAAE9+9aw=")</f>
        <v>#VALUE!</v>
      </c>
      <c r="FR110" t="e">
        <f>AND('BBP complete'!H1536,"AAAAAE9+9a0=")</f>
        <v>#VALUE!</v>
      </c>
      <c r="FS110" t="e">
        <f>AND('BBP complete'!I1535,"AAAAAE9+9a4=")</f>
        <v>#VALUE!</v>
      </c>
      <c r="FT110" t="e">
        <f>AND('BBP complete'!#REF!,"AAAAAE9+9a8=")</f>
        <v>#REF!</v>
      </c>
      <c r="FU110" t="e">
        <f>AND('BBP complete'!#REF!,"AAAAAE9+9bA=")</f>
        <v>#REF!</v>
      </c>
      <c r="FV110" t="e">
        <f>AND('BBP complete'!#REF!,"AAAAAE9+9bE=")</f>
        <v>#REF!</v>
      </c>
      <c r="FW110" t="e">
        <f>AND('BBP complete'!#REF!,"AAAAAE9+9bI=")</f>
        <v>#REF!</v>
      </c>
      <c r="FX110" t="e">
        <f>AND('BBP complete'!#REF!,"AAAAAE9+9bM=")</f>
        <v>#REF!</v>
      </c>
      <c r="FY110" t="e">
        <f>AND('BBP complete'!#REF!,"AAAAAE9+9bQ=")</f>
        <v>#REF!</v>
      </c>
      <c r="FZ110" t="e">
        <f>AND('BBP complete'!K1592,"AAAAAE9+9bU=")</f>
        <v>#VALUE!</v>
      </c>
      <c r="GA110" t="e">
        <f>AND('BBP complete'!N1533,"AAAAAE9+9bY=")</f>
        <v>#VALUE!</v>
      </c>
      <c r="GB110" t="e">
        <f>AND('BBP complete'!P1547,"AAAAAE9+9bc=")</f>
        <v>#VALUE!</v>
      </c>
      <c r="GC110" s="60" t="e">
        <v>#VALUE!</v>
      </c>
      <c r="GD110" t="e">
        <f>AND('BBP complete'!B1538,"AAAAAE9+9bk=")</f>
        <v>#VALUE!</v>
      </c>
      <c r="GE110" t="e">
        <f>AND('BBP complete'!F1539,"AAAAAE9+9bo=")</f>
        <v>#VALUE!</v>
      </c>
      <c r="GF110" t="e">
        <f>AND('BBP complete'!G1539,"AAAAAE9+9bs=")</f>
        <v>#VALUE!</v>
      </c>
      <c r="GG110" t="e">
        <f>AND('BBP complete'!D1538,"AAAAAE9+9bw=")</f>
        <v>#VALUE!</v>
      </c>
      <c r="GH110" t="e">
        <f>AND('BBP complete'!H1537,"AAAAAE9+9b0=")</f>
        <v>#VALUE!</v>
      </c>
      <c r="GI110" t="e">
        <f>AND('BBP complete'!I1536,"AAAAAE9+9b4=")</f>
        <v>#VALUE!</v>
      </c>
      <c r="GJ110" t="e">
        <f>AND('BBP complete'!#REF!,"AAAAAE9+9b8=")</f>
        <v>#REF!</v>
      </c>
      <c r="GK110" t="e">
        <f>AND('BBP complete'!#REF!,"AAAAAE9+9cA=")</f>
        <v>#REF!</v>
      </c>
      <c r="GL110" t="e">
        <f>AND('BBP complete'!#REF!,"AAAAAE9+9cE=")</f>
        <v>#REF!</v>
      </c>
      <c r="GM110" t="e">
        <f>AND('BBP complete'!#REF!,"AAAAAE9+9cI=")</f>
        <v>#REF!</v>
      </c>
      <c r="GN110" t="e">
        <f>AND('BBP complete'!#REF!,"AAAAAE9+9cM=")</f>
        <v>#REF!</v>
      </c>
      <c r="GO110" t="e">
        <f>AND('BBP complete'!#REF!,"AAAAAE9+9cQ=")</f>
        <v>#REF!</v>
      </c>
      <c r="GP110" t="e">
        <f>AND('BBP complete'!K1593,"AAAAAE9+9cU=")</f>
        <v>#VALUE!</v>
      </c>
      <c r="GQ110" t="e">
        <f>AND('BBP complete'!N1534,"AAAAAE9+9cY=")</f>
        <v>#VALUE!</v>
      </c>
      <c r="GR110" t="e">
        <f>AND('BBP complete'!P1548,"AAAAAE9+9cc=")</f>
        <v>#VALUE!</v>
      </c>
      <c r="GS110" s="60" t="e">
        <v>#VALUE!</v>
      </c>
      <c r="GT110" t="e">
        <f>AND('BBP complete'!B1539,"AAAAAE9+9ck=")</f>
        <v>#VALUE!</v>
      </c>
      <c r="GU110" t="e">
        <f>AND('BBP complete'!F1540,"AAAAAE9+9co=")</f>
        <v>#VALUE!</v>
      </c>
      <c r="GV110" t="e">
        <f>AND('BBP complete'!G1540,"AAAAAE9+9cs=")</f>
        <v>#VALUE!</v>
      </c>
      <c r="GW110" t="e">
        <f>AND('BBP complete'!D1539,"AAAAAE9+9cw=")</f>
        <v>#VALUE!</v>
      </c>
      <c r="GX110" t="e">
        <f>AND('BBP complete'!H1538,"AAAAAE9+9c0=")</f>
        <v>#VALUE!</v>
      </c>
      <c r="GY110" t="e">
        <f>AND('BBP complete'!I1537,"AAAAAE9+9c4=")</f>
        <v>#VALUE!</v>
      </c>
      <c r="GZ110" t="e">
        <f>AND('BBP complete'!#REF!,"AAAAAE9+9c8=")</f>
        <v>#REF!</v>
      </c>
      <c r="HA110" t="e">
        <f>AND('BBP complete'!#REF!,"AAAAAE9+9dA=")</f>
        <v>#REF!</v>
      </c>
      <c r="HB110" t="e">
        <f>AND('BBP complete'!#REF!,"AAAAAE9+9dE=")</f>
        <v>#REF!</v>
      </c>
      <c r="HC110" t="e">
        <f>AND('BBP complete'!#REF!,"AAAAAE9+9dI=")</f>
        <v>#REF!</v>
      </c>
      <c r="HD110" t="e">
        <f>AND('BBP complete'!#REF!,"AAAAAE9+9dM=")</f>
        <v>#REF!</v>
      </c>
      <c r="HE110" t="e">
        <f>AND('BBP complete'!#REF!,"AAAAAE9+9dQ=")</f>
        <v>#REF!</v>
      </c>
      <c r="HF110" t="e">
        <f>AND('BBP complete'!K1594,"AAAAAE9+9dU=")</f>
        <v>#VALUE!</v>
      </c>
      <c r="HG110" t="e">
        <f>AND('BBP complete'!N1535,"AAAAAE9+9dY=")</f>
        <v>#VALUE!</v>
      </c>
      <c r="HH110" t="e">
        <f>AND('BBP complete'!P1549,"AAAAAE9+9dc=")</f>
        <v>#VALUE!</v>
      </c>
      <c r="HI110" s="60" t="e">
        <v>#VALUE!</v>
      </c>
      <c r="HJ110" t="e">
        <f>AND('BBP complete'!B1540,"AAAAAE9+9dk=")</f>
        <v>#VALUE!</v>
      </c>
      <c r="HK110" t="e">
        <f>AND('BBP complete'!F1541,"AAAAAE9+9do=")</f>
        <v>#VALUE!</v>
      </c>
      <c r="HL110" t="e">
        <f>AND('BBP complete'!G1541,"AAAAAE9+9ds=")</f>
        <v>#VALUE!</v>
      </c>
      <c r="HM110" t="e">
        <f>AND('BBP complete'!D1540,"AAAAAE9+9dw=")</f>
        <v>#VALUE!</v>
      </c>
      <c r="HN110" t="e">
        <f>AND('BBP complete'!H1539,"AAAAAE9+9d0=")</f>
        <v>#VALUE!</v>
      </c>
      <c r="HO110" t="e">
        <f>AND('BBP complete'!I1538,"AAAAAE9+9d4=")</f>
        <v>#VALUE!</v>
      </c>
      <c r="HP110" t="e">
        <f>AND('BBP complete'!#REF!,"AAAAAE9+9d8=")</f>
        <v>#REF!</v>
      </c>
      <c r="HQ110" t="e">
        <f>AND('BBP complete'!#REF!,"AAAAAE9+9eA=")</f>
        <v>#REF!</v>
      </c>
      <c r="HR110" t="e">
        <f>AND('BBP complete'!#REF!,"AAAAAE9+9eE=")</f>
        <v>#REF!</v>
      </c>
      <c r="HS110" t="e">
        <f>AND('BBP complete'!#REF!,"AAAAAE9+9eI=")</f>
        <v>#REF!</v>
      </c>
      <c r="HT110" t="e">
        <f>AND('BBP complete'!#REF!,"AAAAAE9+9eM=")</f>
        <v>#REF!</v>
      </c>
      <c r="HU110" t="e">
        <f>AND('BBP complete'!#REF!,"AAAAAE9+9eQ=")</f>
        <v>#REF!</v>
      </c>
      <c r="HV110" t="e">
        <f>AND('BBP complete'!K1595,"AAAAAE9+9eU=")</f>
        <v>#VALUE!</v>
      </c>
      <c r="HW110" t="e">
        <f>AND('BBP complete'!N1536,"AAAAAE9+9eY=")</f>
        <v>#VALUE!</v>
      </c>
      <c r="HX110" t="e">
        <f>AND('BBP complete'!P1550,"AAAAAE9+9ec=")</f>
        <v>#VALUE!</v>
      </c>
      <c r="HY110" s="60" t="e">
        <v>#VALUE!</v>
      </c>
      <c r="HZ110" t="e">
        <f>AND('BBP complete'!B1541,"AAAAAE9+9ek=")</f>
        <v>#VALUE!</v>
      </c>
      <c r="IA110" t="e">
        <f>AND('BBP complete'!F1542,"AAAAAE9+9eo=")</f>
        <v>#VALUE!</v>
      </c>
      <c r="IB110" t="e">
        <f>AND('BBP complete'!G1542,"AAAAAE9+9es=")</f>
        <v>#VALUE!</v>
      </c>
      <c r="IC110" t="e">
        <f>AND('BBP complete'!D1541,"AAAAAE9+9ew=")</f>
        <v>#VALUE!</v>
      </c>
      <c r="ID110" t="e">
        <f>AND('BBP complete'!H1540,"AAAAAE9+9e0=")</f>
        <v>#VALUE!</v>
      </c>
      <c r="IE110" t="e">
        <f>AND('BBP complete'!I1539,"AAAAAE9+9e4=")</f>
        <v>#VALUE!</v>
      </c>
      <c r="IF110" t="e">
        <f>AND('BBP complete'!#REF!,"AAAAAE9+9e8=")</f>
        <v>#REF!</v>
      </c>
      <c r="IG110" t="e">
        <f>AND('BBP complete'!#REF!,"AAAAAE9+9fA=")</f>
        <v>#REF!</v>
      </c>
      <c r="IH110" t="e">
        <f>AND('BBP complete'!#REF!,"AAAAAE9+9fE=")</f>
        <v>#REF!</v>
      </c>
      <c r="II110" t="e">
        <f>AND('BBP complete'!#REF!,"AAAAAE9+9fI=")</f>
        <v>#REF!</v>
      </c>
      <c r="IJ110" t="e">
        <f>AND('BBP complete'!#REF!,"AAAAAE9+9fM=")</f>
        <v>#REF!</v>
      </c>
      <c r="IK110" t="e">
        <f>AND('BBP complete'!#REF!,"AAAAAE9+9fQ=")</f>
        <v>#REF!</v>
      </c>
      <c r="IL110" t="e">
        <f>AND('BBP complete'!K1596,"AAAAAE9+9fU=")</f>
        <v>#VALUE!</v>
      </c>
      <c r="IM110" t="e">
        <f>AND('BBP complete'!N1537,"AAAAAE9+9fY=")</f>
        <v>#VALUE!</v>
      </c>
      <c r="IN110" t="e">
        <f>AND('BBP complete'!P1551,"AAAAAE9+9fc=")</f>
        <v>#VALUE!</v>
      </c>
      <c r="IO110" s="60" t="e">
        <v>#VALUE!</v>
      </c>
      <c r="IP110" t="e">
        <f>AND('BBP complete'!B1542,"AAAAAE9+9fk=")</f>
        <v>#VALUE!</v>
      </c>
      <c r="IQ110" t="e">
        <f>AND('BBP complete'!F1543,"AAAAAE9+9fo=")</f>
        <v>#VALUE!</v>
      </c>
      <c r="IR110" t="e">
        <f>AND('BBP complete'!G1543,"AAAAAE9+9fs=")</f>
        <v>#VALUE!</v>
      </c>
      <c r="IS110" t="e">
        <f>AND('BBP complete'!D1542,"AAAAAE9+9fw=")</f>
        <v>#VALUE!</v>
      </c>
      <c r="IT110" t="e">
        <f>AND('BBP complete'!H1541,"AAAAAE9+9f0=")</f>
        <v>#VALUE!</v>
      </c>
      <c r="IU110" t="e">
        <f>AND('BBP complete'!I1540,"AAAAAE9+9f4=")</f>
        <v>#VALUE!</v>
      </c>
      <c r="IV110" t="e">
        <f>AND('BBP complete'!#REF!,"AAAAAE9+9f8=")</f>
        <v>#REF!</v>
      </c>
    </row>
    <row r="111" spans="1:256" ht="15" customHeight="1" x14ac:dyDescent="0.25">
      <c r="A111" t="e">
        <f>AND('BBP complete'!#REF!,"AAAAAHefXQA=")</f>
        <v>#REF!</v>
      </c>
      <c r="B111" t="e">
        <f>AND('BBP complete'!#REF!,"AAAAAHefXQE=")</f>
        <v>#REF!</v>
      </c>
      <c r="C111" t="e">
        <f>AND('BBP complete'!#REF!,"AAAAAHefXQI=")</f>
        <v>#REF!</v>
      </c>
      <c r="D111" t="e">
        <f>AND('BBP complete'!#REF!,"AAAAAHefXQM=")</f>
        <v>#REF!</v>
      </c>
      <c r="E111" t="e">
        <f>AND('BBP complete'!#REF!,"AAAAAHefXQQ=")</f>
        <v>#REF!</v>
      </c>
      <c r="F111" t="e">
        <f>AND('BBP complete'!K1597,"AAAAAHefXQU=")</f>
        <v>#VALUE!</v>
      </c>
      <c r="G111" t="e">
        <f>AND('BBP complete'!N1538,"AAAAAHefXQY=")</f>
        <v>#VALUE!</v>
      </c>
      <c r="H111" t="e">
        <f>AND('BBP complete'!P1552,"AAAAAHefXQc=")</f>
        <v>#VALUE!</v>
      </c>
      <c r="I111" s="60" t="e">
        <v>#VALUE!</v>
      </c>
      <c r="J111" t="e">
        <f>AND('BBP complete'!B1543,"AAAAAHefXQk=")</f>
        <v>#VALUE!</v>
      </c>
      <c r="K111" t="e">
        <f>AND('BBP complete'!F1544,"AAAAAHefXQo=")</f>
        <v>#VALUE!</v>
      </c>
      <c r="L111" t="e">
        <f>AND('BBP complete'!G1544,"AAAAAHefXQs=")</f>
        <v>#VALUE!</v>
      </c>
      <c r="M111" t="e">
        <f>AND('BBP complete'!D1543,"AAAAAHefXQw=")</f>
        <v>#VALUE!</v>
      </c>
      <c r="N111" t="e">
        <f>AND('BBP complete'!H1542,"AAAAAHefXQ0=")</f>
        <v>#VALUE!</v>
      </c>
      <c r="O111" t="e">
        <f>AND('BBP complete'!I1541,"AAAAAHefXQ4=")</f>
        <v>#VALUE!</v>
      </c>
      <c r="P111" t="e">
        <f>AND('BBP complete'!#REF!,"AAAAAHefXQ8=")</f>
        <v>#REF!</v>
      </c>
      <c r="Q111" t="e">
        <f>AND('BBP complete'!#REF!,"AAAAAHefXRA=")</f>
        <v>#REF!</v>
      </c>
      <c r="R111" t="e">
        <f>AND('BBP complete'!#REF!,"AAAAAHefXRE=")</f>
        <v>#REF!</v>
      </c>
      <c r="S111" t="e">
        <f>AND('BBP complete'!#REF!,"AAAAAHefXRI=")</f>
        <v>#REF!</v>
      </c>
      <c r="T111" t="e">
        <f>AND('BBP complete'!#REF!,"AAAAAHefXRM=")</f>
        <v>#REF!</v>
      </c>
      <c r="U111" t="e">
        <f>AND('BBP complete'!#REF!,"AAAAAHefXRQ=")</f>
        <v>#REF!</v>
      </c>
      <c r="V111" t="e">
        <f>AND('BBP complete'!K1598,"AAAAAHefXRU=")</f>
        <v>#VALUE!</v>
      </c>
      <c r="W111" t="e">
        <f>AND('BBP complete'!N1539,"AAAAAHefXRY=")</f>
        <v>#VALUE!</v>
      </c>
      <c r="X111" t="e">
        <f>AND('BBP complete'!P1553,"AAAAAHefXRc=")</f>
        <v>#VALUE!</v>
      </c>
      <c r="Y111" s="60" t="e">
        <v>#VALUE!</v>
      </c>
      <c r="Z111" t="e">
        <f>AND('BBP complete'!B1544,"AAAAAHefXRk=")</f>
        <v>#VALUE!</v>
      </c>
      <c r="AA111" t="e">
        <f>AND('BBP complete'!F1545,"AAAAAHefXRo=")</f>
        <v>#VALUE!</v>
      </c>
      <c r="AB111" t="e">
        <f>AND('BBP complete'!G1545,"AAAAAHefXRs=")</f>
        <v>#VALUE!</v>
      </c>
      <c r="AC111" t="e">
        <f>AND('BBP complete'!D1544,"AAAAAHefXRw=")</f>
        <v>#VALUE!</v>
      </c>
      <c r="AD111" t="e">
        <f>AND('BBP complete'!H1543,"AAAAAHefXR0=")</f>
        <v>#VALUE!</v>
      </c>
      <c r="AE111" t="e">
        <f>AND('BBP complete'!I1542,"AAAAAHefXR4=")</f>
        <v>#VALUE!</v>
      </c>
      <c r="AF111" t="e">
        <f>AND('BBP complete'!#REF!,"AAAAAHefXR8=")</f>
        <v>#REF!</v>
      </c>
      <c r="AG111" t="e">
        <f>AND('BBP complete'!#REF!,"AAAAAHefXSA=")</f>
        <v>#REF!</v>
      </c>
      <c r="AH111" t="e">
        <f>AND('BBP complete'!#REF!,"AAAAAHefXSE=")</f>
        <v>#REF!</v>
      </c>
      <c r="AI111" t="e">
        <f>AND('BBP complete'!#REF!,"AAAAAHefXSI=")</f>
        <v>#REF!</v>
      </c>
      <c r="AJ111" t="e">
        <f>AND('BBP complete'!#REF!,"AAAAAHefXSM=")</f>
        <v>#REF!</v>
      </c>
      <c r="AK111" t="e">
        <f>AND('BBP complete'!#REF!,"AAAAAHefXSQ=")</f>
        <v>#REF!</v>
      </c>
      <c r="AL111" t="e">
        <f>AND('BBP complete'!K1599,"AAAAAHefXSU=")</f>
        <v>#VALUE!</v>
      </c>
      <c r="AM111" t="e">
        <f>AND('BBP complete'!N1540,"AAAAAHefXSY=")</f>
        <v>#VALUE!</v>
      </c>
      <c r="AN111" t="e">
        <f>AND('BBP complete'!P1554,"AAAAAHefXSc=")</f>
        <v>#VALUE!</v>
      </c>
      <c r="AO111" s="60" t="e">
        <v>#VALUE!</v>
      </c>
      <c r="AP111" t="e">
        <f>AND('BBP complete'!B1545,"AAAAAHefXSk=")</f>
        <v>#VALUE!</v>
      </c>
      <c r="AQ111" t="e">
        <f>AND('BBP complete'!F1546,"AAAAAHefXSo=")</f>
        <v>#VALUE!</v>
      </c>
      <c r="AR111" t="e">
        <f>AND('BBP complete'!G1546,"AAAAAHefXSs=")</f>
        <v>#VALUE!</v>
      </c>
      <c r="AS111" t="e">
        <f>AND('BBP complete'!D1545,"AAAAAHefXSw=")</f>
        <v>#VALUE!</v>
      </c>
      <c r="AT111" t="e">
        <f>AND('BBP complete'!H1544,"AAAAAHefXS0=")</f>
        <v>#VALUE!</v>
      </c>
      <c r="AU111" t="e">
        <f>AND('BBP complete'!I1543,"AAAAAHefXS4=")</f>
        <v>#VALUE!</v>
      </c>
      <c r="AV111" t="e">
        <f>AND('BBP complete'!#REF!,"AAAAAHefXS8=")</f>
        <v>#REF!</v>
      </c>
      <c r="AW111" t="e">
        <f>AND('BBP complete'!#REF!,"AAAAAHefXTA=")</f>
        <v>#REF!</v>
      </c>
      <c r="AX111" t="e">
        <f>AND('BBP complete'!#REF!,"AAAAAHefXTE=")</f>
        <v>#REF!</v>
      </c>
      <c r="AY111" t="e">
        <f>AND('BBP complete'!#REF!,"AAAAAHefXTI=")</f>
        <v>#REF!</v>
      </c>
      <c r="AZ111" t="e">
        <f>AND('BBP complete'!#REF!,"AAAAAHefXTM=")</f>
        <v>#REF!</v>
      </c>
      <c r="BA111" t="e">
        <f>AND('BBP complete'!#REF!,"AAAAAHefXTQ=")</f>
        <v>#REF!</v>
      </c>
      <c r="BB111" t="e">
        <f>AND('BBP complete'!K1600,"AAAAAHefXTU=")</f>
        <v>#VALUE!</v>
      </c>
      <c r="BC111" t="e">
        <f>AND('BBP complete'!N1541,"AAAAAHefXTY=")</f>
        <v>#VALUE!</v>
      </c>
      <c r="BD111" t="e">
        <f>AND('BBP complete'!P1555,"AAAAAHefXTc=")</f>
        <v>#VALUE!</v>
      </c>
      <c r="BE111" s="60" t="e">
        <v>#VALUE!</v>
      </c>
      <c r="BF111" t="e">
        <f>AND('BBP complete'!B1546,"AAAAAHefXTk=")</f>
        <v>#VALUE!</v>
      </c>
      <c r="BG111" t="e">
        <f>AND('BBP complete'!F1547,"AAAAAHefXTo=")</f>
        <v>#VALUE!</v>
      </c>
      <c r="BH111" t="e">
        <f>AND('BBP complete'!G1547,"AAAAAHefXTs=")</f>
        <v>#VALUE!</v>
      </c>
      <c r="BI111" t="e">
        <f>AND('BBP complete'!D1546,"AAAAAHefXTw=")</f>
        <v>#VALUE!</v>
      </c>
      <c r="BJ111" t="e">
        <f>AND('BBP complete'!H1545,"AAAAAHefXT0=")</f>
        <v>#VALUE!</v>
      </c>
      <c r="BK111" t="e">
        <f>AND('BBP complete'!I1544,"AAAAAHefXT4=")</f>
        <v>#VALUE!</v>
      </c>
      <c r="BL111" t="e">
        <f>AND('BBP complete'!#REF!,"AAAAAHefXT8=")</f>
        <v>#REF!</v>
      </c>
      <c r="BM111" t="e">
        <f>AND('BBP complete'!#REF!,"AAAAAHefXUA=")</f>
        <v>#REF!</v>
      </c>
      <c r="BN111" t="e">
        <f>AND('BBP complete'!#REF!,"AAAAAHefXUE=")</f>
        <v>#REF!</v>
      </c>
      <c r="BO111" t="e">
        <f>AND('BBP complete'!#REF!,"AAAAAHefXUI=")</f>
        <v>#REF!</v>
      </c>
      <c r="BP111" t="e">
        <f>AND('BBP complete'!#REF!,"AAAAAHefXUM=")</f>
        <v>#REF!</v>
      </c>
      <c r="BQ111" t="e">
        <f>AND('BBP complete'!#REF!,"AAAAAHefXUQ=")</f>
        <v>#REF!</v>
      </c>
      <c r="BR111" t="e">
        <f>AND('BBP complete'!K1601,"AAAAAHefXUU=")</f>
        <v>#VALUE!</v>
      </c>
      <c r="BS111" t="e">
        <f>AND('BBP complete'!N1542,"AAAAAHefXUY=")</f>
        <v>#VALUE!</v>
      </c>
      <c r="BT111" t="e">
        <f>AND('BBP complete'!P1556,"AAAAAHefXUc=")</f>
        <v>#VALUE!</v>
      </c>
      <c r="BU111" s="60" t="e">
        <v>#VALUE!</v>
      </c>
      <c r="BV111" t="e">
        <f>AND('BBP complete'!B1547,"AAAAAHefXUk=")</f>
        <v>#VALUE!</v>
      </c>
      <c r="BW111" t="e">
        <f>AND('BBP complete'!F1548,"AAAAAHefXUo=")</f>
        <v>#VALUE!</v>
      </c>
      <c r="BX111" t="e">
        <f>AND('BBP complete'!G1548,"AAAAAHefXUs=")</f>
        <v>#VALUE!</v>
      </c>
      <c r="BY111" t="e">
        <f>AND('BBP complete'!D1547,"AAAAAHefXUw=")</f>
        <v>#VALUE!</v>
      </c>
      <c r="BZ111" t="e">
        <f>AND('BBP complete'!H1546,"AAAAAHefXU0=")</f>
        <v>#VALUE!</v>
      </c>
      <c r="CA111" t="e">
        <f>AND('BBP complete'!I1545,"AAAAAHefXU4=")</f>
        <v>#VALUE!</v>
      </c>
      <c r="CB111" t="e">
        <f>AND('BBP complete'!#REF!,"AAAAAHefXU8=")</f>
        <v>#REF!</v>
      </c>
      <c r="CC111" t="e">
        <f>AND('BBP complete'!#REF!,"AAAAAHefXVA=")</f>
        <v>#REF!</v>
      </c>
      <c r="CD111" t="e">
        <f>AND('BBP complete'!#REF!,"AAAAAHefXVE=")</f>
        <v>#REF!</v>
      </c>
      <c r="CE111" t="e">
        <f>AND('BBP complete'!#REF!,"AAAAAHefXVI=")</f>
        <v>#REF!</v>
      </c>
      <c r="CF111" t="e">
        <f>AND('BBP complete'!#REF!,"AAAAAHefXVM=")</f>
        <v>#REF!</v>
      </c>
      <c r="CG111" t="e">
        <f>AND('BBP complete'!#REF!,"AAAAAHefXVQ=")</f>
        <v>#REF!</v>
      </c>
      <c r="CH111" t="e">
        <f>AND('BBP complete'!K1602,"AAAAAHefXVU=")</f>
        <v>#VALUE!</v>
      </c>
      <c r="CI111" t="e">
        <f>AND('BBP complete'!N1543,"AAAAAHefXVY=")</f>
        <v>#VALUE!</v>
      </c>
      <c r="CJ111" t="e">
        <f>AND('BBP complete'!P1557,"AAAAAHefXVc=")</f>
        <v>#VALUE!</v>
      </c>
      <c r="CK111" s="60" t="e">
        <v>#VALUE!</v>
      </c>
      <c r="CL111" t="e">
        <f>AND('BBP complete'!B1548,"AAAAAHefXVk=")</f>
        <v>#VALUE!</v>
      </c>
      <c r="CM111" t="e">
        <f>AND('BBP complete'!F1549,"AAAAAHefXVo=")</f>
        <v>#VALUE!</v>
      </c>
      <c r="CN111" t="e">
        <f>AND('BBP complete'!G1549,"AAAAAHefXVs=")</f>
        <v>#VALUE!</v>
      </c>
      <c r="CO111" t="e">
        <f>AND('BBP complete'!D1548,"AAAAAHefXVw=")</f>
        <v>#VALUE!</v>
      </c>
      <c r="CP111" t="e">
        <f>AND('BBP complete'!H1547,"AAAAAHefXV0=")</f>
        <v>#VALUE!</v>
      </c>
      <c r="CQ111" t="e">
        <f>AND('BBP complete'!I1546,"AAAAAHefXV4=")</f>
        <v>#VALUE!</v>
      </c>
      <c r="CR111" t="e">
        <f>AND('BBP complete'!#REF!,"AAAAAHefXV8=")</f>
        <v>#REF!</v>
      </c>
      <c r="CS111" t="e">
        <f>AND('BBP complete'!#REF!,"AAAAAHefXWA=")</f>
        <v>#REF!</v>
      </c>
      <c r="CT111" t="e">
        <f>AND('BBP complete'!#REF!,"AAAAAHefXWE=")</f>
        <v>#REF!</v>
      </c>
      <c r="CU111" t="e">
        <f>AND('BBP complete'!#REF!,"AAAAAHefXWI=")</f>
        <v>#REF!</v>
      </c>
      <c r="CV111" t="e">
        <f>AND('BBP complete'!#REF!,"AAAAAHefXWM=")</f>
        <v>#REF!</v>
      </c>
      <c r="CW111" t="e">
        <f>AND('BBP complete'!#REF!,"AAAAAHefXWQ=")</f>
        <v>#REF!</v>
      </c>
      <c r="CX111" t="e">
        <f>AND('BBP complete'!K1603,"AAAAAHefXWU=")</f>
        <v>#VALUE!</v>
      </c>
      <c r="CY111" t="e">
        <f>AND('BBP complete'!N1544,"AAAAAHefXWY=")</f>
        <v>#VALUE!</v>
      </c>
      <c r="CZ111" t="e">
        <f>AND('BBP complete'!P1558,"AAAAAHefXWc=")</f>
        <v>#VALUE!</v>
      </c>
      <c r="DA111" s="60" t="e">
        <v>#VALUE!</v>
      </c>
      <c r="DB111" t="e">
        <f>AND('BBP complete'!B1549,"AAAAAHefXWk=")</f>
        <v>#VALUE!</v>
      </c>
      <c r="DC111" t="e">
        <f>AND('BBP complete'!F1550,"AAAAAHefXWo=")</f>
        <v>#VALUE!</v>
      </c>
      <c r="DD111" t="e">
        <f>AND('BBP complete'!G1550,"AAAAAHefXWs=")</f>
        <v>#VALUE!</v>
      </c>
      <c r="DE111" t="e">
        <f>AND('BBP complete'!D1549,"AAAAAHefXWw=")</f>
        <v>#VALUE!</v>
      </c>
      <c r="DF111" t="e">
        <f>AND('BBP complete'!H1548,"AAAAAHefXW0=")</f>
        <v>#VALUE!</v>
      </c>
      <c r="DG111" t="e">
        <f>AND('BBP complete'!I1547,"AAAAAHefXW4=")</f>
        <v>#VALUE!</v>
      </c>
      <c r="DH111" t="e">
        <f>AND('BBP complete'!#REF!,"AAAAAHefXW8=")</f>
        <v>#REF!</v>
      </c>
      <c r="DI111" t="e">
        <f>AND('BBP complete'!#REF!,"AAAAAHefXXA=")</f>
        <v>#REF!</v>
      </c>
      <c r="DJ111" t="e">
        <f>AND('BBP complete'!#REF!,"AAAAAHefXXE=")</f>
        <v>#REF!</v>
      </c>
      <c r="DK111" t="e">
        <f>AND('BBP complete'!#REF!,"AAAAAHefXXI=")</f>
        <v>#REF!</v>
      </c>
      <c r="DL111" t="e">
        <f>AND('BBP complete'!#REF!,"AAAAAHefXXM=")</f>
        <v>#REF!</v>
      </c>
      <c r="DM111" t="e">
        <f>AND('BBP complete'!#REF!,"AAAAAHefXXQ=")</f>
        <v>#REF!</v>
      </c>
      <c r="DN111" t="e">
        <f>AND('BBP complete'!K1604,"AAAAAHefXXU=")</f>
        <v>#VALUE!</v>
      </c>
      <c r="DO111" t="e">
        <f>AND('BBP complete'!N1545,"AAAAAHefXXY=")</f>
        <v>#VALUE!</v>
      </c>
      <c r="DP111" t="e">
        <f>AND('BBP complete'!P1559,"AAAAAHefXXc=")</f>
        <v>#VALUE!</v>
      </c>
      <c r="DQ111" s="60" t="e">
        <v>#VALUE!</v>
      </c>
      <c r="DR111" t="e">
        <f>AND('BBP complete'!B1550,"AAAAAHefXXk=")</f>
        <v>#VALUE!</v>
      </c>
      <c r="DS111" t="e">
        <f>AND('BBP complete'!F1551,"AAAAAHefXXo=")</f>
        <v>#VALUE!</v>
      </c>
      <c r="DT111" t="e">
        <f>AND('BBP complete'!G1551,"AAAAAHefXXs=")</f>
        <v>#VALUE!</v>
      </c>
      <c r="DU111" t="e">
        <f>AND('BBP complete'!D1550,"AAAAAHefXXw=")</f>
        <v>#VALUE!</v>
      </c>
      <c r="DV111" t="e">
        <f>AND('BBP complete'!H1549,"AAAAAHefXX0=")</f>
        <v>#VALUE!</v>
      </c>
      <c r="DW111" t="e">
        <f>AND('BBP complete'!I1548,"AAAAAHefXX4=")</f>
        <v>#VALUE!</v>
      </c>
      <c r="DX111" t="e">
        <f>AND('BBP complete'!#REF!,"AAAAAHefXX8=")</f>
        <v>#REF!</v>
      </c>
      <c r="DY111" t="e">
        <f>AND('BBP complete'!#REF!,"AAAAAHefXYA=")</f>
        <v>#REF!</v>
      </c>
      <c r="DZ111" t="e">
        <f>AND('BBP complete'!#REF!,"AAAAAHefXYE=")</f>
        <v>#REF!</v>
      </c>
      <c r="EA111" t="e">
        <f>AND('BBP complete'!#REF!,"AAAAAHefXYI=")</f>
        <v>#REF!</v>
      </c>
      <c r="EB111" t="e">
        <f>AND('BBP complete'!#REF!,"AAAAAHefXYM=")</f>
        <v>#REF!</v>
      </c>
      <c r="EC111" t="e">
        <f>AND('BBP complete'!#REF!,"AAAAAHefXYQ=")</f>
        <v>#REF!</v>
      </c>
      <c r="ED111" t="e">
        <f>AND('BBP complete'!K1605,"AAAAAHefXYU=")</f>
        <v>#VALUE!</v>
      </c>
      <c r="EE111" t="e">
        <f>AND('BBP complete'!N1546,"AAAAAHefXYY=")</f>
        <v>#VALUE!</v>
      </c>
      <c r="EF111" t="e">
        <f>AND('BBP complete'!P1560,"AAAAAHefXYc=")</f>
        <v>#VALUE!</v>
      </c>
      <c r="EG111" s="60" t="e">
        <v>#VALUE!</v>
      </c>
      <c r="EH111" t="e">
        <f>AND('BBP complete'!B1551,"AAAAAHefXYk=")</f>
        <v>#VALUE!</v>
      </c>
      <c r="EI111" t="e">
        <f>AND('BBP complete'!F1552,"AAAAAHefXYo=")</f>
        <v>#VALUE!</v>
      </c>
      <c r="EJ111" t="e">
        <f>AND('BBP complete'!G1552,"AAAAAHefXYs=")</f>
        <v>#VALUE!</v>
      </c>
      <c r="EK111" t="e">
        <f>AND('BBP complete'!D1551,"AAAAAHefXYw=")</f>
        <v>#VALUE!</v>
      </c>
      <c r="EL111" t="e">
        <f>AND('BBP complete'!H1550,"AAAAAHefXY0=")</f>
        <v>#VALUE!</v>
      </c>
      <c r="EM111" t="e">
        <f>AND('BBP complete'!I1549,"AAAAAHefXY4=")</f>
        <v>#VALUE!</v>
      </c>
      <c r="EN111" t="e">
        <f>AND('BBP complete'!#REF!,"AAAAAHefXY8=")</f>
        <v>#REF!</v>
      </c>
      <c r="EO111" t="e">
        <f>AND('BBP complete'!#REF!,"AAAAAHefXZA=")</f>
        <v>#REF!</v>
      </c>
      <c r="EP111" t="e">
        <f>AND('BBP complete'!#REF!,"AAAAAHefXZE=")</f>
        <v>#REF!</v>
      </c>
      <c r="EQ111" t="e">
        <f>AND('BBP complete'!#REF!,"AAAAAHefXZI=")</f>
        <v>#REF!</v>
      </c>
      <c r="ER111" t="e">
        <f>AND('BBP complete'!#REF!,"AAAAAHefXZM=")</f>
        <v>#REF!</v>
      </c>
      <c r="ES111" t="e">
        <f>AND('BBP complete'!#REF!,"AAAAAHefXZQ=")</f>
        <v>#REF!</v>
      </c>
      <c r="ET111" t="e">
        <f>AND('BBP complete'!K1606,"AAAAAHefXZU=")</f>
        <v>#VALUE!</v>
      </c>
      <c r="EU111" t="e">
        <f>AND('BBP complete'!N1547,"AAAAAHefXZY=")</f>
        <v>#VALUE!</v>
      </c>
      <c r="EV111" t="e">
        <f>AND('BBP complete'!P1561,"AAAAAHefXZc=")</f>
        <v>#VALUE!</v>
      </c>
      <c r="EW111" s="60" t="e">
        <v>#VALUE!</v>
      </c>
      <c r="EX111" t="e">
        <f>AND('BBP complete'!B1552,"AAAAAHefXZk=")</f>
        <v>#VALUE!</v>
      </c>
      <c r="EY111" t="e">
        <f>AND('BBP complete'!F1553,"AAAAAHefXZo=")</f>
        <v>#VALUE!</v>
      </c>
      <c r="EZ111" t="e">
        <f>AND('BBP complete'!G1553,"AAAAAHefXZs=")</f>
        <v>#VALUE!</v>
      </c>
      <c r="FA111" t="e">
        <f>AND('BBP complete'!D1552,"AAAAAHefXZw=")</f>
        <v>#VALUE!</v>
      </c>
      <c r="FB111" t="e">
        <f>AND('BBP complete'!H1551,"AAAAAHefXZ0=")</f>
        <v>#VALUE!</v>
      </c>
      <c r="FC111" t="e">
        <f>AND('BBP complete'!I1550,"AAAAAHefXZ4=")</f>
        <v>#VALUE!</v>
      </c>
      <c r="FD111" t="e">
        <f>AND('BBP complete'!#REF!,"AAAAAHefXZ8=")</f>
        <v>#REF!</v>
      </c>
      <c r="FE111" t="e">
        <f>AND('BBP complete'!#REF!,"AAAAAHefXaA=")</f>
        <v>#REF!</v>
      </c>
      <c r="FF111" t="e">
        <f>AND('BBP complete'!#REF!,"AAAAAHefXaE=")</f>
        <v>#REF!</v>
      </c>
      <c r="FG111" t="e">
        <f>AND('BBP complete'!#REF!,"AAAAAHefXaI=")</f>
        <v>#REF!</v>
      </c>
      <c r="FH111" t="e">
        <f>AND('BBP complete'!#REF!,"AAAAAHefXaM=")</f>
        <v>#REF!</v>
      </c>
      <c r="FI111" t="e">
        <f>AND('BBP complete'!#REF!,"AAAAAHefXaQ=")</f>
        <v>#REF!</v>
      </c>
      <c r="FJ111" t="e">
        <f>AND('BBP complete'!K1607,"AAAAAHefXaU=")</f>
        <v>#VALUE!</v>
      </c>
      <c r="FK111" t="e">
        <f>AND('BBP complete'!N1548,"AAAAAHefXaY=")</f>
        <v>#VALUE!</v>
      </c>
      <c r="FL111" t="e">
        <f>AND('BBP complete'!P1562,"AAAAAHefXac=")</f>
        <v>#VALUE!</v>
      </c>
      <c r="FM111" s="60" t="e">
        <v>#VALUE!</v>
      </c>
      <c r="FN111" t="e">
        <f>AND('BBP complete'!B1553,"AAAAAHefXak=")</f>
        <v>#VALUE!</v>
      </c>
      <c r="FO111" t="e">
        <f>AND('BBP complete'!F1554,"AAAAAHefXao=")</f>
        <v>#VALUE!</v>
      </c>
      <c r="FP111" t="e">
        <f>AND('BBP complete'!G1554,"AAAAAHefXas=")</f>
        <v>#VALUE!</v>
      </c>
      <c r="FQ111" t="e">
        <f>AND('BBP complete'!D1553,"AAAAAHefXaw=")</f>
        <v>#VALUE!</v>
      </c>
      <c r="FR111" t="e">
        <f>AND('BBP complete'!H1552,"AAAAAHefXa0=")</f>
        <v>#VALUE!</v>
      </c>
      <c r="FS111" t="e">
        <f>AND('BBP complete'!I1551,"AAAAAHefXa4=")</f>
        <v>#VALUE!</v>
      </c>
      <c r="FT111" t="e">
        <f>AND('BBP complete'!#REF!,"AAAAAHefXa8=")</f>
        <v>#REF!</v>
      </c>
      <c r="FU111" t="e">
        <f>AND('BBP complete'!#REF!,"AAAAAHefXbA=")</f>
        <v>#REF!</v>
      </c>
      <c r="FV111" t="e">
        <f>AND('BBP complete'!#REF!,"AAAAAHefXbE=")</f>
        <v>#REF!</v>
      </c>
      <c r="FW111" t="e">
        <f>AND('BBP complete'!#REF!,"AAAAAHefXbI=")</f>
        <v>#REF!</v>
      </c>
      <c r="FX111" t="e">
        <f>AND('BBP complete'!#REF!,"AAAAAHefXbM=")</f>
        <v>#REF!</v>
      </c>
      <c r="FY111" t="e">
        <f>AND('BBP complete'!#REF!,"AAAAAHefXbQ=")</f>
        <v>#REF!</v>
      </c>
      <c r="FZ111" t="e">
        <f>AND('BBP complete'!K1608,"AAAAAHefXbU=")</f>
        <v>#VALUE!</v>
      </c>
      <c r="GA111" t="e">
        <f>AND('BBP complete'!N1549,"AAAAAHefXbY=")</f>
        <v>#VALUE!</v>
      </c>
      <c r="GB111" t="e">
        <f>AND('BBP complete'!P1563,"AAAAAHefXbc=")</f>
        <v>#VALUE!</v>
      </c>
      <c r="GC111" s="60" t="e">
        <v>#VALUE!</v>
      </c>
      <c r="GD111" t="e">
        <f>AND('BBP complete'!B1554,"AAAAAHefXbk=")</f>
        <v>#VALUE!</v>
      </c>
      <c r="GE111" t="e">
        <f>AND('BBP complete'!F1555,"AAAAAHefXbo=")</f>
        <v>#VALUE!</v>
      </c>
      <c r="GF111" t="e">
        <f>AND('BBP complete'!G1555,"AAAAAHefXbs=")</f>
        <v>#VALUE!</v>
      </c>
      <c r="GG111" t="e">
        <f>AND('BBP complete'!D1554,"AAAAAHefXbw=")</f>
        <v>#VALUE!</v>
      </c>
      <c r="GH111" t="e">
        <f>AND('BBP complete'!H1553,"AAAAAHefXb0=")</f>
        <v>#VALUE!</v>
      </c>
      <c r="GI111" t="e">
        <f>AND('BBP complete'!I1552,"AAAAAHefXb4=")</f>
        <v>#VALUE!</v>
      </c>
      <c r="GJ111" t="e">
        <f>AND('BBP complete'!#REF!,"AAAAAHefXb8=")</f>
        <v>#REF!</v>
      </c>
      <c r="GK111" t="e">
        <f>AND('BBP complete'!#REF!,"AAAAAHefXcA=")</f>
        <v>#REF!</v>
      </c>
      <c r="GL111" t="e">
        <f>AND('BBP complete'!#REF!,"AAAAAHefXcE=")</f>
        <v>#REF!</v>
      </c>
      <c r="GM111" t="e">
        <f>AND('BBP complete'!#REF!,"AAAAAHefXcI=")</f>
        <v>#REF!</v>
      </c>
      <c r="GN111" t="e">
        <f>AND('BBP complete'!#REF!,"AAAAAHefXcM=")</f>
        <v>#REF!</v>
      </c>
      <c r="GO111" t="e">
        <f>AND('BBP complete'!#REF!,"AAAAAHefXcQ=")</f>
        <v>#REF!</v>
      </c>
      <c r="GP111" t="e">
        <f>AND('BBP complete'!K1609,"AAAAAHefXcU=")</f>
        <v>#VALUE!</v>
      </c>
      <c r="GQ111" t="e">
        <f>AND('BBP complete'!N1550,"AAAAAHefXcY=")</f>
        <v>#VALUE!</v>
      </c>
      <c r="GR111" t="e">
        <f>AND('BBP complete'!P1564,"AAAAAHefXcc=")</f>
        <v>#VALUE!</v>
      </c>
      <c r="GS111" s="60" t="e">
        <v>#VALUE!</v>
      </c>
      <c r="GT111" t="e">
        <f>AND('BBP complete'!B1555,"AAAAAHefXck=")</f>
        <v>#VALUE!</v>
      </c>
      <c r="GU111" t="e">
        <f>AND('BBP complete'!F1556,"AAAAAHefXco=")</f>
        <v>#VALUE!</v>
      </c>
      <c r="GV111" t="e">
        <f>AND('BBP complete'!G1556,"AAAAAHefXcs=")</f>
        <v>#VALUE!</v>
      </c>
      <c r="GW111" t="e">
        <f>AND('BBP complete'!D1555,"AAAAAHefXcw=")</f>
        <v>#VALUE!</v>
      </c>
      <c r="GX111" t="e">
        <f>AND('BBP complete'!H1554,"AAAAAHefXc0=")</f>
        <v>#VALUE!</v>
      </c>
      <c r="GY111" t="e">
        <f>AND('BBP complete'!I1553,"AAAAAHefXc4=")</f>
        <v>#VALUE!</v>
      </c>
      <c r="GZ111" t="e">
        <f>AND('BBP complete'!#REF!,"AAAAAHefXc8=")</f>
        <v>#REF!</v>
      </c>
      <c r="HA111" t="e">
        <f>AND('BBP complete'!#REF!,"AAAAAHefXdA=")</f>
        <v>#REF!</v>
      </c>
      <c r="HB111" t="e">
        <f>AND('BBP complete'!#REF!,"AAAAAHefXdE=")</f>
        <v>#REF!</v>
      </c>
      <c r="HC111" t="e">
        <f>AND('BBP complete'!#REF!,"AAAAAHefXdI=")</f>
        <v>#REF!</v>
      </c>
      <c r="HD111" t="e">
        <f>AND('BBP complete'!#REF!,"AAAAAHefXdM=")</f>
        <v>#REF!</v>
      </c>
      <c r="HE111" t="e">
        <f>AND('BBP complete'!#REF!,"AAAAAHefXdQ=")</f>
        <v>#REF!</v>
      </c>
      <c r="HF111" t="e">
        <f>AND('BBP complete'!K1610,"AAAAAHefXdU=")</f>
        <v>#VALUE!</v>
      </c>
      <c r="HG111" t="e">
        <f>AND('BBP complete'!N1551,"AAAAAHefXdY=")</f>
        <v>#VALUE!</v>
      </c>
      <c r="HH111" t="e">
        <f>AND('BBP complete'!P1565,"AAAAAHefXdc=")</f>
        <v>#VALUE!</v>
      </c>
      <c r="HI111" s="60" t="e">
        <v>#VALUE!</v>
      </c>
      <c r="HJ111" t="e">
        <f>AND('BBP complete'!B1556,"AAAAAHefXdk=")</f>
        <v>#VALUE!</v>
      </c>
      <c r="HK111" t="e">
        <f>AND('BBP complete'!F1557,"AAAAAHefXdo=")</f>
        <v>#VALUE!</v>
      </c>
      <c r="HL111" t="e">
        <f>AND('BBP complete'!G1557,"AAAAAHefXds=")</f>
        <v>#VALUE!</v>
      </c>
      <c r="HM111" t="e">
        <f>AND('BBP complete'!D1556,"AAAAAHefXdw=")</f>
        <v>#VALUE!</v>
      </c>
      <c r="HN111" t="e">
        <f>AND('BBP complete'!H1555,"AAAAAHefXd0=")</f>
        <v>#VALUE!</v>
      </c>
      <c r="HO111" t="e">
        <f>AND('BBP complete'!I1554,"AAAAAHefXd4=")</f>
        <v>#VALUE!</v>
      </c>
      <c r="HP111" t="e">
        <f>AND('BBP complete'!#REF!,"AAAAAHefXd8=")</f>
        <v>#REF!</v>
      </c>
      <c r="HQ111" t="e">
        <f>AND('BBP complete'!#REF!,"AAAAAHefXeA=")</f>
        <v>#REF!</v>
      </c>
      <c r="HR111" t="e">
        <f>AND('BBP complete'!#REF!,"AAAAAHefXeE=")</f>
        <v>#REF!</v>
      </c>
      <c r="HS111" t="e">
        <f>AND('BBP complete'!#REF!,"AAAAAHefXeI=")</f>
        <v>#REF!</v>
      </c>
      <c r="HT111" t="e">
        <f>AND('BBP complete'!#REF!,"AAAAAHefXeM=")</f>
        <v>#REF!</v>
      </c>
      <c r="HU111" t="e">
        <f>AND('BBP complete'!#REF!,"AAAAAHefXeQ=")</f>
        <v>#REF!</v>
      </c>
      <c r="HV111" t="e">
        <f>AND('BBP complete'!K1611,"AAAAAHefXeU=")</f>
        <v>#VALUE!</v>
      </c>
      <c r="HW111" t="e">
        <f>AND('BBP complete'!N1552,"AAAAAHefXeY=")</f>
        <v>#VALUE!</v>
      </c>
      <c r="HX111" t="e">
        <f>AND('BBP complete'!P1566,"AAAAAHefXec=")</f>
        <v>#VALUE!</v>
      </c>
      <c r="HY111" s="60" t="e">
        <v>#VALUE!</v>
      </c>
      <c r="HZ111" t="e">
        <f>AND('BBP complete'!B1557,"AAAAAHefXek=")</f>
        <v>#VALUE!</v>
      </c>
      <c r="IA111" t="e">
        <f>AND('BBP complete'!F1558,"AAAAAHefXeo=")</f>
        <v>#VALUE!</v>
      </c>
      <c r="IB111" t="e">
        <f>AND('BBP complete'!G1558,"AAAAAHefXes=")</f>
        <v>#VALUE!</v>
      </c>
      <c r="IC111" t="e">
        <f>AND('BBP complete'!D1557,"AAAAAHefXew=")</f>
        <v>#VALUE!</v>
      </c>
      <c r="ID111" t="e">
        <f>AND('BBP complete'!H1556,"AAAAAHefXe0=")</f>
        <v>#VALUE!</v>
      </c>
      <c r="IE111" t="e">
        <f>AND('BBP complete'!I1555,"AAAAAHefXe4=")</f>
        <v>#VALUE!</v>
      </c>
      <c r="IF111" t="e">
        <f>AND('BBP complete'!#REF!,"AAAAAHefXe8=")</f>
        <v>#REF!</v>
      </c>
      <c r="IG111" t="e">
        <f>AND('BBP complete'!#REF!,"AAAAAHefXfA=")</f>
        <v>#REF!</v>
      </c>
      <c r="IH111" t="e">
        <f>AND('BBP complete'!#REF!,"AAAAAHefXfE=")</f>
        <v>#REF!</v>
      </c>
      <c r="II111" t="e">
        <f>AND('BBP complete'!#REF!,"AAAAAHefXfI=")</f>
        <v>#REF!</v>
      </c>
      <c r="IJ111" t="e">
        <f>AND('BBP complete'!#REF!,"AAAAAHefXfM=")</f>
        <v>#REF!</v>
      </c>
      <c r="IK111" t="e">
        <f>AND('BBP complete'!#REF!,"AAAAAHefXfQ=")</f>
        <v>#REF!</v>
      </c>
      <c r="IL111" t="e">
        <f>AND('BBP complete'!K1612,"AAAAAHefXfU=")</f>
        <v>#VALUE!</v>
      </c>
      <c r="IM111" t="e">
        <f>AND('BBP complete'!N1553,"AAAAAHefXfY=")</f>
        <v>#VALUE!</v>
      </c>
      <c r="IN111" t="e">
        <f>AND('BBP complete'!P1567,"AAAAAHefXfc=")</f>
        <v>#VALUE!</v>
      </c>
      <c r="IO111" s="60" t="e">
        <v>#VALUE!</v>
      </c>
      <c r="IP111" t="e">
        <f>AND('BBP complete'!B1558,"AAAAAHefXfk=")</f>
        <v>#VALUE!</v>
      </c>
      <c r="IQ111" t="e">
        <f>AND('BBP complete'!F1559,"AAAAAHefXfo=")</f>
        <v>#VALUE!</v>
      </c>
      <c r="IR111" t="e">
        <f>AND('BBP complete'!G1559,"AAAAAHefXfs=")</f>
        <v>#VALUE!</v>
      </c>
      <c r="IS111" t="e">
        <f>AND('BBP complete'!D1558,"AAAAAHefXfw=")</f>
        <v>#VALUE!</v>
      </c>
      <c r="IT111" t="e">
        <f>AND('BBP complete'!H1557,"AAAAAHefXf0=")</f>
        <v>#VALUE!</v>
      </c>
      <c r="IU111" t="e">
        <f>AND('BBP complete'!I1556,"AAAAAHefXf4=")</f>
        <v>#VALUE!</v>
      </c>
      <c r="IV111" t="e">
        <f>AND('BBP complete'!#REF!,"AAAAAHefXf8=")</f>
        <v>#REF!</v>
      </c>
    </row>
    <row r="112" spans="1:256" ht="15" customHeight="1" x14ac:dyDescent="0.25">
      <c r="A112" t="e">
        <f>AND('BBP complete'!#REF!,"AAAAAH1WewA=")</f>
        <v>#REF!</v>
      </c>
      <c r="B112" t="e">
        <f>AND('BBP complete'!#REF!,"AAAAAH1WewE=")</f>
        <v>#REF!</v>
      </c>
      <c r="C112" t="e">
        <f>AND('BBP complete'!#REF!,"AAAAAH1WewI=")</f>
        <v>#REF!</v>
      </c>
      <c r="D112" t="e">
        <f>AND('BBP complete'!#REF!,"AAAAAH1WewM=")</f>
        <v>#REF!</v>
      </c>
      <c r="E112" t="e">
        <f>AND('BBP complete'!#REF!,"AAAAAH1WewQ=")</f>
        <v>#REF!</v>
      </c>
      <c r="F112" t="e">
        <f>AND('BBP complete'!K1613,"AAAAAH1WewU=")</f>
        <v>#VALUE!</v>
      </c>
      <c r="G112" t="e">
        <f>AND('BBP complete'!N1554,"AAAAAH1WewY=")</f>
        <v>#VALUE!</v>
      </c>
      <c r="H112" t="e">
        <f>AND('BBP complete'!P1568,"AAAAAH1Wewc=")</f>
        <v>#VALUE!</v>
      </c>
      <c r="I112" s="60" t="e">
        <v>#VALUE!</v>
      </c>
      <c r="J112" t="e">
        <f>AND('BBP complete'!B1559,"AAAAAH1Wewk=")</f>
        <v>#VALUE!</v>
      </c>
      <c r="K112" t="e">
        <f>AND('BBP complete'!F1560,"AAAAAH1Wewo=")</f>
        <v>#VALUE!</v>
      </c>
      <c r="L112" t="e">
        <f>AND('BBP complete'!G1560,"AAAAAH1Wews=")</f>
        <v>#VALUE!</v>
      </c>
      <c r="M112" t="e">
        <f>AND('BBP complete'!D1559,"AAAAAH1Weww=")</f>
        <v>#VALUE!</v>
      </c>
      <c r="N112" t="e">
        <f>AND('BBP complete'!H1558,"AAAAAH1Wew0=")</f>
        <v>#VALUE!</v>
      </c>
      <c r="O112" t="e">
        <f>AND('BBP complete'!I1557,"AAAAAH1Wew4=")</f>
        <v>#VALUE!</v>
      </c>
      <c r="P112" t="e">
        <f>AND('BBP complete'!#REF!,"AAAAAH1Wew8=")</f>
        <v>#REF!</v>
      </c>
      <c r="Q112" t="e">
        <f>AND('BBP complete'!#REF!,"AAAAAH1WexA=")</f>
        <v>#REF!</v>
      </c>
      <c r="R112" t="e">
        <f>AND('BBP complete'!#REF!,"AAAAAH1WexE=")</f>
        <v>#REF!</v>
      </c>
      <c r="S112" t="e">
        <f>AND('BBP complete'!#REF!,"AAAAAH1WexI=")</f>
        <v>#REF!</v>
      </c>
      <c r="T112" t="e">
        <f>AND('BBP complete'!#REF!,"AAAAAH1WexM=")</f>
        <v>#REF!</v>
      </c>
      <c r="U112" t="e">
        <f>AND('BBP complete'!#REF!,"AAAAAH1WexQ=")</f>
        <v>#REF!</v>
      </c>
      <c r="V112" t="e">
        <f>AND('BBP complete'!K1614,"AAAAAH1WexU=")</f>
        <v>#VALUE!</v>
      </c>
      <c r="W112" t="e">
        <f>AND('BBP complete'!N1555,"AAAAAH1WexY=")</f>
        <v>#VALUE!</v>
      </c>
      <c r="X112" t="e">
        <f>AND('BBP complete'!P1569,"AAAAAH1Wexc=")</f>
        <v>#VALUE!</v>
      </c>
      <c r="Y112" s="60" t="e">
        <v>#VALUE!</v>
      </c>
      <c r="Z112" t="e">
        <f>AND('BBP complete'!B1560,"AAAAAH1Wexk=")</f>
        <v>#VALUE!</v>
      </c>
      <c r="AA112" t="e">
        <f>AND('BBP complete'!F1561,"AAAAAH1Wexo=")</f>
        <v>#VALUE!</v>
      </c>
      <c r="AB112" t="e">
        <f>AND('BBP complete'!G1561,"AAAAAH1Wexs=")</f>
        <v>#VALUE!</v>
      </c>
      <c r="AC112" t="e">
        <f>AND('BBP complete'!D1560,"AAAAAH1Wexw=")</f>
        <v>#VALUE!</v>
      </c>
      <c r="AD112" t="e">
        <f>AND('BBP complete'!H1559,"AAAAAH1Wex0=")</f>
        <v>#VALUE!</v>
      </c>
      <c r="AE112" t="e">
        <f>AND('BBP complete'!I1558,"AAAAAH1Wex4=")</f>
        <v>#VALUE!</v>
      </c>
      <c r="AF112" t="e">
        <f>AND('BBP complete'!#REF!,"AAAAAH1Wex8=")</f>
        <v>#REF!</v>
      </c>
      <c r="AG112" t="e">
        <f>AND('BBP complete'!#REF!,"AAAAAH1WeyA=")</f>
        <v>#REF!</v>
      </c>
      <c r="AH112" t="e">
        <f>AND('BBP complete'!#REF!,"AAAAAH1WeyE=")</f>
        <v>#REF!</v>
      </c>
      <c r="AI112" t="e">
        <f>AND('BBP complete'!#REF!,"AAAAAH1WeyI=")</f>
        <v>#REF!</v>
      </c>
      <c r="AJ112" t="e">
        <f>AND('BBP complete'!#REF!,"AAAAAH1WeyM=")</f>
        <v>#REF!</v>
      </c>
      <c r="AK112" t="e">
        <f>AND('BBP complete'!#REF!,"AAAAAH1WeyQ=")</f>
        <v>#REF!</v>
      </c>
      <c r="AL112" t="e">
        <f>AND('BBP complete'!K1615,"AAAAAH1WeyU=")</f>
        <v>#VALUE!</v>
      </c>
      <c r="AM112" t="e">
        <f>AND('BBP complete'!N1556,"AAAAAH1WeyY=")</f>
        <v>#VALUE!</v>
      </c>
      <c r="AN112" t="e">
        <f>AND('BBP complete'!P1570,"AAAAAH1Weyc=")</f>
        <v>#VALUE!</v>
      </c>
      <c r="AO112" s="60" t="e">
        <v>#VALUE!</v>
      </c>
      <c r="AP112" t="e">
        <f>AND('BBP complete'!B1561,"AAAAAH1Weyk=")</f>
        <v>#VALUE!</v>
      </c>
      <c r="AQ112" t="e">
        <f>AND('BBP complete'!F1562,"AAAAAH1Weyo=")</f>
        <v>#VALUE!</v>
      </c>
      <c r="AR112" t="e">
        <f>AND('BBP complete'!G1562,"AAAAAH1Weys=")</f>
        <v>#VALUE!</v>
      </c>
      <c r="AS112" t="e">
        <f>AND('BBP complete'!D1561,"AAAAAH1Weyw=")</f>
        <v>#VALUE!</v>
      </c>
      <c r="AT112" t="e">
        <f>AND('BBP complete'!H1560,"AAAAAH1Wey0=")</f>
        <v>#VALUE!</v>
      </c>
      <c r="AU112" t="e">
        <f>AND('BBP complete'!I1559,"AAAAAH1Wey4=")</f>
        <v>#VALUE!</v>
      </c>
      <c r="AV112" t="e">
        <f>AND('BBP complete'!#REF!,"AAAAAH1Wey8=")</f>
        <v>#REF!</v>
      </c>
      <c r="AW112" t="e">
        <f>AND('BBP complete'!#REF!,"AAAAAH1WezA=")</f>
        <v>#REF!</v>
      </c>
      <c r="AX112" t="e">
        <f>AND('BBP complete'!#REF!,"AAAAAH1WezE=")</f>
        <v>#REF!</v>
      </c>
      <c r="AY112" t="e">
        <f>AND('BBP complete'!#REF!,"AAAAAH1WezI=")</f>
        <v>#REF!</v>
      </c>
      <c r="AZ112" t="e">
        <f>AND('BBP complete'!#REF!,"AAAAAH1WezM=")</f>
        <v>#REF!</v>
      </c>
      <c r="BA112" t="e">
        <f>AND('BBP complete'!#REF!,"AAAAAH1WezQ=")</f>
        <v>#REF!</v>
      </c>
      <c r="BB112" t="e">
        <f>AND('BBP complete'!K1616,"AAAAAH1WezU=")</f>
        <v>#VALUE!</v>
      </c>
      <c r="BC112" t="e">
        <f>AND('BBP complete'!N1557,"AAAAAH1WezY=")</f>
        <v>#VALUE!</v>
      </c>
      <c r="BD112" t="e">
        <f>AND('BBP complete'!P1571,"AAAAAH1Wezc=")</f>
        <v>#VALUE!</v>
      </c>
      <c r="BE112" s="60" t="e">
        <v>#VALUE!</v>
      </c>
      <c r="BF112" t="e">
        <f>AND('BBP complete'!B1562,"AAAAAH1Wezk=")</f>
        <v>#VALUE!</v>
      </c>
      <c r="BG112" t="e">
        <f>AND('BBP complete'!F1563,"AAAAAH1Wezo=")</f>
        <v>#VALUE!</v>
      </c>
      <c r="BH112" t="e">
        <f>AND('BBP complete'!G1563,"AAAAAH1Wezs=")</f>
        <v>#VALUE!</v>
      </c>
      <c r="BI112" t="e">
        <f>AND('BBP complete'!D1562,"AAAAAH1Wezw=")</f>
        <v>#VALUE!</v>
      </c>
      <c r="BJ112" t="e">
        <f>AND('BBP complete'!H1561,"AAAAAH1Wez0=")</f>
        <v>#VALUE!</v>
      </c>
      <c r="BK112" t="e">
        <f>AND('BBP complete'!I1560,"AAAAAH1Wez4=")</f>
        <v>#VALUE!</v>
      </c>
      <c r="BL112" t="e">
        <f>AND('BBP complete'!#REF!,"AAAAAH1Wez8=")</f>
        <v>#REF!</v>
      </c>
      <c r="BM112" t="e">
        <f>AND('BBP complete'!#REF!,"AAAAAH1We0A=")</f>
        <v>#REF!</v>
      </c>
      <c r="BN112" t="e">
        <f>AND('BBP complete'!#REF!,"AAAAAH1We0E=")</f>
        <v>#REF!</v>
      </c>
      <c r="BO112" t="e">
        <f>AND('BBP complete'!#REF!,"AAAAAH1We0I=")</f>
        <v>#REF!</v>
      </c>
      <c r="BP112" t="e">
        <f>AND('BBP complete'!#REF!,"AAAAAH1We0M=")</f>
        <v>#REF!</v>
      </c>
      <c r="BQ112" t="e">
        <f>AND('BBP complete'!#REF!,"AAAAAH1We0Q=")</f>
        <v>#REF!</v>
      </c>
      <c r="BR112" t="e">
        <f>AND('BBP complete'!K1617,"AAAAAH1We0U=")</f>
        <v>#VALUE!</v>
      </c>
      <c r="BS112" t="e">
        <f>AND('BBP complete'!N1558,"AAAAAH1We0Y=")</f>
        <v>#VALUE!</v>
      </c>
      <c r="BT112" t="e">
        <f>AND('BBP complete'!P1572,"AAAAAH1We0c=")</f>
        <v>#VALUE!</v>
      </c>
      <c r="BU112" s="60" t="e">
        <v>#VALUE!</v>
      </c>
      <c r="BV112" t="e">
        <f>AND('BBP complete'!B1563,"AAAAAH1We0k=")</f>
        <v>#VALUE!</v>
      </c>
      <c r="BW112" t="e">
        <f>AND('BBP complete'!F1564,"AAAAAH1We0o=")</f>
        <v>#VALUE!</v>
      </c>
      <c r="BX112" t="e">
        <f>AND('BBP complete'!G1564,"AAAAAH1We0s=")</f>
        <v>#VALUE!</v>
      </c>
      <c r="BY112" t="e">
        <f>AND('BBP complete'!D1563,"AAAAAH1We0w=")</f>
        <v>#VALUE!</v>
      </c>
      <c r="BZ112" t="e">
        <f>AND('BBP complete'!H1562,"AAAAAH1We00=")</f>
        <v>#VALUE!</v>
      </c>
      <c r="CA112" t="e">
        <f>AND('BBP complete'!I1561,"AAAAAH1We04=")</f>
        <v>#VALUE!</v>
      </c>
      <c r="CB112" t="e">
        <f>AND('BBP complete'!#REF!,"AAAAAH1We08=")</f>
        <v>#REF!</v>
      </c>
      <c r="CC112" t="e">
        <f>AND('BBP complete'!#REF!,"AAAAAH1We1A=")</f>
        <v>#REF!</v>
      </c>
      <c r="CD112" t="e">
        <f>AND('BBP complete'!#REF!,"AAAAAH1We1E=")</f>
        <v>#REF!</v>
      </c>
      <c r="CE112" t="e">
        <f>AND('BBP complete'!#REF!,"AAAAAH1We1I=")</f>
        <v>#REF!</v>
      </c>
      <c r="CF112" t="e">
        <f>AND('BBP complete'!#REF!,"AAAAAH1We1M=")</f>
        <v>#REF!</v>
      </c>
      <c r="CG112" t="e">
        <f>AND('BBP complete'!#REF!,"AAAAAH1We1Q=")</f>
        <v>#REF!</v>
      </c>
      <c r="CH112" t="e">
        <f>AND('BBP complete'!K1618,"AAAAAH1We1U=")</f>
        <v>#VALUE!</v>
      </c>
      <c r="CI112" t="e">
        <f>AND('BBP complete'!N1559,"AAAAAH1We1Y=")</f>
        <v>#VALUE!</v>
      </c>
      <c r="CJ112" t="e">
        <f>AND('BBP complete'!P1573,"AAAAAH1We1c=")</f>
        <v>#VALUE!</v>
      </c>
      <c r="CK112" s="60" t="e">
        <v>#VALUE!</v>
      </c>
      <c r="CL112" t="e">
        <f>AND('BBP complete'!B1564,"AAAAAH1We1k=")</f>
        <v>#VALUE!</v>
      </c>
      <c r="CM112" t="e">
        <f>AND('BBP complete'!F1565,"AAAAAH1We1o=")</f>
        <v>#VALUE!</v>
      </c>
      <c r="CN112" t="e">
        <f>AND('BBP complete'!G1565,"AAAAAH1We1s=")</f>
        <v>#VALUE!</v>
      </c>
      <c r="CO112" t="e">
        <f>AND('BBP complete'!D1564,"AAAAAH1We1w=")</f>
        <v>#VALUE!</v>
      </c>
      <c r="CP112" t="e">
        <f>AND('BBP complete'!H1563,"AAAAAH1We10=")</f>
        <v>#VALUE!</v>
      </c>
      <c r="CQ112" t="e">
        <f>AND('BBP complete'!I1562,"AAAAAH1We14=")</f>
        <v>#VALUE!</v>
      </c>
      <c r="CR112" t="e">
        <f>AND('BBP complete'!#REF!,"AAAAAH1We18=")</f>
        <v>#REF!</v>
      </c>
      <c r="CS112" t="e">
        <f>AND('BBP complete'!#REF!,"AAAAAH1We2A=")</f>
        <v>#REF!</v>
      </c>
      <c r="CT112" t="e">
        <f>AND('BBP complete'!#REF!,"AAAAAH1We2E=")</f>
        <v>#REF!</v>
      </c>
      <c r="CU112" t="e">
        <f>AND('BBP complete'!#REF!,"AAAAAH1We2I=")</f>
        <v>#REF!</v>
      </c>
      <c r="CV112" t="e">
        <f>AND('BBP complete'!#REF!,"AAAAAH1We2M=")</f>
        <v>#REF!</v>
      </c>
      <c r="CW112" t="e">
        <f>AND('BBP complete'!#REF!,"AAAAAH1We2Q=")</f>
        <v>#REF!</v>
      </c>
      <c r="CX112" t="e">
        <f>AND('BBP complete'!K1619,"AAAAAH1We2U=")</f>
        <v>#VALUE!</v>
      </c>
      <c r="CY112" t="e">
        <f>AND('BBP complete'!N1560,"AAAAAH1We2Y=")</f>
        <v>#VALUE!</v>
      </c>
      <c r="CZ112" t="e">
        <f>AND('BBP complete'!P1574,"AAAAAH1We2c=")</f>
        <v>#VALUE!</v>
      </c>
      <c r="DA112" s="60" t="e">
        <v>#VALUE!</v>
      </c>
      <c r="DB112" t="e">
        <f>AND('BBP complete'!B1565,"AAAAAH1We2k=")</f>
        <v>#VALUE!</v>
      </c>
      <c r="DC112" t="e">
        <f>AND('BBP complete'!F1566,"AAAAAH1We2o=")</f>
        <v>#VALUE!</v>
      </c>
      <c r="DD112" t="e">
        <f>AND('BBP complete'!G1566,"AAAAAH1We2s=")</f>
        <v>#VALUE!</v>
      </c>
      <c r="DE112" t="e">
        <f>AND('BBP complete'!D1565,"AAAAAH1We2w=")</f>
        <v>#VALUE!</v>
      </c>
      <c r="DF112" t="e">
        <f>AND('BBP complete'!H1564,"AAAAAH1We20=")</f>
        <v>#VALUE!</v>
      </c>
      <c r="DG112" t="e">
        <f>AND('BBP complete'!I1563,"AAAAAH1We24=")</f>
        <v>#VALUE!</v>
      </c>
      <c r="DH112" t="e">
        <f>AND('BBP complete'!#REF!,"AAAAAH1We28=")</f>
        <v>#REF!</v>
      </c>
      <c r="DI112" t="e">
        <f>AND('BBP complete'!#REF!,"AAAAAH1We3A=")</f>
        <v>#REF!</v>
      </c>
      <c r="DJ112" t="e">
        <f>AND('BBP complete'!#REF!,"AAAAAH1We3E=")</f>
        <v>#REF!</v>
      </c>
      <c r="DK112" t="e">
        <f>AND('BBP complete'!#REF!,"AAAAAH1We3I=")</f>
        <v>#REF!</v>
      </c>
      <c r="DL112" t="e">
        <f>AND('BBP complete'!#REF!,"AAAAAH1We3M=")</f>
        <v>#REF!</v>
      </c>
      <c r="DM112" t="e">
        <f>AND('BBP complete'!#REF!,"AAAAAH1We3Q=")</f>
        <v>#REF!</v>
      </c>
      <c r="DN112" t="e">
        <f>AND('BBP complete'!K1620,"AAAAAH1We3U=")</f>
        <v>#VALUE!</v>
      </c>
      <c r="DO112" t="e">
        <f>AND('BBP complete'!N1561,"AAAAAH1We3Y=")</f>
        <v>#VALUE!</v>
      </c>
      <c r="DP112" t="e">
        <f>AND('BBP complete'!P1577,"AAAAAH1We3c=")</f>
        <v>#VALUE!</v>
      </c>
      <c r="DQ112" s="60" t="e">
        <v>#VALUE!</v>
      </c>
      <c r="DR112" t="e">
        <f>AND('BBP complete'!B1566,"AAAAAH1We3k=")</f>
        <v>#VALUE!</v>
      </c>
      <c r="DS112" t="e">
        <f>AND('BBP complete'!F1567,"AAAAAH1We3o=")</f>
        <v>#VALUE!</v>
      </c>
      <c r="DT112" t="e">
        <f>AND('BBP complete'!G1567,"AAAAAH1We3s=")</f>
        <v>#VALUE!</v>
      </c>
      <c r="DU112" t="e">
        <f>AND('BBP complete'!D1566,"AAAAAH1We3w=")</f>
        <v>#VALUE!</v>
      </c>
      <c r="DV112" t="e">
        <f>AND('BBP complete'!H1565,"AAAAAH1We30=")</f>
        <v>#VALUE!</v>
      </c>
      <c r="DW112" t="e">
        <f>AND('BBP complete'!I1564,"AAAAAH1We34=")</f>
        <v>#VALUE!</v>
      </c>
      <c r="DX112" t="e">
        <f>AND('BBP complete'!#REF!,"AAAAAH1We38=")</f>
        <v>#REF!</v>
      </c>
      <c r="DY112" t="e">
        <f>AND('BBP complete'!#REF!,"AAAAAH1We4A=")</f>
        <v>#REF!</v>
      </c>
      <c r="DZ112" t="e">
        <f>AND('BBP complete'!#REF!,"AAAAAH1We4E=")</f>
        <v>#REF!</v>
      </c>
      <c r="EA112" t="e">
        <f>AND('BBP complete'!#REF!,"AAAAAH1We4I=")</f>
        <v>#REF!</v>
      </c>
      <c r="EB112" t="e">
        <f>AND('BBP complete'!#REF!,"AAAAAH1We4M=")</f>
        <v>#REF!</v>
      </c>
      <c r="EC112" t="e">
        <f>AND('BBP complete'!#REF!,"AAAAAH1We4Q=")</f>
        <v>#REF!</v>
      </c>
      <c r="ED112" t="e">
        <f>AND('BBP complete'!K1621,"AAAAAH1We4U=")</f>
        <v>#VALUE!</v>
      </c>
      <c r="EE112" t="e">
        <f>AND('BBP complete'!N1562,"AAAAAH1We4Y=")</f>
        <v>#VALUE!</v>
      </c>
      <c r="EF112" t="e">
        <f>AND('BBP complete'!P1578,"AAAAAH1We4c=")</f>
        <v>#VALUE!</v>
      </c>
      <c r="EG112" s="60" t="e">
        <v>#VALUE!</v>
      </c>
      <c r="EH112" t="e">
        <f>AND('BBP complete'!B1567,"AAAAAH1We4k=")</f>
        <v>#VALUE!</v>
      </c>
      <c r="EI112" t="e">
        <f>AND('BBP complete'!F1568,"AAAAAH1We4o=")</f>
        <v>#VALUE!</v>
      </c>
      <c r="EJ112" t="e">
        <f>AND('BBP complete'!G1568,"AAAAAH1We4s=")</f>
        <v>#VALUE!</v>
      </c>
      <c r="EK112" t="e">
        <f>AND('BBP complete'!D1567,"AAAAAH1We4w=")</f>
        <v>#VALUE!</v>
      </c>
      <c r="EL112" t="e">
        <f>AND('BBP complete'!H1566,"AAAAAH1We40=")</f>
        <v>#VALUE!</v>
      </c>
      <c r="EM112" t="e">
        <f>AND('BBP complete'!I1565,"AAAAAH1We44=")</f>
        <v>#VALUE!</v>
      </c>
      <c r="EN112" t="e">
        <f>AND('BBP complete'!#REF!,"AAAAAH1We48=")</f>
        <v>#REF!</v>
      </c>
      <c r="EO112" t="e">
        <f>AND('BBP complete'!#REF!,"AAAAAH1We5A=")</f>
        <v>#REF!</v>
      </c>
      <c r="EP112" t="e">
        <f>AND('BBP complete'!#REF!,"AAAAAH1We5E=")</f>
        <v>#REF!</v>
      </c>
      <c r="EQ112" t="e">
        <f>AND('BBP complete'!#REF!,"AAAAAH1We5I=")</f>
        <v>#REF!</v>
      </c>
      <c r="ER112" t="e">
        <f>AND('BBP complete'!#REF!,"AAAAAH1We5M=")</f>
        <v>#REF!</v>
      </c>
      <c r="ES112" t="e">
        <f>AND('BBP complete'!#REF!,"AAAAAH1We5Q=")</f>
        <v>#REF!</v>
      </c>
      <c r="ET112" t="e">
        <f>AND('BBP complete'!M1563,"AAAAAH1We5U=")</f>
        <v>#VALUE!</v>
      </c>
      <c r="EU112" t="e">
        <f>AND('BBP complete'!N1563,"AAAAAH1We5Y=")</f>
        <v>#VALUE!</v>
      </c>
      <c r="EV112" t="e">
        <f>AND('BBP complete'!P1579,"AAAAAH1We5c=")</f>
        <v>#VALUE!</v>
      </c>
      <c r="EW112" s="60" t="e">
        <v>#VALUE!</v>
      </c>
      <c r="EX112" t="e">
        <f>AND('BBP complete'!B1568,"AAAAAH1We5k=")</f>
        <v>#VALUE!</v>
      </c>
      <c r="EY112" t="e">
        <f>AND('BBP complete'!F1569,"AAAAAH1We5o=")</f>
        <v>#VALUE!</v>
      </c>
      <c r="EZ112" t="e">
        <f>AND('BBP complete'!G1569,"AAAAAH1We5s=")</f>
        <v>#VALUE!</v>
      </c>
      <c r="FA112" t="e">
        <f>AND('BBP complete'!D1568,"AAAAAH1We5w=")</f>
        <v>#VALUE!</v>
      </c>
      <c r="FB112" t="e">
        <f>AND('BBP complete'!H1567,"AAAAAH1We50=")</f>
        <v>#VALUE!</v>
      </c>
      <c r="FC112" t="e">
        <f>AND('BBP complete'!I1566,"AAAAAH1We54=")</f>
        <v>#VALUE!</v>
      </c>
      <c r="FD112" t="e">
        <f>AND('BBP complete'!#REF!,"AAAAAH1We58=")</f>
        <v>#REF!</v>
      </c>
      <c r="FE112" t="e">
        <f>AND('BBP complete'!#REF!,"AAAAAH1We6A=")</f>
        <v>#REF!</v>
      </c>
      <c r="FF112" t="e">
        <f>AND('BBP complete'!#REF!,"AAAAAH1We6E=")</f>
        <v>#REF!</v>
      </c>
      <c r="FG112" t="e">
        <f>AND('BBP complete'!#REF!,"AAAAAH1We6I=")</f>
        <v>#REF!</v>
      </c>
      <c r="FH112" t="e">
        <f>AND('BBP complete'!#REF!,"AAAAAH1We6M=")</f>
        <v>#REF!</v>
      </c>
      <c r="FI112" t="e">
        <f>AND('BBP complete'!#REF!,"AAAAAH1We6Q=")</f>
        <v>#REF!</v>
      </c>
      <c r="FJ112" t="e">
        <f>AND('BBP complete'!M1564,"AAAAAH1We6U=")</f>
        <v>#VALUE!</v>
      </c>
      <c r="FK112" t="e">
        <f>AND('BBP complete'!N1564,"AAAAAH1We6Y=")</f>
        <v>#VALUE!</v>
      </c>
      <c r="FL112" t="e">
        <f>AND('BBP complete'!P1580,"AAAAAH1We6c=")</f>
        <v>#VALUE!</v>
      </c>
      <c r="FM112" s="60" t="e">
        <v>#VALUE!</v>
      </c>
      <c r="FN112" t="e">
        <f>AND('BBP complete'!B1569,"AAAAAH1We6k=")</f>
        <v>#VALUE!</v>
      </c>
      <c r="FO112" t="e">
        <f>AND('BBP complete'!F1570,"AAAAAH1We6o=")</f>
        <v>#VALUE!</v>
      </c>
      <c r="FP112" t="e">
        <f>AND('BBP complete'!G1570,"AAAAAH1We6s=")</f>
        <v>#VALUE!</v>
      </c>
      <c r="FQ112" t="e">
        <f>AND('BBP complete'!D1569,"AAAAAH1We6w=")</f>
        <v>#VALUE!</v>
      </c>
      <c r="FR112" t="e">
        <f>AND('BBP complete'!H1568,"AAAAAH1We60=")</f>
        <v>#VALUE!</v>
      </c>
      <c r="FS112" t="e">
        <f>AND('BBP complete'!I1567,"AAAAAH1We64=")</f>
        <v>#VALUE!</v>
      </c>
      <c r="FT112" t="e">
        <f>AND('BBP complete'!#REF!,"AAAAAH1We68=")</f>
        <v>#REF!</v>
      </c>
      <c r="FU112" t="e">
        <f>AND('BBP complete'!#REF!,"AAAAAH1We7A=")</f>
        <v>#REF!</v>
      </c>
      <c r="FV112" t="e">
        <f>AND('BBP complete'!#REF!,"AAAAAH1We7E=")</f>
        <v>#REF!</v>
      </c>
      <c r="FW112" t="e">
        <f>AND('BBP complete'!#REF!,"AAAAAH1We7I=")</f>
        <v>#REF!</v>
      </c>
      <c r="FX112" t="e">
        <f>AND('BBP complete'!#REF!,"AAAAAH1We7M=")</f>
        <v>#REF!</v>
      </c>
      <c r="FY112" t="e">
        <f>AND('BBP complete'!#REF!,"AAAAAH1We7Q=")</f>
        <v>#REF!</v>
      </c>
      <c r="FZ112" t="e">
        <f>AND('BBP complete'!M1565,"AAAAAH1We7U=")</f>
        <v>#VALUE!</v>
      </c>
      <c r="GA112" t="e">
        <f>AND('BBP complete'!N1565,"AAAAAH1We7Y=")</f>
        <v>#VALUE!</v>
      </c>
      <c r="GB112" t="e">
        <f>AND('BBP complete'!P1581,"AAAAAH1We7c=")</f>
        <v>#VALUE!</v>
      </c>
      <c r="GC112" s="60" t="e">
        <v>#VALUE!</v>
      </c>
      <c r="GD112" t="e">
        <f>AND('BBP complete'!B1570,"AAAAAH1We7k=")</f>
        <v>#VALUE!</v>
      </c>
      <c r="GE112" t="e">
        <f>AND('BBP complete'!F1571,"AAAAAH1We7o=")</f>
        <v>#VALUE!</v>
      </c>
      <c r="GF112" t="e">
        <f>AND('BBP complete'!G1571,"AAAAAH1We7s=")</f>
        <v>#VALUE!</v>
      </c>
      <c r="GG112" t="e">
        <f>AND('BBP complete'!D1570,"AAAAAH1We7w=")</f>
        <v>#VALUE!</v>
      </c>
      <c r="GH112" t="e">
        <f>AND('BBP complete'!H1569,"AAAAAH1We70=")</f>
        <v>#VALUE!</v>
      </c>
      <c r="GI112" t="e">
        <f>AND('BBP complete'!I1568,"AAAAAH1We74=")</f>
        <v>#VALUE!</v>
      </c>
      <c r="GJ112" t="e">
        <f>AND('BBP complete'!#REF!,"AAAAAH1We78=")</f>
        <v>#REF!</v>
      </c>
      <c r="GK112" t="e">
        <f>AND('BBP complete'!#REF!,"AAAAAH1We8A=")</f>
        <v>#REF!</v>
      </c>
      <c r="GL112" t="e">
        <f>AND('BBP complete'!#REF!,"AAAAAH1We8E=")</f>
        <v>#REF!</v>
      </c>
      <c r="GM112" t="e">
        <f>AND('BBP complete'!#REF!,"AAAAAH1We8I=")</f>
        <v>#REF!</v>
      </c>
      <c r="GN112" t="e">
        <f>AND('BBP complete'!#REF!,"AAAAAH1We8M=")</f>
        <v>#REF!</v>
      </c>
      <c r="GO112" t="e">
        <f>AND('BBP complete'!#REF!,"AAAAAH1We8Q=")</f>
        <v>#REF!</v>
      </c>
      <c r="GP112" t="e">
        <f>AND('BBP complete'!M1566,"AAAAAH1We8U=")</f>
        <v>#VALUE!</v>
      </c>
      <c r="GQ112" t="e">
        <f>AND('BBP complete'!N1566,"AAAAAH1We8Y=")</f>
        <v>#VALUE!</v>
      </c>
      <c r="GR112" t="e">
        <f>AND('BBP complete'!P1582,"AAAAAH1We8c=")</f>
        <v>#VALUE!</v>
      </c>
      <c r="GS112" s="60" t="e">
        <v>#VALUE!</v>
      </c>
      <c r="GT112" t="e">
        <f>AND('BBP complete'!B1571,"AAAAAH1We8k=")</f>
        <v>#VALUE!</v>
      </c>
      <c r="GU112" t="e">
        <f>AND('BBP complete'!F1572,"AAAAAH1We8o=")</f>
        <v>#VALUE!</v>
      </c>
      <c r="GV112" t="e">
        <f>AND('BBP complete'!G1572,"AAAAAH1We8s=")</f>
        <v>#VALUE!</v>
      </c>
      <c r="GW112" t="e">
        <f>AND('BBP complete'!D1571,"AAAAAH1We8w=")</f>
        <v>#VALUE!</v>
      </c>
      <c r="GX112" t="e">
        <f>AND('BBP complete'!H1570,"AAAAAH1We80=")</f>
        <v>#VALUE!</v>
      </c>
      <c r="GY112" t="e">
        <f>AND('BBP complete'!I1569,"AAAAAH1We84=")</f>
        <v>#VALUE!</v>
      </c>
      <c r="GZ112" t="e">
        <f>AND('BBP complete'!#REF!,"AAAAAH1We88=")</f>
        <v>#REF!</v>
      </c>
      <c r="HA112" t="e">
        <f>AND('BBP complete'!#REF!,"AAAAAH1We9A=")</f>
        <v>#REF!</v>
      </c>
      <c r="HB112" t="e">
        <f>AND('BBP complete'!#REF!,"AAAAAH1We9E=")</f>
        <v>#REF!</v>
      </c>
      <c r="HC112" t="e">
        <f>AND('BBP complete'!#REF!,"AAAAAH1We9I=")</f>
        <v>#REF!</v>
      </c>
      <c r="HD112" t="e">
        <f>AND('BBP complete'!#REF!,"AAAAAH1We9M=")</f>
        <v>#REF!</v>
      </c>
      <c r="HE112" t="e">
        <f>AND('BBP complete'!#REF!,"AAAAAH1We9Q=")</f>
        <v>#REF!</v>
      </c>
      <c r="HF112" t="e">
        <f>AND('BBP complete'!M1567,"AAAAAH1We9U=")</f>
        <v>#VALUE!</v>
      </c>
      <c r="HG112" t="e">
        <f>AND('BBP complete'!N1567,"AAAAAH1We9Y=")</f>
        <v>#VALUE!</v>
      </c>
      <c r="HH112" t="e">
        <f>AND('BBP complete'!P1583,"AAAAAH1We9c=")</f>
        <v>#VALUE!</v>
      </c>
      <c r="HI112" s="60" t="e">
        <v>#VALUE!</v>
      </c>
      <c r="HJ112" t="e">
        <f>AND('BBP complete'!B1572,"AAAAAH1We9k=")</f>
        <v>#VALUE!</v>
      </c>
      <c r="HK112" t="e">
        <f>AND('BBP complete'!F1573,"AAAAAH1We9o=")</f>
        <v>#VALUE!</v>
      </c>
      <c r="HL112" t="e">
        <f>AND('BBP complete'!G1573,"AAAAAH1We9s=")</f>
        <v>#VALUE!</v>
      </c>
      <c r="HM112" t="e">
        <f>AND('BBP complete'!D1572,"AAAAAH1We9w=")</f>
        <v>#VALUE!</v>
      </c>
      <c r="HN112" t="e">
        <f>AND('BBP complete'!H1571,"AAAAAH1We90=")</f>
        <v>#VALUE!</v>
      </c>
      <c r="HO112" t="e">
        <f>AND('BBP complete'!I1570,"AAAAAH1We94=")</f>
        <v>#VALUE!</v>
      </c>
      <c r="HP112" t="e">
        <f>AND('BBP complete'!#REF!,"AAAAAH1We98=")</f>
        <v>#REF!</v>
      </c>
      <c r="HQ112" t="e">
        <f>AND('BBP complete'!#REF!,"AAAAAH1We+A=")</f>
        <v>#REF!</v>
      </c>
      <c r="HR112" t="e">
        <f>AND('BBP complete'!#REF!,"AAAAAH1We+E=")</f>
        <v>#REF!</v>
      </c>
      <c r="HS112" t="e">
        <f>AND('BBP complete'!#REF!,"AAAAAH1We+I=")</f>
        <v>#REF!</v>
      </c>
      <c r="HT112" t="e">
        <f>AND('BBP complete'!#REF!,"AAAAAH1We+M=")</f>
        <v>#REF!</v>
      </c>
      <c r="HU112" t="e">
        <f>AND('BBP complete'!#REF!,"AAAAAH1We+Q=")</f>
        <v>#REF!</v>
      </c>
      <c r="HV112" t="e">
        <f>AND('BBP complete'!M1568,"AAAAAH1We+U=")</f>
        <v>#VALUE!</v>
      </c>
      <c r="HW112" t="e">
        <f>AND('BBP complete'!N1568,"AAAAAH1We+Y=")</f>
        <v>#VALUE!</v>
      </c>
      <c r="HX112" t="e">
        <f>AND('BBP complete'!P1584,"AAAAAH1We+c=")</f>
        <v>#VALUE!</v>
      </c>
      <c r="HY112" s="60" t="e">
        <v>#VALUE!</v>
      </c>
      <c r="HZ112" s="60" t="e">
        <v>#VALUE!</v>
      </c>
      <c r="IA112" s="60" t="e">
        <v>#VALUE!</v>
      </c>
      <c r="IB112" s="60" t="e">
        <v>#VALUE!</v>
      </c>
      <c r="IC112" s="60" t="e">
        <v>#VALUE!</v>
      </c>
      <c r="ID112" s="60" t="e">
        <v>#VALUE!</v>
      </c>
      <c r="IE112" s="60" t="e">
        <v>#VALUE!</v>
      </c>
      <c r="IF112" s="60" t="e">
        <v>#VALUE!</v>
      </c>
      <c r="IG112" s="60" t="e">
        <v>#VALUE!</v>
      </c>
      <c r="IH112" s="60" t="e">
        <v>#VALUE!</v>
      </c>
      <c r="II112" s="60" t="e">
        <v>#VALUE!</v>
      </c>
      <c r="IJ112" s="60" t="e">
        <v>#VALUE!</v>
      </c>
      <c r="IK112" s="60" t="e">
        <v>#VALUE!</v>
      </c>
      <c r="IL112" s="60" t="e">
        <v>#VALUE!</v>
      </c>
      <c r="IM112" s="60" t="e">
        <v>#VALUE!</v>
      </c>
      <c r="IN112" s="60" t="e">
        <v>#VALUE!</v>
      </c>
      <c r="IO112" s="60" t="e">
        <v>#VALUE!</v>
      </c>
      <c r="IP112" s="60" t="e">
        <v>#VALUE!</v>
      </c>
      <c r="IQ112" s="60" t="e">
        <v>#VALUE!</v>
      </c>
      <c r="IR112" s="60" t="e">
        <v>#VALUE!</v>
      </c>
      <c r="IS112" s="60" t="e">
        <v>#VALUE!</v>
      </c>
      <c r="IT112" s="60" t="e">
        <v>#VALUE!</v>
      </c>
      <c r="IU112" s="60" t="e">
        <v>#VALUE!</v>
      </c>
      <c r="IV112" s="60" t="e">
        <v>#VALUE!</v>
      </c>
    </row>
    <row r="113" spans="1:256" ht="15" customHeight="1" x14ac:dyDescent="0.25">
      <c r="A113" s="60" t="e">
        <v>#VALUE!</v>
      </c>
      <c r="B113" s="60" t="e">
        <v>#VALUE!</v>
      </c>
      <c r="C113" s="60" t="e">
        <v>#VALUE!</v>
      </c>
      <c r="D113" s="60" t="e">
        <v>#VALUE!</v>
      </c>
      <c r="E113" s="60" t="e">
        <v>#VALUE!</v>
      </c>
      <c r="F113" s="60" t="e">
        <v>#VALUE!</v>
      </c>
      <c r="G113" s="60" t="e">
        <v>#VALUE!</v>
      </c>
      <c r="H113" s="60" t="e">
        <v>#VALUE!</v>
      </c>
      <c r="I113" s="60" t="e">
        <v>#VALUE!</v>
      </c>
      <c r="J113" s="60" t="e">
        <v>#VALUE!</v>
      </c>
      <c r="K113" s="60" t="e">
        <v>#VALUE!</v>
      </c>
      <c r="L113" s="60" t="e">
        <v>#VALUE!</v>
      </c>
      <c r="M113" s="60" t="e">
        <v>#VALUE!</v>
      </c>
      <c r="N113" s="60" t="e">
        <v>#VALUE!</v>
      </c>
      <c r="O113" s="60" t="e">
        <v>#VALUE!</v>
      </c>
      <c r="P113" s="60" t="e">
        <v>#VALUE!</v>
      </c>
      <c r="Q113" s="60" t="e">
        <v>#VALUE!</v>
      </c>
      <c r="R113" s="60" t="e">
        <v>#VALUE!</v>
      </c>
      <c r="S113" s="60" t="e">
        <v>#VALUE!</v>
      </c>
      <c r="T113" s="60" t="e">
        <v>#VALUE!</v>
      </c>
      <c r="U113" s="60" t="e">
        <v>#VALUE!</v>
      </c>
      <c r="V113" s="60" t="e">
        <v>#VALUE!</v>
      </c>
      <c r="W113" s="60" t="e">
        <v>#VALUE!</v>
      </c>
      <c r="X113" s="60" t="e">
        <v>#VALUE!</v>
      </c>
      <c r="Y113" s="60" t="e">
        <v>#VALUE!</v>
      </c>
      <c r="Z113" s="60" t="e">
        <v>#VALUE!</v>
      </c>
      <c r="AA113" s="60" t="e">
        <v>#VALUE!</v>
      </c>
      <c r="AB113" s="60" t="e">
        <v>#VALUE!</v>
      </c>
      <c r="AC113" s="60" t="e">
        <v>#VALUE!</v>
      </c>
      <c r="AD113" s="60" t="e">
        <v>#VALUE!</v>
      </c>
      <c r="AE113" s="60" t="e">
        <v>#VALUE!</v>
      </c>
      <c r="AF113" s="60" t="e">
        <v>#VALUE!</v>
      </c>
      <c r="AG113" s="60" t="e">
        <v>#VALUE!</v>
      </c>
      <c r="AH113" s="60" t="e">
        <v>#VALUE!</v>
      </c>
      <c r="AI113" s="60" t="e">
        <v>#VALUE!</v>
      </c>
      <c r="AJ113" s="60" t="e">
        <v>#VALUE!</v>
      </c>
      <c r="AK113" s="60" t="e">
        <v>#VALUE!</v>
      </c>
      <c r="AL113" s="60" t="e">
        <v>#VALUE!</v>
      </c>
      <c r="AM113" s="60" t="e">
        <v>#VALUE!</v>
      </c>
      <c r="AN113" s="60" t="e">
        <v>#VALUE!</v>
      </c>
      <c r="AO113" s="60" t="e">
        <v>#VALUE!</v>
      </c>
      <c r="AP113" s="60" t="e">
        <v>#VALUE!</v>
      </c>
      <c r="AQ113" s="60" t="e">
        <v>#VALUE!</v>
      </c>
      <c r="AR113" s="60" t="e">
        <v>#VALUE!</v>
      </c>
      <c r="AS113" s="60" t="e">
        <v>#VALUE!</v>
      </c>
      <c r="AT113" s="60" t="e">
        <v>#VALUE!</v>
      </c>
      <c r="AU113" s="60" t="e">
        <v>#VALUE!</v>
      </c>
      <c r="AV113" s="60" t="e">
        <v>#VALUE!</v>
      </c>
      <c r="AW113" s="60" t="e">
        <v>#VALUE!</v>
      </c>
      <c r="AX113" s="60" t="e">
        <v>#VALUE!</v>
      </c>
      <c r="AY113" s="60" t="e">
        <v>#VALUE!</v>
      </c>
      <c r="AZ113" s="60" t="e">
        <v>#VALUE!</v>
      </c>
      <c r="BA113" s="60" t="e">
        <v>#VALUE!</v>
      </c>
      <c r="BB113" s="60" t="e">
        <v>#VALUE!</v>
      </c>
      <c r="BC113" s="60" t="e">
        <v>#VALUE!</v>
      </c>
      <c r="BD113" s="60" t="e">
        <v>#VALUE!</v>
      </c>
      <c r="BE113" s="60" t="e">
        <v>#VALUE!</v>
      </c>
      <c r="BF113" s="60" t="e">
        <v>#VALUE!</v>
      </c>
      <c r="BG113" s="60" t="e">
        <v>#VALUE!</v>
      </c>
      <c r="BH113" s="60" t="e">
        <v>#VALUE!</v>
      </c>
      <c r="BI113" s="60" t="e">
        <v>#VALUE!</v>
      </c>
      <c r="BJ113" s="60" t="e">
        <v>#VALUE!</v>
      </c>
      <c r="BK113" s="60" t="e">
        <v>#VALUE!</v>
      </c>
      <c r="BL113" s="60" t="e">
        <v>#VALUE!</v>
      </c>
      <c r="BM113" s="60" t="e">
        <v>#VALUE!</v>
      </c>
      <c r="BN113" s="60" t="e">
        <v>#VALUE!</v>
      </c>
      <c r="BO113" s="60" t="e">
        <v>#VALUE!</v>
      </c>
      <c r="BP113" s="60" t="e">
        <v>#VALUE!</v>
      </c>
      <c r="BQ113" s="60" t="e">
        <v>#VALUE!</v>
      </c>
      <c r="BR113" s="60" t="e">
        <v>#VALUE!</v>
      </c>
      <c r="BS113" s="60" t="e">
        <v>#VALUE!</v>
      </c>
      <c r="BT113" s="60" t="e">
        <v>#VALUE!</v>
      </c>
      <c r="BU113" s="60" t="e">
        <v>#VALUE!</v>
      </c>
      <c r="BV113" s="60" t="e">
        <v>#VALUE!</v>
      </c>
      <c r="BW113" s="60" t="e">
        <v>#VALUE!</v>
      </c>
      <c r="BX113" s="60" t="e">
        <v>#VALUE!</v>
      </c>
      <c r="BY113" s="60" t="e">
        <v>#VALUE!</v>
      </c>
      <c r="BZ113" s="60" t="e">
        <v>#VALUE!</v>
      </c>
      <c r="CA113" s="60" t="e">
        <v>#VALUE!</v>
      </c>
      <c r="CB113" s="60" t="e">
        <v>#VALUE!</v>
      </c>
      <c r="CC113" s="60" t="e">
        <v>#VALUE!</v>
      </c>
      <c r="CD113" s="60" t="e">
        <v>#VALUE!</v>
      </c>
      <c r="CE113" s="60" t="e">
        <v>#VALUE!</v>
      </c>
      <c r="CF113" s="60" t="e">
        <v>#VALUE!</v>
      </c>
      <c r="CG113" s="60" t="e">
        <v>#VALUE!</v>
      </c>
      <c r="CH113" s="60" t="e">
        <v>#VALUE!</v>
      </c>
      <c r="CI113" s="60" t="e">
        <v>#VALUE!</v>
      </c>
      <c r="CJ113" s="60" t="e">
        <v>#VALUE!</v>
      </c>
      <c r="CK113" s="60" t="e">
        <v>#VALUE!</v>
      </c>
      <c r="CL113" s="60" t="e">
        <v>#VALUE!</v>
      </c>
      <c r="CM113" s="60" t="e">
        <v>#VALUE!</v>
      </c>
      <c r="CN113" s="60" t="e">
        <v>#VALUE!</v>
      </c>
      <c r="CO113" s="60" t="e">
        <v>#VALUE!</v>
      </c>
      <c r="CP113" s="60" t="e">
        <v>#VALUE!</v>
      </c>
      <c r="CQ113" s="60" t="e">
        <v>#VALUE!</v>
      </c>
      <c r="CR113" s="60" t="e">
        <v>#VALUE!</v>
      </c>
      <c r="CS113" s="60" t="e">
        <v>#VALUE!</v>
      </c>
      <c r="CT113" s="60" t="e">
        <v>#VALUE!</v>
      </c>
      <c r="CU113" s="60" t="e">
        <v>#VALUE!</v>
      </c>
      <c r="CV113" s="60" t="e">
        <v>#VALUE!</v>
      </c>
      <c r="CW113" s="60" t="e">
        <v>#VALUE!</v>
      </c>
      <c r="CX113" s="60" t="e">
        <v>#VALUE!</v>
      </c>
      <c r="CY113" s="60" t="e">
        <v>#VALUE!</v>
      </c>
      <c r="CZ113" s="60" t="e">
        <v>#VALUE!</v>
      </c>
      <c r="DA113" s="60" t="e">
        <v>#VALUE!</v>
      </c>
      <c r="DB113" s="60" t="e">
        <v>#VALUE!</v>
      </c>
      <c r="DC113" s="60" t="e">
        <v>#VALUE!</v>
      </c>
      <c r="DD113" s="60" t="e">
        <v>#VALUE!</v>
      </c>
      <c r="DE113" s="60" t="e">
        <v>#VALUE!</v>
      </c>
      <c r="DF113" s="60" t="e">
        <v>#VALUE!</v>
      </c>
      <c r="DG113" s="60" t="e">
        <v>#VALUE!</v>
      </c>
      <c r="DH113" s="60" t="e">
        <v>#VALUE!</v>
      </c>
      <c r="DI113" s="60" t="e">
        <v>#VALUE!</v>
      </c>
      <c r="DJ113" s="60" t="e">
        <v>#VALUE!</v>
      </c>
      <c r="DK113" s="60" t="e">
        <v>#VALUE!</v>
      </c>
      <c r="DL113" s="60" t="e">
        <v>#VALUE!</v>
      </c>
      <c r="DM113" s="60" t="e">
        <v>#VALUE!</v>
      </c>
      <c r="DN113" s="60" t="e">
        <v>#VALUE!</v>
      </c>
      <c r="DO113" s="60" t="e">
        <v>#VALUE!</v>
      </c>
      <c r="DP113" s="60" t="e">
        <v>#VALUE!</v>
      </c>
      <c r="DQ113" s="60" t="e">
        <v>#VALUE!</v>
      </c>
      <c r="DR113" s="60" t="e">
        <v>#VALUE!</v>
      </c>
      <c r="DS113" s="60" t="e">
        <v>#VALUE!</v>
      </c>
      <c r="DT113" s="60" t="e">
        <v>#VALUE!</v>
      </c>
      <c r="DU113" s="60" t="e">
        <v>#VALUE!</v>
      </c>
      <c r="DV113" s="60" t="e">
        <v>#VALUE!</v>
      </c>
      <c r="DW113" s="60" t="e">
        <v>#VALUE!</v>
      </c>
      <c r="DX113" s="60" t="e">
        <v>#VALUE!</v>
      </c>
      <c r="DY113" s="60" t="e">
        <v>#VALUE!</v>
      </c>
      <c r="DZ113" s="60" t="e">
        <v>#VALUE!</v>
      </c>
      <c r="EA113" s="60" t="e">
        <v>#VALUE!</v>
      </c>
      <c r="EB113" s="60" t="e">
        <v>#VALUE!</v>
      </c>
      <c r="EC113" s="60" t="e">
        <v>#VALUE!</v>
      </c>
      <c r="ED113" s="60" t="e">
        <v>#VALUE!</v>
      </c>
      <c r="EE113" s="60" t="e">
        <v>#VALUE!</v>
      </c>
      <c r="EF113" s="60" t="e">
        <v>#VALUE!</v>
      </c>
      <c r="EG113" s="60" t="e">
        <v>#VALUE!</v>
      </c>
      <c r="EH113" s="60" t="e">
        <v>#VALUE!</v>
      </c>
      <c r="EI113" s="60" t="e">
        <v>#VALUE!</v>
      </c>
      <c r="EJ113" s="60" t="e">
        <v>#VALUE!</v>
      </c>
      <c r="EK113" s="60" t="e">
        <v>#VALUE!</v>
      </c>
      <c r="EL113" s="60" t="e">
        <v>#VALUE!</v>
      </c>
      <c r="EM113" s="60" t="e">
        <v>#VALUE!</v>
      </c>
      <c r="EN113" s="60" t="e">
        <v>#VALUE!</v>
      </c>
      <c r="EO113" s="60" t="e">
        <v>#VALUE!</v>
      </c>
      <c r="EP113" s="60" t="e">
        <v>#VALUE!</v>
      </c>
      <c r="EQ113" s="60" t="e">
        <v>#VALUE!</v>
      </c>
      <c r="ER113" s="60" t="e">
        <v>#VALUE!</v>
      </c>
      <c r="ES113" s="60" t="e">
        <v>#VALUE!</v>
      </c>
      <c r="ET113" s="60" t="e">
        <v>#VALUE!</v>
      </c>
      <c r="EU113" s="60" t="e">
        <v>#VALUE!</v>
      </c>
      <c r="EV113" s="60" t="e">
        <v>#VALUE!</v>
      </c>
      <c r="EW113" s="60" t="e">
        <v>#VALUE!</v>
      </c>
      <c r="EX113" s="60" t="e">
        <v>#VALUE!</v>
      </c>
      <c r="EY113" s="60" t="e">
        <v>#VALUE!</v>
      </c>
      <c r="EZ113" s="60" t="e">
        <v>#VALUE!</v>
      </c>
      <c r="FA113" s="60" t="e">
        <v>#VALUE!</v>
      </c>
      <c r="FB113" s="60" t="e">
        <v>#VALUE!</v>
      </c>
      <c r="FC113" s="60" t="e">
        <v>#VALUE!</v>
      </c>
      <c r="FD113" s="60" t="e">
        <v>#VALUE!</v>
      </c>
      <c r="FE113" s="60" t="e">
        <v>#VALUE!</v>
      </c>
      <c r="FF113" s="60" t="e">
        <v>#VALUE!</v>
      </c>
      <c r="FG113" s="60" t="e">
        <v>#VALUE!</v>
      </c>
      <c r="FH113" s="60" t="e">
        <v>#VALUE!</v>
      </c>
      <c r="FI113" s="60" t="e">
        <v>#VALUE!</v>
      </c>
      <c r="FJ113" s="60" t="e">
        <v>#VALUE!</v>
      </c>
      <c r="FK113" s="60" t="e">
        <v>#VALUE!</v>
      </c>
      <c r="FL113" s="60" t="e">
        <v>#VALUE!</v>
      </c>
      <c r="FM113" s="60" t="e">
        <v>#VALUE!</v>
      </c>
      <c r="FN113" s="60" t="e">
        <v>#VALUE!</v>
      </c>
      <c r="FO113" s="60" t="e">
        <v>#VALUE!</v>
      </c>
      <c r="FP113" s="60" t="e">
        <v>#VALUE!</v>
      </c>
      <c r="FQ113" s="60" t="e">
        <v>#VALUE!</v>
      </c>
      <c r="FR113" s="60" t="e">
        <v>#VALUE!</v>
      </c>
      <c r="FS113" s="60" t="e">
        <v>#VALUE!</v>
      </c>
      <c r="FT113" s="60" t="e">
        <v>#VALUE!</v>
      </c>
      <c r="FU113" s="60" t="e">
        <v>#VALUE!</v>
      </c>
      <c r="FV113" s="60" t="e">
        <v>#VALUE!</v>
      </c>
      <c r="FW113" s="60" t="e">
        <v>#VALUE!</v>
      </c>
      <c r="FX113" s="60" t="e">
        <v>#VALUE!</v>
      </c>
      <c r="FY113" s="60" t="e">
        <v>#VALUE!</v>
      </c>
      <c r="FZ113" s="60" t="e">
        <v>#VALUE!</v>
      </c>
      <c r="GA113" s="60" t="e">
        <v>#VALUE!</v>
      </c>
      <c r="GB113" s="60" t="e">
        <v>#VALUE!</v>
      </c>
      <c r="GC113" s="60" t="e">
        <v>#VALUE!</v>
      </c>
      <c r="GD113" s="60" t="e">
        <v>#VALUE!</v>
      </c>
      <c r="GE113" s="60" t="e">
        <v>#VALUE!</v>
      </c>
      <c r="GF113" s="60" t="e">
        <v>#VALUE!</v>
      </c>
      <c r="GG113" s="60" t="e">
        <v>#VALUE!</v>
      </c>
      <c r="GH113" s="60" t="e">
        <v>#VALUE!</v>
      </c>
      <c r="GI113" s="60" t="e">
        <v>#VALUE!</v>
      </c>
      <c r="GJ113" s="60" t="e">
        <v>#VALUE!</v>
      </c>
      <c r="GK113" s="60" t="e">
        <v>#VALUE!</v>
      </c>
      <c r="GL113" s="60" t="e">
        <v>#VALUE!</v>
      </c>
      <c r="GM113" s="60" t="e">
        <v>#VALUE!</v>
      </c>
      <c r="GN113" s="60" t="e">
        <v>#VALUE!</v>
      </c>
      <c r="GO113" s="60" t="e">
        <v>#VALUE!</v>
      </c>
      <c r="GP113" s="60" t="e">
        <v>#VALUE!</v>
      </c>
      <c r="GQ113" s="60" t="e">
        <v>#VALUE!</v>
      </c>
      <c r="GR113" s="60" t="e">
        <v>#VALUE!</v>
      </c>
      <c r="GS113" s="60" t="e">
        <v>#VALUE!</v>
      </c>
      <c r="GT113" s="60" t="e">
        <v>#VALUE!</v>
      </c>
      <c r="GU113" s="60" t="e">
        <v>#VALUE!</v>
      </c>
      <c r="GV113" s="60" t="e">
        <v>#VALUE!</v>
      </c>
      <c r="GW113" s="60" t="e">
        <v>#VALUE!</v>
      </c>
      <c r="GX113" s="60" t="e">
        <v>#VALUE!</v>
      </c>
      <c r="GY113" s="60" t="e">
        <v>#VALUE!</v>
      </c>
      <c r="GZ113" s="60" t="e">
        <v>#VALUE!</v>
      </c>
      <c r="HA113" s="60" t="e">
        <v>#VALUE!</v>
      </c>
      <c r="HB113" s="60" t="e">
        <v>#VALUE!</v>
      </c>
      <c r="HC113" s="60" t="e">
        <v>#VALUE!</v>
      </c>
      <c r="HD113" s="60" t="e">
        <v>#VALUE!</v>
      </c>
      <c r="HE113" s="60" t="e">
        <v>#VALUE!</v>
      </c>
      <c r="HF113" s="60" t="e">
        <v>#VALUE!</v>
      </c>
      <c r="HG113" s="60" t="e">
        <v>#VALUE!</v>
      </c>
      <c r="HH113" s="60" t="e">
        <v>#VALUE!</v>
      </c>
      <c r="HI113" s="60" t="e">
        <v>#VALUE!</v>
      </c>
      <c r="HJ113" s="60" t="e">
        <v>#VALUE!</v>
      </c>
      <c r="HK113" s="60" t="e">
        <v>#VALUE!</v>
      </c>
      <c r="HL113" s="60" t="e">
        <v>#VALUE!</v>
      </c>
      <c r="HM113" s="60" t="e">
        <v>#VALUE!</v>
      </c>
      <c r="HN113" s="60" t="e">
        <v>#VALUE!</v>
      </c>
      <c r="HO113" s="60" t="e">
        <v>#VALUE!</v>
      </c>
      <c r="HP113" s="60" t="e">
        <v>#VALUE!</v>
      </c>
      <c r="HQ113" s="60" t="e">
        <v>#VALUE!</v>
      </c>
      <c r="HR113" s="60" t="e">
        <v>#VALUE!</v>
      </c>
      <c r="HS113" s="60" t="e">
        <v>#VALUE!</v>
      </c>
      <c r="HT113" s="60" t="e">
        <v>#VALUE!</v>
      </c>
      <c r="HU113" s="60" t="e">
        <v>#VALUE!</v>
      </c>
      <c r="HV113" s="60" t="e">
        <v>#VALUE!</v>
      </c>
      <c r="HW113" s="60" t="e">
        <v>#VALUE!</v>
      </c>
      <c r="HX113" s="60" t="e">
        <v>#VALUE!</v>
      </c>
      <c r="HY113" s="60" t="e">
        <v>#VALUE!</v>
      </c>
      <c r="HZ113" s="60" t="e">
        <v>#VALUE!</v>
      </c>
      <c r="IA113" s="60" t="e">
        <v>#VALUE!</v>
      </c>
      <c r="IB113" s="60" t="e">
        <v>#VALUE!</v>
      </c>
      <c r="IC113" s="60" t="e">
        <v>#VALUE!</v>
      </c>
      <c r="ID113" s="60" t="e">
        <v>#VALUE!</v>
      </c>
      <c r="IE113" s="60" t="e">
        <v>#VALUE!</v>
      </c>
      <c r="IF113" s="60" t="e">
        <v>#VALUE!</v>
      </c>
      <c r="IG113" s="60" t="e">
        <v>#VALUE!</v>
      </c>
      <c r="IH113" s="60" t="e">
        <v>#VALUE!</v>
      </c>
      <c r="II113" s="60" t="e">
        <v>#VALUE!</v>
      </c>
      <c r="IJ113" s="60" t="e">
        <v>#VALUE!</v>
      </c>
      <c r="IK113" s="60" t="e">
        <v>#VALUE!</v>
      </c>
      <c r="IL113" s="60" t="e">
        <v>#VALUE!</v>
      </c>
      <c r="IM113" s="60" t="e">
        <v>#VALUE!</v>
      </c>
      <c r="IN113" s="60" t="e">
        <v>#VALUE!</v>
      </c>
      <c r="IO113" s="60" t="e">
        <v>#VALUE!</v>
      </c>
      <c r="IP113" s="60" t="e">
        <v>#VALUE!</v>
      </c>
      <c r="IQ113" s="60" t="e">
        <v>#VALUE!</v>
      </c>
      <c r="IR113" s="60" t="e">
        <v>#VALUE!</v>
      </c>
      <c r="IS113" s="60" t="e">
        <v>#VALUE!</v>
      </c>
      <c r="IT113" s="60" t="e">
        <v>#VALUE!</v>
      </c>
      <c r="IU113" s="60" t="e">
        <v>#VALUE!</v>
      </c>
      <c r="IV113" s="60" t="e">
        <v>#VALUE!</v>
      </c>
    </row>
    <row r="114" spans="1:256" ht="15" customHeight="1" x14ac:dyDescent="0.25">
      <c r="A114" s="60" t="e">
        <v>#VALUE!</v>
      </c>
      <c r="B114" s="60" t="e">
        <v>#VALUE!</v>
      </c>
      <c r="C114" s="60" t="e">
        <v>#VALUE!</v>
      </c>
      <c r="D114" s="60" t="e">
        <v>#VALUE!</v>
      </c>
      <c r="E114" s="60" t="e">
        <v>#VALUE!</v>
      </c>
      <c r="F114" s="60" t="e">
        <v>#VALUE!</v>
      </c>
      <c r="G114" s="60" t="e">
        <v>#VALUE!</v>
      </c>
      <c r="H114" s="60" t="e">
        <v>#VALUE!</v>
      </c>
      <c r="I114" s="60" t="e">
        <v>#VALUE!</v>
      </c>
      <c r="J114" s="60" t="e">
        <v>#VALUE!</v>
      </c>
      <c r="K114" s="60" t="e">
        <v>#VALUE!</v>
      </c>
      <c r="L114" s="60" t="e">
        <v>#VALUE!</v>
      </c>
      <c r="M114" s="60" t="e">
        <v>#VALUE!</v>
      </c>
      <c r="N114" s="60" t="e">
        <v>#VALUE!</v>
      </c>
      <c r="O114" s="60" t="e">
        <v>#VALUE!</v>
      </c>
      <c r="P114" s="60" t="e">
        <v>#VALUE!</v>
      </c>
      <c r="Q114" s="60" t="e">
        <v>#VALUE!</v>
      </c>
      <c r="R114" s="60" t="e">
        <v>#VALUE!</v>
      </c>
      <c r="S114" s="60" t="e">
        <v>#VALUE!</v>
      </c>
      <c r="T114" s="60" t="e">
        <v>#VALUE!</v>
      </c>
      <c r="U114" s="60" t="e">
        <v>#VALUE!</v>
      </c>
      <c r="V114" s="60" t="e">
        <v>#VALUE!</v>
      </c>
      <c r="W114" s="60" t="e">
        <v>#VALUE!</v>
      </c>
      <c r="X114" s="60" t="e">
        <v>#VALUE!</v>
      </c>
      <c r="Y114" s="60" t="e">
        <v>#VALUE!</v>
      </c>
      <c r="Z114" s="60" t="e">
        <v>#VALUE!</v>
      </c>
      <c r="AA114" s="60" t="e">
        <v>#VALUE!</v>
      </c>
      <c r="AB114" s="60" t="e">
        <v>#VALUE!</v>
      </c>
      <c r="AC114" s="60" t="e">
        <v>#VALUE!</v>
      </c>
      <c r="AD114" s="60" t="e">
        <v>#VALUE!</v>
      </c>
      <c r="AE114" s="60" t="e">
        <v>#VALUE!</v>
      </c>
      <c r="AF114" s="60" t="e">
        <v>#VALUE!</v>
      </c>
      <c r="AG114" s="60" t="e">
        <v>#VALUE!</v>
      </c>
      <c r="AH114" s="60" t="e">
        <v>#VALUE!</v>
      </c>
      <c r="AI114" s="60" t="e">
        <v>#VALUE!</v>
      </c>
      <c r="AJ114" s="60" t="e">
        <v>#VALUE!</v>
      </c>
      <c r="AK114" s="60" t="e">
        <v>#VALUE!</v>
      </c>
      <c r="AL114" s="60" t="e">
        <v>#VALUE!</v>
      </c>
      <c r="AM114" s="60" t="e">
        <v>#VALUE!</v>
      </c>
      <c r="AN114" s="60" t="e">
        <v>#VALUE!</v>
      </c>
      <c r="AO114" s="60" t="e">
        <v>#VALUE!</v>
      </c>
      <c r="AP114" s="60" t="e">
        <v>#VALUE!</v>
      </c>
      <c r="AQ114" s="60" t="e">
        <v>#VALUE!</v>
      </c>
      <c r="AR114" s="60" t="e">
        <v>#VALUE!</v>
      </c>
      <c r="AS114" s="60" t="e">
        <v>#VALUE!</v>
      </c>
      <c r="AT114" s="60" t="e">
        <v>#VALUE!</v>
      </c>
      <c r="AU114" s="60" t="e">
        <v>#VALUE!</v>
      </c>
      <c r="AV114" s="60" t="e">
        <v>#VALUE!</v>
      </c>
      <c r="AW114" s="60" t="e">
        <v>#VALUE!</v>
      </c>
      <c r="AX114" s="60" t="e">
        <v>#VALUE!</v>
      </c>
      <c r="AY114" s="60" t="e">
        <v>#VALUE!</v>
      </c>
      <c r="AZ114" s="60" t="e">
        <v>#VALUE!</v>
      </c>
      <c r="BA114" s="60" t="e">
        <v>#VALUE!</v>
      </c>
      <c r="BB114" s="60" t="e">
        <v>#VALUE!</v>
      </c>
      <c r="BC114" s="60" t="e">
        <v>#VALUE!</v>
      </c>
      <c r="BD114" s="60" t="e">
        <v>#VALUE!</v>
      </c>
      <c r="BE114" s="60" t="e">
        <v>#VALUE!</v>
      </c>
      <c r="BF114" s="60" t="e">
        <v>#VALUE!</v>
      </c>
      <c r="BG114" s="60" t="e">
        <v>#VALUE!</v>
      </c>
      <c r="BH114" s="60" t="e">
        <v>#VALUE!</v>
      </c>
      <c r="BI114" s="60" t="e">
        <v>#VALUE!</v>
      </c>
      <c r="BJ114" s="60" t="e">
        <v>#VALUE!</v>
      </c>
      <c r="BK114" s="60" t="e">
        <v>#VALUE!</v>
      </c>
      <c r="BL114" s="60" t="e">
        <v>#VALUE!</v>
      </c>
      <c r="BM114" s="60" t="e">
        <v>#VALUE!</v>
      </c>
      <c r="BN114" s="60" t="e">
        <v>#VALUE!</v>
      </c>
      <c r="BO114" s="60" t="e">
        <v>#VALUE!</v>
      </c>
      <c r="BP114" s="60" t="e">
        <v>#VALUE!</v>
      </c>
      <c r="BQ114" s="60" t="e">
        <v>#VALUE!</v>
      </c>
      <c r="BR114" s="60" t="e">
        <v>#VALUE!</v>
      </c>
      <c r="BS114" s="60" t="e">
        <v>#VALUE!</v>
      </c>
      <c r="BT114" s="60" t="e">
        <v>#VALUE!</v>
      </c>
      <c r="BU114" s="60" t="e">
        <v>#VALUE!</v>
      </c>
      <c r="BV114" s="60" t="e">
        <v>#VALUE!</v>
      </c>
      <c r="BW114" s="60" t="e">
        <v>#VALUE!</v>
      </c>
      <c r="BX114" s="60" t="e">
        <v>#VALUE!</v>
      </c>
      <c r="BY114" s="60" t="e">
        <v>#VALUE!</v>
      </c>
      <c r="BZ114" s="60" t="e">
        <v>#VALUE!</v>
      </c>
      <c r="CA114" s="60" t="e">
        <v>#VALUE!</v>
      </c>
      <c r="CB114" s="60" t="e">
        <v>#VALUE!</v>
      </c>
      <c r="CC114" s="60" t="e">
        <v>#VALUE!</v>
      </c>
      <c r="CD114" s="60" t="e">
        <v>#VALUE!</v>
      </c>
      <c r="CE114" s="60" t="e">
        <v>#VALUE!</v>
      </c>
      <c r="CF114" s="60" t="e">
        <v>#VALUE!</v>
      </c>
      <c r="CG114" s="60" t="e">
        <v>#VALUE!</v>
      </c>
      <c r="CH114" s="60" t="e">
        <v>#VALUE!</v>
      </c>
      <c r="CI114" s="60" t="e">
        <v>#VALUE!</v>
      </c>
      <c r="CJ114" s="60" t="e">
        <v>#VALUE!</v>
      </c>
      <c r="CK114" s="60" t="e">
        <v>#VALUE!</v>
      </c>
      <c r="CL114" s="60" t="e">
        <v>#VALUE!</v>
      </c>
      <c r="CM114" s="60" t="e">
        <v>#VALUE!</v>
      </c>
      <c r="CN114" s="60" t="e">
        <v>#VALUE!</v>
      </c>
      <c r="CO114" s="60" t="e">
        <v>#VALUE!</v>
      </c>
      <c r="CP114" s="60" t="e">
        <v>#VALUE!</v>
      </c>
      <c r="CQ114" s="60" t="e">
        <v>#VALUE!</v>
      </c>
      <c r="CR114" s="60" t="e">
        <v>#VALUE!</v>
      </c>
      <c r="CS114" s="60" t="e">
        <v>#VALUE!</v>
      </c>
      <c r="CT114" s="60" t="e">
        <v>#VALUE!</v>
      </c>
      <c r="CU114" s="60" t="e">
        <v>#VALUE!</v>
      </c>
      <c r="CV114" s="60" t="e">
        <v>#VALUE!</v>
      </c>
      <c r="CW114" s="60" t="e">
        <v>#VALUE!</v>
      </c>
      <c r="CX114" s="60" t="e">
        <v>#VALUE!</v>
      </c>
      <c r="CY114" s="60" t="e">
        <v>#VALUE!</v>
      </c>
      <c r="CZ114" s="60" t="e">
        <v>#VALUE!</v>
      </c>
      <c r="DA114" s="60" t="e">
        <v>#VALUE!</v>
      </c>
      <c r="DB114" s="60" t="e">
        <v>#VALUE!</v>
      </c>
      <c r="DC114" s="60" t="e">
        <v>#VALUE!</v>
      </c>
      <c r="DD114" s="60" t="e">
        <v>#VALUE!</v>
      </c>
      <c r="DE114" s="60" t="e">
        <v>#VALUE!</v>
      </c>
      <c r="DF114" s="60" t="e">
        <v>#VALUE!</v>
      </c>
      <c r="DG114" s="60" t="e">
        <v>#VALUE!</v>
      </c>
      <c r="DH114" s="60" t="e">
        <v>#VALUE!</v>
      </c>
      <c r="DI114" s="60" t="e">
        <v>#VALUE!</v>
      </c>
      <c r="DJ114" s="60" t="e">
        <v>#VALUE!</v>
      </c>
      <c r="DK114" s="60" t="e">
        <v>#VALUE!</v>
      </c>
      <c r="DL114" s="60" t="e">
        <v>#VALUE!</v>
      </c>
      <c r="DM114" s="60" t="e">
        <v>#VALUE!</v>
      </c>
      <c r="DN114" s="60" t="e">
        <v>#VALUE!</v>
      </c>
      <c r="DO114" s="60" t="e">
        <v>#VALUE!</v>
      </c>
      <c r="DP114" s="60" t="e">
        <v>#VALUE!</v>
      </c>
      <c r="DQ114" s="60" t="e">
        <v>#VALUE!</v>
      </c>
      <c r="DR114" s="60" t="e">
        <v>#VALUE!</v>
      </c>
      <c r="DS114" s="60" t="e">
        <v>#VALUE!</v>
      </c>
      <c r="DT114" s="60" t="e">
        <v>#VALUE!</v>
      </c>
      <c r="DU114" s="60" t="e">
        <v>#VALUE!</v>
      </c>
      <c r="DV114" s="60" t="e">
        <v>#VALUE!</v>
      </c>
      <c r="DW114" s="60" t="e">
        <v>#VALUE!</v>
      </c>
      <c r="DX114" s="60" t="e">
        <v>#VALUE!</v>
      </c>
      <c r="DY114" s="60" t="e">
        <v>#VALUE!</v>
      </c>
      <c r="DZ114" s="60" t="e">
        <v>#VALUE!</v>
      </c>
      <c r="EA114" s="60" t="e">
        <v>#VALUE!</v>
      </c>
      <c r="EB114" s="60" t="e">
        <v>#VALUE!</v>
      </c>
      <c r="EC114" s="60" t="e">
        <v>#VALUE!</v>
      </c>
      <c r="ED114" s="60" t="e">
        <v>#VALUE!</v>
      </c>
      <c r="EE114" s="60" t="e">
        <v>#VALUE!</v>
      </c>
      <c r="EF114" s="60" t="e">
        <v>#VALUE!</v>
      </c>
      <c r="EG114" s="60" t="e">
        <v>#VALUE!</v>
      </c>
      <c r="EH114" s="60" t="e">
        <v>#VALUE!</v>
      </c>
      <c r="EI114" s="60" t="e">
        <v>#VALUE!</v>
      </c>
      <c r="EJ114" s="60" t="e">
        <v>#VALUE!</v>
      </c>
      <c r="EK114" s="60" t="e">
        <v>#VALUE!</v>
      </c>
      <c r="EL114" s="60" t="e">
        <v>#VALUE!</v>
      </c>
      <c r="EM114" s="60" t="e">
        <v>#VALUE!</v>
      </c>
      <c r="EN114" s="60" t="e">
        <v>#VALUE!</v>
      </c>
      <c r="EO114" s="60" t="e">
        <v>#VALUE!</v>
      </c>
      <c r="EP114" s="60" t="e">
        <v>#VALUE!</v>
      </c>
      <c r="EQ114" s="60" t="e">
        <v>#VALUE!</v>
      </c>
      <c r="ER114" s="60" t="e">
        <v>#VALUE!</v>
      </c>
      <c r="ES114" s="60" t="e">
        <v>#VALUE!</v>
      </c>
      <c r="ET114" s="60" t="e">
        <v>#VALUE!</v>
      </c>
      <c r="EU114" s="60" t="e">
        <v>#VALUE!</v>
      </c>
      <c r="EV114" s="60" t="e">
        <v>#VALUE!</v>
      </c>
      <c r="EW114" s="60" t="e">
        <v>#VALUE!</v>
      </c>
      <c r="EX114" s="60" t="e">
        <v>#VALUE!</v>
      </c>
      <c r="EY114" s="60" t="e">
        <v>#VALUE!</v>
      </c>
      <c r="EZ114" s="60" t="e">
        <v>#VALUE!</v>
      </c>
      <c r="FA114" s="60" t="e">
        <v>#VALUE!</v>
      </c>
      <c r="FB114" s="60" t="e">
        <v>#VALUE!</v>
      </c>
      <c r="FC114" s="60" t="e">
        <v>#VALUE!</v>
      </c>
      <c r="FD114" s="60" t="e">
        <v>#VALUE!</v>
      </c>
      <c r="FE114" s="60" t="e">
        <v>#VALUE!</v>
      </c>
      <c r="FF114" s="60" t="e">
        <v>#VALUE!</v>
      </c>
      <c r="FG114" s="60" t="e">
        <v>#VALUE!</v>
      </c>
      <c r="FH114" s="60" t="e">
        <v>#VALUE!</v>
      </c>
      <c r="FI114" s="60" t="e">
        <v>#VALUE!</v>
      </c>
      <c r="FJ114" s="60" t="e">
        <v>#VALUE!</v>
      </c>
      <c r="FK114" s="60" t="e">
        <v>#VALUE!</v>
      </c>
      <c r="FL114" s="60" t="e">
        <v>#VALUE!</v>
      </c>
      <c r="FM114" s="60" t="e">
        <v>#VALUE!</v>
      </c>
      <c r="FN114" s="60" t="e">
        <v>#VALUE!</v>
      </c>
      <c r="FO114" s="60" t="e">
        <v>#VALUE!</v>
      </c>
      <c r="FP114" s="60" t="e">
        <v>#VALUE!</v>
      </c>
      <c r="FQ114" s="60" t="e">
        <v>#VALUE!</v>
      </c>
      <c r="FR114" s="60" t="e">
        <v>#VALUE!</v>
      </c>
      <c r="FS114" s="60" t="e">
        <v>#VALUE!</v>
      </c>
      <c r="FT114" s="60" t="e">
        <v>#VALUE!</v>
      </c>
      <c r="FU114" s="60" t="e">
        <v>#VALUE!</v>
      </c>
      <c r="FV114" s="60" t="e">
        <v>#VALUE!</v>
      </c>
      <c r="FW114" s="60" t="e">
        <v>#VALUE!</v>
      </c>
      <c r="FX114" s="60" t="e">
        <v>#VALUE!</v>
      </c>
      <c r="FY114" s="60" t="e">
        <v>#VALUE!</v>
      </c>
      <c r="FZ114" s="60" t="e">
        <v>#VALUE!</v>
      </c>
      <c r="GA114" s="60" t="e">
        <v>#VALUE!</v>
      </c>
      <c r="GB114" s="60" t="e">
        <v>#VALUE!</v>
      </c>
      <c r="GC114" s="60" t="e">
        <v>#VALUE!</v>
      </c>
      <c r="GD114" s="60" t="e">
        <v>#VALUE!</v>
      </c>
      <c r="GE114" s="60" t="e">
        <v>#VALUE!</v>
      </c>
      <c r="GF114" s="60" t="e">
        <v>#VALUE!</v>
      </c>
      <c r="GG114" s="60" t="e">
        <v>#VALUE!</v>
      </c>
      <c r="GH114" s="60" t="e">
        <v>#VALUE!</v>
      </c>
      <c r="GI114" s="60" t="e">
        <v>#VALUE!</v>
      </c>
      <c r="GJ114" s="60" t="e">
        <v>#VALUE!</v>
      </c>
      <c r="GK114" s="60" t="e">
        <v>#VALUE!</v>
      </c>
      <c r="GL114" s="60" t="e">
        <v>#VALUE!</v>
      </c>
      <c r="GM114" s="60" t="e">
        <v>#VALUE!</v>
      </c>
      <c r="GN114" s="60" t="e">
        <v>#VALUE!</v>
      </c>
      <c r="GO114" s="60" t="e">
        <v>#VALUE!</v>
      </c>
      <c r="GP114" s="60" t="e">
        <v>#VALUE!</v>
      </c>
      <c r="GQ114" s="60" t="e">
        <v>#VALUE!</v>
      </c>
      <c r="GR114" s="60" t="e">
        <v>#VALUE!</v>
      </c>
      <c r="GS114" s="60" t="e">
        <v>#VALUE!</v>
      </c>
      <c r="GT114" s="60" t="e">
        <v>#VALUE!</v>
      </c>
      <c r="GU114" s="60" t="e">
        <v>#VALUE!</v>
      </c>
      <c r="GV114" s="60" t="e">
        <v>#VALUE!</v>
      </c>
      <c r="GW114" s="60" t="e">
        <v>#VALUE!</v>
      </c>
      <c r="GX114" s="60" t="e">
        <v>#VALUE!</v>
      </c>
      <c r="GY114" s="60" t="e">
        <v>#VALUE!</v>
      </c>
      <c r="GZ114" s="60" t="e">
        <v>#VALUE!</v>
      </c>
      <c r="HA114" s="60" t="e">
        <v>#VALUE!</v>
      </c>
      <c r="HB114" s="60" t="e">
        <v>#VALUE!</v>
      </c>
      <c r="HC114" s="60" t="e">
        <v>#VALUE!</v>
      </c>
      <c r="HD114" s="60" t="e">
        <v>#VALUE!</v>
      </c>
      <c r="HE114" s="60" t="e">
        <v>#VALUE!</v>
      </c>
      <c r="HF114" s="60" t="e">
        <v>#VALUE!</v>
      </c>
      <c r="HG114" s="60" t="e">
        <v>#VALUE!</v>
      </c>
      <c r="HH114" s="60" t="e">
        <v>#VALUE!</v>
      </c>
      <c r="HI114" s="60" t="e">
        <v>#VALUE!</v>
      </c>
      <c r="HJ114" s="60" t="e">
        <v>#VALUE!</v>
      </c>
      <c r="HK114" s="60" t="e">
        <v>#VALUE!</v>
      </c>
      <c r="HL114" s="60" t="e">
        <v>#VALUE!</v>
      </c>
      <c r="HM114" s="60" t="e">
        <v>#VALUE!</v>
      </c>
      <c r="HN114" s="60" t="e">
        <v>#VALUE!</v>
      </c>
      <c r="HO114" s="60" t="e">
        <v>#VALUE!</v>
      </c>
      <c r="HP114" s="60" t="e">
        <v>#VALUE!</v>
      </c>
      <c r="HQ114" s="60" t="e">
        <v>#VALUE!</v>
      </c>
      <c r="HR114" s="60" t="e">
        <v>#VALUE!</v>
      </c>
      <c r="HS114" s="60" t="e">
        <v>#VALUE!</v>
      </c>
      <c r="HT114" s="60" t="e">
        <v>#VALUE!</v>
      </c>
      <c r="HU114" s="60" t="e">
        <v>#VALUE!</v>
      </c>
      <c r="HV114" s="60" t="e">
        <v>#VALUE!</v>
      </c>
      <c r="HW114" s="60" t="e">
        <v>#VALUE!</v>
      </c>
      <c r="HX114" s="60" t="e">
        <v>#VALUE!</v>
      </c>
      <c r="HY114" s="60" t="e">
        <v>#VALUE!</v>
      </c>
      <c r="HZ114" s="60" t="e">
        <v>#VALUE!</v>
      </c>
      <c r="IA114" s="60" t="e">
        <v>#VALUE!</v>
      </c>
      <c r="IB114" s="60" t="e">
        <v>#VALUE!</v>
      </c>
      <c r="IC114" s="60" t="e">
        <v>#VALUE!</v>
      </c>
      <c r="ID114" s="60" t="e">
        <v>#VALUE!</v>
      </c>
      <c r="IE114" s="60" t="e">
        <v>#VALUE!</v>
      </c>
      <c r="IF114" s="60" t="e">
        <v>#VALUE!</v>
      </c>
      <c r="IG114" s="60" t="e">
        <v>#VALUE!</v>
      </c>
      <c r="IH114" s="60" t="e">
        <v>#VALUE!</v>
      </c>
      <c r="II114" s="60" t="e">
        <v>#VALUE!</v>
      </c>
      <c r="IJ114" s="60" t="e">
        <v>#VALUE!</v>
      </c>
      <c r="IK114" s="60" t="e">
        <v>#VALUE!</v>
      </c>
      <c r="IL114" s="60" t="e">
        <v>#VALUE!</v>
      </c>
      <c r="IM114" s="60" t="e">
        <v>#VALUE!</v>
      </c>
      <c r="IN114" s="60" t="e">
        <v>#VALUE!</v>
      </c>
      <c r="IO114" s="60" t="e">
        <v>#VALUE!</v>
      </c>
      <c r="IP114" s="60" t="e">
        <v>#VALUE!</v>
      </c>
      <c r="IQ114" s="60" t="e">
        <v>#VALUE!</v>
      </c>
      <c r="IR114" s="60" t="e">
        <v>#VALUE!</v>
      </c>
      <c r="IS114" s="60" t="e">
        <v>#VALUE!</v>
      </c>
      <c r="IT114" s="60" t="e">
        <v>#VALUE!</v>
      </c>
      <c r="IU114" s="60" t="e">
        <v>#VALUE!</v>
      </c>
      <c r="IV114" s="60" t="e">
        <v>#VALUE!</v>
      </c>
    </row>
    <row r="115" spans="1:256" ht="15" customHeight="1" x14ac:dyDescent="0.25">
      <c r="A115" s="60" t="e">
        <v>#VALUE!</v>
      </c>
      <c r="B115" s="60" t="e">
        <v>#VALUE!</v>
      </c>
      <c r="C115" s="60" t="e">
        <v>#VALUE!</v>
      </c>
      <c r="D115" s="60" t="e">
        <v>#VALUE!</v>
      </c>
      <c r="E115" s="60" t="e">
        <v>#VALUE!</v>
      </c>
      <c r="F115" s="60" t="e">
        <v>#VALUE!</v>
      </c>
      <c r="G115" s="60" t="e">
        <v>#VALUE!</v>
      </c>
      <c r="H115" s="60" t="e">
        <v>#VALUE!</v>
      </c>
      <c r="I115" s="60" t="e">
        <v>#VALUE!</v>
      </c>
      <c r="J115" s="60" t="e">
        <v>#VALUE!</v>
      </c>
      <c r="K115" s="60" t="e">
        <v>#VALUE!</v>
      </c>
      <c r="L115" s="60" t="e">
        <v>#VALUE!</v>
      </c>
      <c r="M115" s="60" t="e">
        <v>#VALUE!</v>
      </c>
      <c r="N115" s="60" t="e">
        <v>#VALUE!</v>
      </c>
      <c r="O115" s="60" t="e">
        <v>#VALUE!</v>
      </c>
      <c r="P115" s="60" t="e">
        <v>#VALUE!</v>
      </c>
      <c r="Q115" s="60" t="e">
        <v>#VALUE!</v>
      </c>
      <c r="R115" s="60" t="e">
        <v>#VALUE!</v>
      </c>
      <c r="S115" s="60" t="e">
        <v>#VALUE!</v>
      </c>
      <c r="T115" s="60" t="e">
        <v>#VALUE!</v>
      </c>
      <c r="U115" s="60" t="e">
        <v>#VALUE!</v>
      </c>
      <c r="V115" s="60" t="e">
        <v>#VALUE!</v>
      </c>
      <c r="W115" s="60" t="e">
        <v>#VALUE!</v>
      </c>
      <c r="X115" s="60" t="e">
        <v>#VALUE!</v>
      </c>
      <c r="Y115" s="60" t="e">
        <v>#VALUE!</v>
      </c>
      <c r="Z115" s="60" t="e">
        <v>#VALUE!</v>
      </c>
      <c r="AA115" s="60" t="e">
        <v>#VALUE!</v>
      </c>
      <c r="AB115" s="60" t="e">
        <v>#VALUE!</v>
      </c>
      <c r="AC115" s="60" t="e">
        <v>#VALUE!</v>
      </c>
      <c r="AD115" s="60" t="e">
        <v>#VALUE!</v>
      </c>
      <c r="AE115" s="60" t="e">
        <v>#VALUE!</v>
      </c>
      <c r="AF115" s="60" t="e">
        <v>#VALUE!</v>
      </c>
      <c r="AG115" s="60" t="e">
        <v>#VALUE!</v>
      </c>
      <c r="AH115" s="60" t="e">
        <v>#VALUE!</v>
      </c>
      <c r="AI115" s="60" t="e">
        <v>#VALUE!</v>
      </c>
      <c r="AJ115" s="60" t="e">
        <v>#VALUE!</v>
      </c>
      <c r="AK115" s="60" t="e">
        <v>#VALUE!</v>
      </c>
      <c r="AL115" s="60" t="e">
        <v>#VALUE!</v>
      </c>
      <c r="AM115" s="60" t="e">
        <v>#VALUE!</v>
      </c>
      <c r="AN115" s="60" t="e">
        <v>#VALUE!</v>
      </c>
      <c r="AO115" s="60" t="e">
        <v>#VALUE!</v>
      </c>
      <c r="AP115" s="60" t="e">
        <v>#VALUE!</v>
      </c>
      <c r="AQ115" s="60" t="e">
        <v>#VALUE!</v>
      </c>
      <c r="AR115" s="60" t="e">
        <v>#VALUE!</v>
      </c>
      <c r="AS115" s="60" t="e">
        <v>#VALUE!</v>
      </c>
      <c r="AT115" s="60" t="e">
        <v>#VALUE!</v>
      </c>
      <c r="AU115" s="60" t="e">
        <v>#VALUE!</v>
      </c>
      <c r="AV115" s="60" t="e">
        <v>#VALUE!</v>
      </c>
      <c r="AW115" s="60" t="e">
        <v>#VALUE!</v>
      </c>
      <c r="AX115" s="60" t="e">
        <v>#VALUE!</v>
      </c>
      <c r="AY115" s="60" t="e">
        <v>#VALUE!</v>
      </c>
      <c r="AZ115" s="60" t="e">
        <v>#VALUE!</v>
      </c>
      <c r="BA115" s="60" t="e">
        <v>#VALUE!</v>
      </c>
      <c r="BB115" s="60" t="e">
        <v>#VALUE!</v>
      </c>
      <c r="BC115" s="60" t="e">
        <v>#VALUE!</v>
      </c>
      <c r="BD115" s="60" t="e">
        <v>#VALUE!</v>
      </c>
      <c r="BE115" s="60" t="e">
        <v>#VALUE!</v>
      </c>
      <c r="BF115" s="60" t="e">
        <v>#VALUE!</v>
      </c>
      <c r="BG115" s="60" t="e">
        <v>#VALUE!</v>
      </c>
      <c r="BH115" s="60" t="e">
        <v>#VALUE!</v>
      </c>
      <c r="BI115" s="60" t="e">
        <v>#VALUE!</v>
      </c>
      <c r="BJ115" s="60" t="e">
        <v>#VALUE!</v>
      </c>
      <c r="BK115" s="60" t="e">
        <v>#VALUE!</v>
      </c>
      <c r="BL115" s="60" t="e">
        <v>#VALUE!</v>
      </c>
      <c r="BM115" s="60" t="e">
        <v>#VALUE!</v>
      </c>
      <c r="BN115" s="60" t="e">
        <v>#VALUE!</v>
      </c>
      <c r="BO115" s="60" t="e">
        <v>#VALUE!</v>
      </c>
      <c r="BP115" s="60" t="e">
        <v>#VALUE!</v>
      </c>
      <c r="BQ115" s="60" t="e">
        <v>#VALUE!</v>
      </c>
      <c r="BR115" s="60" t="e">
        <v>#VALUE!</v>
      </c>
      <c r="BS115" s="60" t="e">
        <v>#VALUE!</v>
      </c>
      <c r="BT115" s="60" t="e">
        <v>#VALUE!</v>
      </c>
      <c r="BU115" s="60" t="e">
        <v>#VALUE!</v>
      </c>
      <c r="BV115" s="60" t="e">
        <v>#VALUE!</v>
      </c>
      <c r="BW115" s="60" t="e">
        <v>#VALUE!</v>
      </c>
      <c r="BX115" s="60" t="e">
        <v>#VALUE!</v>
      </c>
      <c r="BY115" s="60" t="e">
        <v>#VALUE!</v>
      </c>
      <c r="BZ115" s="60" t="e">
        <v>#VALUE!</v>
      </c>
      <c r="CA115" s="60" t="e">
        <v>#VALUE!</v>
      </c>
      <c r="CB115" s="60" t="e">
        <v>#VALUE!</v>
      </c>
      <c r="CC115" s="60" t="e">
        <v>#VALUE!</v>
      </c>
      <c r="CD115" s="60" t="e">
        <v>#VALUE!</v>
      </c>
      <c r="CE115" s="60" t="e">
        <v>#VALUE!</v>
      </c>
      <c r="CF115" s="60" t="e">
        <v>#VALUE!</v>
      </c>
      <c r="CG115" s="60" t="e">
        <v>#VALUE!</v>
      </c>
      <c r="CH115" s="60" t="e">
        <v>#VALUE!</v>
      </c>
      <c r="CI115" s="60" t="e">
        <v>#VALUE!</v>
      </c>
      <c r="CJ115" s="60" t="e">
        <v>#VALUE!</v>
      </c>
      <c r="CK115" s="60" t="e">
        <v>#VALUE!</v>
      </c>
      <c r="CL115" s="60" t="e">
        <v>#VALUE!</v>
      </c>
      <c r="CM115" s="60" t="e">
        <v>#VALUE!</v>
      </c>
      <c r="CN115" s="60" t="e">
        <v>#VALUE!</v>
      </c>
      <c r="CO115" s="60" t="e">
        <v>#VALUE!</v>
      </c>
      <c r="CP115" s="60" t="e">
        <v>#VALUE!</v>
      </c>
      <c r="CQ115" s="60" t="e">
        <v>#VALUE!</v>
      </c>
      <c r="CR115" s="60" t="e">
        <v>#VALUE!</v>
      </c>
      <c r="CS115" s="60" t="e">
        <v>#VALUE!</v>
      </c>
      <c r="CT115" s="60" t="e">
        <v>#VALUE!</v>
      </c>
      <c r="CU115" s="60" t="e">
        <v>#VALUE!</v>
      </c>
      <c r="CV115" s="60" t="e">
        <v>#VALUE!</v>
      </c>
      <c r="CW115" s="60" t="e">
        <v>#VALUE!</v>
      </c>
      <c r="CX115" s="60" t="e">
        <v>#VALUE!</v>
      </c>
      <c r="CY115" s="60" t="e">
        <v>#VALUE!</v>
      </c>
      <c r="CZ115" s="60" t="e">
        <v>#VALUE!</v>
      </c>
      <c r="DA115" s="60" t="e">
        <v>#VALUE!</v>
      </c>
      <c r="DB115" s="60" t="e">
        <v>#VALUE!</v>
      </c>
      <c r="DC115" s="60" t="e">
        <v>#VALUE!</v>
      </c>
      <c r="DD115" s="60" t="e">
        <v>#VALUE!</v>
      </c>
      <c r="DE115" s="60" t="e">
        <v>#VALUE!</v>
      </c>
      <c r="DF115" s="60" t="e">
        <v>#VALUE!</v>
      </c>
      <c r="DG115" s="60" t="e">
        <v>#VALUE!</v>
      </c>
      <c r="DH115" s="60" t="e">
        <v>#VALUE!</v>
      </c>
      <c r="DI115" s="60" t="e">
        <v>#VALUE!</v>
      </c>
      <c r="DJ115" s="60" t="e">
        <v>#VALUE!</v>
      </c>
      <c r="DK115" s="60" t="e">
        <v>#VALUE!</v>
      </c>
      <c r="DL115" s="60" t="e">
        <v>#VALUE!</v>
      </c>
      <c r="DM115" s="60" t="e">
        <v>#VALUE!</v>
      </c>
      <c r="DN115" s="60" t="e">
        <v>#VALUE!</v>
      </c>
      <c r="DO115" s="60" t="e">
        <v>#VALUE!</v>
      </c>
      <c r="DP115" s="60" t="e">
        <v>#VALUE!</v>
      </c>
      <c r="DQ115" s="60" t="e">
        <v>#VALUE!</v>
      </c>
      <c r="DR115" s="60" t="e">
        <v>#VALUE!</v>
      </c>
      <c r="DS115" s="60" t="e">
        <v>#VALUE!</v>
      </c>
      <c r="DT115" s="60" t="e">
        <v>#VALUE!</v>
      </c>
      <c r="DU115" s="60" t="e">
        <v>#VALUE!</v>
      </c>
      <c r="DV115" s="60" t="e">
        <v>#VALUE!</v>
      </c>
      <c r="DW115" s="60" t="e">
        <v>#VALUE!</v>
      </c>
      <c r="DX115" s="60" t="e">
        <v>#VALUE!</v>
      </c>
      <c r="DY115" s="60" t="e">
        <v>#VALUE!</v>
      </c>
      <c r="DZ115" s="60" t="e">
        <v>#VALUE!</v>
      </c>
      <c r="EA115" s="60" t="e">
        <v>#VALUE!</v>
      </c>
      <c r="EB115" s="60" t="e">
        <v>#VALUE!</v>
      </c>
      <c r="EC115" s="60" t="e">
        <v>#VALUE!</v>
      </c>
      <c r="ED115" s="60" t="e">
        <v>#VALUE!</v>
      </c>
      <c r="EE115" s="60" t="e">
        <v>#VALUE!</v>
      </c>
      <c r="EF115" s="60" t="e">
        <v>#VALUE!</v>
      </c>
      <c r="EG115" s="60" t="e">
        <v>#VALUE!</v>
      </c>
      <c r="EH115" s="60" t="e">
        <v>#VALUE!</v>
      </c>
      <c r="EI115" s="60" t="e">
        <v>#VALUE!</v>
      </c>
      <c r="EJ115" s="60" t="e">
        <v>#VALUE!</v>
      </c>
      <c r="EK115" s="60" t="e">
        <v>#VALUE!</v>
      </c>
      <c r="EL115" s="60" t="e">
        <v>#VALUE!</v>
      </c>
      <c r="EM115" s="60" t="e">
        <v>#VALUE!</v>
      </c>
      <c r="EN115" s="60" t="e">
        <v>#VALUE!</v>
      </c>
      <c r="EO115" s="60" t="e">
        <v>#VALUE!</v>
      </c>
      <c r="EP115" s="60" t="e">
        <v>#VALUE!</v>
      </c>
      <c r="EQ115" s="60" t="e">
        <v>#VALUE!</v>
      </c>
      <c r="ER115" s="60" t="e">
        <v>#VALUE!</v>
      </c>
      <c r="ES115" s="60" t="e">
        <v>#VALUE!</v>
      </c>
      <c r="ET115" s="60" t="e">
        <v>#VALUE!</v>
      </c>
      <c r="EU115" s="60" t="e">
        <v>#VALUE!</v>
      </c>
      <c r="EV115" s="60" t="e">
        <v>#VALUE!</v>
      </c>
      <c r="EW115" s="60" t="e">
        <v>#VALUE!</v>
      </c>
      <c r="EX115" s="60" t="e">
        <v>#VALUE!</v>
      </c>
      <c r="EY115" s="60" t="e">
        <v>#VALUE!</v>
      </c>
      <c r="EZ115" s="60" t="e">
        <v>#VALUE!</v>
      </c>
      <c r="FA115" s="60" t="e">
        <v>#VALUE!</v>
      </c>
      <c r="FB115" s="60" t="e">
        <v>#VALUE!</v>
      </c>
      <c r="FC115" s="60" t="e">
        <v>#VALUE!</v>
      </c>
      <c r="FD115" s="60" t="e">
        <v>#VALUE!</v>
      </c>
      <c r="FE115" s="60" t="e">
        <v>#VALUE!</v>
      </c>
      <c r="FF115" s="60" t="e">
        <v>#VALUE!</v>
      </c>
      <c r="FG115" s="60" t="e">
        <v>#VALUE!</v>
      </c>
      <c r="FH115" s="60" t="e">
        <v>#VALUE!</v>
      </c>
      <c r="FI115" s="60" t="e">
        <v>#VALUE!</v>
      </c>
      <c r="FJ115" s="60" t="e">
        <v>#VALUE!</v>
      </c>
      <c r="FK115" s="60" t="e">
        <v>#VALUE!</v>
      </c>
      <c r="FL115" s="60" t="e">
        <v>#VALUE!</v>
      </c>
      <c r="FM115" s="60" t="e">
        <v>#VALUE!</v>
      </c>
      <c r="FN115" s="60" t="e">
        <v>#VALUE!</v>
      </c>
      <c r="FO115" s="60" t="e">
        <v>#VALUE!</v>
      </c>
      <c r="FP115" s="60" t="e">
        <v>#VALUE!</v>
      </c>
      <c r="FQ115" s="60" t="e">
        <v>#VALUE!</v>
      </c>
      <c r="FR115" s="60" t="e">
        <v>#VALUE!</v>
      </c>
      <c r="FS115" s="60" t="e">
        <v>#VALUE!</v>
      </c>
      <c r="FT115" s="60" t="e">
        <v>#VALUE!</v>
      </c>
      <c r="FU115" s="60" t="e">
        <v>#VALUE!</v>
      </c>
      <c r="FV115" s="60" t="e">
        <v>#VALUE!</v>
      </c>
      <c r="FW115" s="60" t="e">
        <v>#VALUE!</v>
      </c>
      <c r="FX115" s="60" t="e">
        <v>#VALUE!</v>
      </c>
      <c r="FY115" s="60" t="e">
        <v>#VALUE!</v>
      </c>
      <c r="FZ115" s="60" t="e">
        <v>#VALUE!</v>
      </c>
      <c r="GA115" s="60" t="e">
        <v>#VALUE!</v>
      </c>
      <c r="GB115" s="60" t="e">
        <v>#VALUE!</v>
      </c>
      <c r="GC115" s="60" t="e">
        <v>#VALUE!</v>
      </c>
      <c r="GD115" s="60" t="e">
        <v>#VALUE!</v>
      </c>
      <c r="GE115" s="60" t="e">
        <v>#VALUE!</v>
      </c>
      <c r="GF115" s="60" t="e">
        <v>#VALUE!</v>
      </c>
      <c r="GG115" s="60" t="e">
        <v>#VALUE!</v>
      </c>
      <c r="GH115" s="60" t="e">
        <v>#VALUE!</v>
      </c>
      <c r="GI115" s="60" t="e">
        <v>#VALUE!</v>
      </c>
      <c r="GJ115" s="60" t="e">
        <v>#VALUE!</v>
      </c>
      <c r="GK115" s="60" t="e">
        <v>#VALUE!</v>
      </c>
      <c r="GL115" s="60" t="e">
        <v>#VALUE!</v>
      </c>
      <c r="GM115" s="60" t="e">
        <v>#VALUE!</v>
      </c>
      <c r="GN115" s="60" t="e">
        <v>#VALUE!</v>
      </c>
      <c r="GO115" s="60" t="e">
        <v>#VALUE!</v>
      </c>
      <c r="GP115" s="60" t="e">
        <v>#VALUE!</v>
      </c>
      <c r="GQ115" s="60" t="e">
        <v>#VALUE!</v>
      </c>
      <c r="GR115" s="60" t="e">
        <v>#VALUE!</v>
      </c>
      <c r="GS115" s="60" t="e">
        <v>#VALUE!</v>
      </c>
      <c r="GT115" s="60" t="e">
        <v>#VALUE!</v>
      </c>
      <c r="GU115" s="60" t="e">
        <v>#VALUE!</v>
      </c>
      <c r="GV115" s="60" t="e">
        <v>#VALUE!</v>
      </c>
      <c r="GW115" s="60" t="e">
        <v>#VALUE!</v>
      </c>
      <c r="GX115" s="60" t="e">
        <v>#VALUE!</v>
      </c>
      <c r="GY115" s="60" t="e">
        <v>#VALUE!</v>
      </c>
      <c r="GZ115" s="60" t="e">
        <v>#VALUE!</v>
      </c>
      <c r="HA115" s="60" t="e">
        <v>#VALUE!</v>
      </c>
      <c r="HB115" s="60" t="e">
        <v>#VALUE!</v>
      </c>
      <c r="HC115" s="60" t="e">
        <v>#VALUE!</v>
      </c>
      <c r="HD115" s="60" t="e">
        <v>#VALUE!</v>
      </c>
      <c r="HE115" s="60" t="e">
        <v>#VALUE!</v>
      </c>
      <c r="HF115" s="60" t="e">
        <v>#VALUE!</v>
      </c>
      <c r="HG115" s="60" t="e">
        <v>#VALUE!</v>
      </c>
      <c r="HH115" s="60" t="e">
        <v>#VALUE!</v>
      </c>
      <c r="HI115" s="60" t="e">
        <v>#VALUE!</v>
      </c>
      <c r="HJ115" s="60" t="e">
        <v>#VALUE!</v>
      </c>
      <c r="HK115" s="60" t="e">
        <v>#VALUE!</v>
      </c>
      <c r="HL115" s="60" t="e">
        <v>#VALUE!</v>
      </c>
      <c r="HM115" s="60" t="e">
        <v>#VALUE!</v>
      </c>
      <c r="HN115" s="60" t="e">
        <v>#VALUE!</v>
      </c>
      <c r="HO115" s="60" t="e">
        <v>#VALUE!</v>
      </c>
      <c r="HP115" s="60" t="e">
        <v>#VALUE!</v>
      </c>
      <c r="HQ115" s="60" t="e">
        <v>#VALUE!</v>
      </c>
      <c r="HR115" s="60" t="e">
        <v>#VALUE!</v>
      </c>
      <c r="HS115" s="60" t="e">
        <v>#VALUE!</v>
      </c>
      <c r="HT115" s="60" t="e">
        <v>#VALUE!</v>
      </c>
      <c r="HU115" s="60" t="e">
        <v>#VALUE!</v>
      </c>
      <c r="HV115" s="60" t="e">
        <v>#VALUE!</v>
      </c>
      <c r="HW115" s="60" t="e">
        <v>#VALUE!</v>
      </c>
      <c r="HX115" s="60" t="e">
        <v>#VALUE!</v>
      </c>
      <c r="HY115" s="60" t="e">
        <v>#VALUE!</v>
      </c>
      <c r="HZ115" s="60" t="e">
        <v>#VALUE!</v>
      </c>
      <c r="IA115" s="60" t="e">
        <v>#VALUE!</v>
      </c>
      <c r="IB115" s="60" t="e">
        <v>#VALUE!</v>
      </c>
      <c r="IC115" s="60" t="e">
        <v>#VALUE!</v>
      </c>
      <c r="ID115" s="60" t="e">
        <v>#VALUE!</v>
      </c>
      <c r="IE115" s="60" t="e">
        <v>#VALUE!</v>
      </c>
      <c r="IF115" s="60" t="e">
        <v>#VALUE!</v>
      </c>
      <c r="IG115" s="60" t="e">
        <v>#VALUE!</v>
      </c>
      <c r="IH115" s="60" t="e">
        <v>#VALUE!</v>
      </c>
      <c r="II115" s="60" t="e">
        <v>#VALUE!</v>
      </c>
      <c r="IJ115" s="60" t="e">
        <v>#VALUE!</v>
      </c>
      <c r="IK115" s="60" t="e">
        <v>#VALUE!</v>
      </c>
      <c r="IL115" s="60" t="e">
        <v>#VALUE!</v>
      </c>
      <c r="IM115" s="60" t="e">
        <v>#VALUE!</v>
      </c>
      <c r="IN115" s="60" t="e">
        <v>#VALUE!</v>
      </c>
      <c r="IO115" s="60" t="e">
        <v>#VALUE!</v>
      </c>
      <c r="IP115" s="60" t="e">
        <v>#VALUE!</v>
      </c>
      <c r="IQ115" s="60" t="e">
        <v>#VALUE!</v>
      </c>
      <c r="IR115" s="60" t="e">
        <v>#VALUE!</v>
      </c>
      <c r="IS115" s="60" t="e">
        <v>#VALUE!</v>
      </c>
      <c r="IT115" s="60" t="e">
        <v>#VALUE!</v>
      </c>
      <c r="IU115" s="60" t="e">
        <v>#VALUE!</v>
      </c>
      <c r="IV115" s="60" t="e">
        <v>#VALUE!</v>
      </c>
    </row>
    <row r="116" spans="1:256" ht="15" customHeight="1" x14ac:dyDescent="0.25">
      <c r="A116" s="60" t="e">
        <v>#VALUE!</v>
      </c>
      <c r="B116" s="60" t="e">
        <v>#VALUE!</v>
      </c>
      <c r="C116" s="60" t="e">
        <v>#VALUE!</v>
      </c>
      <c r="D116" s="60" t="e">
        <v>#VALUE!</v>
      </c>
      <c r="E116" s="60" t="e">
        <v>#VALUE!</v>
      </c>
      <c r="F116" s="60" t="e">
        <v>#VALUE!</v>
      </c>
      <c r="G116" s="60" t="e">
        <v>#VALUE!</v>
      </c>
      <c r="H116" s="60" t="e">
        <v>#VALUE!</v>
      </c>
      <c r="I116" s="60" t="e">
        <v>#VALUE!</v>
      </c>
      <c r="J116" s="60" t="e">
        <v>#VALUE!</v>
      </c>
      <c r="K116" s="60" t="e">
        <v>#VALUE!</v>
      </c>
      <c r="L116" s="60" t="e">
        <v>#VALUE!</v>
      </c>
      <c r="M116" s="60" t="e">
        <v>#VALUE!</v>
      </c>
      <c r="N116" s="60" t="e">
        <v>#VALUE!</v>
      </c>
      <c r="O116" s="60" t="e">
        <v>#VALUE!</v>
      </c>
      <c r="P116" s="60" t="e">
        <v>#VALUE!</v>
      </c>
      <c r="Q116" s="60" t="e">
        <v>#VALUE!</v>
      </c>
      <c r="R116" s="60" t="e">
        <v>#VALUE!</v>
      </c>
      <c r="S116" s="60" t="e">
        <v>#VALUE!</v>
      </c>
      <c r="T116" s="60" t="e">
        <v>#VALUE!</v>
      </c>
      <c r="U116" s="60" t="e">
        <v>#VALUE!</v>
      </c>
      <c r="V116" s="60" t="e">
        <v>#VALUE!</v>
      </c>
      <c r="W116" s="60" t="e">
        <v>#VALUE!</v>
      </c>
      <c r="X116" s="60" t="e">
        <v>#VALUE!</v>
      </c>
      <c r="Y116" s="60" t="e">
        <v>#VALUE!</v>
      </c>
      <c r="Z116" s="60" t="e">
        <v>#VALUE!</v>
      </c>
      <c r="AA116" s="60" t="e">
        <v>#VALUE!</v>
      </c>
      <c r="AB116" s="60" t="e">
        <v>#VALUE!</v>
      </c>
      <c r="AC116" s="60" t="e">
        <v>#VALUE!</v>
      </c>
      <c r="AD116" s="60" t="e">
        <v>#VALUE!</v>
      </c>
      <c r="AE116" s="60" t="e">
        <v>#VALUE!</v>
      </c>
      <c r="AF116" s="60" t="e">
        <v>#VALUE!</v>
      </c>
      <c r="AG116" s="60" t="e">
        <v>#VALUE!</v>
      </c>
      <c r="AH116" s="60" t="e">
        <v>#VALUE!</v>
      </c>
      <c r="AI116" s="60" t="e">
        <v>#VALUE!</v>
      </c>
      <c r="AJ116" s="60" t="e">
        <v>#VALUE!</v>
      </c>
      <c r="AK116" s="60" t="e">
        <v>#VALUE!</v>
      </c>
      <c r="AL116" s="60" t="e">
        <v>#VALUE!</v>
      </c>
      <c r="AM116" s="60" t="e">
        <v>#VALUE!</v>
      </c>
      <c r="AN116" s="60" t="e">
        <v>#VALUE!</v>
      </c>
      <c r="AO116" s="60" t="e">
        <v>#VALUE!</v>
      </c>
      <c r="AP116" s="60" t="e">
        <v>#VALUE!</v>
      </c>
      <c r="AQ116" s="60" t="e">
        <v>#VALUE!</v>
      </c>
      <c r="AR116" s="60" t="e">
        <v>#VALUE!</v>
      </c>
      <c r="AS116" s="60" t="e">
        <v>#VALUE!</v>
      </c>
      <c r="AT116" s="60" t="e">
        <v>#VALUE!</v>
      </c>
      <c r="AU116" s="60" t="e">
        <v>#VALUE!</v>
      </c>
      <c r="AV116" s="60" t="e">
        <v>#VALUE!</v>
      </c>
      <c r="AW116" s="60" t="e">
        <v>#VALUE!</v>
      </c>
      <c r="AX116" s="60" t="e">
        <v>#VALUE!</v>
      </c>
      <c r="AY116" s="60" t="e">
        <v>#VALUE!</v>
      </c>
      <c r="AZ116" s="60" t="e">
        <v>#VALUE!</v>
      </c>
      <c r="BA116" s="60" t="e">
        <v>#VALUE!</v>
      </c>
      <c r="BB116" s="60" t="e">
        <v>#VALUE!</v>
      </c>
      <c r="BC116" s="60" t="e">
        <v>#VALUE!</v>
      </c>
      <c r="BD116" s="60" t="e">
        <v>#VALUE!</v>
      </c>
      <c r="BE116" s="60" t="e">
        <v>#VALUE!</v>
      </c>
      <c r="BF116" s="60" t="e">
        <v>#VALUE!</v>
      </c>
      <c r="BG116" s="60" t="e">
        <v>#VALUE!</v>
      </c>
      <c r="BH116" s="60" t="e">
        <v>#VALUE!</v>
      </c>
      <c r="BI116" s="60" t="e">
        <v>#VALUE!</v>
      </c>
      <c r="BJ116" s="60" t="e">
        <v>#VALUE!</v>
      </c>
      <c r="BK116" s="60" t="e">
        <v>#VALUE!</v>
      </c>
      <c r="BL116" s="60" t="e">
        <v>#VALUE!</v>
      </c>
      <c r="BM116" s="60" t="e">
        <v>#VALUE!</v>
      </c>
      <c r="BN116" s="60" t="e">
        <v>#VALUE!</v>
      </c>
      <c r="BO116" s="60" t="e">
        <v>#VALUE!</v>
      </c>
      <c r="BP116" s="60" t="e">
        <v>#VALUE!</v>
      </c>
      <c r="BQ116" s="60" t="e">
        <v>#VALUE!</v>
      </c>
      <c r="BR116" s="60" t="e">
        <v>#VALUE!</v>
      </c>
      <c r="BS116" s="60" t="e">
        <v>#VALUE!</v>
      </c>
      <c r="BT116" s="60" t="e">
        <v>#VALUE!</v>
      </c>
      <c r="BU116" t="e">
        <f>AND(Hoja2!B1,"AAAAAFd5SUg=")</f>
        <v>#VALUE!</v>
      </c>
      <c r="BV116" t="e">
        <f>AND(Hoja2!C1,"AAAAAFd5SUk=")</f>
        <v>#VALUE!</v>
      </c>
      <c r="BW116" t="e">
        <f>AND(Hoja2!D1,"AAAAAFd5SUo=")</f>
        <v>#VALUE!</v>
      </c>
      <c r="BX116" t="e">
        <f>AND(Hoja2!E1,"AAAAAFd5SUs=")</f>
        <v>#VALUE!</v>
      </c>
      <c r="BY116" t="e">
        <f>AND(Hoja2!F1,"AAAAAFd5SUw=")</f>
        <v>#VALUE!</v>
      </c>
      <c r="BZ116" t="e">
        <f>AND(Hoja2!G1,"AAAAAFd5SU0=")</f>
        <v>#VALUE!</v>
      </c>
      <c r="CA116" s="60">
        <f>IF(Hoja2!2:2,"AAAAAFd5SU4=",0)</f>
        <v>0</v>
      </c>
      <c r="CB116" t="e">
        <f>AND(Hoja2!A2,"AAAAAFd5SU8=")</f>
        <v>#VALUE!</v>
      </c>
      <c r="CC116" t="e">
        <f>AND(Hoja2!B2,"AAAAAFd5SVA=")</f>
        <v>#VALUE!</v>
      </c>
      <c r="CD116" t="e">
        <f>AND(Hoja2!C2,"AAAAAFd5SVE=")</f>
        <v>#VALUE!</v>
      </c>
      <c r="CE116" t="e">
        <f>AND(Hoja2!D2,"AAAAAFd5SVI=")</f>
        <v>#VALUE!</v>
      </c>
      <c r="CF116" t="e">
        <f>AND(Hoja2!E2,"AAAAAFd5SVM=")</f>
        <v>#VALUE!</v>
      </c>
      <c r="CG116" t="e">
        <f>AND(Hoja2!F2,"AAAAAFd5SVQ=")</f>
        <v>#VALUE!</v>
      </c>
      <c r="CH116" t="e">
        <f>AND(Hoja2!G2,"AAAAAFd5SVU=")</f>
        <v>#VALUE!</v>
      </c>
      <c r="CI116" s="60">
        <f>IF(Hoja2!3:3,"AAAAAFd5SVY=",0)</f>
        <v>0</v>
      </c>
      <c r="CJ116" t="e">
        <f>AND(Hoja2!A3,"AAAAAFd5SVc=")</f>
        <v>#VALUE!</v>
      </c>
      <c r="CK116" t="e">
        <f>AND(Hoja2!B3,"AAAAAFd5SVg=")</f>
        <v>#VALUE!</v>
      </c>
      <c r="CL116" t="e">
        <f>AND(Hoja2!C3,"AAAAAFd5SVk=")</f>
        <v>#VALUE!</v>
      </c>
      <c r="CM116" t="e">
        <f>AND(Hoja2!D3,"AAAAAFd5SVo=")</f>
        <v>#VALUE!</v>
      </c>
      <c r="CN116" t="e">
        <f>AND(Hoja2!E3,"AAAAAFd5SVs=")</f>
        <v>#VALUE!</v>
      </c>
      <c r="CO116" t="e">
        <f>AND(Hoja2!F3,"AAAAAFd5SVw=")</f>
        <v>#VALUE!</v>
      </c>
      <c r="CP116" t="e">
        <f>AND(Hoja2!G3,"AAAAAFd5SV0=")</f>
        <v>#VALUE!</v>
      </c>
      <c r="CQ116" s="60">
        <f>IF(Hoja2!4:4,"AAAAAFd5SV4=",0)</f>
        <v>0</v>
      </c>
      <c r="CR116" t="e">
        <f>AND(Hoja2!A4,"AAAAAFd5SV8=")</f>
        <v>#VALUE!</v>
      </c>
      <c r="CS116" t="e">
        <f>AND(Hoja2!B4,"AAAAAFd5SWA=")</f>
        <v>#VALUE!</v>
      </c>
      <c r="CT116" t="e">
        <f>AND(Hoja2!C4,"AAAAAFd5SWE=")</f>
        <v>#VALUE!</v>
      </c>
      <c r="CU116" t="e">
        <f>AND(Hoja2!D4,"AAAAAFd5SWI=")</f>
        <v>#VALUE!</v>
      </c>
      <c r="CV116" t="e">
        <f>AND(Hoja2!E4,"AAAAAFd5SWM=")</f>
        <v>#VALUE!</v>
      </c>
      <c r="CW116" t="e">
        <f>AND(Hoja2!F4,"AAAAAFd5SWQ=")</f>
        <v>#VALUE!</v>
      </c>
      <c r="CX116" t="e">
        <f>AND(Hoja2!G4,"AAAAAFd5SWU=")</f>
        <v>#VALUE!</v>
      </c>
      <c r="CY116" s="60">
        <f>IF(Hoja2!5:5,"AAAAAFd5SWY=",0)</f>
        <v>0</v>
      </c>
      <c r="CZ116" t="e">
        <f>AND(Hoja2!A5,"AAAAAFd5SWc=")</f>
        <v>#VALUE!</v>
      </c>
      <c r="DA116" t="e">
        <f>AND(Hoja2!B5,"AAAAAFd5SWg=")</f>
        <v>#VALUE!</v>
      </c>
      <c r="DB116" t="e">
        <f>AND(Hoja2!C5,"AAAAAFd5SWk=")</f>
        <v>#VALUE!</v>
      </c>
      <c r="DC116" t="e">
        <f>AND(Hoja2!D5,"AAAAAFd5SWo=")</f>
        <v>#VALUE!</v>
      </c>
      <c r="DD116" t="e">
        <f>AND(Hoja2!E5,"AAAAAFd5SWs=")</f>
        <v>#VALUE!</v>
      </c>
      <c r="DE116" t="e">
        <f>AND(Hoja2!F5,"AAAAAFd5SWw=")</f>
        <v>#VALUE!</v>
      </c>
      <c r="DF116" t="e">
        <f>AND(Hoja2!G5,"AAAAAFd5SW0=")</f>
        <v>#VALUE!</v>
      </c>
      <c r="DG116" s="60">
        <f>IF(Hoja2!6:6,"AAAAAFd5SW4=",0)</f>
        <v>0</v>
      </c>
      <c r="DH116" t="e">
        <f>AND(Hoja2!A6,"AAAAAFd5SW8=")</f>
        <v>#VALUE!</v>
      </c>
      <c r="DI116" t="e">
        <f>AND(Hoja2!B6,"AAAAAFd5SXA=")</f>
        <v>#VALUE!</v>
      </c>
      <c r="DJ116" t="e">
        <f>AND(Hoja2!C6,"AAAAAFd5SXE=")</f>
        <v>#VALUE!</v>
      </c>
      <c r="DK116" t="e">
        <f>AND(Hoja2!D6,"AAAAAFd5SXI=")</f>
        <v>#VALUE!</v>
      </c>
      <c r="DL116" t="e">
        <f>AND(Hoja2!E6,"AAAAAFd5SXM=")</f>
        <v>#VALUE!</v>
      </c>
      <c r="DM116" t="e">
        <f>AND(Hoja2!F6,"AAAAAFd5SXQ=")</f>
        <v>#VALUE!</v>
      </c>
      <c r="DN116" t="e">
        <f>AND(Hoja2!G6,"AAAAAFd5SXU=")</f>
        <v>#VALUE!</v>
      </c>
      <c r="DO116" s="60">
        <f>IF(Hoja2!7:7,"AAAAAFd5SXY=",0)</f>
        <v>0</v>
      </c>
      <c r="DP116" t="e">
        <f>AND(Hoja2!A7,"AAAAAFd5SXc=")</f>
        <v>#VALUE!</v>
      </c>
      <c r="DQ116" t="e">
        <f>AND(Hoja2!B7,"AAAAAFd5SXg=")</f>
        <v>#VALUE!</v>
      </c>
      <c r="DR116" t="e">
        <f>AND(Hoja2!C7,"AAAAAFd5SXk=")</f>
        <v>#VALUE!</v>
      </c>
      <c r="DS116" t="e">
        <f>AND(Hoja2!D7,"AAAAAFd5SXo=")</f>
        <v>#VALUE!</v>
      </c>
      <c r="DT116" t="e">
        <f>AND(Hoja2!E7,"AAAAAFd5SXs=")</f>
        <v>#VALUE!</v>
      </c>
      <c r="DU116" t="e">
        <f>AND(Hoja2!F7,"AAAAAFd5SXw=")</f>
        <v>#VALUE!</v>
      </c>
      <c r="DV116" t="e">
        <f>AND(Hoja2!G7,"AAAAAFd5SX0=")</f>
        <v>#VALUE!</v>
      </c>
      <c r="DW116" s="60">
        <f>IF(Hoja2!8:8,"AAAAAFd5SX4=",0)</f>
        <v>0</v>
      </c>
      <c r="DX116" t="e">
        <f>AND(Hoja2!A8,"AAAAAFd5SX8=")</f>
        <v>#VALUE!</v>
      </c>
      <c r="DY116" t="e">
        <f>AND(Hoja2!B8,"AAAAAFd5SYA=")</f>
        <v>#VALUE!</v>
      </c>
      <c r="DZ116" t="e">
        <f>AND(Hoja2!C8,"AAAAAFd5SYE=")</f>
        <v>#VALUE!</v>
      </c>
      <c r="EA116" t="e">
        <f>AND(Hoja2!D8,"AAAAAFd5SYI=")</f>
        <v>#VALUE!</v>
      </c>
      <c r="EB116" t="e">
        <f>AND(Hoja2!E8,"AAAAAFd5SYM=")</f>
        <v>#VALUE!</v>
      </c>
      <c r="EC116" t="e">
        <f>AND(Hoja2!F8,"AAAAAFd5SYQ=")</f>
        <v>#VALUE!</v>
      </c>
      <c r="ED116" t="e">
        <f>AND(Hoja2!G8,"AAAAAFd5SYU=")</f>
        <v>#VALUE!</v>
      </c>
      <c r="EE116" s="60">
        <f>IF(Hoja2!9:9,"AAAAAFd5SYY=",0)</f>
        <v>0</v>
      </c>
      <c r="EF116" t="e">
        <f>AND(Hoja2!A9,"AAAAAFd5SYc=")</f>
        <v>#VALUE!</v>
      </c>
      <c r="EG116" t="e">
        <f>AND(Hoja2!#REF!,"AAAAAFd5SYg=")</f>
        <v>#REF!</v>
      </c>
      <c r="EH116" t="e">
        <f>AND(Hoja2!#REF!,"AAAAAFd5SYk=")</f>
        <v>#REF!</v>
      </c>
      <c r="EI116" t="e">
        <f>AND(Hoja2!#REF!,"AAAAAFd5SYo=")</f>
        <v>#REF!</v>
      </c>
      <c r="EJ116" t="e">
        <f>AND(Hoja2!#REF!,"AAAAAFd5SYs=")</f>
        <v>#REF!</v>
      </c>
      <c r="EK116" t="e">
        <f>AND(Hoja2!#REF!,"AAAAAFd5SYw=")</f>
        <v>#REF!</v>
      </c>
      <c r="EL116" t="e">
        <f>AND(Hoja2!#REF!,"AAAAAFd5SY0=")</f>
        <v>#REF!</v>
      </c>
      <c r="EM116" s="60">
        <f>IF(Hoja2!10:10,"AAAAAFd5SY4=",0)</f>
        <v>0</v>
      </c>
      <c r="EN116" t="e">
        <f>AND(Hoja2!A10,"AAAAAFd5SY8=")</f>
        <v>#VALUE!</v>
      </c>
      <c r="EO116" t="e">
        <f>AND(Hoja2!B10,"AAAAAFd5SZA=")</f>
        <v>#VALUE!</v>
      </c>
      <c r="EP116" t="e">
        <f>AND(Hoja2!C10,"AAAAAFd5SZE=")</f>
        <v>#VALUE!</v>
      </c>
      <c r="EQ116" t="e">
        <f>AND(Hoja2!D10,"AAAAAFd5SZI=")</f>
        <v>#VALUE!</v>
      </c>
      <c r="ER116" t="e">
        <f>AND(Hoja2!E10,"AAAAAFd5SZM=")</f>
        <v>#VALUE!</v>
      </c>
      <c r="ES116" t="e">
        <f>AND(Hoja2!F10,"AAAAAFd5SZQ=")</f>
        <v>#VALUE!</v>
      </c>
      <c r="ET116" t="e">
        <f>AND(Hoja2!G10,"AAAAAFd5SZU=")</f>
        <v>#VALUE!</v>
      </c>
      <c r="EU116" s="60">
        <f>IF(Hoja2!11:11,"AAAAAFd5SZY=",0)</f>
        <v>0</v>
      </c>
      <c r="EV116" t="e">
        <f>AND(Hoja2!A11,"AAAAAFd5SZc=")</f>
        <v>#VALUE!</v>
      </c>
      <c r="EW116" t="e">
        <f>AND(Hoja2!B11,"AAAAAFd5SZg=")</f>
        <v>#VALUE!</v>
      </c>
      <c r="EX116" t="e">
        <f>AND(Hoja2!C11,"AAAAAFd5SZk=")</f>
        <v>#VALUE!</v>
      </c>
      <c r="EY116" t="e">
        <f>AND(Hoja2!D11,"AAAAAFd5SZo=")</f>
        <v>#VALUE!</v>
      </c>
      <c r="EZ116" t="e">
        <f>AND(Hoja2!E11,"AAAAAFd5SZs=")</f>
        <v>#VALUE!</v>
      </c>
      <c r="FA116" t="e">
        <f>AND(Hoja2!F11,"AAAAAFd5SZw=")</f>
        <v>#VALUE!</v>
      </c>
      <c r="FB116" t="e">
        <f>AND(Hoja2!G11,"AAAAAFd5SZ0=")</f>
        <v>#VALUE!</v>
      </c>
      <c r="FC116" s="60">
        <f>IF(Hoja2!12:12,"AAAAAFd5SZ4=",0)</f>
        <v>0</v>
      </c>
      <c r="FD116" t="e">
        <f>AND(Hoja2!A12,"AAAAAFd5SZ8=")</f>
        <v>#VALUE!</v>
      </c>
      <c r="FE116" t="e">
        <f>AND(Hoja2!B12,"AAAAAFd5SaA=")</f>
        <v>#VALUE!</v>
      </c>
      <c r="FF116" t="e">
        <f>AND(Hoja2!C12,"AAAAAFd5SaE=")</f>
        <v>#VALUE!</v>
      </c>
      <c r="FG116" t="e">
        <f>AND(Hoja2!D12,"AAAAAFd5SaI=")</f>
        <v>#VALUE!</v>
      </c>
      <c r="FH116" t="e">
        <f>AND(Hoja2!E12,"AAAAAFd5SaM=")</f>
        <v>#VALUE!</v>
      </c>
      <c r="FI116" t="e">
        <f>AND(Hoja2!F12,"AAAAAFd5SaQ=")</f>
        <v>#VALUE!</v>
      </c>
      <c r="FJ116" t="e">
        <f>AND(Hoja2!G12,"AAAAAFd5SaU=")</f>
        <v>#VALUE!</v>
      </c>
      <c r="FK116" s="60">
        <f>IF(Hoja2!13:13,"AAAAAFd5SaY=",0)</f>
        <v>0</v>
      </c>
      <c r="FL116" t="e">
        <f>AND(Hoja2!A13,"AAAAAFd5Sac=")</f>
        <v>#VALUE!</v>
      </c>
      <c r="FM116" t="e">
        <f>AND(Hoja2!B13,"AAAAAFd5Sag=")</f>
        <v>#VALUE!</v>
      </c>
      <c r="FN116" t="e">
        <f>AND(Hoja2!C13,"AAAAAFd5Sak=")</f>
        <v>#VALUE!</v>
      </c>
      <c r="FO116" t="e">
        <f>AND(Hoja2!D13,"AAAAAFd5Sao=")</f>
        <v>#VALUE!</v>
      </c>
      <c r="FP116" t="e">
        <f>AND(Hoja2!E13,"AAAAAFd5Sas=")</f>
        <v>#VALUE!</v>
      </c>
      <c r="FQ116" t="e">
        <f>AND(Hoja2!F13,"AAAAAFd5Saw=")</f>
        <v>#VALUE!</v>
      </c>
      <c r="FR116" t="e">
        <f>AND(Hoja2!G13,"AAAAAFd5Sa0=")</f>
        <v>#VALUE!</v>
      </c>
      <c r="FS116" s="60">
        <f>IF(Hoja2!14:14,"AAAAAFd5Sa4=",0)</f>
        <v>0</v>
      </c>
      <c r="FT116" t="e">
        <f>AND(Hoja2!A14,"AAAAAFd5Sa8=")</f>
        <v>#VALUE!</v>
      </c>
      <c r="FU116" t="e">
        <f>AND(Hoja2!B14,"AAAAAFd5SbA=")</f>
        <v>#VALUE!</v>
      </c>
      <c r="FV116" t="e">
        <f>AND(Hoja2!C14,"AAAAAFd5SbE=")</f>
        <v>#VALUE!</v>
      </c>
      <c r="FW116" t="e">
        <f>AND(Hoja2!D14,"AAAAAFd5SbI=")</f>
        <v>#VALUE!</v>
      </c>
      <c r="FX116" t="e">
        <f>AND(Hoja2!E14,"AAAAAFd5SbM=")</f>
        <v>#VALUE!</v>
      </c>
      <c r="FY116" t="e">
        <f>AND(Hoja2!F14,"AAAAAFd5SbQ=")</f>
        <v>#VALUE!</v>
      </c>
      <c r="FZ116" t="e">
        <f>AND(Hoja2!G14,"AAAAAFd5SbU=")</f>
        <v>#VALUE!</v>
      </c>
      <c r="GA116" s="60">
        <f>IF(Hoja2!15:15,"AAAAAFd5SbY=",0)</f>
        <v>0</v>
      </c>
      <c r="GB116" t="e">
        <f>AND(Hoja2!A15,"AAAAAFd5Sbc=")</f>
        <v>#VALUE!</v>
      </c>
      <c r="GC116" t="e">
        <f>AND(Hoja2!B15,"AAAAAFd5Sbg=")</f>
        <v>#VALUE!</v>
      </c>
      <c r="GD116" t="e">
        <f>AND(Hoja2!C15,"AAAAAFd5Sbk=")</f>
        <v>#VALUE!</v>
      </c>
      <c r="GE116" t="e">
        <f>AND(Hoja2!D15,"AAAAAFd5Sbo=")</f>
        <v>#VALUE!</v>
      </c>
      <c r="GF116" t="e">
        <f>AND(Hoja2!E15,"AAAAAFd5Sbs=")</f>
        <v>#VALUE!</v>
      </c>
      <c r="GG116" t="e">
        <f>AND(Hoja2!F15,"AAAAAFd5Sbw=")</f>
        <v>#VALUE!</v>
      </c>
      <c r="GH116" t="e">
        <f>AND(Hoja2!G15,"AAAAAFd5Sb0=")</f>
        <v>#VALUE!</v>
      </c>
      <c r="GI116" s="60">
        <f>IF(Hoja2!16:16,"AAAAAFd5Sb4=",0)</f>
        <v>0</v>
      </c>
      <c r="GJ116" t="e">
        <f>AND(Hoja2!A16,"AAAAAFd5Sb8=")</f>
        <v>#VALUE!</v>
      </c>
      <c r="GK116" t="e">
        <f>AND(Hoja2!B9,"AAAAAFd5ScA=")</f>
        <v>#VALUE!</v>
      </c>
      <c r="GL116" t="e">
        <f>AND(Hoja2!C9,"AAAAAFd5ScE=")</f>
        <v>#VALUE!</v>
      </c>
      <c r="GM116" t="e">
        <f>AND(Hoja2!D9,"AAAAAFd5ScI=")</f>
        <v>#VALUE!</v>
      </c>
      <c r="GN116" t="e">
        <f>AND(Hoja2!E9,"AAAAAFd5ScM=")</f>
        <v>#VALUE!</v>
      </c>
      <c r="GO116" t="e">
        <f>AND(Hoja2!F9,"AAAAAFd5ScQ=")</f>
        <v>#VALUE!</v>
      </c>
      <c r="GP116" t="e">
        <f>AND(Hoja2!G9,"AAAAAFd5ScU=")</f>
        <v>#VALUE!</v>
      </c>
      <c r="GQ116" s="60">
        <f>IF(Hoja2!17:17,"AAAAAFd5ScY=",0)</f>
        <v>0</v>
      </c>
      <c r="GR116" t="e">
        <f>AND(Hoja2!A17,"AAAAAFd5Scc=")</f>
        <v>#VALUE!</v>
      </c>
      <c r="GS116" t="e">
        <f>AND(Hoja2!B17,"AAAAAFd5Scg=")</f>
        <v>#VALUE!</v>
      </c>
      <c r="GT116" t="e">
        <f>AND(Hoja2!C17,"AAAAAFd5Sck=")</f>
        <v>#VALUE!</v>
      </c>
      <c r="GU116" t="e">
        <f>AND(Hoja2!D17,"AAAAAFd5Sco=")</f>
        <v>#VALUE!</v>
      </c>
      <c r="GV116" t="e">
        <f>AND(Hoja2!E17,"AAAAAFd5Scs=")</f>
        <v>#VALUE!</v>
      </c>
      <c r="GW116" t="e">
        <f>AND(Hoja2!F17,"AAAAAFd5Scw=")</f>
        <v>#VALUE!</v>
      </c>
      <c r="GX116" t="e">
        <f>AND(Hoja2!G17,"AAAAAFd5Sc0=")</f>
        <v>#VALUE!</v>
      </c>
      <c r="GY116" s="60">
        <f>IF(Hoja2!18:18,"AAAAAFd5Sc4=",0)</f>
        <v>0</v>
      </c>
      <c r="GZ116" t="e">
        <f>AND(Hoja2!A25,"AAAAAFd5Sc8=")</f>
        <v>#VALUE!</v>
      </c>
      <c r="HA116" t="e">
        <f>AND(Hoja2!B25,"AAAAAFd5SdA=")</f>
        <v>#VALUE!</v>
      </c>
      <c r="HB116" t="e">
        <f>AND(Hoja2!C25,"AAAAAFd5SdE=")</f>
        <v>#VALUE!</v>
      </c>
      <c r="HC116" t="e">
        <f>AND(Hoja2!D25,"AAAAAFd5SdI=")</f>
        <v>#VALUE!</v>
      </c>
      <c r="HD116" t="e">
        <f>AND(Hoja2!E25,"AAAAAFd5SdM=")</f>
        <v>#VALUE!</v>
      </c>
      <c r="HE116" t="e">
        <f>AND(Hoja2!F25,"AAAAAFd5SdQ=")</f>
        <v>#VALUE!</v>
      </c>
      <c r="HF116" t="e">
        <f>AND(Hoja2!G25,"AAAAAFd5SdU=")</f>
        <v>#VALUE!</v>
      </c>
      <c r="HG116" s="60">
        <f>IF(Hoja2!19:19,"AAAAAFd5SdY=",0)</f>
        <v>0</v>
      </c>
      <c r="HH116" t="e">
        <f>AND(Hoja2!A26,"AAAAAFd5Sdc=")</f>
        <v>#VALUE!</v>
      </c>
      <c r="HI116" t="e">
        <f>AND(Hoja2!B26,"AAAAAFd5Sdg=")</f>
        <v>#VALUE!</v>
      </c>
      <c r="HJ116" t="e">
        <f>AND(Hoja2!C26,"AAAAAFd5Sdk=")</f>
        <v>#VALUE!</v>
      </c>
      <c r="HK116" t="e">
        <f>AND(Hoja2!D26,"AAAAAFd5Sdo=")</f>
        <v>#VALUE!</v>
      </c>
      <c r="HL116" t="e">
        <f>AND(Hoja2!E26,"AAAAAFd5Sds=")</f>
        <v>#VALUE!</v>
      </c>
      <c r="HM116" t="e">
        <f>AND(Hoja2!F26,"AAAAAFd5Sdw=")</f>
        <v>#VALUE!</v>
      </c>
      <c r="HN116" t="e">
        <f>AND(Hoja2!G26,"AAAAAFd5Sd0=")</f>
        <v>#VALUE!</v>
      </c>
      <c r="HO116" s="60">
        <f>IF(Hoja2!20:20,"AAAAAFd5Sd4=",0)</f>
        <v>0</v>
      </c>
      <c r="HP116" t="e">
        <f>AND(Hoja2!A27,"AAAAAFd5Sd8=")</f>
        <v>#VALUE!</v>
      </c>
      <c r="HQ116" t="e">
        <f>AND(Hoja2!B27,"AAAAAFd5SeA=")</f>
        <v>#VALUE!</v>
      </c>
      <c r="HR116" t="e">
        <f>AND(Hoja2!C27,"AAAAAFd5SeE=")</f>
        <v>#VALUE!</v>
      </c>
      <c r="HS116" t="e">
        <f>AND(Hoja2!D27,"AAAAAFd5SeI=")</f>
        <v>#VALUE!</v>
      </c>
      <c r="HT116" t="e">
        <f>AND(Hoja2!E27,"AAAAAFd5SeM=")</f>
        <v>#VALUE!</v>
      </c>
      <c r="HU116" t="e">
        <f>AND(Hoja2!F27,"AAAAAFd5SeQ=")</f>
        <v>#VALUE!</v>
      </c>
      <c r="HV116" t="e">
        <f>AND(Hoja2!G27,"AAAAAFd5SeU=")</f>
        <v>#VALUE!</v>
      </c>
      <c r="HW116" s="60">
        <f>IF(Hoja2!21:21,"AAAAAFd5SeY=",0)</f>
        <v>0</v>
      </c>
      <c r="HX116" t="e">
        <f>AND(Hoja2!A28,"AAAAAFd5Sec=")</f>
        <v>#VALUE!</v>
      </c>
      <c r="HY116" t="e">
        <f>AND(Hoja2!B28,"AAAAAFd5Seg=")</f>
        <v>#VALUE!</v>
      </c>
      <c r="HZ116" t="e">
        <f>AND(Hoja2!C28,"AAAAAFd5Sek=")</f>
        <v>#VALUE!</v>
      </c>
      <c r="IA116" t="e">
        <f>AND(Hoja2!D28,"AAAAAFd5Seo=")</f>
        <v>#VALUE!</v>
      </c>
      <c r="IB116" t="e">
        <f>AND(Hoja2!E28,"AAAAAFd5Ses=")</f>
        <v>#VALUE!</v>
      </c>
      <c r="IC116" t="e">
        <f>AND(Hoja2!F28,"AAAAAFd5Sew=")</f>
        <v>#VALUE!</v>
      </c>
      <c r="ID116" t="e">
        <f>AND(Hoja2!G28,"AAAAAFd5Se0=")</f>
        <v>#VALUE!</v>
      </c>
      <c r="IE116" s="60">
        <f>IF(Hoja2!22:22,"AAAAAFd5Se4=",0)</f>
        <v>0</v>
      </c>
      <c r="IF116" t="e">
        <f>AND(Hoja2!A29,"AAAAAFd5Se8=")</f>
        <v>#VALUE!</v>
      </c>
      <c r="IG116" t="e">
        <f>AND(Hoja2!B29,"AAAAAFd5SfA=")</f>
        <v>#VALUE!</v>
      </c>
      <c r="IH116" t="e">
        <f>AND(Hoja2!C29,"AAAAAFd5SfE=")</f>
        <v>#VALUE!</v>
      </c>
      <c r="II116" t="e">
        <f>AND(Hoja2!D29,"AAAAAFd5SfI=")</f>
        <v>#VALUE!</v>
      </c>
      <c r="IJ116" t="e">
        <f>AND(Hoja2!E29,"AAAAAFd5SfM=")</f>
        <v>#VALUE!</v>
      </c>
      <c r="IK116" t="e">
        <f>AND(Hoja2!F29,"AAAAAFd5SfQ=")</f>
        <v>#VALUE!</v>
      </c>
      <c r="IL116" t="e">
        <f>AND(Hoja2!G29,"AAAAAFd5SfU=")</f>
        <v>#VALUE!</v>
      </c>
      <c r="IM116" s="60">
        <f>IF(Hoja2!23:23,"AAAAAFd5SfY=",0)</f>
        <v>0</v>
      </c>
      <c r="IN116" t="e">
        <f>AND(Hoja2!A30,"AAAAAFd5Sfc=")</f>
        <v>#VALUE!</v>
      </c>
      <c r="IO116" t="e">
        <f>AND(Hoja2!B30,"AAAAAFd5Sfg=")</f>
        <v>#VALUE!</v>
      </c>
      <c r="IP116" t="e">
        <f>AND(Hoja2!C30,"AAAAAFd5Sfk=")</f>
        <v>#VALUE!</v>
      </c>
      <c r="IQ116" t="e">
        <f>AND(Hoja2!D30,"AAAAAFd5Sfo=")</f>
        <v>#VALUE!</v>
      </c>
      <c r="IR116" t="e">
        <f>AND(Hoja2!E30,"AAAAAFd5Sfs=")</f>
        <v>#VALUE!</v>
      </c>
      <c r="IS116" t="e">
        <f>AND(Hoja2!F30,"AAAAAFd5Sfw=")</f>
        <v>#VALUE!</v>
      </c>
      <c r="IT116" t="e">
        <f>AND(Hoja2!G30,"AAAAAFd5Sf0=")</f>
        <v>#VALUE!</v>
      </c>
      <c r="IU116" s="60">
        <f>IF(Hoja2!24:24,"AAAAAFd5Sf4=",0)</f>
        <v>0</v>
      </c>
      <c r="IV116" t="e">
        <f>AND(Hoja2!A31,"AAAAAFd5Sf8=")</f>
        <v>#VALUE!</v>
      </c>
    </row>
    <row r="117" spans="1:256" ht="15" customHeight="1" x14ac:dyDescent="0.25">
      <c r="A117" t="e">
        <f>AND(Hoja2!B31,"AAAAADf9/wA=")</f>
        <v>#VALUE!</v>
      </c>
      <c r="B117" t="e">
        <f>AND(Hoja2!C31,"AAAAADf9/wE=")</f>
        <v>#VALUE!</v>
      </c>
      <c r="C117" t="e">
        <f>AND(Hoja2!D31,"AAAAADf9/wI=")</f>
        <v>#VALUE!</v>
      </c>
      <c r="D117" t="e">
        <f>AND(Hoja2!E31,"AAAAADf9/wM=")</f>
        <v>#VALUE!</v>
      </c>
      <c r="E117" t="e">
        <f>AND(Hoja2!F31,"AAAAADf9/wQ=")</f>
        <v>#VALUE!</v>
      </c>
      <c r="F117" t="e">
        <f>AND(Hoja2!G31,"AAAAADf9/wU=")</f>
        <v>#VALUE!</v>
      </c>
      <c r="G117" s="60">
        <f>IF(Hoja2!B:B,"AAAAADf9/wY=",0)</f>
        <v>0</v>
      </c>
      <c r="H117" s="60">
        <f>IF(Hoja2!C:C,"AAAAADf9/wc=",0)</f>
        <v>0</v>
      </c>
      <c r="I117" s="60">
        <f>IF(Hoja2!D:D,"AAAAADf9/wg=",0)</f>
        <v>0</v>
      </c>
      <c r="J117" s="60">
        <f>IF(Hoja2!E:E,"AAAAADf9/wk=",0)</f>
        <v>0</v>
      </c>
      <c r="K117" s="60">
        <f>IF(Hoja2!F:F,"AAAAADf9/wo=",0)</f>
        <v>0</v>
      </c>
      <c r="L117" s="60">
        <f>IF(Hoja2!G:G,"AAAAADf9/ws=",0)</f>
        <v>0</v>
      </c>
    </row>
    <row r="118" spans="1:256" ht="15" customHeight="1" x14ac:dyDescent="0.25">
      <c r="A118" t="e">
        <f>AND('BBP complete'!Q1,"AAAAAH/eTwA=")</f>
        <v>#VALUE!</v>
      </c>
      <c r="B118" t="e">
        <f>AND('BBP complete'!R1,"AAAAAH/eTwE=")</f>
        <v>#VALUE!</v>
      </c>
      <c r="C118" t="e">
        <f>AND('BBP complete'!S1,"AAAAAH/eTwI=")</f>
        <v>#VALUE!</v>
      </c>
      <c r="D118" t="e">
        <f>AND('BBP complete'!Q2,"AAAAAH/eTwM=")</f>
        <v>#VALUE!</v>
      </c>
      <c r="E118" t="e">
        <f>AND('BBP complete'!R2,"AAAAAH/eTwQ=")</f>
        <v>#VALUE!</v>
      </c>
      <c r="F118" t="e">
        <f>AND('BBP complete'!S2,"AAAAAH/eTwU=")</f>
        <v>#VALUE!</v>
      </c>
      <c r="G118" t="e">
        <f>AND('BBP complete'!Q3,"AAAAAH/eTwY=")</f>
        <v>#VALUE!</v>
      </c>
      <c r="H118" t="e">
        <f>AND('BBP complete'!R3,"AAAAAH/eTwc=")</f>
        <v>#VALUE!</v>
      </c>
      <c r="I118" t="e">
        <f>AND('BBP complete'!S3,"AAAAAH/eTwg=")</f>
        <v>#VALUE!</v>
      </c>
      <c r="J118" t="e">
        <f>AND('BBP complete'!Q6,"AAAAAH/eTwk=")</f>
        <v>#VALUE!</v>
      </c>
      <c r="K118" t="e">
        <f>AND('BBP complete'!R6,"AAAAAH/eTwo=")</f>
        <v>#VALUE!</v>
      </c>
      <c r="L118" t="e">
        <f>AND('BBP complete'!S6,"AAAAAH/eTws=")</f>
        <v>#VALUE!</v>
      </c>
      <c r="M118" t="e">
        <f>AND('BBP complete'!Q7,"AAAAAH/eTww=")</f>
        <v>#VALUE!</v>
      </c>
      <c r="N118" t="e">
        <f>AND('BBP complete'!R7,"AAAAAH/eTw0=")</f>
        <v>#VALUE!</v>
      </c>
      <c r="O118" t="e">
        <f>AND('BBP complete'!S7,"AAAAAH/eTw4=")</f>
        <v>#VALUE!</v>
      </c>
      <c r="P118" t="e">
        <f>AND('BBP complete'!Q8,"AAAAAH/eTw8=")</f>
        <v>#VALUE!</v>
      </c>
      <c r="Q118" t="e">
        <f>AND('BBP complete'!R8,"AAAAAH/eTxA=")</f>
        <v>#VALUE!</v>
      </c>
      <c r="R118" t="e">
        <f>AND('BBP complete'!S8,"AAAAAH/eTxE=")</f>
        <v>#VALUE!</v>
      </c>
      <c r="S118" t="e">
        <f>AND('BBP complete'!Q9,"AAAAAH/eTxI=")</f>
        <v>#VALUE!</v>
      </c>
      <c r="T118" t="e">
        <f>AND('BBP complete'!R9,"AAAAAH/eTxM=")</f>
        <v>#VALUE!</v>
      </c>
      <c r="U118" t="e">
        <f>AND('BBP complete'!S9,"AAAAAH/eTxQ=")</f>
        <v>#VALUE!</v>
      </c>
      <c r="V118" t="e">
        <f>AND('BBP complete'!Q10,"AAAAAH/eTxU=")</f>
        <v>#VALUE!</v>
      </c>
      <c r="W118" t="e">
        <f>AND('BBP complete'!R10,"AAAAAH/eTxY=")</f>
        <v>#VALUE!</v>
      </c>
      <c r="X118" t="e">
        <f>AND('BBP complete'!S10,"AAAAAH/eTxc=")</f>
        <v>#VALUE!</v>
      </c>
      <c r="Y118" t="e">
        <f>AND('BBP complete'!Q13,"AAAAAH/eTxg=")</f>
        <v>#VALUE!</v>
      </c>
      <c r="Z118" t="e">
        <f>AND('BBP complete'!R13,"AAAAAH/eTxk=")</f>
        <v>#VALUE!</v>
      </c>
      <c r="AA118" t="e">
        <f>AND('BBP complete'!S13,"AAAAAH/eTxo=")</f>
        <v>#VALUE!</v>
      </c>
      <c r="AB118" t="e">
        <f>AND('BBP complete'!Q14,"AAAAAH/eTxs=")</f>
        <v>#VALUE!</v>
      </c>
      <c r="AC118" t="e">
        <f>AND('BBP complete'!R14,"AAAAAH/eTxw=")</f>
        <v>#VALUE!</v>
      </c>
      <c r="AD118" t="e">
        <f>AND('BBP complete'!S14,"AAAAAH/eTx0=")</f>
        <v>#VALUE!</v>
      </c>
      <c r="AE118" t="e">
        <f>AND('BBP complete'!Q15,"AAAAAH/eTx4=")</f>
        <v>#VALUE!</v>
      </c>
      <c r="AF118" t="e">
        <f>AND('BBP complete'!R15,"AAAAAH/eTx8=")</f>
        <v>#VALUE!</v>
      </c>
      <c r="AG118" t="e">
        <f>AND('BBP complete'!S15,"AAAAAH/eTyA=")</f>
        <v>#VALUE!</v>
      </c>
      <c r="AH118" t="e">
        <f>AND('BBP complete'!Q16,"AAAAAH/eTyE=")</f>
        <v>#VALUE!</v>
      </c>
      <c r="AI118" t="e">
        <f>AND('BBP complete'!R16,"AAAAAH/eTyI=")</f>
        <v>#VALUE!</v>
      </c>
      <c r="AJ118" t="e">
        <f>AND('BBP complete'!S16,"AAAAAH/eTyM=")</f>
        <v>#VALUE!</v>
      </c>
      <c r="AK118" t="e">
        <f>AND('BBP complete'!Q17,"AAAAAH/eTyQ=")</f>
        <v>#VALUE!</v>
      </c>
      <c r="AL118" t="e">
        <f>AND('BBP complete'!R17,"AAAAAH/eTyU=")</f>
        <v>#VALUE!</v>
      </c>
      <c r="AM118" t="e">
        <f>AND('BBP complete'!S17,"AAAAAH/eTyY=")</f>
        <v>#VALUE!</v>
      </c>
      <c r="AN118" t="e">
        <f>AND('BBP complete'!Q18,"AAAAAH/eTyc=")</f>
        <v>#VALUE!</v>
      </c>
      <c r="AO118" t="e">
        <f>AND('BBP complete'!R18,"AAAAAH/eTyg=")</f>
        <v>#VALUE!</v>
      </c>
      <c r="AP118" t="e">
        <f>AND('BBP complete'!S18,"AAAAAH/eTyk=")</f>
        <v>#VALUE!</v>
      </c>
      <c r="AQ118" t="e">
        <f>AND('BBP complete'!Q19,"AAAAAH/eTyo=")</f>
        <v>#VALUE!</v>
      </c>
      <c r="AR118" t="e">
        <f>AND('BBP complete'!R19,"AAAAAH/eTys=")</f>
        <v>#VALUE!</v>
      </c>
      <c r="AS118" t="e">
        <f>AND('BBP complete'!S19,"AAAAAH/eTyw=")</f>
        <v>#VALUE!</v>
      </c>
      <c r="AT118" t="e">
        <f>AND('BBP complete'!Q20,"AAAAAH/eTy0=")</f>
        <v>#VALUE!</v>
      </c>
      <c r="AU118" t="e">
        <f>AND('BBP complete'!R20,"AAAAAH/eTy4=")</f>
        <v>#VALUE!</v>
      </c>
      <c r="AV118" t="e">
        <f>AND('BBP complete'!S20,"AAAAAH/eTy8=")</f>
        <v>#VALUE!</v>
      </c>
      <c r="AW118" t="e">
        <f>AND('BBP complete'!Q21,"AAAAAH/eTzA=")</f>
        <v>#VALUE!</v>
      </c>
      <c r="AX118" t="e">
        <f>AND('BBP complete'!R21,"AAAAAH/eTzE=")</f>
        <v>#VALUE!</v>
      </c>
      <c r="AY118" t="e">
        <f>AND('BBP complete'!S21,"AAAAAH/eTzI=")</f>
        <v>#VALUE!</v>
      </c>
      <c r="AZ118" t="e">
        <f>AND('BBP complete'!Q22,"AAAAAH/eTzM=")</f>
        <v>#VALUE!</v>
      </c>
      <c r="BA118" t="e">
        <f>AND('BBP complete'!R22,"AAAAAH/eTzQ=")</f>
        <v>#VALUE!</v>
      </c>
      <c r="BB118" t="e">
        <f>AND('BBP complete'!S22,"AAAAAH/eTzU=")</f>
        <v>#VALUE!</v>
      </c>
      <c r="BC118" t="e">
        <f>AND('BBP complete'!Q23,"AAAAAH/eTzY=")</f>
        <v>#VALUE!</v>
      </c>
      <c r="BD118" t="e">
        <f>AND('BBP complete'!R23,"AAAAAH/eTzc=")</f>
        <v>#VALUE!</v>
      </c>
      <c r="BE118" t="e">
        <f>AND('BBP complete'!S23,"AAAAAH/eTzg=")</f>
        <v>#VALUE!</v>
      </c>
      <c r="BF118" t="e">
        <f>AND('BBP complete'!Q24,"AAAAAH/eTzk=")</f>
        <v>#VALUE!</v>
      </c>
      <c r="BG118" t="e">
        <f>AND('BBP complete'!R24,"AAAAAH/eTzo=")</f>
        <v>#VALUE!</v>
      </c>
      <c r="BH118" t="e">
        <f>AND('BBP complete'!S24,"AAAAAH/eTzs=")</f>
        <v>#VALUE!</v>
      </c>
      <c r="BI118" t="e">
        <f>AND('BBP complete'!Q25,"AAAAAH/eTzw=")</f>
        <v>#VALUE!</v>
      </c>
      <c r="BJ118" t="e">
        <f>AND('BBP complete'!R25,"AAAAAH/eTz0=")</f>
        <v>#VALUE!</v>
      </c>
      <c r="BK118" t="e">
        <f>AND('BBP complete'!S25,"AAAAAH/eTz4=")</f>
        <v>#VALUE!</v>
      </c>
      <c r="BL118" t="e">
        <f>AND('BBP complete'!Q26,"AAAAAH/eTz8=")</f>
        <v>#VALUE!</v>
      </c>
      <c r="BM118" t="e">
        <f>AND('BBP complete'!R26,"AAAAAH/eT0A=")</f>
        <v>#VALUE!</v>
      </c>
      <c r="BN118" t="e">
        <f>AND('BBP complete'!S26,"AAAAAH/eT0E=")</f>
        <v>#VALUE!</v>
      </c>
      <c r="BO118" t="e">
        <f>AND('BBP complete'!Q27,"AAAAAH/eT0I=")</f>
        <v>#VALUE!</v>
      </c>
      <c r="BP118" t="e">
        <f>AND('BBP complete'!R27,"AAAAAH/eT0M=")</f>
        <v>#VALUE!</v>
      </c>
      <c r="BQ118" t="e">
        <f>AND('BBP complete'!S27,"AAAAAH/eT0Q=")</f>
        <v>#VALUE!</v>
      </c>
      <c r="BR118" t="e">
        <f>AND('BBP complete'!Q28,"AAAAAH/eT0U=")</f>
        <v>#VALUE!</v>
      </c>
      <c r="BS118" t="e">
        <f>AND('BBP complete'!R28,"AAAAAH/eT0Y=")</f>
        <v>#VALUE!</v>
      </c>
      <c r="BT118" t="e">
        <f>AND('BBP complete'!S28,"AAAAAH/eT0c=")</f>
        <v>#VALUE!</v>
      </c>
      <c r="BU118" t="e">
        <f>AND('BBP complete'!Q29,"AAAAAH/eT0g=")</f>
        <v>#VALUE!</v>
      </c>
      <c r="BV118" t="e">
        <f>AND('BBP complete'!R29,"AAAAAH/eT0k=")</f>
        <v>#VALUE!</v>
      </c>
      <c r="BW118" t="e">
        <f>AND('BBP complete'!S29,"AAAAAH/eT0o=")</f>
        <v>#VALUE!</v>
      </c>
      <c r="BX118" t="e">
        <f>AND('BBP complete'!Q30,"AAAAAH/eT0s=")</f>
        <v>#VALUE!</v>
      </c>
      <c r="BY118" t="e">
        <f>AND('BBP complete'!R30,"AAAAAH/eT0w=")</f>
        <v>#VALUE!</v>
      </c>
      <c r="BZ118" t="e">
        <f>AND('BBP complete'!S30,"AAAAAH/eT00=")</f>
        <v>#VALUE!</v>
      </c>
      <c r="CA118" t="e">
        <f>AND('BBP complete'!Q31,"AAAAAH/eT04=")</f>
        <v>#VALUE!</v>
      </c>
      <c r="CB118" t="e">
        <f>AND('BBP complete'!R31,"AAAAAH/eT08=")</f>
        <v>#VALUE!</v>
      </c>
      <c r="CC118" t="e">
        <f>AND('BBP complete'!S31,"AAAAAH/eT1A=")</f>
        <v>#VALUE!</v>
      </c>
      <c r="CD118" t="e">
        <f>AND('BBP complete'!Q32,"AAAAAH/eT1E=")</f>
        <v>#VALUE!</v>
      </c>
      <c r="CE118" t="e">
        <f>AND('BBP complete'!R32,"AAAAAH/eT1I=")</f>
        <v>#VALUE!</v>
      </c>
      <c r="CF118" t="e">
        <f>AND('BBP complete'!S32,"AAAAAH/eT1M=")</f>
        <v>#VALUE!</v>
      </c>
      <c r="CG118" t="e">
        <f>AND('BBP complete'!Q33,"AAAAAH/eT1Q=")</f>
        <v>#VALUE!</v>
      </c>
      <c r="CH118" t="e">
        <f>AND('BBP complete'!R33,"AAAAAH/eT1U=")</f>
        <v>#VALUE!</v>
      </c>
      <c r="CI118" t="e">
        <f>AND('BBP complete'!S33,"AAAAAH/eT1Y=")</f>
        <v>#VALUE!</v>
      </c>
      <c r="CJ118" t="e">
        <f>AND('BBP complete'!Q34,"AAAAAH/eT1c=")</f>
        <v>#VALUE!</v>
      </c>
      <c r="CK118" t="e">
        <f>AND('BBP complete'!R34,"AAAAAH/eT1g=")</f>
        <v>#VALUE!</v>
      </c>
      <c r="CL118" t="e">
        <f>AND('BBP complete'!S34,"AAAAAH/eT1k=")</f>
        <v>#VALUE!</v>
      </c>
      <c r="CM118" t="e">
        <f>AND('BBP complete'!Q35,"AAAAAH/eT1o=")</f>
        <v>#VALUE!</v>
      </c>
      <c r="CN118" t="e">
        <f>AND('BBP complete'!R35,"AAAAAH/eT1s=")</f>
        <v>#VALUE!</v>
      </c>
      <c r="CO118" t="e">
        <f>AND('BBP complete'!S35,"AAAAAH/eT1w=")</f>
        <v>#VALUE!</v>
      </c>
      <c r="CP118" t="e">
        <f>AND('BBP complete'!Q36,"AAAAAH/eT10=")</f>
        <v>#VALUE!</v>
      </c>
      <c r="CQ118" t="e">
        <f>AND('BBP complete'!R36,"AAAAAH/eT14=")</f>
        <v>#VALUE!</v>
      </c>
      <c r="CR118" t="e">
        <f>AND('BBP complete'!S36,"AAAAAH/eT18=")</f>
        <v>#VALUE!</v>
      </c>
      <c r="CS118" t="e">
        <f>AND('BBP complete'!Q37,"AAAAAH/eT2A=")</f>
        <v>#VALUE!</v>
      </c>
      <c r="CT118" t="e">
        <f>AND('BBP complete'!R37,"AAAAAH/eT2E=")</f>
        <v>#VALUE!</v>
      </c>
      <c r="CU118" t="e">
        <f>AND('BBP complete'!S37,"AAAAAH/eT2I=")</f>
        <v>#VALUE!</v>
      </c>
      <c r="CV118" t="e">
        <f>AND('BBP complete'!Q40,"AAAAAH/eT2M=")</f>
        <v>#VALUE!</v>
      </c>
      <c r="CW118" t="e">
        <f>AND('BBP complete'!R40,"AAAAAH/eT2Q=")</f>
        <v>#VALUE!</v>
      </c>
      <c r="CX118" t="e">
        <f>AND('BBP complete'!S40,"AAAAAH/eT2U=")</f>
        <v>#VALUE!</v>
      </c>
      <c r="CY118" t="e">
        <f>AND('BBP complete'!Q41,"AAAAAH/eT2Y=")</f>
        <v>#VALUE!</v>
      </c>
      <c r="CZ118" t="e">
        <f>AND('BBP complete'!R41,"AAAAAH/eT2c=")</f>
        <v>#VALUE!</v>
      </c>
      <c r="DA118" t="e">
        <f>AND('BBP complete'!S41,"AAAAAH/eT2g=")</f>
        <v>#VALUE!</v>
      </c>
      <c r="DB118" t="e">
        <f>AND('BBP complete'!Q42,"AAAAAH/eT2k=")</f>
        <v>#VALUE!</v>
      </c>
      <c r="DC118" t="e">
        <f>AND('BBP complete'!R42,"AAAAAH/eT2o=")</f>
        <v>#VALUE!</v>
      </c>
      <c r="DD118" t="e">
        <f>AND('BBP complete'!S42,"AAAAAH/eT2s=")</f>
        <v>#VALUE!</v>
      </c>
      <c r="DE118" t="e">
        <f>AND('BBP complete'!Q43,"AAAAAH/eT2w=")</f>
        <v>#VALUE!</v>
      </c>
      <c r="DF118" t="e">
        <f>AND('BBP complete'!R43,"AAAAAH/eT20=")</f>
        <v>#VALUE!</v>
      </c>
      <c r="DG118" t="e">
        <f>AND('BBP complete'!S43,"AAAAAH/eT24=")</f>
        <v>#VALUE!</v>
      </c>
      <c r="DH118" t="e">
        <f>AND('BBP complete'!Q44,"AAAAAH/eT28=")</f>
        <v>#VALUE!</v>
      </c>
      <c r="DI118" t="e">
        <f>AND('BBP complete'!R44,"AAAAAH/eT3A=")</f>
        <v>#VALUE!</v>
      </c>
      <c r="DJ118" t="e">
        <f>AND('BBP complete'!S44,"AAAAAH/eT3E=")</f>
        <v>#VALUE!</v>
      </c>
      <c r="DK118" t="e">
        <f>AND('BBP complete'!Q45,"AAAAAH/eT3I=")</f>
        <v>#VALUE!</v>
      </c>
      <c r="DL118" t="e">
        <f>AND('BBP complete'!R45,"AAAAAH/eT3M=")</f>
        <v>#VALUE!</v>
      </c>
      <c r="DM118" t="e">
        <f>AND('BBP complete'!S45,"AAAAAH/eT3Q=")</f>
        <v>#VALUE!</v>
      </c>
      <c r="DN118" t="e">
        <f>AND('BBP complete'!Q46,"AAAAAH/eT3U=")</f>
        <v>#VALUE!</v>
      </c>
      <c r="DO118" t="e">
        <f>AND('BBP complete'!R46,"AAAAAH/eT3Y=")</f>
        <v>#VALUE!</v>
      </c>
      <c r="DP118" t="e">
        <f>AND('BBP complete'!S46,"AAAAAH/eT3c=")</f>
        <v>#VALUE!</v>
      </c>
      <c r="DQ118" t="e">
        <f>AND('BBP complete'!Q47,"AAAAAH/eT3g=")</f>
        <v>#VALUE!</v>
      </c>
      <c r="DR118" t="e">
        <f>AND('BBP complete'!R47,"AAAAAH/eT3k=")</f>
        <v>#VALUE!</v>
      </c>
      <c r="DS118" t="e">
        <f>AND('BBP complete'!S47,"AAAAAH/eT3o=")</f>
        <v>#VALUE!</v>
      </c>
      <c r="DT118" t="e">
        <f>AND('BBP complete'!Q48,"AAAAAH/eT3s=")</f>
        <v>#VALUE!</v>
      </c>
      <c r="DU118" t="e">
        <f>AND('BBP complete'!R48,"AAAAAH/eT3w=")</f>
        <v>#VALUE!</v>
      </c>
      <c r="DV118" t="e">
        <f>AND('BBP complete'!S48,"AAAAAH/eT30=")</f>
        <v>#VALUE!</v>
      </c>
      <c r="DW118" t="e">
        <f>AND('BBP complete'!Q49,"AAAAAH/eT34=")</f>
        <v>#VALUE!</v>
      </c>
      <c r="DX118" t="e">
        <f>AND('BBP complete'!R49,"AAAAAH/eT38=")</f>
        <v>#VALUE!</v>
      </c>
      <c r="DY118" t="e">
        <f>AND('BBP complete'!S49,"AAAAAH/eT4A=")</f>
        <v>#VALUE!</v>
      </c>
      <c r="DZ118" t="e">
        <f>AND('BBP complete'!Q50,"AAAAAH/eT4E=")</f>
        <v>#VALUE!</v>
      </c>
      <c r="EA118" t="e">
        <f>AND('BBP complete'!R50,"AAAAAH/eT4I=")</f>
        <v>#VALUE!</v>
      </c>
      <c r="EB118" t="e">
        <f>AND('BBP complete'!S50,"AAAAAH/eT4M=")</f>
        <v>#VALUE!</v>
      </c>
      <c r="EC118" t="e">
        <f>AND('BBP complete'!Q51,"AAAAAH/eT4Q=")</f>
        <v>#VALUE!</v>
      </c>
      <c r="ED118" t="e">
        <f>AND('BBP complete'!R51,"AAAAAH/eT4U=")</f>
        <v>#VALUE!</v>
      </c>
      <c r="EE118" t="e">
        <f>AND('BBP complete'!S51,"AAAAAH/eT4Y=")</f>
        <v>#VALUE!</v>
      </c>
      <c r="EF118" t="e">
        <f>AND('BBP complete'!Q52,"AAAAAH/eT4c=")</f>
        <v>#VALUE!</v>
      </c>
      <c r="EG118" t="e">
        <f>AND('BBP complete'!R52,"AAAAAH/eT4g=")</f>
        <v>#VALUE!</v>
      </c>
      <c r="EH118" t="e">
        <f>AND('BBP complete'!S52,"AAAAAH/eT4k=")</f>
        <v>#VALUE!</v>
      </c>
      <c r="EI118" t="e">
        <f>AND('BBP complete'!Q53,"AAAAAH/eT4o=")</f>
        <v>#VALUE!</v>
      </c>
      <c r="EJ118" t="e">
        <f>AND('BBP complete'!R53,"AAAAAH/eT4s=")</f>
        <v>#VALUE!</v>
      </c>
      <c r="EK118" t="e">
        <f>AND('BBP complete'!S53,"AAAAAH/eT4w=")</f>
        <v>#VALUE!</v>
      </c>
      <c r="EL118" t="e">
        <f>AND('BBP complete'!Q54,"AAAAAH/eT40=")</f>
        <v>#VALUE!</v>
      </c>
      <c r="EM118" t="e">
        <f>AND('BBP complete'!R54,"AAAAAH/eT44=")</f>
        <v>#VALUE!</v>
      </c>
      <c r="EN118" t="e">
        <f>AND('BBP complete'!S54,"AAAAAH/eT48=")</f>
        <v>#VALUE!</v>
      </c>
      <c r="EO118" t="e">
        <f>AND('BBP complete'!Q55,"AAAAAH/eT5A=")</f>
        <v>#VALUE!</v>
      </c>
      <c r="EP118" t="e">
        <f>AND('BBP complete'!R55,"AAAAAH/eT5E=")</f>
        <v>#VALUE!</v>
      </c>
      <c r="EQ118" t="e">
        <f>AND('BBP complete'!S55,"AAAAAH/eT5I=")</f>
        <v>#VALUE!</v>
      </c>
      <c r="ER118" t="e">
        <f>AND('BBP complete'!Q56,"AAAAAH/eT5M=")</f>
        <v>#VALUE!</v>
      </c>
      <c r="ES118" t="e">
        <f>AND('BBP complete'!R56,"AAAAAH/eT5Q=")</f>
        <v>#VALUE!</v>
      </c>
      <c r="ET118" t="e">
        <f>AND('BBP complete'!S56,"AAAAAH/eT5U=")</f>
        <v>#VALUE!</v>
      </c>
      <c r="EU118" t="e">
        <f>AND('BBP complete'!Q57,"AAAAAH/eT5Y=")</f>
        <v>#VALUE!</v>
      </c>
      <c r="EV118" t="e">
        <f>AND('BBP complete'!R57,"AAAAAH/eT5c=")</f>
        <v>#VALUE!</v>
      </c>
      <c r="EW118" t="e">
        <f>AND('BBP complete'!S57,"AAAAAH/eT5g=")</f>
        <v>#VALUE!</v>
      </c>
      <c r="EX118" t="e">
        <f>AND('BBP complete'!Q58,"AAAAAH/eT5k=")</f>
        <v>#VALUE!</v>
      </c>
      <c r="EY118" t="e">
        <f>AND('BBP complete'!R58,"AAAAAH/eT5o=")</f>
        <v>#VALUE!</v>
      </c>
      <c r="EZ118" t="e">
        <f>AND('BBP complete'!S58,"AAAAAH/eT5s=")</f>
        <v>#VALUE!</v>
      </c>
      <c r="FA118" t="e">
        <f>AND('BBP complete'!Q59,"AAAAAH/eT5w=")</f>
        <v>#VALUE!</v>
      </c>
      <c r="FB118" t="e">
        <f>AND('BBP complete'!R59,"AAAAAH/eT50=")</f>
        <v>#VALUE!</v>
      </c>
      <c r="FC118" t="e">
        <f>AND('BBP complete'!S59,"AAAAAH/eT54=")</f>
        <v>#VALUE!</v>
      </c>
      <c r="FD118" t="e">
        <f>AND('BBP complete'!Q60,"AAAAAH/eT58=")</f>
        <v>#VALUE!</v>
      </c>
      <c r="FE118" t="e">
        <f>AND('BBP complete'!R60,"AAAAAH/eT6A=")</f>
        <v>#VALUE!</v>
      </c>
      <c r="FF118" t="e">
        <f>AND('BBP complete'!S60,"AAAAAH/eT6E=")</f>
        <v>#VALUE!</v>
      </c>
      <c r="FG118" t="e">
        <f>AND('BBP complete'!Q61,"AAAAAH/eT6I=")</f>
        <v>#VALUE!</v>
      </c>
      <c r="FH118" t="e">
        <f>AND('BBP complete'!R61,"AAAAAH/eT6M=")</f>
        <v>#VALUE!</v>
      </c>
      <c r="FI118" t="e">
        <f>AND('BBP complete'!S61,"AAAAAH/eT6Q=")</f>
        <v>#VALUE!</v>
      </c>
      <c r="FJ118" t="e">
        <f>AND('BBP complete'!Q62,"AAAAAH/eT6U=")</f>
        <v>#VALUE!</v>
      </c>
      <c r="FK118" t="e">
        <f>AND('BBP complete'!R62,"AAAAAH/eT6Y=")</f>
        <v>#VALUE!</v>
      </c>
      <c r="FL118" t="e">
        <f>AND('BBP complete'!S62,"AAAAAH/eT6c=")</f>
        <v>#VALUE!</v>
      </c>
      <c r="FM118" t="e">
        <f>AND('BBP complete'!Q63,"AAAAAH/eT6g=")</f>
        <v>#VALUE!</v>
      </c>
      <c r="FN118" t="e">
        <f>AND('BBP complete'!R63,"AAAAAH/eT6k=")</f>
        <v>#VALUE!</v>
      </c>
      <c r="FO118" t="e">
        <f>AND('BBP complete'!S63,"AAAAAH/eT6o=")</f>
        <v>#VALUE!</v>
      </c>
      <c r="FP118" t="e">
        <f>AND('BBP complete'!Q64,"AAAAAH/eT6s=")</f>
        <v>#VALUE!</v>
      </c>
      <c r="FQ118" t="e">
        <f>AND('BBP complete'!R64,"AAAAAH/eT6w=")</f>
        <v>#VALUE!</v>
      </c>
      <c r="FR118" t="e">
        <f>AND('BBP complete'!S64,"AAAAAH/eT60=")</f>
        <v>#VALUE!</v>
      </c>
      <c r="FS118" t="e">
        <f>AND('BBP complete'!Q65,"AAAAAH/eT64=")</f>
        <v>#VALUE!</v>
      </c>
      <c r="FT118" t="e">
        <f>AND('BBP complete'!R65,"AAAAAH/eT68=")</f>
        <v>#VALUE!</v>
      </c>
      <c r="FU118" t="e">
        <f>AND('BBP complete'!S65,"AAAAAH/eT7A=")</f>
        <v>#VALUE!</v>
      </c>
      <c r="FV118" t="e">
        <f>AND('BBP complete'!Q66,"AAAAAH/eT7E=")</f>
        <v>#VALUE!</v>
      </c>
      <c r="FW118" t="e">
        <f>AND('BBP complete'!R66,"AAAAAH/eT7I=")</f>
        <v>#VALUE!</v>
      </c>
      <c r="FX118" t="e">
        <f>AND('BBP complete'!S66,"AAAAAH/eT7M=")</f>
        <v>#VALUE!</v>
      </c>
      <c r="FY118" t="e">
        <f>AND('BBP complete'!Q67,"AAAAAH/eT7Q=")</f>
        <v>#VALUE!</v>
      </c>
      <c r="FZ118" t="e">
        <f>AND('BBP complete'!R67,"AAAAAH/eT7U=")</f>
        <v>#VALUE!</v>
      </c>
      <c r="GA118" t="e">
        <f>AND('BBP complete'!S67,"AAAAAH/eT7Y=")</f>
        <v>#VALUE!</v>
      </c>
      <c r="GB118" t="e">
        <f>AND('BBP complete'!Q68,"AAAAAH/eT7c=")</f>
        <v>#VALUE!</v>
      </c>
      <c r="GC118" t="e">
        <f>AND('BBP complete'!R68,"AAAAAH/eT7g=")</f>
        <v>#VALUE!</v>
      </c>
      <c r="GD118" t="e">
        <f>AND('BBP complete'!S68,"AAAAAH/eT7k=")</f>
        <v>#VALUE!</v>
      </c>
      <c r="GE118" t="e">
        <f>AND('BBP complete'!Q69,"AAAAAH/eT7o=")</f>
        <v>#VALUE!</v>
      </c>
      <c r="GF118" t="e">
        <f>AND('BBP complete'!R69,"AAAAAH/eT7s=")</f>
        <v>#VALUE!</v>
      </c>
      <c r="GG118" t="e">
        <f>AND('BBP complete'!S69,"AAAAAH/eT7w=")</f>
        <v>#VALUE!</v>
      </c>
      <c r="GH118" t="e">
        <f>AND('BBP complete'!Q70,"AAAAAH/eT70=")</f>
        <v>#VALUE!</v>
      </c>
      <c r="GI118" t="e">
        <f>AND('BBP complete'!R70,"AAAAAH/eT74=")</f>
        <v>#VALUE!</v>
      </c>
      <c r="GJ118" t="e">
        <f>AND('BBP complete'!S70,"AAAAAH/eT78=")</f>
        <v>#VALUE!</v>
      </c>
      <c r="GK118" t="e">
        <f>AND('BBP complete'!Q71,"AAAAAH/eT8A=")</f>
        <v>#VALUE!</v>
      </c>
      <c r="GL118" t="e">
        <f>AND('BBP complete'!R71,"AAAAAH/eT8E=")</f>
        <v>#VALUE!</v>
      </c>
      <c r="GM118" t="e">
        <f>AND('BBP complete'!S71,"AAAAAH/eT8I=")</f>
        <v>#VALUE!</v>
      </c>
      <c r="GN118" t="e">
        <f>AND('BBP complete'!Q72,"AAAAAH/eT8M=")</f>
        <v>#VALUE!</v>
      </c>
      <c r="GO118" t="e">
        <f>AND('BBP complete'!R72,"AAAAAH/eT8Q=")</f>
        <v>#VALUE!</v>
      </c>
      <c r="GP118" t="e">
        <f>AND('BBP complete'!S72,"AAAAAH/eT8U=")</f>
        <v>#VALUE!</v>
      </c>
      <c r="GQ118" t="e">
        <f>AND('BBP complete'!Q73,"AAAAAH/eT8Y=")</f>
        <v>#VALUE!</v>
      </c>
      <c r="GR118" t="e">
        <f>AND('BBP complete'!R73,"AAAAAH/eT8c=")</f>
        <v>#VALUE!</v>
      </c>
      <c r="GS118" t="e">
        <f>AND('BBP complete'!S73,"AAAAAH/eT8g=")</f>
        <v>#VALUE!</v>
      </c>
      <c r="GT118" t="e">
        <f>AND('BBP complete'!Q74,"AAAAAH/eT8k=")</f>
        <v>#VALUE!</v>
      </c>
      <c r="GU118" t="e">
        <f>AND('BBP complete'!R74,"AAAAAH/eT8o=")</f>
        <v>#VALUE!</v>
      </c>
      <c r="GV118" t="e">
        <f>AND('BBP complete'!S74,"AAAAAH/eT8s=")</f>
        <v>#VALUE!</v>
      </c>
      <c r="GW118" t="e">
        <f>AND('BBP complete'!Q75,"AAAAAH/eT8w=")</f>
        <v>#VALUE!</v>
      </c>
      <c r="GX118" t="e">
        <f>AND('BBP complete'!R75,"AAAAAH/eT80=")</f>
        <v>#VALUE!</v>
      </c>
      <c r="GY118" t="e">
        <f>AND('BBP complete'!S75,"AAAAAH/eT84=")</f>
        <v>#VALUE!</v>
      </c>
      <c r="GZ118" t="e">
        <f>AND('BBP complete'!Q76,"AAAAAH/eT88=")</f>
        <v>#VALUE!</v>
      </c>
      <c r="HA118" t="e">
        <f>AND('BBP complete'!R76,"AAAAAH/eT9A=")</f>
        <v>#VALUE!</v>
      </c>
      <c r="HB118" t="e">
        <f>AND('BBP complete'!S76,"AAAAAH/eT9E=")</f>
        <v>#VALUE!</v>
      </c>
      <c r="HC118" t="e">
        <f>AND('BBP complete'!Q77,"AAAAAH/eT9I=")</f>
        <v>#VALUE!</v>
      </c>
      <c r="HD118" t="e">
        <f>AND('BBP complete'!R77,"AAAAAH/eT9M=")</f>
        <v>#VALUE!</v>
      </c>
      <c r="HE118" t="e">
        <f>AND('BBP complete'!S77,"AAAAAH/eT9Q=")</f>
        <v>#VALUE!</v>
      </c>
      <c r="HF118" t="e">
        <f>AND('BBP complete'!Q78,"AAAAAH/eT9U=")</f>
        <v>#VALUE!</v>
      </c>
      <c r="HG118" t="e">
        <f>AND('BBP complete'!R78,"AAAAAH/eT9Y=")</f>
        <v>#VALUE!</v>
      </c>
      <c r="HH118" t="e">
        <f>AND('BBP complete'!S78,"AAAAAH/eT9c=")</f>
        <v>#VALUE!</v>
      </c>
      <c r="HI118" t="e">
        <f>AND('BBP complete'!Q79,"AAAAAH/eT9g=")</f>
        <v>#VALUE!</v>
      </c>
      <c r="HJ118" t="e">
        <f>AND('BBP complete'!R79,"AAAAAH/eT9k=")</f>
        <v>#VALUE!</v>
      </c>
      <c r="HK118" t="e">
        <f>AND('BBP complete'!S79,"AAAAAH/eT9o=")</f>
        <v>#VALUE!</v>
      </c>
      <c r="HL118" t="e">
        <f>AND('BBP complete'!Q80,"AAAAAH/eT9s=")</f>
        <v>#VALUE!</v>
      </c>
      <c r="HM118" t="e">
        <f>AND('BBP complete'!R80,"AAAAAH/eT9w=")</f>
        <v>#VALUE!</v>
      </c>
      <c r="HN118" t="e">
        <f>AND('BBP complete'!S80,"AAAAAH/eT90=")</f>
        <v>#VALUE!</v>
      </c>
      <c r="HO118" t="e">
        <f>AND('BBP complete'!Q81,"AAAAAH/eT94=")</f>
        <v>#VALUE!</v>
      </c>
      <c r="HP118" t="e">
        <f>AND('BBP complete'!R81,"AAAAAH/eT98=")</f>
        <v>#VALUE!</v>
      </c>
      <c r="HQ118" t="e">
        <f>AND('BBP complete'!S81,"AAAAAH/eT+A=")</f>
        <v>#VALUE!</v>
      </c>
      <c r="HR118" t="e">
        <f>AND('BBP complete'!Q82,"AAAAAH/eT+E=")</f>
        <v>#VALUE!</v>
      </c>
      <c r="HS118" t="e">
        <f>AND('BBP complete'!R82,"AAAAAH/eT+I=")</f>
        <v>#VALUE!</v>
      </c>
      <c r="HT118" t="e">
        <f>AND('BBP complete'!S82,"AAAAAH/eT+M=")</f>
        <v>#VALUE!</v>
      </c>
      <c r="HU118" t="e">
        <f>AND('BBP complete'!Q83,"AAAAAH/eT+Q=")</f>
        <v>#VALUE!</v>
      </c>
      <c r="HV118" t="e">
        <f>AND('BBP complete'!R83,"AAAAAH/eT+U=")</f>
        <v>#VALUE!</v>
      </c>
      <c r="HW118" t="e">
        <f>AND('BBP complete'!S83,"AAAAAH/eT+Y=")</f>
        <v>#VALUE!</v>
      </c>
      <c r="HX118" t="e">
        <f>AND('BBP complete'!Q84,"AAAAAH/eT+c=")</f>
        <v>#VALUE!</v>
      </c>
      <c r="HY118" t="e">
        <f>AND('BBP complete'!R84,"AAAAAH/eT+g=")</f>
        <v>#VALUE!</v>
      </c>
      <c r="HZ118" t="e">
        <f>AND('BBP complete'!S84,"AAAAAH/eT+k=")</f>
        <v>#VALUE!</v>
      </c>
      <c r="IA118" t="e">
        <f>AND('BBP complete'!Q85,"AAAAAH/eT+o=")</f>
        <v>#VALUE!</v>
      </c>
      <c r="IB118" t="e">
        <f>AND('BBP complete'!R85,"AAAAAH/eT+s=")</f>
        <v>#VALUE!</v>
      </c>
      <c r="IC118" t="e">
        <f>AND('BBP complete'!S85,"AAAAAH/eT+w=")</f>
        <v>#VALUE!</v>
      </c>
      <c r="ID118" t="e">
        <f>AND('BBP complete'!Q86,"AAAAAH/eT+0=")</f>
        <v>#VALUE!</v>
      </c>
      <c r="IE118" t="e">
        <f>AND('BBP complete'!R86,"AAAAAH/eT+4=")</f>
        <v>#VALUE!</v>
      </c>
      <c r="IF118" t="e">
        <f>AND('BBP complete'!S86,"AAAAAH/eT+8=")</f>
        <v>#VALUE!</v>
      </c>
      <c r="IG118" t="e">
        <f>AND('BBP complete'!Q87,"AAAAAH/eT/A=")</f>
        <v>#VALUE!</v>
      </c>
      <c r="IH118" t="e">
        <f>AND('BBP complete'!R87,"AAAAAH/eT/E=")</f>
        <v>#VALUE!</v>
      </c>
      <c r="II118" t="e">
        <f>AND('BBP complete'!S87,"AAAAAH/eT/I=")</f>
        <v>#VALUE!</v>
      </c>
      <c r="IJ118" t="e">
        <f>AND('BBP complete'!Q88,"AAAAAH/eT/M=")</f>
        <v>#VALUE!</v>
      </c>
      <c r="IK118" t="e">
        <f>AND('BBP complete'!R88,"AAAAAH/eT/Q=")</f>
        <v>#VALUE!</v>
      </c>
      <c r="IL118" t="e">
        <f>AND('BBP complete'!S88,"AAAAAH/eT/U=")</f>
        <v>#VALUE!</v>
      </c>
      <c r="IM118" t="e">
        <f>AND('BBP complete'!Q89,"AAAAAH/eT/Y=")</f>
        <v>#VALUE!</v>
      </c>
      <c r="IN118" t="e">
        <f>AND('BBP complete'!R89,"AAAAAH/eT/c=")</f>
        <v>#VALUE!</v>
      </c>
      <c r="IO118" t="e">
        <f>AND('BBP complete'!S89,"AAAAAH/eT/g=")</f>
        <v>#VALUE!</v>
      </c>
      <c r="IP118" t="e">
        <f>AND('BBP complete'!Q90,"AAAAAH/eT/k=")</f>
        <v>#VALUE!</v>
      </c>
      <c r="IQ118" t="e">
        <f>AND('BBP complete'!R90,"AAAAAH/eT/o=")</f>
        <v>#VALUE!</v>
      </c>
      <c r="IR118" t="e">
        <f>AND('BBP complete'!S90,"AAAAAH/eT/s=")</f>
        <v>#VALUE!</v>
      </c>
      <c r="IS118" t="e">
        <f>AND('BBP complete'!Q91,"AAAAAH/eT/w=")</f>
        <v>#VALUE!</v>
      </c>
      <c r="IT118" t="e">
        <f>AND('BBP complete'!R91,"AAAAAH/eT/0=")</f>
        <v>#VALUE!</v>
      </c>
      <c r="IU118" t="e">
        <f>AND('BBP complete'!S91,"AAAAAH/eT/4=")</f>
        <v>#VALUE!</v>
      </c>
      <c r="IV118" t="e">
        <f>AND('BBP complete'!Q92,"AAAAAH/eT/8=")</f>
        <v>#VALUE!</v>
      </c>
    </row>
    <row r="119" spans="1:256" ht="15" customHeight="1" x14ac:dyDescent="0.25">
      <c r="A119" t="e">
        <f>AND('BBP complete'!R92,"AAAAAGh+xwA=")</f>
        <v>#VALUE!</v>
      </c>
      <c r="B119" t="e">
        <f>AND('BBP complete'!S92,"AAAAAGh+xwE=")</f>
        <v>#VALUE!</v>
      </c>
      <c r="C119" t="e">
        <f>AND('BBP complete'!Q93,"AAAAAGh+xwI=")</f>
        <v>#VALUE!</v>
      </c>
      <c r="D119" t="e">
        <f>AND('BBP complete'!R93,"AAAAAGh+xwM=")</f>
        <v>#VALUE!</v>
      </c>
      <c r="E119" t="e">
        <f>AND('BBP complete'!S93,"AAAAAGh+xwQ=")</f>
        <v>#VALUE!</v>
      </c>
      <c r="F119" t="e">
        <f>AND('BBP complete'!Q94,"AAAAAGh+xwU=")</f>
        <v>#VALUE!</v>
      </c>
      <c r="G119" t="e">
        <f>AND('BBP complete'!R94,"AAAAAGh+xwY=")</f>
        <v>#VALUE!</v>
      </c>
      <c r="H119" t="e">
        <f>AND('BBP complete'!S94,"AAAAAGh+xwc=")</f>
        <v>#VALUE!</v>
      </c>
      <c r="I119" t="e">
        <f>AND('BBP complete'!Q95,"AAAAAGh+xwg=")</f>
        <v>#VALUE!</v>
      </c>
      <c r="J119" t="e">
        <f>AND('BBP complete'!R95,"AAAAAGh+xwk=")</f>
        <v>#VALUE!</v>
      </c>
      <c r="K119" t="e">
        <f>AND('BBP complete'!S95,"AAAAAGh+xwo=")</f>
        <v>#VALUE!</v>
      </c>
      <c r="L119" t="e">
        <f>AND('BBP complete'!Q96,"AAAAAGh+xws=")</f>
        <v>#VALUE!</v>
      </c>
      <c r="M119" t="e">
        <f>AND('BBP complete'!R96,"AAAAAGh+xww=")</f>
        <v>#VALUE!</v>
      </c>
      <c r="N119" t="e">
        <f>AND('BBP complete'!S96,"AAAAAGh+xw0=")</f>
        <v>#VALUE!</v>
      </c>
      <c r="O119" t="e">
        <f>AND('BBP complete'!Q97,"AAAAAGh+xw4=")</f>
        <v>#VALUE!</v>
      </c>
      <c r="P119" t="e">
        <f>AND('BBP complete'!R97,"AAAAAGh+xw8=")</f>
        <v>#VALUE!</v>
      </c>
      <c r="Q119" t="e">
        <f>AND('BBP complete'!S97,"AAAAAGh+xxA=")</f>
        <v>#VALUE!</v>
      </c>
      <c r="R119" t="e">
        <f>AND('BBP complete'!Q98,"AAAAAGh+xxE=")</f>
        <v>#VALUE!</v>
      </c>
      <c r="S119" t="e">
        <f>AND('BBP complete'!R98,"AAAAAGh+xxI=")</f>
        <v>#VALUE!</v>
      </c>
      <c r="T119" t="e">
        <f>AND('BBP complete'!S98,"AAAAAGh+xxM=")</f>
        <v>#VALUE!</v>
      </c>
      <c r="U119" t="e">
        <f>AND('BBP complete'!Q99,"AAAAAGh+xxQ=")</f>
        <v>#VALUE!</v>
      </c>
      <c r="V119" t="e">
        <f>AND('BBP complete'!R99,"AAAAAGh+xxU=")</f>
        <v>#VALUE!</v>
      </c>
      <c r="W119" t="e">
        <f>AND('BBP complete'!S99,"AAAAAGh+xxY=")</f>
        <v>#VALUE!</v>
      </c>
      <c r="X119" t="e">
        <f>AND('BBP complete'!Q100,"AAAAAGh+xxc=")</f>
        <v>#VALUE!</v>
      </c>
      <c r="Y119" t="e">
        <f>AND('BBP complete'!R100,"AAAAAGh+xxg=")</f>
        <v>#VALUE!</v>
      </c>
      <c r="Z119" t="e">
        <f>AND('BBP complete'!S100,"AAAAAGh+xxk=")</f>
        <v>#VALUE!</v>
      </c>
      <c r="AA119" t="e">
        <f>AND('BBP complete'!Q101,"AAAAAGh+xxo=")</f>
        <v>#VALUE!</v>
      </c>
      <c r="AB119" t="e">
        <f>AND('BBP complete'!R101,"AAAAAGh+xxs=")</f>
        <v>#VALUE!</v>
      </c>
      <c r="AC119" t="e">
        <f>AND('BBP complete'!S101,"AAAAAGh+xxw=")</f>
        <v>#VALUE!</v>
      </c>
      <c r="AD119" t="e">
        <f>AND('BBP complete'!Q102,"AAAAAGh+xx0=")</f>
        <v>#VALUE!</v>
      </c>
      <c r="AE119" t="e">
        <f>AND('BBP complete'!R102,"AAAAAGh+xx4=")</f>
        <v>#VALUE!</v>
      </c>
      <c r="AF119" t="e">
        <f>AND('BBP complete'!S102,"AAAAAGh+xx8=")</f>
        <v>#VALUE!</v>
      </c>
      <c r="AG119" t="e">
        <f>AND('BBP complete'!Q103,"AAAAAGh+xyA=")</f>
        <v>#VALUE!</v>
      </c>
      <c r="AH119" t="e">
        <f>AND('BBP complete'!R103,"AAAAAGh+xyE=")</f>
        <v>#VALUE!</v>
      </c>
      <c r="AI119" t="e">
        <f>AND('BBP complete'!S103,"AAAAAGh+xyI=")</f>
        <v>#VALUE!</v>
      </c>
      <c r="AJ119" t="e">
        <f>AND('BBP complete'!Q104,"AAAAAGh+xyM=")</f>
        <v>#VALUE!</v>
      </c>
      <c r="AK119" t="e">
        <f>AND('BBP complete'!R104,"AAAAAGh+xyQ=")</f>
        <v>#VALUE!</v>
      </c>
      <c r="AL119" t="e">
        <f>AND('BBP complete'!S104,"AAAAAGh+xyU=")</f>
        <v>#VALUE!</v>
      </c>
      <c r="AM119" t="e">
        <f>AND('BBP complete'!Q105,"AAAAAGh+xyY=")</f>
        <v>#VALUE!</v>
      </c>
      <c r="AN119" t="e">
        <f>AND('BBP complete'!R105,"AAAAAGh+xyc=")</f>
        <v>#VALUE!</v>
      </c>
      <c r="AO119" t="e">
        <f>AND('BBP complete'!S105,"AAAAAGh+xyg=")</f>
        <v>#VALUE!</v>
      </c>
      <c r="AP119" t="e">
        <f>AND('BBP complete'!Q106,"AAAAAGh+xyk=")</f>
        <v>#VALUE!</v>
      </c>
      <c r="AQ119" t="e">
        <f>AND('BBP complete'!R106,"AAAAAGh+xyo=")</f>
        <v>#VALUE!</v>
      </c>
      <c r="AR119" t="e">
        <f>AND('BBP complete'!S106,"AAAAAGh+xys=")</f>
        <v>#VALUE!</v>
      </c>
      <c r="AS119" t="e">
        <f>AND('BBP complete'!Q107,"AAAAAGh+xyw=")</f>
        <v>#VALUE!</v>
      </c>
      <c r="AT119" t="e">
        <f>AND('BBP complete'!R107,"AAAAAGh+xy0=")</f>
        <v>#VALUE!</v>
      </c>
      <c r="AU119" t="e">
        <f>AND('BBP complete'!S107,"AAAAAGh+xy4=")</f>
        <v>#VALUE!</v>
      </c>
      <c r="AV119" t="e">
        <f>AND('BBP complete'!Q108,"AAAAAGh+xy8=")</f>
        <v>#VALUE!</v>
      </c>
      <c r="AW119" t="e">
        <f>AND('BBP complete'!R108,"AAAAAGh+xzA=")</f>
        <v>#VALUE!</v>
      </c>
      <c r="AX119" t="e">
        <f>AND('BBP complete'!S108,"AAAAAGh+xzE=")</f>
        <v>#VALUE!</v>
      </c>
      <c r="AY119" t="e">
        <f>AND('BBP complete'!Q109,"AAAAAGh+xzI=")</f>
        <v>#VALUE!</v>
      </c>
      <c r="AZ119" t="e">
        <f>AND('BBP complete'!R109,"AAAAAGh+xzM=")</f>
        <v>#VALUE!</v>
      </c>
      <c r="BA119" t="e">
        <f>AND('BBP complete'!S109,"AAAAAGh+xzQ=")</f>
        <v>#VALUE!</v>
      </c>
      <c r="BB119" t="e">
        <f>AND('BBP complete'!Q110,"AAAAAGh+xzU=")</f>
        <v>#VALUE!</v>
      </c>
      <c r="BC119" t="e">
        <f>AND('BBP complete'!R110,"AAAAAGh+xzY=")</f>
        <v>#VALUE!</v>
      </c>
      <c r="BD119" t="e">
        <f>AND('BBP complete'!S110,"AAAAAGh+xzc=")</f>
        <v>#VALUE!</v>
      </c>
      <c r="BE119" t="e">
        <f>AND('BBP complete'!Q111,"AAAAAGh+xzg=")</f>
        <v>#VALUE!</v>
      </c>
      <c r="BF119" t="e">
        <f>AND('BBP complete'!R111,"AAAAAGh+xzk=")</f>
        <v>#VALUE!</v>
      </c>
      <c r="BG119" t="e">
        <f>AND('BBP complete'!S111,"AAAAAGh+xzo=")</f>
        <v>#VALUE!</v>
      </c>
      <c r="BH119" t="e">
        <f>AND('BBP complete'!Q112,"AAAAAGh+xzs=")</f>
        <v>#VALUE!</v>
      </c>
      <c r="BI119" t="e">
        <f>AND('BBP complete'!R112,"AAAAAGh+xzw=")</f>
        <v>#VALUE!</v>
      </c>
      <c r="BJ119" t="e">
        <f>AND('BBP complete'!S112,"AAAAAGh+xz0=")</f>
        <v>#VALUE!</v>
      </c>
      <c r="BK119" t="e">
        <f>AND('BBP complete'!Q113,"AAAAAGh+xz4=")</f>
        <v>#VALUE!</v>
      </c>
      <c r="BL119" t="e">
        <f>AND('BBP complete'!R113,"AAAAAGh+xz8=")</f>
        <v>#VALUE!</v>
      </c>
      <c r="BM119" t="e">
        <f>AND('BBP complete'!S113,"AAAAAGh+x0A=")</f>
        <v>#VALUE!</v>
      </c>
      <c r="BN119" t="e">
        <f>AND('BBP complete'!Q114,"AAAAAGh+x0E=")</f>
        <v>#VALUE!</v>
      </c>
      <c r="BO119" t="e">
        <f>AND('BBP complete'!R114,"AAAAAGh+x0I=")</f>
        <v>#VALUE!</v>
      </c>
      <c r="BP119" t="e">
        <f>AND('BBP complete'!S114,"AAAAAGh+x0M=")</f>
        <v>#VALUE!</v>
      </c>
      <c r="BQ119" t="e">
        <f>AND('BBP complete'!Q115,"AAAAAGh+x0Q=")</f>
        <v>#VALUE!</v>
      </c>
      <c r="BR119" t="e">
        <f>AND('BBP complete'!R115,"AAAAAGh+x0U=")</f>
        <v>#VALUE!</v>
      </c>
      <c r="BS119" t="e">
        <f>AND('BBP complete'!S115,"AAAAAGh+x0Y=")</f>
        <v>#VALUE!</v>
      </c>
      <c r="BT119" t="e">
        <f>AND('BBP complete'!Q116,"AAAAAGh+x0c=")</f>
        <v>#VALUE!</v>
      </c>
      <c r="BU119" t="e">
        <f>AND('BBP complete'!R116,"AAAAAGh+x0g=")</f>
        <v>#VALUE!</v>
      </c>
      <c r="BV119" t="e">
        <f>AND('BBP complete'!S116,"AAAAAGh+x0k=")</f>
        <v>#VALUE!</v>
      </c>
      <c r="BW119" t="e">
        <f>AND('BBP complete'!Q117,"AAAAAGh+x0o=")</f>
        <v>#VALUE!</v>
      </c>
      <c r="BX119" t="e">
        <f>AND('BBP complete'!R117,"AAAAAGh+x0s=")</f>
        <v>#VALUE!</v>
      </c>
      <c r="BY119" t="e">
        <f>AND('BBP complete'!S117,"AAAAAGh+x0w=")</f>
        <v>#VALUE!</v>
      </c>
      <c r="BZ119" t="e">
        <f>AND('BBP complete'!Q118,"AAAAAGh+x00=")</f>
        <v>#VALUE!</v>
      </c>
      <c r="CA119" t="e">
        <f>AND('BBP complete'!R118,"AAAAAGh+x04=")</f>
        <v>#VALUE!</v>
      </c>
      <c r="CB119" t="e">
        <f>AND('BBP complete'!S118,"AAAAAGh+x08=")</f>
        <v>#VALUE!</v>
      </c>
      <c r="CC119" t="e">
        <f>AND('BBP complete'!Q119,"AAAAAGh+x1A=")</f>
        <v>#VALUE!</v>
      </c>
      <c r="CD119" t="e">
        <f>AND('BBP complete'!R119,"AAAAAGh+x1E=")</f>
        <v>#VALUE!</v>
      </c>
      <c r="CE119" t="e">
        <f>AND('BBP complete'!S119,"AAAAAGh+x1I=")</f>
        <v>#VALUE!</v>
      </c>
      <c r="CF119" t="e">
        <f>AND('BBP complete'!Q120,"AAAAAGh+x1M=")</f>
        <v>#VALUE!</v>
      </c>
      <c r="CG119" t="e">
        <f>AND('BBP complete'!R120,"AAAAAGh+x1Q=")</f>
        <v>#VALUE!</v>
      </c>
      <c r="CH119" t="e">
        <f>AND('BBP complete'!S120,"AAAAAGh+x1U=")</f>
        <v>#VALUE!</v>
      </c>
      <c r="CI119" t="e">
        <f>AND('BBP complete'!Q123,"AAAAAGh+x1Y=")</f>
        <v>#VALUE!</v>
      </c>
      <c r="CJ119" t="e">
        <f>AND('BBP complete'!R123,"AAAAAGh+x1c=")</f>
        <v>#VALUE!</v>
      </c>
      <c r="CK119" t="e">
        <f>AND('BBP complete'!S123,"AAAAAGh+x1g=")</f>
        <v>#VALUE!</v>
      </c>
      <c r="CL119" t="e">
        <f>AND('BBP complete'!Q124,"AAAAAGh+x1k=")</f>
        <v>#VALUE!</v>
      </c>
      <c r="CM119" t="e">
        <f>AND('BBP complete'!R124,"AAAAAGh+x1o=")</f>
        <v>#VALUE!</v>
      </c>
      <c r="CN119" t="e">
        <f>AND('BBP complete'!S124,"AAAAAGh+x1s=")</f>
        <v>#VALUE!</v>
      </c>
      <c r="CO119" t="e">
        <f>AND('BBP complete'!Q125,"AAAAAGh+x1w=")</f>
        <v>#VALUE!</v>
      </c>
      <c r="CP119" t="e">
        <f>AND('BBP complete'!R125,"AAAAAGh+x10=")</f>
        <v>#VALUE!</v>
      </c>
      <c r="CQ119" t="e">
        <f>AND('BBP complete'!S125,"AAAAAGh+x14=")</f>
        <v>#VALUE!</v>
      </c>
      <c r="CR119" t="e">
        <f>AND('BBP complete'!Q126,"AAAAAGh+x18=")</f>
        <v>#VALUE!</v>
      </c>
      <c r="CS119" t="e">
        <f>AND('BBP complete'!R126,"AAAAAGh+x2A=")</f>
        <v>#VALUE!</v>
      </c>
      <c r="CT119" t="e">
        <f>AND('BBP complete'!S126,"AAAAAGh+x2E=")</f>
        <v>#VALUE!</v>
      </c>
      <c r="CU119" t="e">
        <f>AND('BBP complete'!Q127,"AAAAAGh+x2I=")</f>
        <v>#VALUE!</v>
      </c>
      <c r="CV119" t="e">
        <f>AND('BBP complete'!R127,"AAAAAGh+x2M=")</f>
        <v>#VALUE!</v>
      </c>
      <c r="CW119" t="e">
        <f>AND('BBP complete'!S127,"AAAAAGh+x2Q=")</f>
        <v>#VALUE!</v>
      </c>
      <c r="CX119" t="e">
        <f>AND('BBP complete'!Q128,"AAAAAGh+x2U=")</f>
        <v>#VALUE!</v>
      </c>
      <c r="CY119" t="e">
        <f>AND('BBP complete'!R128,"AAAAAGh+x2Y=")</f>
        <v>#VALUE!</v>
      </c>
      <c r="CZ119" t="e">
        <f>AND('BBP complete'!S128,"AAAAAGh+x2c=")</f>
        <v>#VALUE!</v>
      </c>
      <c r="DA119" t="e">
        <f>AND('BBP complete'!Q129,"AAAAAGh+x2g=")</f>
        <v>#VALUE!</v>
      </c>
      <c r="DB119" t="e">
        <f>AND('BBP complete'!R129,"AAAAAGh+x2k=")</f>
        <v>#VALUE!</v>
      </c>
      <c r="DC119" t="e">
        <f>AND('BBP complete'!S129,"AAAAAGh+x2o=")</f>
        <v>#VALUE!</v>
      </c>
      <c r="DD119" t="e">
        <f>AND('BBP complete'!Q130,"AAAAAGh+x2s=")</f>
        <v>#VALUE!</v>
      </c>
      <c r="DE119" t="e">
        <f>AND('BBP complete'!R130,"AAAAAGh+x2w=")</f>
        <v>#VALUE!</v>
      </c>
      <c r="DF119" t="e">
        <f>AND('BBP complete'!S130,"AAAAAGh+x20=")</f>
        <v>#VALUE!</v>
      </c>
      <c r="DG119" t="e">
        <f>AND('BBP complete'!Q131,"AAAAAGh+x24=")</f>
        <v>#VALUE!</v>
      </c>
      <c r="DH119" t="e">
        <f>AND('BBP complete'!R131,"AAAAAGh+x28=")</f>
        <v>#VALUE!</v>
      </c>
      <c r="DI119" t="e">
        <f>AND('BBP complete'!S131,"AAAAAGh+x3A=")</f>
        <v>#VALUE!</v>
      </c>
      <c r="DJ119" t="e">
        <f>AND('BBP complete'!Q132,"AAAAAGh+x3E=")</f>
        <v>#VALUE!</v>
      </c>
      <c r="DK119" t="e">
        <f>AND('BBP complete'!R132,"AAAAAGh+x3I=")</f>
        <v>#VALUE!</v>
      </c>
      <c r="DL119" t="e">
        <f>AND('BBP complete'!S132,"AAAAAGh+x3M=")</f>
        <v>#VALUE!</v>
      </c>
      <c r="DM119" t="e">
        <f>AND('BBP complete'!Q133,"AAAAAGh+x3Q=")</f>
        <v>#VALUE!</v>
      </c>
      <c r="DN119" t="e">
        <f>AND('BBP complete'!R133,"AAAAAGh+x3U=")</f>
        <v>#VALUE!</v>
      </c>
      <c r="DO119" t="e">
        <f>AND('BBP complete'!S133,"AAAAAGh+x3Y=")</f>
        <v>#VALUE!</v>
      </c>
      <c r="DP119" t="e">
        <f>AND('BBP complete'!Q134,"AAAAAGh+x3c=")</f>
        <v>#VALUE!</v>
      </c>
      <c r="DQ119" t="e">
        <f>AND('BBP complete'!R134,"AAAAAGh+x3g=")</f>
        <v>#VALUE!</v>
      </c>
      <c r="DR119" t="e">
        <f>AND('BBP complete'!S134,"AAAAAGh+x3k=")</f>
        <v>#VALUE!</v>
      </c>
      <c r="DS119" t="e">
        <f>AND('BBP complete'!Q135,"AAAAAGh+x3o=")</f>
        <v>#VALUE!</v>
      </c>
      <c r="DT119" t="e">
        <f>AND('BBP complete'!R135,"AAAAAGh+x3s=")</f>
        <v>#VALUE!</v>
      </c>
      <c r="DU119" t="e">
        <f>AND('BBP complete'!S135,"AAAAAGh+x3w=")</f>
        <v>#VALUE!</v>
      </c>
      <c r="DV119" t="e">
        <f>AND('BBP complete'!Q136,"AAAAAGh+x30=")</f>
        <v>#VALUE!</v>
      </c>
      <c r="DW119" t="e">
        <f>AND('BBP complete'!R136,"AAAAAGh+x34=")</f>
        <v>#VALUE!</v>
      </c>
      <c r="DX119" t="e">
        <f>AND('BBP complete'!S136,"AAAAAGh+x38=")</f>
        <v>#VALUE!</v>
      </c>
      <c r="DY119" t="e">
        <f>AND('BBP complete'!Q137,"AAAAAGh+x4A=")</f>
        <v>#VALUE!</v>
      </c>
      <c r="DZ119" t="e">
        <f>AND('BBP complete'!R137,"AAAAAGh+x4E=")</f>
        <v>#VALUE!</v>
      </c>
      <c r="EA119" t="e">
        <f>AND('BBP complete'!S137,"AAAAAGh+x4I=")</f>
        <v>#VALUE!</v>
      </c>
      <c r="EB119" t="e">
        <f>AND('BBP complete'!Q138,"AAAAAGh+x4M=")</f>
        <v>#VALUE!</v>
      </c>
      <c r="EC119" t="e">
        <f>AND('BBP complete'!R138,"AAAAAGh+x4Q=")</f>
        <v>#VALUE!</v>
      </c>
      <c r="ED119" t="e">
        <f>AND('BBP complete'!S138,"AAAAAGh+x4U=")</f>
        <v>#VALUE!</v>
      </c>
      <c r="EE119" t="e">
        <f>AND('BBP complete'!Q139,"AAAAAGh+x4Y=")</f>
        <v>#VALUE!</v>
      </c>
      <c r="EF119" t="e">
        <f>AND('BBP complete'!R139,"AAAAAGh+x4c=")</f>
        <v>#VALUE!</v>
      </c>
      <c r="EG119" t="e">
        <f>AND('BBP complete'!S139,"AAAAAGh+x4g=")</f>
        <v>#VALUE!</v>
      </c>
      <c r="EH119" t="e">
        <f>AND('BBP complete'!Q140,"AAAAAGh+x4k=")</f>
        <v>#VALUE!</v>
      </c>
      <c r="EI119" t="e">
        <f>AND('BBP complete'!R140,"AAAAAGh+x4o=")</f>
        <v>#VALUE!</v>
      </c>
      <c r="EJ119" t="e">
        <f>AND('BBP complete'!S140,"AAAAAGh+x4s=")</f>
        <v>#VALUE!</v>
      </c>
      <c r="EK119" t="e">
        <f>AND('BBP complete'!Q141,"AAAAAGh+x4w=")</f>
        <v>#VALUE!</v>
      </c>
      <c r="EL119" t="e">
        <f>AND('BBP complete'!R141,"AAAAAGh+x40=")</f>
        <v>#VALUE!</v>
      </c>
      <c r="EM119" t="e">
        <f>AND('BBP complete'!S141,"AAAAAGh+x44=")</f>
        <v>#VALUE!</v>
      </c>
      <c r="EN119" t="e">
        <f>AND('BBP complete'!Q142,"AAAAAGh+x48=")</f>
        <v>#VALUE!</v>
      </c>
      <c r="EO119" t="e">
        <f>AND('BBP complete'!R142,"AAAAAGh+x5A=")</f>
        <v>#VALUE!</v>
      </c>
      <c r="EP119" t="e">
        <f>AND('BBP complete'!S142,"AAAAAGh+x5E=")</f>
        <v>#VALUE!</v>
      </c>
      <c r="EQ119" t="e">
        <f>AND('BBP complete'!Q143,"AAAAAGh+x5I=")</f>
        <v>#VALUE!</v>
      </c>
      <c r="ER119" t="e">
        <f>AND('BBP complete'!R143,"AAAAAGh+x5M=")</f>
        <v>#VALUE!</v>
      </c>
      <c r="ES119" t="e">
        <f>AND('BBP complete'!S143,"AAAAAGh+x5Q=")</f>
        <v>#VALUE!</v>
      </c>
      <c r="ET119" t="e">
        <f>AND('BBP complete'!Q144,"AAAAAGh+x5U=")</f>
        <v>#VALUE!</v>
      </c>
      <c r="EU119" t="e">
        <f>AND('BBP complete'!R144,"AAAAAGh+x5Y=")</f>
        <v>#VALUE!</v>
      </c>
      <c r="EV119" t="e">
        <f>AND('BBP complete'!S144,"AAAAAGh+x5c=")</f>
        <v>#VALUE!</v>
      </c>
      <c r="EW119" t="e">
        <f>AND('BBP complete'!Q145,"AAAAAGh+x5g=")</f>
        <v>#VALUE!</v>
      </c>
      <c r="EX119" t="e">
        <f>AND('BBP complete'!R145,"AAAAAGh+x5k=")</f>
        <v>#VALUE!</v>
      </c>
      <c r="EY119" t="e">
        <f>AND('BBP complete'!S145,"AAAAAGh+x5o=")</f>
        <v>#VALUE!</v>
      </c>
      <c r="EZ119" t="e">
        <f>AND('BBP complete'!Q146,"AAAAAGh+x5s=")</f>
        <v>#VALUE!</v>
      </c>
      <c r="FA119" t="e">
        <f>AND('BBP complete'!R146,"AAAAAGh+x5w=")</f>
        <v>#VALUE!</v>
      </c>
      <c r="FB119" t="e">
        <f>AND('BBP complete'!S146,"AAAAAGh+x50=")</f>
        <v>#VALUE!</v>
      </c>
      <c r="FC119" t="e">
        <f>AND('BBP complete'!Q147,"AAAAAGh+x54=")</f>
        <v>#VALUE!</v>
      </c>
      <c r="FD119" t="e">
        <f>AND('BBP complete'!R147,"AAAAAGh+x58=")</f>
        <v>#VALUE!</v>
      </c>
      <c r="FE119" t="e">
        <f>AND('BBP complete'!S147,"AAAAAGh+x6A=")</f>
        <v>#VALUE!</v>
      </c>
      <c r="FF119" t="e">
        <f>AND('BBP complete'!Q148,"AAAAAGh+x6E=")</f>
        <v>#VALUE!</v>
      </c>
      <c r="FG119" t="e">
        <f>AND('BBP complete'!R148,"AAAAAGh+x6I=")</f>
        <v>#VALUE!</v>
      </c>
      <c r="FH119" t="e">
        <f>AND('BBP complete'!S148,"AAAAAGh+x6M=")</f>
        <v>#VALUE!</v>
      </c>
      <c r="FI119" t="e">
        <f>AND('BBP complete'!Q149,"AAAAAGh+x6Q=")</f>
        <v>#VALUE!</v>
      </c>
      <c r="FJ119" t="e">
        <f>AND('BBP complete'!R149,"AAAAAGh+x6U=")</f>
        <v>#VALUE!</v>
      </c>
      <c r="FK119" t="e">
        <f>AND('BBP complete'!S149,"AAAAAGh+x6Y=")</f>
        <v>#VALUE!</v>
      </c>
      <c r="FL119" t="e">
        <f>AND('BBP complete'!Q150,"AAAAAGh+x6c=")</f>
        <v>#VALUE!</v>
      </c>
      <c r="FM119" t="e">
        <f>AND('BBP complete'!R150,"AAAAAGh+x6g=")</f>
        <v>#VALUE!</v>
      </c>
      <c r="FN119" t="e">
        <f>AND('BBP complete'!S150,"AAAAAGh+x6k=")</f>
        <v>#VALUE!</v>
      </c>
      <c r="FO119" t="e">
        <f>AND('BBP complete'!Q151,"AAAAAGh+x6o=")</f>
        <v>#VALUE!</v>
      </c>
      <c r="FP119" t="e">
        <f>AND('BBP complete'!R151,"AAAAAGh+x6s=")</f>
        <v>#VALUE!</v>
      </c>
      <c r="FQ119" t="e">
        <f>AND('BBP complete'!S151,"AAAAAGh+x6w=")</f>
        <v>#VALUE!</v>
      </c>
      <c r="FR119" t="e">
        <f>AND('BBP complete'!Q152,"AAAAAGh+x60=")</f>
        <v>#VALUE!</v>
      </c>
      <c r="FS119" t="e">
        <f>AND('BBP complete'!R152,"AAAAAGh+x64=")</f>
        <v>#VALUE!</v>
      </c>
      <c r="FT119" t="e">
        <f>AND('BBP complete'!S152,"AAAAAGh+x68=")</f>
        <v>#VALUE!</v>
      </c>
      <c r="FU119" t="e">
        <f>AND('BBP complete'!Q153,"AAAAAGh+x7A=")</f>
        <v>#VALUE!</v>
      </c>
      <c r="FV119" t="e">
        <f>AND('BBP complete'!R153,"AAAAAGh+x7E=")</f>
        <v>#VALUE!</v>
      </c>
      <c r="FW119" t="e">
        <f>AND('BBP complete'!S153,"AAAAAGh+x7I=")</f>
        <v>#VALUE!</v>
      </c>
      <c r="FX119" t="e">
        <f>AND('BBP complete'!Q154,"AAAAAGh+x7M=")</f>
        <v>#VALUE!</v>
      </c>
      <c r="FY119" t="e">
        <f>AND('BBP complete'!R154,"AAAAAGh+x7Q=")</f>
        <v>#VALUE!</v>
      </c>
      <c r="FZ119" t="e">
        <f>AND('BBP complete'!S154,"AAAAAGh+x7U=")</f>
        <v>#VALUE!</v>
      </c>
      <c r="GA119" t="e">
        <f>AND('BBP complete'!Q155,"AAAAAGh+x7Y=")</f>
        <v>#VALUE!</v>
      </c>
      <c r="GB119" t="e">
        <f>AND('BBP complete'!R155,"AAAAAGh+x7c=")</f>
        <v>#VALUE!</v>
      </c>
      <c r="GC119" t="e">
        <f>AND('BBP complete'!S155,"AAAAAGh+x7g=")</f>
        <v>#VALUE!</v>
      </c>
      <c r="GD119" t="e">
        <f>AND('BBP complete'!Q156,"AAAAAGh+x7k=")</f>
        <v>#VALUE!</v>
      </c>
      <c r="GE119" t="e">
        <f>AND('BBP complete'!R156,"AAAAAGh+x7o=")</f>
        <v>#VALUE!</v>
      </c>
      <c r="GF119" t="e">
        <f>AND('BBP complete'!S156,"AAAAAGh+x7s=")</f>
        <v>#VALUE!</v>
      </c>
      <c r="GG119" t="e">
        <f>AND('BBP complete'!Q157,"AAAAAGh+x7w=")</f>
        <v>#VALUE!</v>
      </c>
      <c r="GH119" t="e">
        <f>AND('BBP complete'!R157,"AAAAAGh+x70=")</f>
        <v>#VALUE!</v>
      </c>
      <c r="GI119" t="e">
        <f>AND('BBP complete'!S157,"AAAAAGh+x74=")</f>
        <v>#VALUE!</v>
      </c>
      <c r="GJ119" t="e">
        <f>AND('BBP complete'!Q158,"AAAAAGh+x78=")</f>
        <v>#VALUE!</v>
      </c>
      <c r="GK119" t="e">
        <f>AND('BBP complete'!R158,"AAAAAGh+x8A=")</f>
        <v>#VALUE!</v>
      </c>
      <c r="GL119" t="e">
        <f>AND('BBP complete'!S158,"AAAAAGh+x8E=")</f>
        <v>#VALUE!</v>
      </c>
      <c r="GM119" t="e">
        <f>AND('BBP complete'!Q159,"AAAAAGh+x8I=")</f>
        <v>#VALUE!</v>
      </c>
      <c r="GN119" t="e">
        <f>AND('BBP complete'!R159,"AAAAAGh+x8M=")</f>
        <v>#VALUE!</v>
      </c>
      <c r="GO119" t="e">
        <f>AND('BBP complete'!S159,"AAAAAGh+x8Q=")</f>
        <v>#VALUE!</v>
      </c>
      <c r="GP119" t="e">
        <f>AND('BBP complete'!Q160,"AAAAAGh+x8U=")</f>
        <v>#VALUE!</v>
      </c>
      <c r="GQ119" t="e">
        <f>AND('BBP complete'!R160,"AAAAAGh+x8Y=")</f>
        <v>#VALUE!</v>
      </c>
      <c r="GR119" t="e">
        <f>AND('BBP complete'!S160,"AAAAAGh+x8c=")</f>
        <v>#VALUE!</v>
      </c>
      <c r="GS119" t="e">
        <f>AND('BBP complete'!Q161,"AAAAAGh+x8g=")</f>
        <v>#VALUE!</v>
      </c>
      <c r="GT119" t="e">
        <f>AND('BBP complete'!R161,"AAAAAGh+x8k=")</f>
        <v>#VALUE!</v>
      </c>
      <c r="GU119" t="e">
        <f>AND('BBP complete'!S161,"AAAAAGh+x8o=")</f>
        <v>#VALUE!</v>
      </c>
      <c r="GV119" t="e">
        <f>AND('BBP complete'!Q162,"AAAAAGh+x8s=")</f>
        <v>#VALUE!</v>
      </c>
      <c r="GW119" t="e">
        <f>AND('BBP complete'!R162,"AAAAAGh+x8w=")</f>
        <v>#VALUE!</v>
      </c>
      <c r="GX119" t="e">
        <f>AND('BBP complete'!S162,"AAAAAGh+x80=")</f>
        <v>#VALUE!</v>
      </c>
      <c r="GY119" t="e">
        <f>AND('BBP complete'!Q163,"AAAAAGh+x84=")</f>
        <v>#VALUE!</v>
      </c>
      <c r="GZ119" t="e">
        <f>AND('BBP complete'!R163,"AAAAAGh+x88=")</f>
        <v>#VALUE!</v>
      </c>
      <c r="HA119" t="e">
        <f>AND('BBP complete'!S163,"AAAAAGh+x9A=")</f>
        <v>#VALUE!</v>
      </c>
      <c r="HB119" t="e">
        <f>AND('BBP complete'!Q164,"AAAAAGh+x9E=")</f>
        <v>#VALUE!</v>
      </c>
      <c r="HC119" t="e">
        <f>AND('BBP complete'!R164,"AAAAAGh+x9I=")</f>
        <v>#VALUE!</v>
      </c>
      <c r="HD119" t="e">
        <f>AND('BBP complete'!S164,"AAAAAGh+x9M=")</f>
        <v>#VALUE!</v>
      </c>
      <c r="HE119" t="e">
        <f>AND('BBP complete'!Q165,"AAAAAGh+x9Q=")</f>
        <v>#VALUE!</v>
      </c>
      <c r="HF119" t="e">
        <f>AND('BBP complete'!R165,"AAAAAGh+x9U=")</f>
        <v>#VALUE!</v>
      </c>
      <c r="HG119" t="e">
        <f>AND('BBP complete'!S165,"AAAAAGh+x9Y=")</f>
        <v>#VALUE!</v>
      </c>
      <c r="HH119" t="e">
        <f>AND('BBP complete'!Q166,"AAAAAGh+x9c=")</f>
        <v>#VALUE!</v>
      </c>
      <c r="HI119" t="e">
        <f>AND('BBP complete'!R166,"AAAAAGh+x9g=")</f>
        <v>#VALUE!</v>
      </c>
      <c r="HJ119" t="e">
        <f>AND('BBP complete'!S166,"AAAAAGh+x9k=")</f>
        <v>#VALUE!</v>
      </c>
      <c r="HK119" t="e">
        <f>AND('BBP complete'!Q167,"AAAAAGh+x9o=")</f>
        <v>#VALUE!</v>
      </c>
      <c r="HL119" t="e">
        <f>AND('BBP complete'!R167,"AAAAAGh+x9s=")</f>
        <v>#VALUE!</v>
      </c>
      <c r="HM119" t="e">
        <f>AND('BBP complete'!S167,"AAAAAGh+x9w=")</f>
        <v>#VALUE!</v>
      </c>
      <c r="HN119" t="e">
        <f>AND('BBP complete'!Q168,"AAAAAGh+x90=")</f>
        <v>#VALUE!</v>
      </c>
      <c r="HO119" t="e">
        <f>AND('BBP complete'!R168,"AAAAAGh+x94=")</f>
        <v>#VALUE!</v>
      </c>
      <c r="HP119" t="e">
        <f>AND('BBP complete'!S168,"AAAAAGh+x98=")</f>
        <v>#VALUE!</v>
      </c>
      <c r="HQ119" t="e">
        <f>AND('BBP complete'!Q169,"AAAAAGh+x+A=")</f>
        <v>#VALUE!</v>
      </c>
      <c r="HR119" t="e">
        <f>AND('BBP complete'!R169,"AAAAAGh+x+E=")</f>
        <v>#VALUE!</v>
      </c>
      <c r="HS119" t="e">
        <f>AND('BBP complete'!S169,"AAAAAGh+x+I=")</f>
        <v>#VALUE!</v>
      </c>
      <c r="HT119" t="e">
        <f>AND('BBP complete'!Q170,"AAAAAGh+x+M=")</f>
        <v>#VALUE!</v>
      </c>
      <c r="HU119" t="e">
        <f>AND('BBP complete'!R170,"AAAAAGh+x+Q=")</f>
        <v>#VALUE!</v>
      </c>
      <c r="HV119" t="e">
        <f>AND('BBP complete'!S170,"AAAAAGh+x+U=")</f>
        <v>#VALUE!</v>
      </c>
      <c r="HW119" t="e">
        <f>AND('BBP complete'!Q171,"AAAAAGh+x+Y=")</f>
        <v>#VALUE!</v>
      </c>
      <c r="HX119" t="e">
        <f>AND('BBP complete'!R171,"AAAAAGh+x+c=")</f>
        <v>#VALUE!</v>
      </c>
      <c r="HY119" t="e">
        <f>AND('BBP complete'!S171,"AAAAAGh+x+g=")</f>
        <v>#VALUE!</v>
      </c>
      <c r="HZ119" t="e">
        <f>AND('BBP complete'!Q172,"AAAAAGh+x+k=")</f>
        <v>#VALUE!</v>
      </c>
      <c r="IA119" t="e">
        <f>AND('BBP complete'!R172,"AAAAAGh+x+o=")</f>
        <v>#VALUE!</v>
      </c>
      <c r="IB119" t="e">
        <f>AND('BBP complete'!S172,"AAAAAGh+x+s=")</f>
        <v>#VALUE!</v>
      </c>
      <c r="IC119" t="e">
        <f>AND('BBP complete'!Q173,"AAAAAGh+x+w=")</f>
        <v>#VALUE!</v>
      </c>
      <c r="ID119" t="e">
        <f>AND('BBP complete'!R173,"AAAAAGh+x+0=")</f>
        <v>#VALUE!</v>
      </c>
      <c r="IE119" t="e">
        <f>AND('BBP complete'!S173,"AAAAAGh+x+4=")</f>
        <v>#VALUE!</v>
      </c>
      <c r="IF119" t="e">
        <f>AND('BBP complete'!Q174,"AAAAAGh+x+8=")</f>
        <v>#VALUE!</v>
      </c>
      <c r="IG119" t="e">
        <f>AND('BBP complete'!R174,"AAAAAGh+x/A=")</f>
        <v>#VALUE!</v>
      </c>
      <c r="IH119" t="e">
        <f>AND('BBP complete'!S174,"AAAAAGh+x/E=")</f>
        <v>#VALUE!</v>
      </c>
      <c r="II119" t="e">
        <f>AND('BBP complete'!Q175,"AAAAAGh+x/I=")</f>
        <v>#VALUE!</v>
      </c>
      <c r="IJ119" t="e">
        <f>AND('BBP complete'!R175,"AAAAAGh+x/M=")</f>
        <v>#VALUE!</v>
      </c>
      <c r="IK119" t="e">
        <f>AND('BBP complete'!S175,"AAAAAGh+x/Q=")</f>
        <v>#VALUE!</v>
      </c>
      <c r="IL119" t="e">
        <f>AND('BBP complete'!Q176,"AAAAAGh+x/U=")</f>
        <v>#VALUE!</v>
      </c>
      <c r="IM119" t="e">
        <f>AND('BBP complete'!R176,"AAAAAGh+x/Y=")</f>
        <v>#VALUE!</v>
      </c>
      <c r="IN119" t="e">
        <f>AND('BBP complete'!S176,"AAAAAGh+x/c=")</f>
        <v>#VALUE!</v>
      </c>
      <c r="IO119" t="e">
        <f>AND('BBP complete'!Q177,"AAAAAGh+x/g=")</f>
        <v>#VALUE!</v>
      </c>
      <c r="IP119" t="e">
        <f>AND('BBP complete'!R177,"AAAAAGh+x/k=")</f>
        <v>#VALUE!</v>
      </c>
      <c r="IQ119" t="e">
        <f>AND('BBP complete'!S177,"AAAAAGh+x/o=")</f>
        <v>#VALUE!</v>
      </c>
      <c r="IR119" t="e">
        <f>AND('BBP complete'!Q178,"AAAAAGh+x/s=")</f>
        <v>#VALUE!</v>
      </c>
      <c r="IS119" t="e">
        <f>AND('BBP complete'!R178,"AAAAAGh+x/w=")</f>
        <v>#VALUE!</v>
      </c>
      <c r="IT119" t="e">
        <f>AND('BBP complete'!S178,"AAAAAGh+x/0=")</f>
        <v>#VALUE!</v>
      </c>
      <c r="IU119" t="e">
        <f>AND('BBP complete'!Q179,"AAAAAGh+x/4=")</f>
        <v>#VALUE!</v>
      </c>
      <c r="IV119" t="e">
        <f>AND('BBP complete'!R179,"AAAAAGh+x/8=")</f>
        <v>#VALUE!</v>
      </c>
    </row>
    <row r="120" spans="1:256" ht="15" customHeight="1" x14ac:dyDescent="0.25">
      <c r="A120" t="e">
        <f>AND('BBP complete'!S179,"AAAAAHd7vwA=")</f>
        <v>#VALUE!</v>
      </c>
      <c r="B120" t="e">
        <f>AND('BBP complete'!Q180,"AAAAAHd7vwE=")</f>
        <v>#VALUE!</v>
      </c>
      <c r="C120" t="e">
        <f>AND('BBP complete'!R180,"AAAAAHd7vwI=")</f>
        <v>#VALUE!</v>
      </c>
      <c r="D120" t="e">
        <f>AND('BBP complete'!S180,"AAAAAHd7vwM=")</f>
        <v>#VALUE!</v>
      </c>
      <c r="E120" t="e">
        <f>AND('BBP complete'!Q181,"AAAAAHd7vwQ=")</f>
        <v>#VALUE!</v>
      </c>
      <c r="F120" t="e">
        <f>AND('BBP complete'!R181,"AAAAAHd7vwU=")</f>
        <v>#VALUE!</v>
      </c>
      <c r="G120" t="e">
        <f>AND('BBP complete'!S181,"AAAAAHd7vwY=")</f>
        <v>#VALUE!</v>
      </c>
      <c r="H120" t="e">
        <f>AND('BBP complete'!Q182,"AAAAAHd7vwc=")</f>
        <v>#VALUE!</v>
      </c>
      <c r="I120" t="e">
        <f>AND('BBP complete'!R182,"AAAAAHd7vwg=")</f>
        <v>#VALUE!</v>
      </c>
      <c r="J120" t="e">
        <f>AND('BBP complete'!S182,"AAAAAHd7vwk=")</f>
        <v>#VALUE!</v>
      </c>
      <c r="K120" t="e">
        <f>AND('BBP complete'!Q183,"AAAAAHd7vwo=")</f>
        <v>#VALUE!</v>
      </c>
      <c r="L120" t="e">
        <f>AND('BBP complete'!R183,"AAAAAHd7vws=")</f>
        <v>#VALUE!</v>
      </c>
      <c r="M120" t="e">
        <f>AND('BBP complete'!S183,"AAAAAHd7vww=")</f>
        <v>#VALUE!</v>
      </c>
      <c r="N120" t="e">
        <f>AND('BBP complete'!Q184,"AAAAAHd7vw0=")</f>
        <v>#VALUE!</v>
      </c>
      <c r="O120" t="e">
        <f>AND('BBP complete'!R184,"AAAAAHd7vw4=")</f>
        <v>#VALUE!</v>
      </c>
      <c r="P120" t="e">
        <f>AND('BBP complete'!S184,"AAAAAHd7vw8=")</f>
        <v>#VALUE!</v>
      </c>
      <c r="Q120" t="e">
        <f>AND('BBP complete'!Q185,"AAAAAHd7vxA=")</f>
        <v>#VALUE!</v>
      </c>
      <c r="R120" t="e">
        <f>AND('BBP complete'!R185,"AAAAAHd7vxE=")</f>
        <v>#VALUE!</v>
      </c>
      <c r="S120" t="e">
        <f>AND('BBP complete'!S185,"AAAAAHd7vxI=")</f>
        <v>#VALUE!</v>
      </c>
      <c r="T120" t="e">
        <f>AND('BBP complete'!Q186,"AAAAAHd7vxM=")</f>
        <v>#VALUE!</v>
      </c>
      <c r="U120" t="e">
        <f>AND('BBP complete'!R186,"AAAAAHd7vxQ=")</f>
        <v>#VALUE!</v>
      </c>
      <c r="V120" t="e">
        <f>AND('BBP complete'!S186,"AAAAAHd7vxU=")</f>
        <v>#VALUE!</v>
      </c>
      <c r="W120" t="e">
        <f>AND('BBP complete'!Q187,"AAAAAHd7vxY=")</f>
        <v>#VALUE!</v>
      </c>
      <c r="X120" t="e">
        <f>AND('BBP complete'!R187,"AAAAAHd7vxc=")</f>
        <v>#VALUE!</v>
      </c>
      <c r="Y120" t="e">
        <f>AND('BBP complete'!S187,"AAAAAHd7vxg=")</f>
        <v>#VALUE!</v>
      </c>
      <c r="Z120" t="e">
        <f>AND('BBP complete'!Q188,"AAAAAHd7vxk=")</f>
        <v>#VALUE!</v>
      </c>
      <c r="AA120" t="e">
        <f>AND('BBP complete'!R188,"AAAAAHd7vxo=")</f>
        <v>#VALUE!</v>
      </c>
      <c r="AB120" t="e">
        <f>AND('BBP complete'!S188,"AAAAAHd7vxs=")</f>
        <v>#VALUE!</v>
      </c>
      <c r="AC120" t="e">
        <f>AND('BBP complete'!Q189,"AAAAAHd7vxw=")</f>
        <v>#VALUE!</v>
      </c>
      <c r="AD120" t="e">
        <f>AND('BBP complete'!R189,"AAAAAHd7vx0=")</f>
        <v>#VALUE!</v>
      </c>
      <c r="AE120" t="e">
        <f>AND('BBP complete'!S189,"AAAAAHd7vx4=")</f>
        <v>#VALUE!</v>
      </c>
      <c r="AF120" t="e">
        <f>AND('BBP complete'!Q190,"AAAAAHd7vx8=")</f>
        <v>#VALUE!</v>
      </c>
      <c r="AG120" t="e">
        <f>AND('BBP complete'!R190,"AAAAAHd7vyA=")</f>
        <v>#VALUE!</v>
      </c>
      <c r="AH120" t="e">
        <f>AND('BBP complete'!S190,"AAAAAHd7vyE=")</f>
        <v>#VALUE!</v>
      </c>
      <c r="AI120" t="e">
        <f>AND('BBP complete'!Q191,"AAAAAHd7vyI=")</f>
        <v>#VALUE!</v>
      </c>
      <c r="AJ120" t="e">
        <f>AND('BBP complete'!R191,"AAAAAHd7vyM=")</f>
        <v>#VALUE!</v>
      </c>
      <c r="AK120" t="e">
        <f>AND('BBP complete'!S191,"AAAAAHd7vyQ=")</f>
        <v>#VALUE!</v>
      </c>
      <c r="AL120" t="e">
        <f>AND('BBP complete'!Q192,"AAAAAHd7vyU=")</f>
        <v>#VALUE!</v>
      </c>
      <c r="AM120" t="e">
        <f>AND('BBP complete'!R192,"AAAAAHd7vyY=")</f>
        <v>#VALUE!</v>
      </c>
      <c r="AN120" t="e">
        <f>AND('BBP complete'!S192,"AAAAAHd7vyc=")</f>
        <v>#VALUE!</v>
      </c>
      <c r="AO120" t="e">
        <f>AND('BBP complete'!Q193,"AAAAAHd7vyg=")</f>
        <v>#VALUE!</v>
      </c>
      <c r="AP120" t="e">
        <f>AND('BBP complete'!R193,"AAAAAHd7vyk=")</f>
        <v>#VALUE!</v>
      </c>
      <c r="AQ120" t="e">
        <f>AND('BBP complete'!S193,"AAAAAHd7vyo=")</f>
        <v>#VALUE!</v>
      </c>
      <c r="AR120" t="e">
        <f>AND('BBP complete'!Q194,"AAAAAHd7vys=")</f>
        <v>#VALUE!</v>
      </c>
      <c r="AS120" t="e">
        <f>AND('BBP complete'!R194,"AAAAAHd7vyw=")</f>
        <v>#VALUE!</v>
      </c>
      <c r="AT120" t="e">
        <f>AND('BBP complete'!S194,"AAAAAHd7vy0=")</f>
        <v>#VALUE!</v>
      </c>
      <c r="AU120" t="e">
        <f>AND('BBP complete'!Q195,"AAAAAHd7vy4=")</f>
        <v>#VALUE!</v>
      </c>
      <c r="AV120" t="e">
        <f>AND('BBP complete'!R195,"AAAAAHd7vy8=")</f>
        <v>#VALUE!</v>
      </c>
      <c r="AW120" t="e">
        <f>AND('BBP complete'!S195,"AAAAAHd7vzA=")</f>
        <v>#VALUE!</v>
      </c>
      <c r="AX120" t="e">
        <f>AND('BBP complete'!Q196,"AAAAAHd7vzE=")</f>
        <v>#VALUE!</v>
      </c>
      <c r="AY120" t="e">
        <f>AND('BBP complete'!R196,"AAAAAHd7vzI=")</f>
        <v>#VALUE!</v>
      </c>
      <c r="AZ120" t="e">
        <f>AND('BBP complete'!S196,"AAAAAHd7vzM=")</f>
        <v>#VALUE!</v>
      </c>
      <c r="BA120" t="e">
        <f>AND('BBP complete'!Q197,"AAAAAHd7vzQ=")</f>
        <v>#VALUE!</v>
      </c>
      <c r="BB120" t="e">
        <f>AND('BBP complete'!R197,"AAAAAHd7vzU=")</f>
        <v>#VALUE!</v>
      </c>
      <c r="BC120" t="e">
        <f>AND('BBP complete'!S197,"AAAAAHd7vzY=")</f>
        <v>#VALUE!</v>
      </c>
      <c r="BD120" t="e">
        <f>AND('BBP complete'!Q198,"AAAAAHd7vzc=")</f>
        <v>#VALUE!</v>
      </c>
      <c r="BE120" t="e">
        <f>AND('BBP complete'!R198,"AAAAAHd7vzg=")</f>
        <v>#VALUE!</v>
      </c>
      <c r="BF120" t="e">
        <f>AND('BBP complete'!S198,"AAAAAHd7vzk=")</f>
        <v>#VALUE!</v>
      </c>
      <c r="BG120" t="e">
        <f>AND('BBP complete'!Q199,"AAAAAHd7vzo=")</f>
        <v>#VALUE!</v>
      </c>
      <c r="BH120" t="e">
        <f>AND('BBP complete'!R199,"AAAAAHd7vzs=")</f>
        <v>#VALUE!</v>
      </c>
      <c r="BI120" t="e">
        <f>AND('BBP complete'!S199,"AAAAAHd7vzw=")</f>
        <v>#VALUE!</v>
      </c>
      <c r="BJ120" t="e">
        <f>AND('BBP complete'!Q200,"AAAAAHd7vz0=")</f>
        <v>#VALUE!</v>
      </c>
      <c r="BK120" t="e">
        <f>AND('BBP complete'!R200,"AAAAAHd7vz4=")</f>
        <v>#VALUE!</v>
      </c>
      <c r="BL120" t="e">
        <f>AND('BBP complete'!S200,"AAAAAHd7vz8=")</f>
        <v>#VALUE!</v>
      </c>
      <c r="BM120" t="e">
        <f>AND('BBP complete'!Q201,"AAAAAHd7v0A=")</f>
        <v>#VALUE!</v>
      </c>
      <c r="BN120" t="e">
        <f>AND('BBP complete'!R201,"AAAAAHd7v0E=")</f>
        <v>#VALUE!</v>
      </c>
      <c r="BO120" t="e">
        <f>AND('BBP complete'!S201,"AAAAAHd7v0I=")</f>
        <v>#VALUE!</v>
      </c>
      <c r="BP120" t="e">
        <f>AND('BBP complete'!Q202,"AAAAAHd7v0M=")</f>
        <v>#VALUE!</v>
      </c>
      <c r="BQ120" t="e">
        <f>AND('BBP complete'!R202,"AAAAAHd7v0Q=")</f>
        <v>#VALUE!</v>
      </c>
      <c r="BR120" t="e">
        <f>AND('BBP complete'!S202,"AAAAAHd7v0U=")</f>
        <v>#VALUE!</v>
      </c>
      <c r="BS120" t="e">
        <f>AND('BBP complete'!Q203,"AAAAAHd7v0Y=")</f>
        <v>#VALUE!</v>
      </c>
      <c r="BT120" t="e">
        <f>AND('BBP complete'!R203,"AAAAAHd7v0c=")</f>
        <v>#VALUE!</v>
      </c>
      <c r="BU120" t="e">
        <f>AND('BBP complete'!S203,"AAAAAHd7v0g=")</f>
        <v>#VALUE!</v>
      </c>
      <c r="BV120" t="e">
        <f>AND('BBP complete'!Q204,"AAAAAHd7v0k=")</f>
        <v>#VALUE!</v>
      </c>
      <c r="BW120" t="e">
        <f>AND('BBP complete'!R204,"AAAAAHd7v0o=")</f>
        <v>#VALUE!</v>
      </c>
      <c r="BX120" t="e">
        <f>AND('BBP complete'!S204,"AAAAAHd7v0s=")</f>
        <v>#VALUE!</v>
      </c>
      <c r="BY120" t="e">
        <f>AND('BBP complete'!Q205,"AAAAAHd7v0w=")</f>
        <v>#VALUE!</v>
      </c>
      <c r="BZ120" t="e">
        <f>AND('BBP complete'!R205,"AAAAAHd7v00=")</f>
        <v>#VALUE!</v>
      </c>
      <c r="CA120" t="e">
        <f>AND('BBP complete'!S205,"AAAAAHd7v04=")</f>
        <v>#VALUE!</v>
      </c>
      <c r="CB120" t="e">
        <f>AND('BBP complete'!Q206,"AAAAAHd7v08=")</f>
        <v>#VALUE!</v>
      </c>
      <c r="CC120" t="e">
        <f>AND('BBP complete'!R206,"AAAAAHd7v1A=")</f>
        <v>#VALUE!</v>
      </c>
      <c r="CD120" t="e">
        <f>AND('BBP complete'!S206,"AAAAAHd7v1E=")</f>
        <v>#VALUE!</v>
      </c>
      <c r="CE120" t="e">
        <f>AND('BBP complete'!Q207,"AAAAAHd7v1I=")</f>
        <v>#VALUE!</v>
      </c>
      <c r="CF120" t="e">
        <f>AND('BBP complete'!R207,"AAAAAHd7v1M=")</f>
        <v>#VALUE!</v>
      </c>
      <c r="CG120" t="e">
        <f>AND('BBP complete'!S207,"AAAAAHd7v1Q=")</f>
        <v>#VALUE!</v>
      </c>
      <c r="CH120" t="e">
        <f>AND('BBP complete'!Q208,"AAAAAHd7v1U=")</f>
        <v>#VALUE!</v>
      </c>
      <c r="CI120" t="e">
        <f>AND('BBP complete'!R208,"AAAAAHd7v1Y=")</f>
        <v>#VALUE!</v>
      </c>
      <c r="CJ120" t="e">
        <f>AND('BBP complete'!S208,"AAAAAHd7v1c=")</f>
        <v>#VALUE!</v>
      </c>
      <c r="CK120" t="e">
        <f>AND('BBP complete'!Q209,"AAAAAHd7v1g=")</f>
        <v>#VALUE!</v>
      </c>
      <c r="CL120" t="e">
        <f>AND('BBP complete'!R209,"AAAAAHd7v1k=")</f>
        <v>#VALUE!</v>
      </c>
      <c r="CM120" t="e">
        <f>AND('BBP complete'!S209,"AAAAAHd7v1o=")</f>
        <v>#VALUE!</v>
      </c>
      <c r="CN120" t="e">
        <f>AND('BBP complete'!Q210,"AAAAAHd7v1s=")</f>
        <v>#VALUE!</v>
      </c>
      <c r="CO120" t="e">
        <f>AND('BBP complete'!R210,"AAAAAHd7v1w=")</f>
        <v>#VALUE!</v>
      </c>
      <c r="CP120" t="e">
        <f>AND('BBP complete'!S210,"AAAAAHd7v10=")</f>
        <v>#VALUE!</v>
      </c>
      <c r="CQ120" t="e">
        <f>AND('BBP complete'!Q211,"AAAAAHd7v14=")</f>
        <v>#VALUE!</v>
      </c>
      <c r="CR120" t="e">
        <f>AND('BBP complete'!R211,"AAAAAHd7v18=")</f>
        <v>#VALUE!</v>
      </c>
      <c r="CS120" t="e">
        <f>AND('BBP complete'!S211,"AAAAAHd7v2A=")</f>
        <v>#VALUE!</v>
      </c>
      <c r="CT120" t="e">
        <f>AND('BBP complete'!Q212,"AAAAAHd7v2E=")</f>
        <v>#VALUE!</v>
      </c>
      <c r="CU120" t="e">
        <f>AND('BBP complete'!R212,"AAAAAHd7v2I=")</f>
        <v>#VALUE!</v>
      </c>
      <c r="CV120" t="e">
        <f>AND('BBP complete'!S212,"AAAAAHd7v2M=")</f>
        <v>#VALUE!</v>
      </c>
      <c r="CW120" t="e">
        <f>AND('BBP complete'!Q213,"AAAAAHd7v2Q=")</f>
        <v>#VALUE!</v>
      </c>
      <c r="CX120" t="e">
        <f>AND('BBP complete'!R213,"AAAAAHd7v2U=")</f>
        <v>#VALUE!</v>
      </c>
      <c r="CY120" t="e">
        <f>AND('BBP complete'!S213,"AAAAAHd7v2Y=")</f>
        <v>#VALUE!</v>
      </c>
      <c r="CZ120" t="e">
        <f>AND('BBP complete'!Q214,"AAAAAHd7v2c=")</f>
        <v>#VALUE!</v>
      </c>
      <c r="DA120" t="e">
        <f>AND('BBP complete'!R214,"AAAAAHd7v2g=")</f>
        <v>#VALUE!</v>
      </c>
      <c r="DB120" t="e">
        <f>AND('BBP complete'!S214,"AAAAAHd7v2k=")</f>
        <v>#VALUE!</v>
      </c>
      <c r="DC120" t="e">
        <f>AND('BBP complete'!Q215,"AAAAAHd7v2o=")</f>
        <v>#VALUE!</v>
      </c>
      <c r="DD120" t="e">
        <f>AND('BBP complete'!R215,"AAAAAHd7v2s=")</f>
        <v>#VALUE!</v>
      </c>
      <c r="DE120" t="e">
        <f>AND('BBP complete'!S215,"AAAAAHd7v2w=")</f>
        <v>#VALUE!</v>
      </c>
      <c r="DF120" t="e">
        <f>AND('BBP complete'!Q216,"AAAAAHd7v20=")</f>
        <v>#VALUE!</v>
      </c>
      <c r="DG120" t="e">
        <f>AND('BBP complete'!R216,"AAAAAHd7v24=")</f>
        <v>#VALUE!</v>
      </c>
      <c r="DH120" t="e">
        <f>AND('BBP complete'!S216,"AAAAAHd7v28=")</f>
        <v>#VALUE!</v>
      </c>
      <c r="DI120" t="e">
        <f>AND('BBP complete'!Q217,"AAAAAHd7v3A=")</f>
        <v>#VALUE!</v>
      </c>
      <c r="DJ120" t="e">
        <f>AND('BBP complete'!R217,"AAAAAHd7v3E=")</f>
        <v>#VALUE!</v>
      </c>
      <c r="DK120" t="e">
        <f>AND('BBP complete'!S217,"AAAAAHd7v3I=")</f>
        <v>#VALUE!</v>
      </c>
      <c r="DL120" t="e">
        <f>AND('BBP complete'!Q218,"AAAAAHd7v3M=")</f>
        <v>#VALUE!</v>
      </c>
      <c r="DM120" t="e">
        <f>AND('BBP complete'!R218,"AAAAAHd7v3Q=")</f>
        <v>#VALUE!</v>
      </c>
      <c r="DN120" t="e">
        <f>AND('BBP complete'!S218,"AAAAAHd7v3U=")</f>
        <v>#VALUE!</v>
      </c>
      <c r="DO120" t="e">
        <f>AND('BBP complete'!Q219,"AAAAAHd7v3Y=")</f>
        <v>#VALUE!</v>
      </c>
      <c r="DP120" t="e">
        <f>AND('BBP complete'!R219,"AAAAAHd7v3c=")</f>
        <v>#VALUE!</v>
      </c>
      <c r="DQ120" t="e">
        <f>AND('BBP complete'!S219,"AAAAAHd7v3g=")</f>
        <v>#VALUE!</v>
      </c>
      <c r="DR120" t="e">
        <f>AND('BBP complete'!Q220,"AAAAAHd7v3k=")</f>
        <v>#VALUE!</v>
      </c>
      <c r="DS120" t="e">
        <f>AND('BBP complete'!R220,"AAAAAHd7v3o=")</f>
        <v>#VALUE!</v>
      </c>
      <c r="DT120" t="e">
        <f>AND('BBP complete'!S220,"AAAAAHd7v3s=")</f>
        <v>#VALUE!</v>
      </c>
      <c r="DU120" t="e">
        <f>AND('BBP complete'!Q221,"AAAAAHd7v3w=")</f>
        <v>#VALUE!</v>
      </c>
      <c r="DV120" t="e">
        <f>AND('BBP complete'!R221,"AAAAAHd7v30=")</f>
        <v>#VALUE!</v>
      </c>
      <c r="DW120" t="e">
        <f>AND('BBP complete'!S221,"AAAAAHd7v34=")</f>
        <v>#VALUE!</v>
      </c>
      <c r="DX120" t="e">
        <f>AND('BBP complete'!Q222,"AAAAAHd7v38=")</f>
        <v>#VALUE!</v>
      </c>
      <c r="DY120" t="e">
        <f>AND('BBP complete'!R222,"AAAAAHd7v4A=")</f>
        <v>#VALUE!</v>
      </c>
      <c r="DZ120" t="e">
        <f>AND('BBP complete'!S222,"AAAAAHd7v4E=")</f>
        <v>#VALUE!</v>
      </c>
      <c r="EA120" t="e">
        <f>AND('BBP complete'!Q223,"AAAAAHd7v4I=")</f>
        <v>#VALUE!</v>
      </c>
      <c r="EB120" t="e">
        <f>AND('BBP complete'!R223,"AAAAAHd7v4M=")</f>
        <v>#VALUE!</v>
      </c>
      <c r="EC120" t="e">
        <f>AND('BBP complete'!S223,"AAAAAHd7v4Q=")</f>
        <v>#VALUE!</v>
      </c>
      <c r="ED120" t="e">
        <f>AND('BBP complete'!Q224,"AAAAAHd7v4U=")</f>
        <v>#VALUE!</v>
      </c>
      <c r="EE120" t="e">
        <f>AND('BBP complete'!R224,"AAAAAHd7v4Y=")</f>
        <v>#VALUE!</v>
      </c>
      <c r="EF120" t="e">
        <f>AND('BBP complete'!S224,"AAAAAHd7v4c=")</f>
        <v>#VALUE!</v>
      </c>
      <c r="EG120" t="e">
        <f>AND('BBP complete'!Q225,"AAAAAHd7v4g=")</f>
        <v>#VALUE!</v>
      </c>
      <c r="EH120" t="e">
        <f>AND('BBP complete'!R225,"AAAAAHd7v4k=")</f>
        <v>#VALUE!</v>
      </c>
      <c r="EI120" t="e">
        <f>AND('BBP complete'!S225,"AAAAAHd7v4o=")</f>
        <v>#VALUE!</v>
      </c>
      <c r="EJ120" t="e">
        <f>AND('BBP complete'!Q226,"AAAAAHd7v4s=")</f>
        <v>#VALUE!</v>
      </c>
      <c r="EK120" t="e">
        <f>AND('BBP complete'!R226,"AAAAAHd7v4w=")</f>
        <v>#VALUE!</v>
      </c>
      <c r="EL120" t="e">
        <f>AND('BBP complete'!S226,"AAAAAHd7v40=")</f>
        <v>#VALUE!</v>
      </c>
      <c r="EM120" t="e">
        <f>AND('BBP complete'!Q227,"AAAAAHd7v44=")</f>
        <v>#VALUE!</v>
      </c>
      <c r="EN120" t="e">
        <f>AND('BBP complete'!R227,"AAAAAHd7v48=")</f>
        <v>#VALUE!</v>
      </c>
      <c r="EO120" t="e">
        <f>AND('BBP complete'!S227,"AAAAAHd7v5A=")</f>
        <v>#VALUE!</v>
      </c>
      <c r="EP120" t="e">
        <f>AND('BBP complete'!Q228,"AAAAAHd7v5E=")</f>
        <v>#VALUE!</v>
      </c>
      <c r="EQ120" t="e">
        <f>AND('BBP complete'!R228,"AAAAAHd7v5I=")</f>
        <v>#VALUE!</v>
      </c>
      <c r="ER120" t="e">
        <f>AND('BBP complete'!S228,"AAAAAHd7v5M=")</f>
        <v>#VALUE!</v>
      </c>
      <c r="ES120" t="e">
        <f>AND('BBP complete'!Q229,"AAAAAHd7v5Q=")</f>
        <v>#VALUE!</v>
      </c>
      <c r="ET120" t="e">
        <f>AND('BBP complete'!R229,"AAAAAHd7v5U=")</f>
        <v>#VALUE!</v>
      </c>
      <c r="EU120" t="e">
        <f>AND('BBP complete'!S229,"AAAAAHd7v5Y=")</f>
        <v>#VALUE!</v>
      </c>
      <c r="EV120" t="e">
        <f>AND('BBP complete'!Q230,"AAAAAHd7v5c=")</f>
        <v>#VALUE!</v>
      </c>
      <c r="EW120" t="e">
        <f>AND('BBP complete'!R230,"AAAAAHd7v5g=")</f>
        <v>#VALUE!</v>
      </c>
      <c r="EX120" t="e">
        <f>AND('BBP complete'!S230,"AAAAAHd7v5k=")</f>
        <v>#VALUE!</v>
      </c>
      <c r="EY120" t="e">
        <f>AND('BBP complete'!Q231,"AAAAAHd7v5o=")</f>
        <v>#VALUE!</v>
      </c>
      <c r="EZ120" t="e">
        <f>AND('BBP complete'!R231,"AAAAAHd7v5s=")</f>
        <v>#VALUE!</v>
      </c>
      <c r="FA120" t="e">
        <f>AND('BBP complete'!S231,"AAAAAHd7v5w=")</f>
        <v>#VALUE!</v>
      </c>
      <c r="FB120" t="e">
        <f>AND('BBP complete'!Q232,"AAAAAHd7v50=")</f>
        <v>#VALUE!</v>
      </c>
      <c r="FC120" t="e">
        <f>AND('BBP complete'!R232,"AAAAAHd7v54=")</f>
        <v>#VALUE!</v>
      </c>
      <c r="FD120" t="e">
        <f>AND('BBP complete'!S232,"AAAAAHd7v58=")</f>
        <v>#VALUE!</v>
      </c>
      <c r="FE120" t="e">
        <f>AND('BBP complete'!Q233,"AAAAAHd7v6A=")</f>
        <v>#VALUE!</v>
      </c>
      <c r="FF120" t="e">
        <f>AND('BBP complete'!R233,"AAAAAHd7v6E=")</f>
        <v>#VALUE!</v>
      </c>
      <c r="FG120" t="e">
        <f>AND('BBP complete'!S233,"AAAAAHd7v6I=")</f>
        <v>#VALUE!</v>
      </c>
      <c r="FH120" t="e">
        <f>AND('BBP complete'!Q234,"AAAAAHd7v6M=")</f>
        <v>#VALUE!</v>
      </c>
      <c r="FI120" t="e">
        <f>AND('BBP complete'!R234,"AAAAAHd7v6Q=")</f>
        <v>#VALUE!</v>
      </c>
      <c r="FJ120" t="e">
        <f>AND('BBP complete'!S234,"AAAAAHd7v6U=")</f>
        <v>#VALUE!</v>
      </c>
      <c r="FK120" t="e">
        <f>AND('BBP complete'!Q235,"AAAAAHd7v6Y=")</f>
        <v>#VALUE!</v>
      </c>
      <c r="FL120" t="e">
        <f>AND('BBP complete'!R235,"AAAAAHd7v6c=")</f>
        <v>#VALUE!</v>
      </c>
      <c r="FM120" t="e">
        <f>AND('BBP complete'!S235,"AAAAAHd7v6g=")</f>
        <v>#VALUE!</v>
      </c>
      <c r="FN120" t="e">
        <f>AND('BBP complete'!Q236,"AAAAAHd7v6k=")</f>
        <v>#VALUE!</v>
      </c>
      <c r="FO120" t="e">
        <f>AND('BBP complete'!R236,"AAAAAHd7v6o=")</f>
        <v>#VALUE!</v>
      </c>
      <c r="FP120" t="e">
        <f>AND('BBP complete'!S236,"AAAAAHd7v6s=")</f>
        <v>#VALUE!</v>
      </c>
      <c r="FQ120" t="e">
        <f>AND('BBP complete'!Q237,"AAAAAHd7v6w=")</f>
        <v>#VALUE!</v>
      </c>
      <c r="FR120" t="e">
        <f>AND('BBP complete'!R237,"AAAAAHd7v60=")</f>
        <v>#VALUE!</v>
      </c>
      <c r="FS120" t="e">
        <f>AND('BBP complete'!S237,"AAAAAHd7v64=")</f>
        <v>#VALUE!</v>
      </c>
      <c r="FT120" t="e">
        <f>AND('BBP complete'!Q238,"AAAAAHd7v68=")</f>
        <v>#VALUE!</v>
      </c>
      <c r="FU120" t="e">
        <f>AND('BBP complete'!R238,"AAAAAHd7v7A=")</f>
        <v>#VALUE!</v>
      </c>
      <c r="FV120" t="e">
        <f>AND('BBP complete'!S238,"AAAAAHd7v7E=")</f>
        <v>#VALUE!</v>
      </c>
      <c r="FW120" t="e">
        <f>AND('BBP complete'!Q239,"AAAAAHd7v7I=")</f>
        <v>#VALUE!</v>
      </c>
      <c r="FX120" t="e">
        <f>AND('BBP complete'!R239,"AAAAAHd7v7M=")</f>
        <v>#VALUE!</v>
      </c>
      <c r="FY120" t="e">
        <f>AND('BBP complete'!S239,"AAAAAHd7v7Q=")</f>
        <v>#VALUE!</v>
      </c>
      <c r="FZ120" t="e">
        <f>AND('BBP complete'!Q240,"AAAAAHd7v7U=")</f>
        <v>#VALUE!</v>
      </c>
      <c r="GA120" t="e">
        <f>AND('BBP complete'!R240,"AAAAAHd7v7Y=")</f>
        <v>#VALUE!</v>
      </c>
      <c r="GB120" t="e">
        <f>AND('BBP complete'!S240,"AAAAAHd7v7c=")</f>
        <v>#VALUE!</v>
      </c>
      <c r="GC120" t="e">
        <f>AND('BBP complete'!Q241,"AAAAAHd7v7g=")</f>
        <v>#VALUE!</v>
      </c>
      <c r="GD120" t="e">
        <f>AND('BBP complete'!R241,"AAAAAHd7v7k=")</f>
        <v>#VALUE!</v>
      </c>
      <c r="GE120" t="e">
        <f>AND('BBP complete'!S241,"AAAAAHd7v7o=")</f>
        <v>#VALUE!</v>
      </c>
      <c r="GF120" t="e">
        <f>AND('BBP complete'!Q242,"AAAAAHd7v7s=")</f>
        <v>#VALUE!</v>
      </c>
      <c r="GG120" t="e">
        <f>AND('BBP complete'!R242,"AAAAAHd7v7w=")</f>
        <v>#VALUE!</v>
      </c>
      <c r="GH120" t="e">
        <f>AND('BBP complete'!S242,"AAAAAHd7v70=")</f>
        <v>#VALUE!</v>
      </c>
      <c r="GI120" t="e">
        <f>AND('BBP complete'!Q243,"AAAAAHd7v74=")</f>
        <v>#VALUE!</v>
      </c>
      <c r="GJ120" t="e">
        <f>AND('BBP complete'!R243,"AAAAAHd7v78=")</f>
        <v>#VALUE!</v>
      </c>
      <c r="GK120" t="e">
        <f>AND('BBP complete'!S243,"AAAAAHd7v8A=")</f>
        <v>#VALUE!</v>
      </c>
      <c r="GL120" t="e">
        <f>AND('BBP complete'!Q244,"AAAAAHd7v8E=")</f>
        <v>#VALUE!</v>
      </c>
      <c r="GM120" t="e">
        <f>AND('BBP complete'!R244,"AAAAAHd7v8I=")</f>
        <v>#VALUE!</v>
      </c>
      <c r="GN120" t="e">
        <f>AND('BBP complete'!S244,"AAAAAHd7v8M=")</f>
        <v>#VALUE!</v>
      </c>
      <c r="GO120" t="e">
        <f>AND('BBP complete'!Q245,"AAAAAHd7v8Q=")</f>
        <v>#VALUE!</v>
      </c>
      <c r="GP120" t="e">
        <f>AND('BBP complete'!R245,"AAAAAHd7v8U=")</f>
        <v>#VALUE!</v>
      </c>
      <c r="GQ120" t="e">
        <f>AND('BBP complete'!S245,"AAAAAHd7v8Y=")</f>
        <v>#VALUE!</v>
      </c>
      <c r="GR120" t="e">
        <f>AND('BBP complete'!Q246,"AAAAAHd7v8c=")</f>
        <v>#VALUE!</v>
      </c>
      <c r="GS120" t="e">
        <f>AND('BBP complete'!R246,"AAAAAHd7v8g=")</f>
        <v>#VALUE!</v>
      </c>
      <c r="GT120" t="e">
        <f>AND('BBP complete'!S246,"AAAAAHd7v8k=")</f>
        <v>#VALUE!</v>
      </c>
      <c r="GU120" t="e">
        <f>AND('BBP complete'!Q247,"AAAAAHd7v8o=")</f>
        <v>#VALUE!</v>
      </c>
      <c r="GV120" t="e">
        <f>AND('BBP complete'!R247,"AAAAAHd7v8s=")</f>
        <v>#VALUE!</v>
      </c>
      <c r="GW120" t="e">
        <f>AND('BBP complete'!S247,"AAAAAHd7v8w=")</f>
        <v>#VALUE!</v>
      </c>
      <c r="GX120" t="e">
        <f>AND('BBP complete'!Q248,"AAAAAHd7v80=")</f>
        <v>#VALUE!</v>
      </c>
      <c r="GY120" t="e">
        <f>AND('BBP complete'!R248,"AAAAAHd7v84=")</f>
        <v>#VALUE!</v>
      </c>
      <c r="GZ120" t="e">
        <f>AND('BBP complete'!S248,"AAAAAHd7v88=")</f>
        <v>#VALUE!</v>
      </c>
      <c r="HA120" t="e">
        <f>AND('BBP complete'!Q249,"AAAAAHd7v9A=")</f>
        <v>#VALUE!</v>
      </c>
      <c r="HB120" t="e">
        <f>AND('BBP complete'!R249,"AAAAAHd7v9E=")</f>
        <v>#VALUE!</v>
      </c>
      <c r="HC120" t="e">
        <f>AND('BBP complete'!S249,"AAAAAHd7v9I=")</f>
        <v>#VALUE!</v>
      </c>
      <c r="HD120" t="e">
        <f>AND('BBP complete'!Q250,"AAAAAHd7v9M=")</f>
        <v>#VALUE!</v>
      </c>
      <c r="HE120" t="e">
        <f>AND('BBP complete'!R250,"AAAAAHd7v9Q=")</f>
        <v>#VALUE!</v>
      </c>
      <c r="HF120" t="e">
        <f>AND('BBP complete'!S250,"AAAAAHd7v9U=")</f>
        <v>#VALUE!</v>
      </c>
      <c r="HG120" t="e">
        <f>AND('BBP complete'!Q251,"AAAAAHd7v9Y=")</f>
        <v>#VALUE!</v>
      </c>
      <c r="HH120" t="e">
        <f>AND('BBP complete'!R251,"AAAAAHd7v9c=")</f>
        <v>#VALUE!</v>
      </c>
      <c r="HI120" t="e">
        <f>AND('BBP complete'!S251,"AAAAAHd7v9g=")</f>
        <v>#VALUE!</v>
      </c>
      <c r="HJ120" t="e">
        <f>AND('BBP complete'!Q252,"AAAAAHd7v9k=")</f>
        <v>#VALUE!</v>
      </c>
      <c r="HK120" t="e">
        <f>AND('BBP complete'!R252,"AAAAAHd7v9o=")</f>
        <v>#VALUE!</v>
      </c>
      <c r="HL120" t="e">
        <f>AND('BBP complete'!S252,"AAAAAHd7v9s=")</f>
        <v>#VALUE!</v>
      </c>
      <c r="HM120" t="e">
        <f>AND('BBP complete'!Q253,"AAAAAHd7v9w=")</f>
        <v>#VALUE!</v>
      </c>
      <c r="HN120" t="e">
        <f>AND('BBP complete'!R253,"AAAAAHd7v90=")</f>
        <v>#VALUE!</v>
      </c>
      <c r="HO120" t="e">
        <f>AND('BBP complete'!S253,"AAAAAHd7v94=")</f>
        <v>#VALUE!</v>
      </c>
      <c r="HP120" t="e">
        <f>AND('BBP complete'!Q254,"AAAAAHd7v98=")</f>
        <v>#VALUE!</v>
      </c>
      <c r="HQ120" t="e">
        <f>AND('BBP complete'!R254,"AAAAAHd7v+A=")</f>
        <v>#VALUE!</v>
      </c>
      <c r="HR120" t="e">
        <f>AND('BBP complete'!S254,"AAAAAHd7v+E=")</f>
        <v>#VALUE!</v>
      </c>
      <c r="HS120" t="e">
        <f>AND('BBP complete'!Q255,"AAAAAHd7v+I=")</f>
        <v>#VALUE!</v>
      </c>
      <c r="HT120" t="e">
        <f>AND('BBP complete'!R255,"AAAAAHd7v+M=")</f>
        <v>#VALUE!</v>
      </c>
      <c r="HU120" t="e">
        <f>AND('BBP complete'!S255,"AAAAAHd7v+Q=")</f>
        <v>#VALUE!</v>
      </c>
      <c r="HV120" t="e">
        <f>AND('BBP complete'!Q256,"AAAAAHd7v+U=")</f>
        <v>#VALUE!</v>
      </c>
      <c r="HW120" t="e">
        <f>AND('BBP complete'!R256,"AAAAAHd7v+Y=")</f>
        <v>#VALUE!</v>
      </c>
      <c r="HX120" t="e">
        <f>AND('BBP complete'!S256,"AAAAAHd7v+c=")</f>
        <v>#VALUE!</v>
      </c>
      <c r="HY120" t="e">
        <f>AND('BBP complete'!Q257,"AAAAAHd7v+g=")</f>
        <v>#VALUE!</v>
      </c>
      <c r="HZ120" t="e">
        <f>AND('BBP complete'!R257,"AAAAAHd7v+k=")</f>
        <v>#VALUE!</v>
      </c>
      <c r="IA120" t="e">
        <f>AND('BBP complete'!S257,"AAAAAHd7v+o=")</f>
        <v>#VALUE!</v>
      </c>
      <c r="IB120" t="e">
        <f>AND('BBP complete'!Q258,"AAAAAHd7v+s=")</f>
        <v>#VALUE!</v>
      </c>
      <c r="IC120" t="e">
        <f>AND('BBP complete'!R258,"AAAAAHd7v+w=")</f>
        <v>#VALUE!</v>
      </c>
      <c r="ID120" t="e">
        <f>AND('BBP complete'!S258,"AAAAAHd7v+0=")</f>
        <v>#VALUE!</v>
      </c>
      <c r="IE120" t="e">
        <f>AND('BBP complete'!Q259,"AAAAAHd7v+4=")</f>
        <v>#VALUE!</v>
      </c>
      <c r="IF120" t="e">
        <f>AND('BBP complete'!R259,"AAAAAHd7v+8=")</f>
        <v>#VALUE!</v>
      </c>
      <c r="IG120" t="e">
        <f>AND('BBP complete'!S259,"AAAAAHd7v/A=")</f>
        <v>#VALUE!</v>
      </c>
      <c r="IH120" t="e">
        <f>AND('BBP complete'!Q260,"AAAAAHd7v/E=")</f>
        <v>#VALUE!</v>
      </c>
      <c r="II120" t="e">
        <f>AND('BBP complete'!R260,"AAAAAHd7v/I=")</f>
        <v>#VALUE!</v>
      </c>
      <c r="IJ120" t="e">
        <f>AND('BBP complete'!S260,"AAAAAHd7v/M=")</f>
        <v>#VALUE!</v>
      </c>
      <c r="IK120" t="e">
        <f>AND('BBP complete'!Q261,"AAAAAHd7v/Q=")</f>
        <v>#VALUE!</v>
      </c>
      <c r="IL120" t="e">
        <f>AND('BBP complete'!R261,"AAAAAHd7v/U=")</f>
        <v>#VALUE!</v>
      </c>
      <c r="IM120" t="e">
        <f>AND('BBP complete'!S261,"AAAAAHd7v/Y=")</f>
        <v>#VALUE!</v>
      </c>
      <c r="IN120" t="e">
        <f>AND('BBP complete'!Q262,"AAAAAHd7v/c=")</f>
        <v>#VALUE!</v>
      </c>
      <c r="IO120" t="e">
        <f>AND('BBP complete'!R262,"AAAAAHd7v/g=")</f>
        <v>#VALUE!</v>
      </c>
      <c r="IP120" t="e">
        <f>AND('BBP complete'!S262,"AAAAAHd7v/k=")</f>
        <v>#VALUE!</v>
      </c>
      <c r="IQ120" t="e">
        <f>AND('BBP complete'!Q263,"AAAAAHd7v/o=")</f>
        <v>#VALUE!</v>
      </c>
      <c r="IR120" t="e">
        <f>AND('BBP complete'!R263,"AAAAAHd7v/s=")</f>
        <v>#VALUE!</v>
      </c>
      <c r="IS120" t="e">
        <f>AND('BBP complete'!S263,"AAAAAHd7v/w=")</f>
        <v>#VALUE!</v>
      </c>
      <c r="IT120" t="e">
        <f>AND('BBP complete'!Q264,"AAAAAHd7v/0=")</f>
        <v>#VALUE!</v>
      </c>
      <c r="IU120" t="e">
        <f>AND('BBP complete'!R264,"AAAAAHd7v/4=")</f>
        <v>#VALUE!</v>
      </c>
      <c r="IV120" t="e">
        <f>AND('BBP complete'!S264,"AAAAAHd7v/8=")</f>
        <v>#VALUE!</v>
      </c>
    </row>
    <row r="121" spans="1:256" ht="15" customHeight="1" x14ac:dyDescent="0.25">
      <c r="A121" t="e">
        <f>AND('BBP complete'!Q265,"AAAAAGl35wA=")</f>
        <v>#VALUE!</v>
      </c>
      <c r="B121" t="e">
        <f>AND('BBP complete'!R265,"AAAAAGl35wE=")</f>
        <v>#VALUE!</v>
      </c>
      <c r="C121" t="e">
        <f>AND('BBP complete'!S265,"AAAAAGl35wI=")</f>
        <v>#VALUE!</v>
      </c>
      <c r="D121" t="e">
        <f>AND('BBP complete'!Q266,"AAAAAGl35wM=")</f>
        <v>#VALUE!</v>
      </c>
      <c r="E121" t="e">
        <f>AND('BBP complete'!R266,"AAAAAGl35wQ=")</f>
        <v>#VALUE!</v>
      </c>
      <c r="F121" t="e">
        <f>AND('BBP complete'!S266,"AAAAAGl35wU=")</f>
        <v>#VALUE!</v>
      </c>
      <c r="G121" t="e">
        <f>AND('BBP complete'!Q267,"AAAAAGl35wY=")</f>
        <v>#VALUE!</v>
      </c>
      <c r="H121" t="e">
        <f>AND('BBP complete'!R267,"AAAAAGl35wc=")</f>
        <v>#VALUE!</v>
      </c>
      <c r="I121" t="e">
        <f>AND('BBP complete'!S267,"AAAAAGl35wg=")</f>
        <v>#VALUE!</v>
      </c>
      <c r="J121" t="e">
        <f>AND('BBP complete'!Q268,"AAAAAGl35wk=")</f>
        <v>#VALUE!</v>
      </c>
      <c r="K121" t="e">
        <f>AND('BBP complete'!R268,"AAAAAGl35wo=")</f>
        <v>#VALUE!</v>
      </c>
      <c r="L121" t="e">
        <f>AND('BBP complete'!S268,"AAAAAGl35ws=")</f>
        <v>#VALUE!</v>
      </c>
      <c r="M121" t="e">
        <f>AND('BBP complete'!Q269,"AAAAAGl35ww=")</f>
        <v>#VALUE!</v>
      </c>
      <c r="N121" t="e">
        <f>AND('BBP complete'!R269,"AAAAAGl35w0=")</f>
        <v>#VALUE!</v>
      </c>
      <c r="O121" t="e">
        <f>AND('BBP complete'!S269,"AAAAAGl35w4=")</f>
        <v>#VALUE!</v>
      </c>
      <c r="P121" t="e">
        <f>AND('BBP complete'!Q270,"AAAAAGl35w8=")</f>
        <v>#VALUE!</v>
      </c>
      <c r="Q121" t="e">
        <f>AND('BBP complete'!R270,"AAAAAGl35xA=")</f>
        <v>#VALUE!</v>
      </c>
      <c r="R121" t="e">
        <f>AND('BBP complete'!S270,"AAAAAGl35xE=")</f>
        <v>#VALUE!</v>
      </c>
      <c r="S121" t="e">
        <f>AND('BBP complete'!Q271,"AAAAAGl35xI=")</f>
        <v>#VALUE!</v>
      </c>
      <c r="T121" t="e">
        <f>AND('BBP complete'!R271,"AAAAAGl35xM=")</f>
        <v>#VALUE!</v>
      </c>
      <c r="U121" t="e">
        <f>AND('BBP complete'!S271,"AAAAAGl35xQ=")</f>
        <v>#VALUE!</v>
      </c>
      <c r="V121" t="e">
        <f>AND('BBP complete'!Q272,"AAAAAGl35xU=")</f>
        <v>#VALUE!</v>
      </c>
      <c r="W121" t="e">
        <f>AND('BBP complete'!R272,"AAAAAGl35xY=")</f>
        <v>#VALUE!</v>
      </c>
      <c r="X121" t="e">
        <f>AND('BBP complete'!S272,"AAAAAGl35xc=")</f>
        <v>#VALUE!</v>
      </c>
      <c r="Y121" t="e">
        <f>AND('BBP complete'!Q273,"AAAAAGl35xg=")</f>
        <v>#VALUE!</v>
      </c>
      <c r="Z121" t="e">
        <f>AND('BBP complete'!R273,"AAAAAGl35xk=")</f>
        <v>#VALUE!</v>
      </c>
      <c r="AA121" t="e">
        <f>AND('BBP complete'!S273,"AAAAAGl35xo=")</f>
        <v>#VALUE!</v>
      </c>
      <c r="AB121" t="e">
        <f>AND('BBP complete'!Q274,"AAAAAGl35xs=")</f>
        <v>#VALUE!</v>
      </c>
      <c r="AC121" t="e">
        <f>AND('BBP complete'!R274,"AAAAAGl35xw=")</f>
        <v>#VALUE!</v>
      </c>
      <c r="AD121" t="e">
        <f>AND('BBP complete'!S274,"AAAAAGl35x0=")</f>
        <v>#VALUE!</v>
      </c>
      <c r="AE121" t="e">
        <f>AND('BBP complete'!Q275,"AAAAAGl35x4=")</f>
        <v>#VALUE!</v>
      </c>
      <c r="AF121" t="e">
        <f>AND('BBP complete'!R275,"AAAAAGl35x8=")</f>
        <v>#VALUE!</v>
      </c>
      <c r="AG121" t="e">
        <f>AND('BBP complete'!S275,"AAAAAGl35yA=")</f>
        <v>#VALUE!</v>
      </c>
      <c r="AH121" t="e">
        <f>AND('BBP complete'!Q276,"AAAAAGl35yE=")</f>
        <v>#VALUE!</v>
      </c>
      <c r="AI121" t="e">
        <f>AND('BBP complete'!R276,"AAAAAGl35yI=")</f>
        <v>#VALUE!</v>
      </c>
      <c r="AJ121" t="e">
        <f>AND('BBP complete'!S276,"AAAAAGl35yM=")</f>
        <v>#VALUE!</v>
      </c>
      <c r="AK121" t="e">
        <f>AND('BBP complete'!Q277,"AAAAAGl35yQ=")</f>
        <v>#VALUE!</v>
      </c>
      <c r="AL121" t="e">
        <f>AND('BBP complete'!R277,"AAAAAGl35yU=")</f>
        <v>#VALUE!</v>
      </c>
      <c r="AM121" t="e">
        <f>AND('BBP complete'!S277,"AAAAAGl35yY=")</f>
        <v>#VALUE!</v>
      </c>
      <c r="AN121" t="e">
        <f>AND('BBP complete'!Q278,"AAAAAGl35yc=")</f>
        <v>#VALUE!</v>
      </c>
      <c r="AO121" t="e">
        <f>AND('BBP complete'!R278,"AAAAAGl35yg=")</f>
        <v>#VALUE!</v>
      </c>
      <c r="AP121" t="e">
        <f>AND('BBP complete'!S278,"AAAAAGl35yk=")</f>
        <v>#VALUE!</v>
      </c>
      <c r="AQ121" t="e">
        <f>AND('BBP complete'!Q279,"AAAAAGl35yo=")</f>
        <v>#VALUE!</v>
      </c>
      <c r="AR121" t="e">
        <f>AND('BBP complete'!R279,"AAAAAGl35ys=")</f>
        <v>#VALUE!</v>
      </c>
      <c r="AS121" t="e">
        <f>AND('BBP complete'!S279,"AAAAAGl35yw=")</f>
        <v>#VALUE!</v>
      </c>
      <c r="AT121" t="e">
        <f>AND('BBP complete'!Q280,"AAAAAGl35y0=")</f>
        <v>#VALUE!</v>
      </c>
      <c r="AU121" t="e">
        <f>AND('BBP complete'!R280,"AAAAAGl35y4=")</f>
        <v>#VALUE!</v>
      </c>
      <c r="AV121" t="e">
        <f>AND('BBP complete'!S280,"AAAAAGl35y8=")</f>
        <v>#VALUE!</v>
      </c>
      <c r="AW121" t="e">
        <f>AND('BBP complete'!Q281,"AAAAAGl35zA=")</f>
        <v>#VALUE!</v>
      </c>
      <c r="AX121" t="e">
        <f>AND('BBP complete'!R281,"AAAAAGl35zE=")</f>
        <v>#VALUE!</v>
      </c>
      <c r="AY121" t="e">
        <f>AND('BBP complete'!S281,"AAAAAGl35zI=")</f>
        <v>#VALUE!</v>
      </c>
      <c r="AZ121" t="e">
        <f>AND('BBP complete'!Q282,"AAAAAGl35zM=")</f>
        <v>#VALUE!</v>
      </c>
      <c r="BA121" t="e">
        <f>AND('BBP complete'!R282,"AAAAAGl35zQ=")</f>
        <v>#VALUE!</v>
      </c>
      <c r="BB121" t="e">
        <f>AND('BBP complete'!S282,"AAAAAGl35zU=")</f>
        <v>#VALUE!</v>
      </c>
      <c r="BC121" t="e">
        <f>AND('BBP complete'!Q283,"AAAAAGl35zY=")</f>
        <v>#VALUE!</v>
      </c>
      <c r="BD121" t="e">
        <f>AND('BBP complete'!R283,"AAAAAGl35zc=")</f>
        <v>#VALUE!</v>
      </c>
      <c r="BE121" t="e">
        <f>AND('BBP complete'!S283,"AAAAAGl35zg=")</f>
        <v>#VALUE!</v>
      </c>
      <c r="BF121" t="e">
        <f>AND('BBP complete'!Q284,"AAAAAGl35zk=")</f>
        <v>#VALUE!</v>
      </c>
      <c r="BG121" t="e">
        <f>AND('BBP complete'!R284,"AAAAAGl35zo=")</f>
        <v>#VALUE!</v>
      </c>
      <c r="BH121" t="e">
        <f>AND('BBP complete'!S284,"AAAAAGl35zs=")</f>
        <v>#VALUE!</v>
      </c>
      <c r="BI121" t="e">
        <f>AND('BBP complete'!Q285,"AAAAAGl35zw=")</f>
        <v>#VALUE!</v>
      </c>
      <c r="BJ121" t="e">
        <f>AND('BBP complete'!R285,"AAAAAGl35z0=")</f>
        <v>#VALUE!</v>
      </c>
      <c r="BK121" t="e">
        <f>AND('BBP complete'!S285,"AAAAAGl35z4=")</f>
        <v>#VALUE!</v>
      </c>
      <c r="BL121" t="e">
        <f>AND('BBP complete'!Q286,"AAAAAGl35z8=")</f>
        <v>#VALUE!</v>
      </c>
      <c r="BM121" t="e">
        <f>AND('BBP complete'!R286,"AAAAAGl350A=")</f>
        <v>#VALUE!</v>
      </c>
      <c r="BN121" t="e">
        <f>AND('BBP complete'!S286,"AAAAAGl350E=")</f>
        <v>#VALUE!</v>
      </c>
      <c r="BO121" t="e">
        <f>AND('BBP complete'!Q287,"AAAAAGl350I=")</f>
        <v>#VALUE!</v>
      </c>
      <c r="BP121" t="e">
        <f>AND('BBP complete'!R287,"AAAAAGl350M=")</f>
        <v>#VALUE!</v>
      </c>
      <c r="BQ121" t="e">
        <f>AND('BBP complete'!S287,"AAAAAGl350Q=")</f>
        <v>#VALUE!</v>
      </c>
      <c r="BR121" t="e">
        <f>AND('BBP complete'!Q288,"AAAAAGl350U=")</f>
        <v>#VALUE!</v>
      </c>
      <c r="BS121" t="e">
        <f>AND('BBP complete'!R288,"AAAAAGl350Y=")</f>
        <v>#VALUE!</v>
      </c>
      <c r="BT121" t="e">
        <f>AND('BBP complete'!S288,"AAAAAGl350c=")</f>
        <v>#VALUE!</v>
      </c>
      <c r="BU121" t="e">
        <f>AND('BBP complete'!Q289,"AAAAAGl350g=")</f>
        <v>#VALUE!</v>
      </c>
      <c r="BV121" t="e">
        <f>AND('BBP complete'!R289,"AAAAAGl350k=")</f>
        <v>#VALUE!</v>
      </c>
      <c r="BW121" t="e">
        <f>AND('BBP complete'!S289,"AAAAAGl350o=")</f>
        <v>#VALUE!</v>
      </c>
      <c r="BX121" t="e">
        <f>AND('BBP complete'!Q290,"AAAAAGl350s=")</f>
        <v>#VALUE!</v>
      </c>
      <c r="BY121" t="e">
        <f>AND('BBP complete'!R290,"AAAAAGl350w=")</f>
        <v>#VALUE!</v>
      </c>
      <c r="BZ121" t="e">
        <f>AND('BBP complete'!S290,"AAAAAGl3500=")</f>
        <v>#VALUE!</v>
      </c>
      <c r="CA121" t="e">
        <f>AND('BBP complete'!Q291,"AAAAAGl3504=")</f>
        <v>#VALUE!</v>
      </c>
      <c r="CB121" t="e">
        <f>AND('BBP complete'!R291,"AAAAAGl3508=")</f>
        <v>#VALUE!</v>
      </c>
      <c r="CC121" t="e">
        <f>AND('BBP complete'!S291,"AAAAAGl351A=")</f>
        <v>#VALUE!</v>
      </c>
      <c r="CD121" t="e">
        <f>AND('BBP complete'!Q292,"AAAAAGl351E=")</f>
        <v>#VALUE!</v>
      </c>
      <c r="CE121" t="e">
        <f>AND('BBP complete'!R292,"AAAAAGl351I=")</f>
        <v>#VALUE!</v>
      </c>
      <c r="CF121" t="e">
        <f>AND('BBP complete'!S292,"AAAAAGl351M=")</f>
        <v>#VALUE!</v>
      </c>
      <c r="CG121" t="e">
        <f>AND('BBP complete'!Q293,"AAAAAGl351Q=")</f>
        <v>#VALUE!</v>
      </c>
      <c r="CH121" t="e">
        <f>AND('BBP complete'!R293,"AAAAAGl351U=")</f>
        <v>#VALUE!</v>
      </c>
      <c r="CI121" t="e">
        <f>AND('BBP complete'!S293,"AAAAAGl351Y=")</f>
        <v>#VALUE!</v>
      </c>
      <c r="CJ121" t="e">
        <f>AND('BBP complete'!Q294,"AAAAAGl351c=")</f>
        <v>#VALUE!</v>
      </c>
      <c r="CK121" t="e">
        <f>AND('BBP complete'!R294,"AAAAAGl351g=")</f>
        <v>#VALUE!</v>
      </c>
      <c r="CL121" t="e">
        <f>AND('BBP complete'!S294,"AAAAAGl351k=")</f>
        <v>#VALUE!</v>
      </c>
      <c r="CM121" t="e">
        <f>AND('BBP complete'!Q295,"AAAAAGl351o=")</f>
        <v>#VALUE!</v>
      </c>
      <c r="CN121" t="e">
        <f>AND('BBP complete'!R295,"AAAAAGl351s=")</f>
        <v>#VALUE!</v>
      </c>
      <c r="CO121" t="e">
        <f>AND('BBP complete'!S295,"AAAAAGl351w=")</f>
        <v>#VALUE!</v>
      </c>
      <c r="CP121" t="e">
        <f>AND('BBP complete'!Q296,"AAAAAGl3510=")</f>
        <v>#VALUE!</v>
      </c>
      <c r="CQ121" t="e">
        <f>AND('BBP complete'!R296,"AAAAAGl3514=")</f>
        <v>#VALUE!</v>
      </c>
      <c r="CR121" t="e">
        <f>AND('BBP complete'!S296,"AAAAAGl3518=")</f>
        <v>#VALUE!</v>
      </c>
      <c r="CS121" t="e">
        <f>AND('BBP complete'!Q297,"AAAAAGl352A=")</f>
        <v>#VALUE!</v>
      </c>
      <c r="CT121" t="e">
        <f>AND('BBP complete'!R297,"AAAAAGl352E=")</f>
        <v>#VALUE!</v>
      </c>
      <c r="CU121" t="e">
        <f>AND('BBP complete'!S297,"AAAAAGl352I=")</f>
        <v>#VALUE!</v>
      </c>
      <c r="CV121" t="e">
        <f>AND('BBP complete'!Q298,"AAAAAGl352M=")</f>
        <v>#VALUE!</v>
      </c>
      <c r="CW121" t="e">
        <f>AND('BBP complete'!R298,"AAAAAGl352Q=")</f>
        <v>#VALUE!</v>
      </c>
      <c r="CX121" t="e">
        <f>AND('BBP complete'!S298,"AAAAAGl352U=")</f>
        <v>#VALUE!</v>
      </c>
      <c r="CY121" t="e">
        <f>AND('BBP complete'!Q299,"AAAAAGl352Y=")</f>
        <v>#VALUE!</v>
      </c>
      <c r="CZ121" t="e">
        <f>AND('BBP complete'!R299,"AAAAAGl352c=")</f>
        <v>#VALUE!</v>
      </c>
      <c r="DA121" t="e">
        <f>AND('BBP complete'!S299,"AAAAAGl352g=")</f>
        <v>#VALUE!</v>
      </c>
      <c r="DB121" t="e">
        <f>AND('BBP complete'!Q300,"AAAAAGl352k=")</f>
        <v>#VALUE!</v>
      </c>
      <c r="DC121" t="e">
        <f>AND('BBP complete'!R300,"AAAAAGl352o=")</f>
        <v>#VALUE!</v>
      </c>
      <c r="DD121" t="e">
        <f>AND('BBP complete'!S300,"AAAAAGl352s=")</f>
        <v>#VALUE!</v>
      </c>
      <c r="DE121" t="e">
        <f>AND('BBP complete'!Q301,"AAAAAGl352w=")</f>
        <v>#VALUE!</v>
      </c>
      <c r="DF121" t="e">
        <f>AND('BBP complete'!R301,"AAAAAGl3520=")</f>
        <v>#VALUE!</v>
      </c>
      <c r="DG121" t="e">
        <f>AND('BBP complete'!S301,"AAAAAGl3524=")</f>
        <v>#VALUE!</v>
      </c>
      <c r="DH121" t="e">
        <f>AND('BBP complete'!Q302,"AAAAAGl3528=")</f>
        <v>#VALUE!</v>
      </c>
      <c r="DI121" t="e">
        <f>AND('BBP complete'!R302,"AAAAAGl353A=")</f>
        <v>#VALUE!</v>
      </c>
      <c r="DJ121" t="e">
        <f>AND('BBP complete'!S302,"AAAAAGl353E=")</f>
        <v>#VALUE!</v>
      </c>
      <c r="DK121" t="e">
        <f>AND('BBP complete'!Q303,"AAAAAGl353I=")</f>
        <v>#VALUE!</v>
      </c>
      <c r="DL121" t="e">
        <f>AND('BBP complete'!R303,"AAAAAGl353M=")</f>
        <v>#VALUE!</v>
      </c>
      <c r="DM121" t="e">
        <f>AND('BBP complete'!S303,"AAAAAGl353Q=")</f>
        <v>#VALUE!</v>
      </c>
      <c r="DN121" t="e">
        <f>AND('BBP complete'!Q304,"AAAAAGl353U=")</f>
        <v>#VALUE!</v>
      </c>
      <c r="DO121" t="e">
        <f>AND('BBP complete'!R304,"AAAAAGl353Y=")</f>
        <v>#VALUE!</v>
      </c>
      <c r="DP121" t="e">
        <f>AND('BBP complete'!S304,"AAAAAGl353c=")</f>
        <v>#VALUE!</v>
      </c>
      <c r="DQ121" t="e">
        <f>AND('BBP complete'!Q305,"AAAAAGl353g=")</f>
        <v>#VALUE!</v>
      </c>
      <c r="DR121" t="e">
        <f>AND('BBP complete'!R305,"AAAAAGl353k=")</f>
        <v>#VALUE!</v>
      </c>
      <c r="DS121" t="e">
        <f>AND('BBP complete'!S305,"AAAAAGl353o=")</f>
        <v>#VALUE!</v>
      </c>
      <c r="DT121" t="e">
        <f>AND('BBP complete'!Q306,"AAAAAGl353s=")</f>
        <v>#VALUE!</v>
      </c>
      <c r="DU121" t="e">
        <f>AND('BBP complete'!R306,"AAAAAGl353w=")</f>
        <v>#VALUE!</v>
      </c>
      <c r="DV121" t="e">
        <f>AND('BBP complete'!S306,"AAAAAGl3530=")</f>
        <v>#VALUE!</v>
      </c>
      <c r="DW121" t="e">
        <f>AND('BBP complete'!Q307,"AAAAAGl3534=")</f>
        <v>#VALUE!</v>
      </c>
      <c r="DX121" t="e">
        <f>AND('BBP complete'!R307,"AAAAAGl3538=")</f>
        <v>#VALUE!</v>
      </c>
      <c r="DY121" t="e">
        <f>AND('BBP complete'!S307,"AAAAAGl354A=")</f>
        <v>#VALUE!</v>
      </c>
      <c r="DZ121" t="e">
        <f>AND('BBP complete'!Q308,"AAAAAGl354E=")</f>
        <v>#VALUE!</v>
      </c>
      <c r="EA121" t="e">
        <f>AND('BBP complete'!R308,"AAAAAGl354I=")</f>
        <v>#VALUE!</v>
      </c>
      <c r="EB121" t="e">
        <f>AND('BBP complete'!S308,"AAAAAGl354M=")</f>
        <v>#VALUE!</v>
      </c>
      <c r="EC121" t="e">
        <f>AND('BBP complete'!Q309,"AAAAAGl354Q=")</f>
        <v>#VALUE!</v>
      </c>
      <c r="ED121" t="e">
        <f>AND('BBP complete'!R309,"AAAAAGl354U=")</f>
        <v>#VALUE!</v>
      </c>
      <c r="EE121" t="e">
        <f>AND('BBP complete'!S309,"AAAAAGl354Y=")</f>
        <v>#VALUE!</v>
      </c>
      <c r="EF121" t="e">
        <f>AND('BBP complete'!Q310,"AAAAAGl354c=")</f>
        <v>#VALUE!</v>
      </c>
      <c r="EG121" t="e">
        <f>AND('BBP complete'!R310,"AAAAAGl354g=")</f>
        <v>#VALUE!</v>
      </c>
      <c r="EH121" t="e">
        <f>AND('BBP complete'!S310,"AAAAAGl354k=")</f>
        <v>#VALUE!</v>
      </c>
      <c r="EI121" t="e">
        <f>AND('BBP complete'!Q311,"AAAAAGl354o=")</f>
        <v>#VALUE!</v>
      </c>
      <c r="EJ121" t="e">
        <f>AND('BBP complete'!R311,"AAAAAGl354s=")</f>
        <v>#VALUE!</v>
      </c>
      <c r="EK121" t="e">
        <f>AND('BBP complete'!S311,"AAAAAGl354w=")</f>
        <v>#VALUE!</v>
      </c>
      <c r="EL121" t="e">
        <f>AND('BBP complete'!Q312,"AAAAAGl3540=")</f>
        <v>#VALUE!</v>
      </c>
      <c r="EM121" t="e">
        <f>AND('BBP complete'!R312,"AAAAAGl3544=")</f>
        <v>#VALUE!</v>
      </c>
      <c r="EN121" t="e">
        <f>AND('BBP complete'!S312,"AAAAAGl3548=")</f>
        <v>#VALUE!</v>
      </c>
      <c r="EO121" t="e">
        <f>AND('BBP complete'!Q313,"AAAAAGl355A=")</f>
        <v>#VALUE!</v>
      </c>
      <c r="EP121" t="e">
        <f>AND('BBP complete'!R313,"AAAAAGl355E=")</f>
        <v>#VALUE!</v>
      </c>
      <c r="EQ121" t="e">
        <f>AND('BBP complete'!S313,"AAAAAGl355I=")</f>
        <v>#VALUE!</v>
      </c>
      <c r="ER121" t="e">
        <f>AND('BBP complete'!Q314,"AAAAAGl355M=")</f>
        <v>#VALUE!</v>
      </c>
      <c r="ES121" t="e">
        <f>AND('BBP complete'!R314,"AAAAAGl355Q=")</f>
        <v>#VALUE!</v>
      </c>
      <c r="ET121" t="e">
        <f>AND('BBP complete'!S314,"AAAAAGl355U=")</f>
        <v>#VALUE!</v>
      </c>
      <c r="EU121" t="e">
        <f>AND('BBP complete'!Q315,"AAAAAGl355Y=")</f>
        <v>#VALUE!</v>
      </c>
      <c r="EV121" t="e">
        <f>AND('BBP complete'!R315,"AAAAAGl355c=")</f>
        <v>#VALUE!</v>
      </c>
      <c r="EW121" t="e">
        <f>AND('BBP complete'!S315,"AAAAAGl355g=")</f>
        <v>#VALUE!</v>
      </c>
      <c r="EX121" t="e">
        <f>AND('BBP complete'!Q316,"AAAAAGl355k=")</f>
        <v>#VALUE!</v>
      </c>
      <c r="EY121" t="e">
        <f>AND('BBP complete'!R316,"AAAAAGl355o=")</f>
        <v>#VALUE!</v>
      </c>
      <c r="EZ121" t="e">
        <f>AND('BBP complete'!S316,"AAAAAGl355s=")</f>
        <v>#VALUE!</v>
      </c>
      <c r="FA121" t="e">
        <f>AND('BBP complete'!Q317,"AAAAAGl355w=")</f>
        <v>#VALUE!</v>
      </c>
      <c r="FB121" t="e">
        <f>AND('BBP complete'!R317,"AAAAAGl3550=")</f>
        <v>#VALUE!</v>
      </c>
      <c r="FC121" t="e">
        <f>AND('BBP complete'!S317,"AAAAAGl3554=")</f>
        <v>#VALUE!</v>
      </c>
      <c r="FD121" t="e">
        <f>AND('BBP complete'!Q320,"AAAAAGl3558=")</f>
        <v>#VALUE!</v>
      </c>
      <c r="FE121" t="e">
        <f>AND('BBP complete'!R320,"AAAAAGl356A=")</f>
        <v>#VALUE!</v>
      </c>
      <c r="FF121" t="e">
        <f>AND('BBP complete'!S320,"AAAAAGl356E=")</f>
        <v>#VALUE!</v>
      </c>
      <c r="FG121" t="e">
        <f>AND('BBP complete'!Q321,"AAAAAGl356I=")</f>
        <v>#VALUE!</v>
      </c>
      <c r="FH121" t="e">
        <f>AND('BBP complete'!R321,"AAAAAGl356M=")</f>
        <v>#VALUE!</v>
      </c>
      <c r="FI121" t="e">
        <f>AND('BBP complete'!S321,"AAAAAGl356Q=")</f>
        <v>#VALUE!</v>
      </c>
      <c r="FJ121" t="e">
        <f>AND('BBP complete'!Q322,"AAAAAGl356U=")</f>
        <v>#VALUE!</v>
      </c>
      <c r="FK121" t="e">
        <f>AND('BBP complete'!R322,"AAAAAGl356Y=")</f>
        <v>#VALUE!</v>
      </c>
      <c r="FL121" t="e">
        <f>AND('BBP complete'!S322,"AAAAAGl356c=")</f>
        <v>#VALUE!</v>
      </c>
      <c r="FM121" t="e">
        <f>AND('BBP complete'!Q323,"AAAAAGl356g=")</f>
        <v>#VALUE!</v>
      </c>
      <c r="FN121" t="e">
        <f>AND('BBP complete'!R323,"AAAAAGl356k=")</f>
        <v>#VALUE!</v>
      </c>
      <c r="FO121" t="e">
        <f>AND('BBP complete'!S323,"AAAAAGl356o=")</f>
        <v>#VALUE!</v>
      </c>
      <c r="FP121" t="e">
        <f>AND('BBP complete'!Q324,"AAAAAGl356s=")</f>
        <v>#VALUE!</v>
      </c>
      <c r="FQ121" t="e">
        <f>AND('BBP complete'!R324,"AAAAAGl356w=")</f>
        <v>#VALUE!</v>
      </c>
      <c r="FR121" t="e">
        <f>AND('BBP complete'!S324,"AAAAAGl3560=")</f>
        <v>#VALUE!</v>
      </c>
      <c r="FS121" t="e">
        <f>AND('BBP complete'!Q325,"AAAAAGl3564=")</f>
        <v>#VALUE!</v>
      </c>
      <c r="FT121" t="e">
        <f>AND('BBP complete'!R325,"AAAAAGl3568=")</f>
        <v>#VALUE!</v>
      </c>
      <c r="FU121" t="e">
        <f>AND('BBP complete'!S325,"AAAAAGl357A=")</f>
        <v>#VALUE!</v>
      </c>
      <c r="FV121" t="e">
        <f>AND('BBP complete'!Q326,"AAAAAGl357E=")</f>
        <v>#VALUE!</v>
      </c>
      <c r="FW121" t="e">
        <f>AND('BBP complete'!R326,"AAAAAGl357I=")</f>
        <v>#VALUE!</v>
      </c>
      <c r="FX121" t="e">
        <f>AND('BBP complete'!S326,"AAAAAGl357M=")</f>
        <v>#VALUE!</v>
      </c>
      <c r="FY121" t="e">
        <f>AND('BBP complete'!Q327,"AAAAAGl357Q=")</f>
        <v>#VALUE!</v>
      </c>
      <c r="FZ121" t="e">
        <f>AND('BBP complete'!R327,"AAAAAGl357U=")</f>
        <v>#VALUE!</v>
      </c>
      <c r="GA121" t="e">
        <f>AND('BBP complete'!S327,"AAAAAGl357Y=")</f>
        <v>#VALUE!</v>
      </c>
      <c r="GB121" t="e">
        <f>AND('BBP complete'!Q329,"AAAAAGl357c=")</f>
        <v>#VALUE!</v>
      </c>
      <c r="GC121" t="e">
        <f>AND('BBP complete'!R329,"AAAAAGl357g=")</f>
        <v>#VALUE!</v>
      </c>
      <c r="GD121" t="e">
        <f>AND('BBP complete'!S329,"AAAAAGl357k=")</f>
        <v>#VALUE!</v>
      </c>
      <c r="GE121" t="e">
        <f>AND('BBP complete'!Q330,"AAAAAGl357o=")</f>
        <v>#VALUE!</v>
      </c>
      <c r="GF121" t="e">
        <f>AND('BBP complete'!R330,"AAAAAGl357s=")</f>
        <v>#VALUE!</v>
      </c>
      <c r="GG121" t="e">
        <f>AND('BBP complete'!S330,"AAAAAGl357w=")</f>
        <v>#VALUE!</v>
      </c>
      <c r="GH121" t="e">
        <f>AND('BBP complete'!Q331,"AAAAAGl3570=")</f>
        <v>#VALUE!</v>
      </c>
      <c r="GI121" t="e">
        <f>AND('BBP complete'!R331,"AAAAAGl3574=")</f>
        <v>#VALUE!</v>
      </c>
      <c r="GJ121" t="e">
        <f>AND('BBP complete'!S331,"AAAAAGl3578=")</f>
        <v>#VALUE!</v>
      </c>
      <c r="GK121" t="e">
        <f>AND('BBP complete'!Q332,"AAAAAGl358A=")</f>
        <v>#VALUE!</v>
      </c>
      <c r="GL121" t="e">
        <f>AND('BBP complete'!R332,"AAAAAGl358E=")</f>
        <v>#VALUE!</v>
      </c>
      <c r="GM121" t="e">
        <f>AND('BBP complete'!S332,"AAAAAGl358I=")</f>
        <v>#VALUE!</v>
      </c>
      <c r="GN121" t="e">
        <f>AND('BBP complete'!Q333,"AAAAAGl358M=")</f>
        <v>#VALUE!</v>
      </c>
      <c r="GO121" t="e">
        <f>AND('BBP complete'!R333,"AAAAAGl358Q=")</f>
        <v>#VALUE!</v>
      </c>
      <c r="GP121" t="e">
        <f>AND('BBP complete'!S333,"AAAAAGl358U=")</f>
        <v>#VALUE!</v>
      </c>
      <c r="GQ121" t="e">
        <f>AND('BBP complete'!Q334,"AAAAAGl358Y=")</f>
        <v>#VALUE!</v>
      </c>
      <c r="GR121" t="e">
        <f>AND('BBP complete'!R334,"AAAAAGl358c=")</f>
        <v>#VALUE!</v>
      </c>
      <c r="GS121" t="e">
        <f>AND('BBP complete'!S334,"AAAAAGl358g=")</f>
        <v>#VALUE!</v>
      </c>
      <c r="GT121" t="e">
        <f>AND('BBP complete'!Q335,"AAAAAGl358k=")</f>
        <v>#VALUE!</v>
      </c>
      <c r="GU121" t="e">
        <f>AND('BBP complete'!R335,"AAAAAGl358o=")</f>
        <v>#VALUE!</v>
      </c>
      <c r="GV121" t="e">
        <f>AND('BBP complete'!S335,"AAAAAGl358s=")</f>
        <v>#VALUE!</v>
      </c>
      <c r="GW121" t="e">
        <f>AND('BBP complete'!Q336,"AAAAAGl358w=")</f>
        <v>#VALUE!</v>
      </c>
      <c r="GX121" t="e">
        <f>AND('BBP complete'!R336,"AAAAAGl3580=")</f>
        <v>#VALUE!</v>
      </c>
      <c r="GY121" t="e">
        <f>AND('BBP complete'!S336,"AAAAAGl3584=")</f>
        <v>#VALUE!</v>
      </c>
      <c r="GZ121" t="e">
        <f>AND('BBP complete'!Q337,"AAAAAGl3588=")</f>
        <v>#VALUE!</v>
      </c>
      <c r="HA121" t="e">
        <f>AND('BBP complete'!R337,"AAAAAGl359A=")</f>
        <v>#VALUE!</v>
      </c>
      <c r="HB121" t="e">
        <f>AND('BBP complete'!S337,"AAAAAGl359E=")</f>
        <v>#VALUE!</v>
      </c>
      <c r="HC121" t="e">
        <f>AND('BBP complete'!Q338,"AAAAAGl359I=")</f>
        <v>#VALUE!</v>
      </c>
      <c r="HD121" t="e">
        <f>AND('BBP complete'!R338,"AAAAAGl359M=")</f>
        <v>#VALUE!</v>
      </c>
      <c r="HE121" t="e">
        <f>AND('BBP complete'!S338,"AAAAAGl359Q=")</f>
        <v>#VALUE!</v>
      </c>
      <c r="HF121" t="e">
        <f>AND('BBP complete'!Q339,"AAAAAGl359U=")</f>
        <v>#VALUE!</v>
      </c>
      <c r="HG121" t="e">
        <f>AND('BBP complete'!R339,"AAAAAGl359Y=")</f>
        <v>#VALUE!</v>
      </c>
      <c r="HH121" t="e">
        <f>AND('BBP complete'!S339,"AAAAAGl359c=")</f>
        <v>#VALUE!</v>
      </c>
      <c r="HI121" t="e">
        <f>AND('BBP complete'!Q340,"AAAAAGl359g=")</f>
        <v>#VALUE!</v>
      </c>
      <c r="HJ121" t="e">
        <f>AND('BBP complete'!R340,"AAAAAGl359k=")</f>
        <v>#VALUE!</v>
      </c>
      <c r="HK121" t="e">
        <f>AND('BBP complete'!S340,"AAAAAGl359o=")</f>
        <v>#VALUE!</v>
      </c>
      <c r="HL121" t="e">
        <f>AND('BBP complete'!Q341,"AAAAAGl359s=")</f>
        <v>#VALUE!</v>
      </c>
      <c r="HM121" t="e">
        <f>AND('BBP complete'!R341,"AAAAAGl359w=")</f>
        <v>#VALUE!</v>
      </c>
      <c r="HN121" t="e">
        <f>AND('BBP complete'!S341,"AAAAAGl3590=")</f>
        <v>#VALUE!</v>
      </c>
      <c r="HO121" t="e">
        <f>AND('BBP complete'!Q342,"AAAAAGl3594=")</f>
        <v>#VALUE!</v>
      </c>
      <c r="HP121" t="e">
        <f>AND('BBP complete'!R342,"AAAAAGl3598=")</f>
        <v>#VALUE!</v>
      </c>
      <c r="HQ121" t="e">
        <f>AND('BBP complete'!S342,"AAAAAGl35+A=")</f>
        <v>#VALUE!</v>
      </c>
      <c r="HR121" t="e">
        <f>AND('BBP complete'!Q343,"AAAAAGl35+E=")</f>
        <v>#VALUE!</v>
      </c>
      <c r="HS121" t="e">
        <f>AND('BBP complete'!R343,"AAAAAGl35+I=")</f>
        <v>#VALUE!</v>
      </c>
      <c r="HT121" t="e">
        <f>AND('BBP complete'!S343,"AAAAAGl35+M=")</f>
        <v>#VALUE!</v>
      </c>
      <c r="HU121" t="e">
        <f>AND('BBP complete'!Q344,"AAAAAGl35+Q=")</f>
        <v>#VALUE!</v>
      </c>
      <c r="HV121" t="e">
        <f>AND('BBP complete'!R344,"AAAAAGl35+U=")</f>
        <v>#VALUE!</v>
      </c>
      <c r="HW121" t="e">
        <f>AND('BBP complete'!S344,"AAAAAGl35+Y=")</f>
        <v>#VALUE!</v>
      </c>
      <c r="HX121" t="e">
        <f>AND('BBP complete'!Q345,"AAAAAGl35+c=")</f>
        <v>#VALUE!</v>
      </c>
      <c r="HY121" t="e">
        <f>AND('BBP complete'!R345,"AAAAAGl35+g=")</f>
        <v>#VALUE!</v>
      </c>
      <c r="HZ121" t="e">
        <f>AND('BBP complete'!S345,"AAAAAGl35+k=")</f>
        <v>#VALUE!</v>
      </c>
      <c r="IA121" t="e">
        <f>AND('BBP complete'!Q346,"AAAAAGl35+o=")</f>
        <v>#VALUE!</v>
      </c>
      <c r="IB121" t="e">
        <f>AND('BBP complete'!R346,"AAAAAGl35+s=")</f>
        <v>#VALUE!</v>
      </c>
      <c r="IC121" t="e">
        <f>AND('BBP complete'!S346,"AAAAAGl35+w=")</f>
        <v>#VALUE!</v>
      </c>
      <c r="ID121" t="e">
        <f>AND('BBP complete'!Q347,"AAAAAGl35+0=")</f>
        <v>#VALUE!</v>
      </c>
      <c r="IE121" t="e">
        <f>AND('BBP complete'!R347,"AAAAAGl35+4=")</f>
        <v>#VALUE!</v>
      </c>
      <c r="IF121" t="e">
        <f>AND('BBP complete'!S347,"AAAAAGl35+8=")</f>
        <v>#VALUE!</v>
      </c>
      <c r="IG121" t="e">
        <f>AND('BBP complete'!Q348,"AAAAAGl35/A=")</f>
        <v>#VALUE!</v>
      </c>
      <c r="IH121" t="e">
        <f>AND('BBP complete'!R348,"AAAAAGl35/E=")</f>
        <v>#VALUE!</v>
      </c>
      <c r="II121" t="e">
        <f>AND('BBP complete'!S348,"AAAAAGl35/I=")</f>
        <v>#VALUE!</v>
      </c>
      <c r="IJ121" t="e">
        <f>AND('BBP complete'!Q349,"AAAAAGl35/M=")</f>
        <v>#VALUE!</v>
      </c>
      <c r="IK121" t="e">
        <f>AND('BBP complete'!R349,"AAAAAGl35/Q=")</f>
        <v>#VALUE!</v>
      </c>
      <c r="IL121" t="e">
        <f>AND('BBP complete'!S349,"AAAAAGl35/U=")</f>
        <v>#VALUE!</v>
      </c>
      <c r="IM121" t="e">
        <f>AND('BBP complete'!Q350,"AAAAAGl35/Y=")</f>
        <v>#VALUE!</v>
      </c>
      <c r="IN121" t="e">
        <f>AND('BBP complete'!R350,"AAAAAGl35/c=")</f>
        <v>#VALUE!</v>
      </c>
      <c r="IO121" t="e">
        <f>AND('BBP complete'!S350,"AAAAAGl35/g=")</f>
        <v>#VALUE!</v>
      </c>
      <c r="IP121" t="e">
        <f>AND('BBP complete'!Q351,"AAAAAGl35/k=")</f>
        <v>#VALUE!</v>
      </c>
      <c r="IQ121" t="e">
        <f>AND('BBP complete'!R351,"AAAAAGl35/o=")</f>
        <v>#VALUE!</v>
      </c>
      <c r="IR121" t="e">
        <f>AND('BBP complete'!S351,"AAAAAGl35/s=")</f>
        <v>#VALUE!</v>
      </c>
      <c r="IS121" t="e">
        <f>AND('BBP complete'!Q352,"AAAAAGl35/w=")</f>
        <v>#VALUE!</v>
      </c>
      <c r="IT121" t="e">
        <f>AND('BBP complete'!R352,"AAAAAGl35/0=")</f>
        <v>#VALUE!</v>
      </c>
      <c r="IU121" t="e">
        <f>AND('BBP complete'!S352,"AAAAAGl35/4=")</f>
        <v>#VALUE!</v>
      </c>
      <c r="IV121" t="e">
        <f>AND('BBP complete'!Q353,"AAAAAGl35/8=")</f>
        <v>#VALUE!</v>
      </c>
    </row>
    <row r="122" spans="1:256" ht="15" customHeight="1" x14ac:dyDescent="0.25">
      <c r="A122" t="e">
        <f>AND('BBP complete'!R353,"AAAAAFf+vAA=")</f>
        <v>#VALUE!</v>
      </c>
      <c r="B122" t="e">
        <f>AND('BBP complete'!S353,"AAAAAFf+vAE=")</f>
        <v>#VALUE!</v>
      </c>
      <c r="C122" t="e">
        <f>AND('BBP complete'!Q354,"AAAAAFf+vAI=")</f>
        <v>#VALUE!</v>
      </c>
      <c r="D122" t="e">
        <f>AND('BBP complete'!R354,"AAAAAFf+vAM=")</f>
        <v>#VALUE!</v>
      </c>
      <c r="E122" t="e">
        <f>AND('BBP complete'!S354,"AAAAAFf+vAQ=")</f>
        <v>#VALUE!</v>
      </c>
      <c r="F122" t="e">
        <f>AND('BBP complete'!Q355,"AAAAAFf+vAU=")</f>
        <v>#VALUE!</v>
      </c>
      <c r="G122" t="e">
        <f>AND('BBP complete'!R355,"AAAAAFf+vAY=")</f>
        <v>#VALUE!</v>
      </c>
      <c r="H122" t="e">
        <f>AND('BBP complete'!S355,"AAAAAFf+vAc=")</f>
        <v>#VALUE!</v>
      </c>
      <c r="I122" t="e">
        <f>AND('BBP complete'!Q356,"AAAAAFf+vAg=")</f>
        <v>#VALUE!</v>
      </c>
      <c r="J122" t="e">
        <f>AND('BBP complete'!R356,"AAAAAFf+vAk=")</f>
        <v>#VALUE!</v>
      </c>
      <c r="K122" t="e">
        <f>AND('BBP complete'!S356,"AAAAAFf+vAo=")</f>
        <v>#VALUE!</v>
      </c>
      <c r="L122" t="e">
        <f>AND('BBP complete'!Q358,"AAAAAFf+vAs=")</f>
        <v>#VALUE!</v>
      </c>
      <c r="M122" t="e">
        <f>AND('BBP complete'!R358,"AAAAAFf+vAw=")</f>
        <v>#VALUE!</v>
      </c>
      <c r="N122" t="e">
        <f>AND('BBP complete'!S358,"AAAAAFf+vA0=")</f>
        <v>#VALUE!</v>
      </c>
      <c r="O122" t="e">
        <f>AND('BBP complete'!Q359,"AAAAAFf+vA4=")</f>
        <v>#VALUE!</v>
      </c>
      <c r="P122" t="e">
        <f>AND('BBP complete'!R359,"AAAAAFf+vA8=")</f>
        <v>#VALUE!</v>
      </c>
      <c r="Q122" t="e">
        <f>AND('BBP complete'!S359,"AAAAAFf+vBA=")</f>
        <v>#VALUE!</v>
      </c>
      <c r="R122" t="e">
        <f>AND('BBP complete'!Q361,"AAAAAFf+vBE=")</f>
        <v>#VALUE!</v>
      </c>
      <c r="S122" t="e">
        <f>AND('BBP complete'!R361,"AAAAAFf+vBI=")</f>
        <v>#VALUE!</v>
      </c>
      <c r="T122" t="e">
        <f>AND('BBP complete'!S361,"AAAAAFf+vBM=")</f>
        <v>#VALUE!</v>
      </c>
      <c r="U122" t="e">
        <f>AND('BBP complete'!Q362,"AAAAAFf+vBQ=")</f>
        <v>#VALUE!</v>
      </c>
      <c r="V122" t="e">
        <f>AND('BBP complete'!R362,"AAAAAFf+vBU=")</f>
        <v>#VALUE!</v>
      </c>
      <c r="W122" t="e">
        <f>AND('BBP complete'!S362,"AAAAAFf+vBY=")</f>
        <v>#VALUE!</v>
      </c>
      <c r="X122" t="e">
        <f>AND('BBP complete'!Q363,"AAAAAFf+vBc=")</f>
        <v>#VALUE!</v>
      </c>
      <c r="Y122" t="e">
        <f>AND('BBP complete'!R363,"AAAAAFf+vBg=")</f>
        <v>#VALUE!</v>
      </c>
      <c r="Z122" t="e">
        <f>AND('BBP complete'!S363,"AAAAAFf+vBk=")</f>
        <v>#VALUE!</v>
      </c>
      <c r="AA122" t="e">
        <f>AND('BBP complete'!Q364,"AAAAAFf+vBo=")</f>
        <v>#VALUE!</v>
      </c>
      <c r="AB122" t="e">
        <f>AND('BBP complete'!R364,"AAAAAFf+vBs=")</f>
        <v>#VALUE!</v>
      </c>
      <c r="AC122" t="e">
        <f>AND('BBP complete'!S364,"AAAAAFf+vBw=")</f>
        <v>#VALUE!</v>
      </c>
      <c r="AD122" t="e">
        <f>AND('BBP complete'!Q365,"AAAAAFf+vB0=")</f>
        <v>#VALUE!</v>
      </c>
      <c r="AE122" t="e">
        <f>AND('BBP complete'!R365,"AAAAAFf+vB4=")</f>
        <v>#VALUE!</v>
      </c>
      <c r="AF122" t="e">
        <f>AND('BBP complete'!S365,"AAAAAFf+vB8=")</f>
        <v>#VALUE!</v>
      </c>
      <c r="AG122" t="e">
        <f>AND('BBP complete'!Q366,"AAAAAFf+vCA=")</f>
        <v>#VALUE!</v>
      </c>
      <c r="AH122" t="e">
        <f>AND('BBP complete'!R366,"AAAAAFf+vCE=")</f>
        <v>#VALUE!</v>
      </c>
      <c r="AI122" t="e">
        <f>AND('BBP complete'!S366,"AAAAAFf+vCI=")</f>
        <v>#VALUE!</v>
      </c>
      <c r="AJ122" t="e">
        <f>AND('BBP complete'!Q368,"AAAAAFf+vCM=")</f>
        <v>#VALUE!</v>
      </c>
      <c r="AK122" t="e">
        <f>AND('BBP complete'!R368,"AAAAAFf+vCQ=")</f>
        <v>#VALUE!</v>
      </c>
      <c r="AL122" t="e">
        <f>AND('BBP complete'!S368,"AAAAAFf+vCU=")</f>
        <v>#VALUE!</v>
      </c>
      <c r="AM122" t="e">
        <f>AND('BBP complete'!Q369,"AAAAAFf+vCY=")</f>
        <v>#VALUE!</v>
      </c>
      <c r="AN122" t="e">
        <f>AND('BBP complete'!R369,"AAAAAFf+vCc=")</f>
        <v>#VALUE!</v>
      </c>
      <c r="AO122" t="e">
        <f>AND('BBP complete'!S369,"AAAAAFf+vCg=")</f>
        <v>#VALUE!</v>
      </c>
      <c r="AP122" t="e">
        <f>AND('BBP complete'!Q370,"AAAAAFf+vCk=")</f>
        <v>#VALUE!</v>
      </c>
      <c r="AQ122" t="e">
        <f>AND('BBP complete'!R370,"AAAAAFf+vCo=")</f>
        <v>#VALUE!</v>
      </c>
      <c r="AR122" t="e">
        <f>AND('BBP complete'!S370,"AAAAAFf+vCs=")</f>
        <v>#VALUE!</v>
      </c>
      <c r="AS122" t="e">
        <f>AND('BBP complete'!Q371,"AAAAAFf+vCw=")</f>
        <v>#VALUE!</v>
      </c>
      <c r="AT122" t="e">
        <f>AND('BBP complete'!R371,"AAAAAFf+vC0=")</f>
        <v>#VALUE!</v>
      </c>
      <c r="AU122" t="e">
        <f>AND('BBP complete'!S371,"AAAAAFf+vC4=")</f>
        <v>#VALUE!</v>
      </c>
      <c r="AV122" t="e">
        <f>AND('BBP complete'!Q372,"AAAAAFf+vC8=")</f>
        <v>#VALUE!</v>
      </c>
      <c r="AW122" t="e">
        <f>AND('BBP complete'!R372,"AAAAAFf+vDA=")</f>
        <v>#VALUE!</v>
      </c>
      <c r="AX122" t="e">
        <f>AND('BBP complete'!S372,"AAAAAFf+vDE=")</f>
        <v>#VALUE!</v>
      </c>
      <c r="AY122" t="e">
        <f>AND('BBP complete'!Q373,"AAAAAFf+vDI=")</f>
        <v>#VALUE!</v>
      </c>
      <c r="AZ122" t="e">
        <f>AND('BBP complete'!R373,"AAAAAFf+vDM=")</f>
        <v>#VALUE!</v>
      </c>
      <c r="BA122" t="e">
        <f>AND('BBP complete'!S373,"AAAAAFf+vDQ=")</f>
        <v>#VALUE!</v>
      </c>
      <c r="BB122" t="e">
        <f>AND('BBP complete'!Q374,"AAAAAFf+vDU=")</f>
        <v>#VALUE!</v>
      </c>
      <c r="BC122" t="e">
        <f>AND('BBP complete'!R374,"AAAAAFf+vDY=")</f>
        <v>#VALUE!</v>
      </c>
      <c r="BD122" t="e">
        <f>AND('BBP complete'!S374,"AAAAAFf+vDc=")</f>
        <v>#VALUE!</v>
      </c>
      <c r="BE122" t="e">
        <f>AND('BBP complete'!Q375,"AAAAAFf+vDg=")</f>
        <v>#VALUE!</v>
      </c>
      <c r="BF122" t="e">
        <f>AND('BBP complete'!R375,"AAAAAFf+vDk=")</f>
        <v>#VALUE!</v>
      </c>
      <c r="BG122" t="e">
        <f>AND('BBP complete'!S375,"AAAAAFf+vDo=")</f>
        <v>#VALUE!</v>
      </c>
      <c r="BH122" t="e">
        <f>AND('BBP complete'!Q376,"AAAAAFf+vDs=")</f>
        <v>#VALUE!</v>
      </c>
      <c r="BI122" t="e">
        <f>AND('BBP complete'!R376,"AAAAAFf+vDw=")</f>
        <v>#VALUE!</v>
      </c>
      <c r="BJ122" t="e">
        <f>AND('BBP complete'!S376,"AAAAAFf+vD0=")</f>
        <v>#VALUE!</v>
      </c>
      <c r="BK122" t="e">
        <f>AND('BBP complete'!Q377,"AAAAAFf+vD4=")</f>
        <v>#VALUE!</v>
      </c>
      <c r="BL122" t="e">
        <f>AND('BBP complete'!R377,"AAAAAFf+vD8=")</f>
        <v>#VALUE!</v>
      </c>
      <c r="BM122" t="e">
        <f>AND('BBP complete'!S377,"AAAAAFf+vEA=")</f>
        <v>#VALUE!</v>
      </c>
      <c r="BN122" t="e">
        <f>AND('BBP complete'!Q378,"AAAAAFf+vEE=")</f>
        <v>#VALUE!</v>
      </c>
      <c r="BO122" t="e">
        <f>AND('BBP complete'!R378,"AAAAAFf+vEI=")</f>
        <v>#VALUE!</v>
      </c>
      <c r="BP122" t="e">
        <f>AND('BBP complete'!S378,"AAAAAFf+vEM=")</f>
        <v>#VALUE!</v>
      </c>
      <c r="BQ122" t="e">
        <f>AND('BBP complete'!Q379,"AAAAAFf+vEQ=")</f>
        <v>#VALUE!</v>
      </c>
      <c r="BR122" t="e">
        <f>AND('BBP complete'!R379,"AAAAAFf+vEU=")</f>
        <v>#VALUE!</v>
      </c>
      <c r="BS122" t="e">
        <f>AND('BBP complete'!S379,"AAAAAFf+vEY=")</f>
        <v>#VALUE!</v>
      </c>
      <c r="BT122" t="e">
        <f>AND('BBP complete'!Q380,"AAAAAFf+vEc=")</f>
        <v>#VALUE!</v>
      </c>
      <c r="BU122" t="e">
        <f>AND('BBP complete'!R380,"AAAAAFf+vEg=")</f>
        <v>#VALUE!</v>
      </c>
      <c r="BV122" t="e">
        <f>AND('BBP complete'!S380,"AAAAAFf+vEk=")</f>
        <v>#VALUE!</v>
      </c>
      <c r="BW122" t="e">
        <f>AND('BBP complete'!Q381,"AAAAAFf+vEo=")</f>
        <v>#VALUE!</v>
      </c>
      <c r="BX122" t="e">
        <f>AND('BBP complete'!R381,"AAAAAFf+vEs=")</f>
        <v>#VALUE!</v>
      </c>
      <c r="BY122" t="e">
        <f>AND('BBP complete'!S381,"AAAAAFf+vEw=")</f>
        <v>#VALUE!</v>
      </c>
      <c r="BZ122" t="e">
        <f>AND('BBP complete'!Q382,"AAAAAFf+vE0=")</f>
        <v>#VALUE!</v>
      </c>
      <c r="CA122" t="e">
        <f>AND('BBP complete'!R382,"AAAAAFf+vE4=")</f>
        <v>#VALUE!</v>
      </c>
      <c r="CB122" t="e">
        <f>AND('BBP complete'!S382,"AAAAAFf+vE8=")</f>
        <v>#VALUE!</v>
      </c>
      <c r="CC122" t="e">
        <f>AND('BBP complete'!Q383,"AAAAAFf+vFA=")</f>
        <v>#VALUE!</v>
      </c>
      <c r="CD122" t="e">
        <f>AND('BBP complete'!R383,"AAAAAFf+vFE=")</f>
        <v>#VALUE!</v>
      </c>
      <c r="CE122" t="e">
        <f>AND('BBP complete'!S383,"AAAAAFf+vFI=")</f>
        <v>#VALUE!</v>
      </c>
      <c r="CF122" t="e">
        <f>AND('BBP complete'!Q384,"AAAAAFf+vFM=")</f>
        <v>#VALUE!</v>
      </c>
      <c r="CG122" t="e">
        <f>AND('BBP complete'!R384,"AAAAAFf+vFQ=")</f>
        <v>#VALUE!</v>
      </c>
      <c r="CH122" t="e">
        <f>AND('BBP complete'!S384,"AAAAAFf+vFU=")</f>
        <v>#VALUE!</v>
      </c>
      <c r="CI122" t="e">
        <f>AND('BBP complete'!Q385,"AAAAAFf+vFY=")</f>
        <v>#VALUE!</v>
      </c>
      <c r="CJ122" t="e">
        <f>AND('BBP complete'!R385,"AAAAAFf+vFc=")</f>
        <v>#VALUE!</v>
      </c>
      <c r="CK122" t="e">
        <f>AND('BBP complete'!S385,"AAAAAFf+vFg=")</f>
        <v>#VALUE!</v>
      </c>
      <c r="CL122" t="e">
        <f>AND('BBP complete'!Q386,"AAAAAFf+vFk=")</f>
        <v>#VALUE!</v>
      </c>
      <c r="CM122" t="e">
        <f>AND('BBP complete'!R386,"AAAAAFf+vFo=")</f>
        <v>#VALUE!</v>
      </c>
      <c r="CN122" t="e">
        <f>AND('BBP complete'!S386,"AAAAAFf+vFs=")</f>
        <v>#VALUE!</v>
      </c>
      <c r="CO122" t="e">
        <f>AND('BBP complete'!Q387,"AAAAAFf+vFw=")</f>
        <v>#VALUE!</v>
      </c>
      <c r="CP122" t="e">
        <f>AND('BBP complete'!R387,"AAAAAFf+vF0=")</f>
        <v>#VALUE!</v>
      </c>
      <c r="CQ122" t="e">
        <f>AND('BBP complete'!S387,"AAAAAFf+vF4=")</f>
        <v>#VALUE!</v>
      </c>
      <c r="CR122" t="e">
        <f>AND('BBP complete'!Q388,"AAAAAFf+vF8=")</f>
        <v>#VALUE!</v>
      </c>
      <c r="CS122" t="e">
        <f>AND('BBP complete'!R388,"AAAAAFf+vGA=")</f>
        <v>#VALUE!</v>
      </c>
      <c r="CT122" t="e">
        <f>AND('BBP complete'!S388,"AAAAAFf+vGE=")</f>
        <v>#VALUE!</v>
      </c>
      <c r="CU122" t="e">
        <f>AND('BBP complete'!Q389,"AAAAAFf+vGI=")</f>
        <v>#VALUE!</v>
      </c>
      <c r="CV122" t="e">
        <f>AND('BBP complete'!R389,"AAAAAFf+vGM=")</f>
        <v>#VALUE!</v>
      </c>
      <c r="CW122" t="e">
        <f>AND('BBP complete'!S389,"AAAAAFf+vGQ=")</f>
        <v>#VALUE!</v>
      </c>
      <c r="CX122" t="e">
        <f>AND('BBP complete'!Q390,"AAAAAFf+vGU=")</f>
        <v>#VALUE!</v>
      </c>
      <c r="CY122" t="e">
        <f>AND('BBP complete'!R390,"AAAAAFf+vGY=")</f>
        <v>#VALUE!</v>
      </c>
      <c r="CZ122" t="e">
        <f>AND('BBP complete'!S390,"AAAAAFf+vGc=")</f>
        <v>#VALUE!</v>
      </c>
      <c r="DA122" t="e">
        <f>AND('BBP complete'!Q391,"AAAAAFf+vGg=")</f>
        <v>#VALUE!</v>
      </c>
      <c r="DB122" t="e">
        <f>AND('BBP complete'!R391,"AAAAAFf+vGk=")</f>
        <v>#VALUE!</v>
      </c>
      <c r="DC122" t="e">
        <f>AND('BBP complete'!S391,"AAAAAFf+vGo=")</f>
        <v>#VALUE!</v>
      </c>
      <c r="DD122" t="e">
        <f>AND('BBP complete'!Q392,"AAAAAFf+vGs=")</f>
        <v>#VALUE!</v>
      </c>
      <c r="DE122" t="e">
        <f>AND('BBP complete'!R392,"AAAAAFf+vGw=")</f>
        <v>#VALUE!</v>
      </c>
      <c r="DF122" t="e">
        <f>AND('BBP complete'!S392,"AAAAAFf+vG0=")</f>
        <v>#VALUE!</v>
      </c>
      <c r="DG122" t="e">
        <f>AND('BBP complete'!Q393,"AAAAAFf+vG4=")</f>
        <v>#VALUE!</v>
      </c>
      <c r="DH122" t="e">
        <f>AND('BBP complete'!R393,"AAAAAFf+vG8=")</f>
        <v>#VALUE!</v>
      </c>
      <c r="DI122" t="e">
        <f>AND('BBP complete'!S393,"AAAAAFf+vHA=")</f>
        <v>#VALUE!</v>
      </c>
      <c r="DJ122" t="e">
        <f>AND('BBP complete'!Q395,"AAAAAFf+vHE=")</f>
        <v>#VALUE!</v>
      </c>
      <c r="DK122" t="e">
        <f>AND('BBP complete'!R395,"AAAAAFf+vHI=")</f>
        <v>#VALUE!</v>
      </c>
      <c r="DL122" t="e">
        <f>AND('BBP complete'!S395,"AAAAAFf+vHM=")</f>
        <v>#VALUE!</v>
      </c>
      <c r="DM122" t="e">
        <f>AND('BBP complete'!Q396,"AAAAAFf+vHQ=")</f>
        <v>#VALUE!</v>
      </c>
      <c r="DN122" t="e">
        <f>AND('BBP complete'!R396,"AAAAAFf+vHU=")</f>
        <v>#VALUE!</v>
      </c>
      <c r="DO122" t="e">
        <f>AND('BBP complete'!S396,"AAAAAFf+vHY=")</f>
        <v>#VALUE!</v>
      </c>
      <c r="DP122" t="e">
        <f>AND('BBP complete'!Q397,"AAAAAFf+vHc=")</f>
        <v>#VALUE!</v>
      </c>
      <c r="DQ122" t="e">
        <f>AND('BBP complete'!R397,"AAAAAFf+vHg=")</f>
        <v>#VALUE!</v>
      </c>
      <c r="DR122" t="e">
        <f>AND('BBP complete'!S397,"AAAAAFf+vHk=")</f>
        <v>#VALUE!</v>
      </c>
      <c r="DS122" t="e">
        <f>AND('BBP complete'!Q398,"AAAAAFf+vHo=")</f>
        <v>#VALUE!</v>
      </c>
      <c r="DT122" t="e">
        <f>AND('BBP complete'!R398,"AAAAAFf+vHs=")</f>
        <v>#VALUE!</v>
      </c>
      <c r="DU122" t="e">
        <f>AND('BBP complete'!S398,"AAAAAFf+vHw=")</f>
        <v>#VALUE!</v>
      </c>
      <c r="DV122" t="e">
        <f>AND('BBP complete'!Q399,"AAAAAFf+vH0=")</f>
        <v>#VALUE!</v>
      </c>
      <c r="DW122" t="e">
        <f>AND('BBP complete'!R399,"AAAAAFf+vH4=")</f>
        <v>#VALUE!</v>
      </c>
      <c r="DX122" t="e">
        <f>AND('BBP complete'!S399,"AAAAAFf+vH8=")</f>
        <v>#VALUE!</v>
      </c>
      <c r="DY122" t="e">
        <f>AND('BBP complete'!Q400,"AAAAAFf+vIA=")</f>
        <v>#VALUE!</v>
      </c>
      <c r="DZ122" t="e">
        <f>AND('BBP complete'!R400,"AAAAAFf+vIE=")</f>
        <v>#VALUE!</v>
      </c>
      <c r="EA122" t="e">
        <f>AND('BBP complete'!S400,"AAAAAFf+vII=")</f>
        <v>#VALUE!</v>
      </c>
      <c r="EB122" t="e">
        <f>AND('BBP complete'!Q401,"AAAAAFf+vIM=")</f>
        <v>#VALUE!</v>
      </c>
      <c r="EC122" t="e">
        <f>AND('BBP complete'!R401,"AAAAAFf+vIQ=")</f>
        <v>#VALUE!</v>
      </c>
      <c r="ED122" t="e">
        <f>AND('BBP complete'!S401,"AAAAAFf+vIU=")</f>
        <v>#VALUE!</v>
      </c>
      <c r="EE122" t="e">
        <f>AND('BBP complete'!Q402,"AAAAAFf+vIY=")</f>
        <v>#VALUE!</v>
      </c>
      <c r="EF122" t="e">
        <f>AND('BBP complete'!R402,"AAAAAFf+vIc=")</f>
        <v>#VALUE!</v>
      </c>
      <c r="EG122" t="e">
        <f>AND('BBP complete'!S402,"AAAAAFf+vIg=")</f>
        <v>#VALUE!</v>
      </c>
      <c r="EH122" t="e">
        <f>AND('BBP complete'!Q403,"AAAAAFf+vIk=")</f>
        <v>#VALUE!</v>
      </c>
      <c r="EI122" t="e">
        <f>AND('BBP complete'!R403,"AAAAAFf+vIo=")</f>
        <v>#VALUE!</v>
      </c>
      <c r="EJ122" t="e">
        <f>AND('BBP complete'!S403,"AAAAAFf+vIs=")</f>
        <v>#VALUE!</v>
      </c>
      <c r="EK122" t="e">
        <f>AND('BBP complete'!Q404,"AAAAAFf+vIw=")</f>
        <v>#VALUE!</v>
      </c>
      <c r="EL122" t="e">
        <f>AND('BBP complete'!R404,"AAAAAFf+vI0=")</f>
        <v>#VALUE!</v>
      </c>
      <c r="EM122" t="e">
        <f>AND('BBP complete'!S404,"AAAAAFf+vI4=")</f>
        <v>#VALUE!</v>
      </c>
      <c r="EN122" t="e">
        <f>AND('BBP complete'!Q405,"AAAAAFf+vI8=")</f>
        <v>#VALUE!</v>
      </c>
      <c r="EO122" t="e">
        <f>AND('BBP complete'!R405,"AAAAAFf+vJA=")</f>
        <v>#VALUE!</v>
      </c>
      <c r="EP122" t="e">
        <f>AND('BBP complete'!S405,"AAAAAFf+vJE=")</f>
        <v>#VALUE!</v>
      </c>
      <c r="EQ122" t="e">
        <f>AND('BBP complete'!Q406,"AAAAAFf+vJI=")</f>
        <v>#VALUE!</v>
      </c>
      <c r="ER122" t="e">
        <f>AND('BBP complete'!R406,"AAAAAFf+vJM=")</f>
        <v>#VALUE!</v>
      </c>
      <c r="ES122" t="e">
        <f>AND('BBP complete'!S406,"AAAAAFf+vJQ=")</f>
        <v>#VALUE!</v>
      </c>
      <c r="ET122" t="e">
        <f>AND('BBP complete'!Q407,"AAAAAFf+vJU=")</f>
        <v>#VALUE!</v>
      </c>
      <c r="EU122" t="e">
        <f>AND('BBP complete'!R407,"AAAAAFf+vJY=")</f>
        <v>#VALUE!</v>
      </c>
      <c r="EV122" t="e">
        <f>AND('BBP complete'!S407,"AAAAAFf+vJc=")</f>
        <v>#VALUE!</v>
      </c>
      <c r="EW122" t="e">
        <f>AND('BBP complete'!Q408,"AAAAAFf+vJg=")</f>
        <v>#VALUE!</v>
      </c>
      <c r="EX122" t="e">
        <f>AND('BBP complete'!R408,"AAAAAFf+vJk=")</f>
        <v>#VALUE!</v>
      </c>
      <c r="EY122" t="e">
        <f>AND('BBP complete'!S408,"AAAAAFf+vJo=")</f>
        <v>#VALUE!</v>
      </c>
      <c r="EZ122" t="e">
        <f>AND('BBP complete'!Q409,"AAAAAFf+vJs=")</f>
        <v>#VALUE!</v>
      </c>
      <c r="FA122" t="e">
        <f>AND('BBP complete'!R409,"AAAAAFf+vJw=")</f>
        <v>#VALUE!</v>
      </c>
      <c r="FB122" t="e">
        <f>AND('BBP complete'!S409,"AAAAAFf+vJ0=")</f>
        <v>#VALUE!</v>
      </c>
      <c r="FC122" t="e">
        <f>AND('BBP complete'!Q410,"AAAAAFf+vJ4=")</f>
        <v>#VALUE!</v>
      </c>
      <c r="FD122" t="e">
        <f>AND('BBP complete'!R410,"AAAAAFf+vJ8=")</f>
        <v>#VALUE!</v>
      </c>
      <c r="FE122" t="e">
        <f>AND('BBP complete'!S410,"AAAAAFf+vKA=")</f>
        <v>#VALUE!</v>
      </c>
      <c r="FF122" t="e">
        <f>AND('BBP complete'!Q411,"AAAAAFf+vKE=")</f>
        <v>#VALUE!</v>
      </c>
      <c r="FG122" t="e">
        <f>AND('BBP complete'!R411,"AAAAAFf+vKI=")</f>
        <v>#VALUE!</v>
      </c>
      <c r="FH122" t="e">
        <f>AND('BBP complete'!S411,"AAAAAFf+vKM=")</f>
        <v>#VALUE!</v>
      </c>
      <c r="FI122" t="e">
        <f>AND('BBP complete'!Q412,"AAAAAFf+vKQ=")</f>
        <v>#VALUE!</v>
      </c>
      <c r="FJ122" t="e">
        <f>AND('BBP complete'!R412,"AAAAAFf+vKU=")</f>
        <v>#VALUE!</v>
      </c>
      <c r="FK122" t="e">
        <f>AND('BBP complete'!S412,"AAAAAFf+vKY=")</f>
        <v>#VALUE!</v>
      </c>
      <c r="FL122" t="e">
        <f>AND('BBP complete'!Q413,"AAAAAFf+vKc=")</f>
        <v>#VALUE!</v>
      </c>
      <c r="FM122" t="e">
        <f>AND('BBP complete'!R413,"AAAAAFf+vKg=")</f>
        <v>#VALUE!</v>
      </c>
      <c r="FN122" t="e">
        <f>AND('BBP complete'!S413,"AAAAAFf+vKk=")</f>
        <v>#VALUE!</v>
      </c>
      <c r="FO122" t="e">
        <f>AND('BBP complete'!Q414,"AAAAAFf+vKo=")</f>
        <v>#VALUE!</v>
      </c>
      <c r="FP122" t="e">
        <f>AND('BBP complete'!R414,"AAAAAFf+vKs=")</f>
        <v>#VALUE!</v>
      </c>
      <c r="FQ122" t="e">
        <f>AND('BBP complete'!S414,"AAAAAFf+vKw=")</f>
        <v>#VALUE!</v>
      </c>
      <c r="FR122" t="e">
        <f>AND('BBP complete'!Q415,"AAAAAFf+vK0=")</f>
        <v>#VALUE!</v>
      </c>
      <c r="FS122" t="e">
        <f>AND('BBP complete'!R415,"AAAAAFf+vK4=")</f>
        <v>#VALUE!</v>
      </c>
      <c r="FT122" t="e">
        <f>AND('BBP complete'!S415,"AAAAAFf+vK8=")</f>
        <v>#VALUE!</v>
      </c>
      <c r="FU122" t="e">
        <f>AND('BBP complete'!Q416,"AAAAAFf+vLA=")</f>
        <v>#VALUE!</v>
      </c>
      <c r="FV122" t="e">
        <f>AND('BBP complete'!R416,"AAAAAFf+vLE=")</f>
        <v>#VALUE!</v>
      </c>
      <c r="FW122" t="e">
        <f>AND('BBP complete'!S416,"AAAAAFf+vLI=")</f>
        <v>#VALUE!</v>
      </c>
      <c r="FX122" t="e">
        <f>AND('BBP complete'!Q417,"AAAAAFf+vLM=")</f>
        <v>#VALUE!</v>
      </c>
      <c r="FY122" t="e">
        <f>AND('BBP complete'!R417,"AAAAAFf+vLQ=")</f>
        <v>#VALUE!</v>
      </c>
      <c r="FZ122" t="e">
        <f>AND('BBP complete'!S417,"AAAAAFf+vLU=")</f>
        <v>#VALUE!</v>
      </c>
      <c r="GA122" t="e">
        <f>AND('BBP complete'!Q418,"AAAAAFf+vLY=")</f>
        <v>#VALUE!</v>
      </c>
      <c r="GB122" t="e">
        <f>AND('BBP complete'!R418,"AAAAAFf+vLc=")</f>
        <v>#VALUE!</v>
      </c>
      <c r="GC122" t="e">
        <f>AND('BBP complete'!S418,"AAAAAFf+vLg=")</f>
        <v>#VALUE!</v>
      </c>
      <c r="GD122" t="e">
        <f>AND('BBP complete'!Q419,"AAAAAFf+vLk=")</f>
        <v>#VALUE!</v>
      </c>
      <c r="GE122" t="e">
        <f>AND('BBP complete'!R419,"AAAAAFf+vLo=")</f>
        <v>#VALUE!</v>
      </c>
      <c r="GF122" t="e">
        <f>AND('BBP complete'!S419,"AAAAAFf+vLs=")</f>
        <v>#VALUE!</v>
      </c>
      <c r="GG122" t="e">
        <f>AND('BBP complete'!Q420,"AAAAAFf+vLw=")</f>
        <v>#VALUE!</v>
      </c>
      <c r="GH122" t="e">
        <f>AND('BBP complete'!R420,"AAAAAFf+vL0=")</f>
        <v>#VALUE!</v>
      </c>
      <c r="GI122" t="e">
        <f>AND('BBP complete'!S420,"AAAAAFf+vL4=")</f>
        <v>#VALUE!</v>
      </c>
      <c r="GJ122" t="e">
        <f>AND('BBP complete'!Q421,"AAAAAFf+vL8=")</f>
        <v>#VALUE!</v>
      </c>
      <c r="GK122" t="e">
        <f>AND('BBP complete'!R421,"AAAAAFf+vMA=")</f>
        <v>#VALUE!</v>
      </c>
      <c r="GL122" t="e">
        <f>AND('BBP complete'!S421,"AAAAAFf+vME=")</f>
        <v>#VALUE!</v>
      </c>
      <c r="GM122" t="e">
        <f>AND('BBP complete'!Q422,"AAAAAFf+vMI=")</f>
        <v>#VALUE!</v>
      </c>
      <c r="GN122" t="e">
        <f>AND('BBP complete'!R422,"AAAAAFf+vMM=")</f>
        <v>#VALUE!</v>
      </c>
      <c r="GO122" t="e">
        <f>AND('BBP complete'!S422,"AAAAAFf+vMQ=")</f>
        <v>#VALUE!</v>
      </c>
      <c r="GP122" t="e">
        <f>AND('BBP complete'!Q423,"AAAAAFf+vMU=")</f>
        <v>#VALUE!</v>
      </c>
      <c r="GQ122" t="e">
        <f>AND('BBP complete'!R423,"AAAAAFf+vMY=")</f>
        <v>#VALUE!</v>
      </c>
      <c r="GR122" t="e">
        <f>AND('BBP complete'!S423,"AAAAAFf+vMc=")</f>
        <v>#VALUE!</v>
      </c>
      <c r="GS122" t="e">
        <f>AND('BBP complete'!Q424,"AAAAAFf+vMg=")</f>
        <v>#VALUE!</v>
      </c>
      <c r="GT122" t="e">
        <f>AND('BBP complete'!R424,"AAAAAFf+vMk=")</f>
        <v>#VALUE!</v>
      </c>
      <c r="GU122" t="e">
        <f>AND('BBP complete'!S424,"AAAAAFf+vMo=")</f>
        <v>#VALUE!</v>
      </c>
      <c r="GV122" t="e">
        <f>AND('BBP complete'!Q425,"AAAAAFf+vMs=")</f>
        <v>#VALUE!</v>
      </c>
      <c r="GW122" t="e">
        <f>AND('BBP complete'!R425,"AAAAAFf+vMw=")</f>
        <v>#VALUE!</v>
      </c>
      <c r="GX122" t="e">
        <f>AND('BBP complete'!S425,"AAAAAFf+vM0=")</f>
        <v>#VALUE!</v>
      </c>
      <c r="GY122" t="e">
        <f>AND('BBP complete'!Q426,"AAAAAFf+vM4=")</f>
        <v>#VALUE!</v>
      </c>
      <c r="GZ122" t="e">
        <f>AND('BBP complete'!R426,"AAAAAFf+vM8=")</f>
        <v>#VALUE!</v>
      </c>
      <c r="HA122" t="e">
        <f>AND('BBP complete'!S426,"AAAAAFf+vNA=")</f>
        <v>#VALUE!</v>
      </c>
      <c r="HB122" t="e">
        <f>AND('BBP complete'!Q427,"AAAAAFf+vNE=")</f>
        <v>#VALUE!</v>
      </c>
      <c r="HC122" t="e">
        <f>AND('BBP complete'!R427,"AAAAAFf+vNI=")</f>
        <v>#VALUE!</v>
      </c>
      <c r="HD122" t="e">
        <f>AND('BBP complete'!S427,"AAAAAFf+vNM=")</f>
        <v>#VALUE!</v>
      </c>
      <c r="HE122" t="e">
        <f>AND('BBP complete'!Q428,"AAAAAFf+vNQ=")</f>
        <v>#VALUE!</v>
      </c>
      <c r="HF122" t="e">
        <f>AND('BBP complete'!R428,"AAAAAFf+vNU=")</f>
        <v>#VALUE!</v>
      </c>
      <c r="HG122" t="e">
        <f>AND('BBP complete'!S428,"AAAAAFf+vNY=")</f>
        <v>#VALUE!</v>
      </c>
      <c r="HH122" t="e">
        <f>AND('BBP complete'!Q429,"AAAAAFf+vNc=")</f>
        <v>#VALUE!</v>
      </c>
      <c r="HI122" t="e">
        <f>AND('BBP complete'!R429,"AAAAAFf+vNg=")</f>
        <v>#VALUE!</v>
      </c>
      <c r="HJ122" t="e">
        <f>AND('BBP complete'!S429,"AAAAAFf+vNk=")</f>
        <v>#VALUE!</v>
      </c>
      <c r="HK122" t="e">
        <f>AND('BBP complete'!Q430,"AAAAAFf+vNo=")</f>
        <v>#VALUE!</v>
      </c>
      <c r="HL122" t="e">
        <f>AND('BBP complete'!R430,"AAAAAFf+vNs=")</f>
        <v>#VALUE!</v>
      </c>
      <c r="HM122" t="e">
        <f>AND('BBP complete'!S430,"AAAAAFf+vNw=")</f>
        <v>#VALUE!</v>
      </c>
      <c r="HN122" t="e">
        <f>AND('BBP complete'!Q431,"AAAAAFf+vN0=")</f>
        <v>#VALUE!</v>
      </c>
      <c r="HO122" t="e">
        <f>AND('BBP complete'!R431,"AAAAAFf+vN4=")</f>
        <v>#VALUE!</v>
      </c>
      <c r="HP122" t="e">
        <f>AND('BBP complete'!S431,"AAAAAFf+vN8=")</f>
        <v>#VALUE!</v>
      </c>
      <c r="HQ122" t="e">
        <f>AND('BBP complete'!Q432,"AAAAAFf+vOA=")</f>
        <v>#VALUE!</v>
      </c>
      <c r="HR122" t="e">
        <f>AND('BBP complete'!R432,"AAAAAFf+vOE=")</f>
        <v>#VALUE!</v>
      </c>
      <c r="HS122" t="e">
        <f>AND('BBP complete'!S432,"AAAAAFf+vOI=")</f>
        <v>#VALUE!</v>
      </c>
      <c r="HT122" t="e">
        <f>AND('BBP complete'!Q433,"AAAAAFf+vOM=")</f>
        <v>#VALUE!</v>
      </c>
      <c r="HU122" t="e">
        <f>AND('BBP complete'!R433,"AAAAAFf+vOQ=")</f>
        <v>#VALUE!</v>
      </c>
      <c r="HV122" t="e">
        <f>AND('BBP complete'!S433,"AAAAAFf+vOU=")</f>
        <v>#VALUE!</v>
      </c>
      <c r="HW122" t="e">
        <f>AND('BBP complete'!Q434,"AAAAAFf+vOY=")</f>
        <v>#VALUE!</v>
      </c>
      <c r="HX122" t="e">
        <f>AND('BBP complete'!R434,"AAAAAFf+vOc=")</f>
        <v>#VALUE!</v>
      </c>
      <c r="HY122" t="e">
        <f>AND('BBP complete'!S434,"AAAAAFf+vOg=")</f>
        <v>#VALUE!</v>
      </c>
      <c r="HZ122" t="e">
        <f>AND('BBP complete'!Q435,"AAAAAFf+vOk=")</f>
        <v>#VALUE!</v>
      </c>
      <c r="IA122" t="e">
        <f>AND('BBP complete'!R435,"AAAAAFf+vOo=")</f>
        <v>#VALUE!</v>
      </c>
      <c r="IB122" t="e">
        <f>AND('BBP complete'!S435,"AAAAAFf+vOs=")</f>
        <v>#VALUE!</v>
      </c>
      <c r="IC122" t="e">
        <f>AND('BBP complete'!Q436,"AAAAAFf+vOw=")</f>
        <v>#VALUE!</v>
      </c>
      <c r="ID122" t="e">
        <f>AND('BBP complete'!R436,"AAAAAFf+vO0=")</f>
        <v>#VALUE!</v>
      </c>
      <c r="IE122" t="e">
        <f>AND('BBP complete'!S436,"AAAAAFf+vO4=")</f>
        <v>#VALUE!</v>
      </c>
      <c r="IF122" t="e">
        <f>AND('BBP complete'!Q437,"AAAAAFf+vO8=")</f>
        <v>#VALUE!</v>
      </c>
      <c r="IG122" t="e">
        <f>AND('BBP complete'!R437,"AAAAAFf+vPA=")</f>
        <v>#VALUE!</v>
      </c>
      <c r="IH122" t="e">
        <f>AND('BBP complete'!S437,"AAAAAFf+vPE=")</f>
        <v>#VALUE!</v>
      </c>
      <c r="II122" t="e">
        <f>AND('BBP complete'!Q438,"AAAAAFf+vPI=")</f>
        <v>#VALUE!</v>
      </c>
      <c r="IJ122" t="e">
        <f>AND('BBP complete'!R438,"AAAAAFf+vPM=")</f>
        <v>#VALUE!</v>
      </c>
      <c r="IK122" t="e">
        <f>AND('BBP complete'!S438,"AAAAAFf+vPQ=")</f>
        <v>#VALUE!</v>
      </c>
      <c r="IL122" t="e">
        <f>AND('BBP complete'!Q439,"AAAAAFf+vPU=")</f>
        <v>#VALUE!</v>
      </c>
      <c r="IM122" t="e">
        <f>AND('BBP complete'!R439,"AAAAAFf+vPY=")</f>
        <v>#VALUE!</v>
      </c>
      <c r="IN122" t="e">
        <f>AND('BBP complete'!S439,"AAAAAFf+vPc=")</f>
        <v>#VALUE!</v>
      </c>
      <c r="IO122" t="e">
        <f>AND('BBP complete'!Q440,"AAAAAFf+vPg=")</f>
        <v>#VALUE!</v>
      </c>
      <c r="IP122" t="e">
        <f>AND('BBP complete'!R440,"AAAAAFf+vPk=")</f>
        <v>#VALUE!</v>
      </c>
      <c r="IQ122" t="e">
        <f>AND('BBP complete'!S440,"AAAAAFf+vPo=")</f>
        <v>#VALUE!</v>
      </c>
      <c r="IR122" t="e">
        <f>AND('BBP complete'!Q441,"AAAAAFf+vPs=")</f>
        <v>#VALUE!</v>
      </c>
      <c r="IS122" t="e">
        <f>AND('BBP complete'!R441,"AAAAAFf+vPw=")</f>
        <v>#VALUE!</v>
      </c>
      <c r="IT122" t="e">
        <f>AND('BBP complete'!S441,"AAAAAFf+vP0=")</f>
        <v>#VALUE!</v>
      </c>
      <c r="IU122" t="e">
        <f>AND('BBP complete'!Q442,"AAAAAFf+vP4=")</f>
        <v>#VALUE!</v>
      </c>
      <c r="IV122" t="e">
        <f>AND('BBP complete'!R442,"AAAAAFf+vP8=")</f>
        <v>#VALUE!</v>
      </c>
    </row>
    <row r="123" spans="1:256" ht="15" customHeight="1" x14ac:dyDescent="0.25">
      <c r="A123" t="e">
        <f>AND('BBP complete'!S442,"AAAAAHW//wA=")</f>
        <v>#VALUE!</v>
      </c>
      <c r="B123" t="e">
        <f>AND('BBP complete'!Q443,"AAAAAHW//wE=")</f>
        <v>#VALUE!</v>
      </c>
      <c r="C123" t="e">
        <f>AND('BBP complete'!R443,"AAAAAHW//wI=")</f>
        <v>#VALUE!</v>
      </c>
      <c r="D123" t="e">
        <f>AND('BBP complete'!S443,"AAAAAHW//wM=")</f>
        <v>#VALUE!</v>
      </c>
      <c r="E123" t="e">
        <f>AND('BBP complete'!Q444,"AAAAAHW//wQ=")</f>
        <v>#VALUE!</v>
      </c>
      <c r="F123" t="e">
        <f>AND('BBP complete'!R444,"AAAAAHW//wU=")</f>
        <v>#VALUE!</v>
      </c>
      <c r="G123" t="e">
        <f>AND('BBP complete'!S444,"AAAAAHW//wY=")</f>
        <v>#VALUE!</v>
      </c>
      <c r="H123" t="e">
        <f>AND('BBP complete'!Q445,"AAAAAHW//wc=")</f>
        <v>#VALUE!</v>
      </c>
      <c r="I123" t="e">
        <f>AND('BBP complete'!R445,"AAAAAHW//wg=")</f>
        <v>#VALUE!</v>
      </c>
      <c r="J123" t="e">
        <f>AND('BBP complete'!S445,"AAAAAHW//wk=")</f>
        <v>#VALUE!</v>
      </c>
      <c r="K123" t="e">
        <f>AND('BBP complete'!Q446,"AAAAAHW//wo=")</f>
        <v>#VALUE!</v>
      </c>
      <c r="L123" t="e">
        <f>AND('BBP complete'!R446,"AAAAAHW//ws=")</f>
        <v>#VALUE!</v>
      </c>
      <c r="M123" t="e">
        <f>AND('BBP complete'!S446,"AAAAAHW//ww=")</f>
        <v>#VALUE!</v>
      </c>
      <c r="N123" t="e">
        <f>AND('BBP complete'!Q447,"AAAAAHW//w0=")</f>
        <v>#VALUE!</v>
      </c>
      <c r="O123" t="e">
        <f>AND('BBP complete'!R447,"AAAAAHW//w4=")</f>
        <v>#VALUE!</v>
      </c>
      <c r="P123" t="e">
        <f>AND('BBP complete'!S447,"AAAAAHW//w8=")</f>
        <v>#VALUE!</v>
      </c>
      <c r="Q123" t="e">
        <f>AND('BBP complete'!Q448,"AAAAAHW//xA=")</f>
        <v>#VALUE!</v>
      </c>
      <c r="R123" t="e">
        <f>AND('BBP complete'!R448,"AAAAAHW//xE=")</f>
        <v>#VALUE!</v>
      </c>
      <c r="S123" t="e">
        <f>AND('BBP complete'!S448,"AAAAAHW//xI=")</f>
        <v>#VALUE!</v>
      </c>
      <c r="T123" t="e">
        <f>AND('BBP complete'!Q449,"AAAAAHW//xM=")</f>
        <v>#VALUE!</v>
      </c>
      <c r="U123" t="e">
        <f>AND('BBP complete'!R449,"AAAAAHW//xQ=")</f>
        <v>#VALUE!</v>
      </c>
      <c r="V123" t="e">
        <f>AND('BBP complete'!S449,"AAAAAHW//xU=")</f>
        <v>#VALUE!</v>
      </c>
      <c r="W123" t="e">
        <f>AND('BBP complete'!Q450,"AAAAAHW//xY=")</f>
        <v>#VALUE!</v>
      </c>
      <c r="X123" t="e">
        <f>AND('BBP complete'!R450,"AAAAAHW//xc=")</f>
        <v>#VALUE!</v>
      </c>
      <c r="Y123" t="e">
        <f>AND('BBP complete'!S450,"AAAAAHW//xg=")</f>
        <v>#VALUE!</v>
      </c>
      <c r="Z123" t="e">
        <f>AND('BBP complete'!Q451,"AAAAAHW//xk=")</f>
        <v>#VALUE!</v>
      </c>
      <c r="AA123" t="e">
        <f>AND('BBP complete'!R451,"AAAAAHW//xo=")</f>
        <v>#VALUE!</v>
      </c>
      <c r="AB123" t="e">
        <f>AND('BBP complete'!S451,"AAAAAHW//xs=")</f>
        <v>#VALUE!</v>
      </c>
      <c r="AC123" t="e">
        <f>AND('BBP complete'!Q452,"AAAAAHW//xw=")</f>
        <v>#VALUE!</v>
      </c>
      <c r="AD123" t="e">
        <f>AND('BBP complete'!R452,"AAAAAHW//x0=")</f>
        <v>#VALUE!</v>
      </c>
      <c r="AE123" t="e">
        <f>AND('BBP complete'!S452,"AAAAAHW//x4=")</f>
        <v>#VALUE!</v>
      </c>
      <c r="AF123" t="e">
        <f>AND('BBP complete'!Q453,"AAAAAHW//x8=")</f>
        <v>#VALUE!</v>
      </c>
      <c r="AG123" t="e">
        <f>AND('BBP complete'!R453,"AAAAAHW//yA=")</f>
        <v>#VALUE!</v>
      </c>
      <c r="AH123" t="e">
        <f>AND('BBP complete'!S453,"AAAAAHW//yE=")</f>
        <v>#VALUE!</v>
      </c>
      <c r="AI123" t="e">
        <f>AND('BBP complete'!Q454,"AAAAAHW//yI=")</f>
        <v>#VALUE!</v>
      </c>
      <c r="AJ123" t="e">
        <f>AND('BBP complete'!R454,"AAAAAHW//yM=")</f>
        <v>#VALUE!</v>
      </c>
      <c r="AK123" t="e">
        <f>AND('BBP complete'!S454,"AAAAAHW//yQ=")</f>
        <v>#VALUE!</v>
      </c>
      <c r="AL123" t="e">
        <f>AND('BBP complete'!Q455,"AAAAAHW//yU=")</f>
        <v>#VALUE!</v>
      </c>
      <c r="AM123" t="e">
        <f>AND('BBP complete'!R455,"AAAAAHW//yY=")</f>
        <v>#VALUE!</v>
      </c>
      <c r="AN123" t="e">
        <f>AND('BBP complete'!S455,"AAAAAHW//yc=")</f>
        <v>#VALUE!</v>
      </c>
      <c r="AO123" t="e">
        <f>AND('BBP complete'!Q456,"AAAAAHW//yg=")</f>
        <v>#VALUE!</v>
      </c>
      <c r="AP123" t="e">
        <f>AND('BBP complete'!R456,"AAAAAHW//yk=")</f>
        <v>#VALUE!</v>
      </c>
      <c r="AQ123" t="e">
        <f>AND('BBP complete'!S456,"AAAAAHW//yo=")</f>
        <v>#VALUE!</v>
      </c>
      <c r="AR123" t="e">
        <f>AND('BBP complete'!Q457,"AAAAAHW//ys=")</f>
        <v>#VALUE!</v>
      </c>
      <c r="AS123" t="e">
        <f>AND('BBP complete'!R457,"AAAAAHW//yw=")</f>
        <v>#VALUE!</v>
      </c>
      <c r="AT123" t="e">
        <f>AND('BBP complete'!S457,"AAAAAHW//y0=")</f>
        <v>#VALUE!</v>
      </c>
      <c r="AU123" t="e">
        <f>AND('BBP complete'!Q458,"AAAAAHW//y4=")</f>
        <v>#VALUE!</v>
      </c>
      <c r="AV123" t="e">
        <f>AND('BBP complete'!R458,"AAAAAHW//y8=")</f>
        <v>#VALUE!</v>
      </c>
      <c r="AW123" t="e">
        <f>AND('BBP complete'!S458,"AAAAAHW//zA=")</f>
        <v>#VALUE!</v>
      </c>
      <c r="AX123" t="e">
        <f>AND('BBP complete'!Q459,"AAAAAHW//zE=")</f>
        <v>#VALUE!</v>
      </c>
      <c r="AY123" t="e">
        <f>AND('BBP complete'!R459,"AAAAAHW//zI=")</f>
        <v>#VALUE!</v>
      </c>
      <c r="AZ123" t="e">
        <f>AND('BBP complete'!S459,"AAAAAHW//zM=")</f>
        <v>#VALUE!</v>
      </c>
      <c r="BA123" t="e">
        <f>AND('BBP complete'!Q460,"AAAAAHW//zQ=")</f>
        <v>#VALUE!</v>
      </c>
      <c r="BB123" t="e">
        <f>AND('BBP complete'!R460,"AAAAAHW//zU=")</f>
        <v>#VALUE!</v>
      </c>
      <c r="BC123" t="e">
        <f>AND('BBP complete'!S460,"AAAAAHW//zY=")</f>
        <v>#VALUE!</v>
      </c>
      <c r="BD123" t="e">
        <f>AND('BBP complete'!Q461,"AAAAAHW//zc=")</f>
        <v>#VALUE!</v>
      </c>
      <c r="BE123" t="e">
        <f>AND('BBP complete'!R461,"AAAAAHW//zg=")</f>
        <v>#VALUE!</v>
      </c>
      <c r="BF123" t="e">
        <f>AND('BBP complete'!S461,"AAAAAHW//zk=")</f>
        <v>#VALUE!</v>
      </c>
      <c r="BG123" t="e">
        <f>AND('BBP complete'!Q462,"AAAAAHW//zo=")</f>
        <v>#VALUE!</v>
      </c>
      <c r="BH123" t="e">
        <f>AND('BBP complete'!R462,"AAAAAHW//zs=")</f>
        <v>#VALUE!</v>
      </c>
      <c r="BI123" t="e">
        <f>AND('BBP complete'!S462,"AAAAAHW//zw=")</f>
        <v>#VALUE!</v>
      </c>
      <c r="BJ123" t="e">
        <f>AND('BBP complete'!Q463,"AAAAAHW//z0=")</f>
        <v>#VALUE!</v>
      </c>
      <c r="BK123" t="e">
        <f>AND('BBP complete'!R463,"AAAAAHW//z4=")</f>
        <v>#VALUE!</v>
      </c>
      <c r="BL123" t="e">
        <f>AND('BBP complete'!S463,"AAAAAHW//z8=")</f>
        <v>#VALUE!</v>
      </c>
      <c r="BM123" t="e">
        <f>AND('BBP complete'!Q464,"AAAAAHW//0A=")</f>
        <v>#VALUE!</v>
      </c>
      <c r="BN123" t="e">
        <f>AND('BBP complete'!R464,"AAAAAHW//0E=")</f>
        <v>#VALUE!</v>
      </c>
      <c r="BO123" t="e">
        <f>AND('BBP complete'!S464,"AAAAAHW//0I=")</f>
        <v>#VALUE!</v>
      </c>
      <c r="BP123" t="e">
        <f>AND('BBP complete'!Q465,"AAAAAHW//0M=")</f>
        <v>#VALUE!</v>
      </c>
      <c r="BQ123" t="e">
        <f>AND('BBP complete'!R465,"AAAAAHW//0Q=")</f>
        <v>#VALUE!</v>
      </c>
      <c r="BR123" t="e">
        <f>AND('BBP complete'!S465,"AAAAAHW//0U=")</f>
        <v>#VALUE!</v>
      </c>
      <c r="BS123" t="e">
        <f>AND('BBP complete'!Q466,"AAAAAHW//0Y=")</f>
        <v>#VALUE!</v>
      </c>
      <c r="BT123" t="e">
        <f>AND('BBP complete'!R466,"AAAAAHW//0c=")</f>
        <v>#VALUE!</v>
      </c>
      <c r="BU123" t="e">
        <f>AND('BBP complete'!S466,"AAAAAHW//0g=")</f>
        <v>#VALUE!</v>
      </c>
      <c r="BV123" t="e">
        <f>AND('BBP complete'!Q467,"AAAAAHW//0k=")</f>
        <v>#VALUE!</v>
      </c>
      <c r="BW123" t="e">
        <f>AND('BBP complete'!R467,"AAAAAHW//0o=")</f>
        <v>#VALUE!</v>
      </c>
      <c r="BX123" t="e">
        <f>AND('BBP complete'!S467,"AAAAAHW//0s=")</f>
        <v>#VALUE!</v>
      </c>
      <c r="BY123" t="e">
        <f>AND('BBP complete'!Q468,"AAAAAHW//0w=")</f>
        <v>#VALUE!</v>
      </c>
      <c r="BZ123" t="e">
        <f>AND('BBP complete'!R468,"AAAAAHW//00=")</f>
        <v>#VALUE!</v>
      </c>
      <c r="CA123" t="e">
        <f>AND('BBP complete'!S468,"AAAAAHW//04=")</f>
        <v>#VALUE!</v>
      </c>
      <c r="CB123" t="e">
        <f>AND('BBP complete'!Q469,"AAAAAHW//08=")</f>
        <v>#VALUE!</v>
      </c>
      <c r="CC123" t="e">
        <f>AND('BBP complete'!R469,"AAAAAHW//1A=")</f>
        <v>#VALUE!</v>
      </c>
      <c r="CD123" t="e">
        <f>AND('BBP complete'!S469,"AAAAAHW//1E=")</f>
        <v>#VALUE!</v>
      </c>
      <c r="CE123" t="e">
        <f>AND('BBP complete'!Q470,"AAAAAHW//1I=")</f>
        <v>#VALUE!</v>
      </c>
      <c r="CF123" t="e">
        <f>AND('BBP complete'!R470,"AAAAAHW//1M=")</f>
        <v>#VALUE!</v>
      </c>
      <c r="CG123" t="e">
        <f>AND('BBP complete'!S470,"AAAAAHW//1Q=")</f>
        <v>#VALUE!</v>
      </c>
      <c r="CH123" t="e">
        <f>AND('BBP complete'!Q471,"AAAAAHW//1U=")</f>
        <v>#VALUE!</v>
      </c>
      <c r="CI123" t="e">
        <f>AND('BBP complete'!R471,"AAAAAHW//1Y=")</f>
        <v>#VALUE!</v>
      </c>
      <c r="CJ123" t="e">
        <f>AND('BBP complete'!S471,"AAAAAHW//1c=")</f>
        <v>#VALUE!</v>
      </c>
      <c r="CK123" t="e">
        <f>AND('BBP complete'!Q472,"AAAAAHW//1g=")</f>
        <v>#VALUE!</v>
      </c>
      <c r="CL123" t="e">
        <f>AND('BBP complete'!R472,"AAAAAHW//1k=")</f>
        <v>#VALUE!</v>
      </c>
      <c r="CM123" t="e">
        <f>AND('BBP complete'!S472,"AAAAAHW//1o=")</f>
        <v>#VALUE!</v>
      </c>
      <c r="CN123" t="e">
        <f>AND('BBP complete'!Q473,"AAAAAHW//1s=")</f>
        <v>#VALUE!</v>
      </c>
      <c r="CO123" t="e">
        <f>AND('BBP complete'!R473,"AAAAAHW//1w=")</f>
        <v>#VALUE!</v>
      </c>
      <c r="CP123" t="e">
        <f>AND('BBP complete'!S473,"AAAAAHW//10=")</f>
        <v>#VALUE!</v>
      </c>
      <c r="CQ123" t="e">
        <f>AND('BBP complete'!Q474,"AAAAAHW//14=")</f>
        <v>#VALUE!</v>
      </c>
      <c r="CR123" t="e">
        <f>AND('BBP complete'!R474,"AAAAAHW//18=")</f>
        <v>#VALUE!</v>
      </c>
      <c r="CS123" t="e">
        <f>AND('BBP complete'!S474,"AAAAAHW//2A=")</f>
        <v>#VALUE!</v>
      </c>
      <c r="CT123" t="e">
        <f>AND('BBP complete'!Q475,"AAAAAHW//2E=")</f>
        <v>#VALUE!</v>
      </c>
      <c r="CU123" t="e">
        <f>AND('BBP complete'!R475,"AAAAAHW//2I=")</f>
        <v>#VALUE!</v>
      </c>
      <c r="CV123" t="e">
        <f>AND('BBP complete'!S475,"AAAAAHW//2M=")</f>
        <v>#VALUE!</v>
      </c>
      <c r="CW123" t="e">
        <f>AND('BBP complete'!Q476,"AAAAAHW//2Q=")</f>
        <v>#VALUE!</v>
      </c>
      <c r="CX123" t="e">
        <f>AND('BBP complete'!R476,"AAAAAHW//2U=")</f>
        <v>#VALUE!</v>
      </c>
      <c r="CY123" t="e">
        <f>AND('BBP complete'!S476,"AAAAAHW//2Y=")</f>
        <v>#VALUE!</v>
      </c>
      <c r="CZ123" t="e">
        <f>AND('BBP complete'!Q478,"AAAAAHW//2c=")</f>
        <v>#VALUE!</v>
      </c>
      <c r="DA123" t="e">
        <f>AND('BBP complete'!R478,"AAAAAHW//2g=")</f>
        <v>#VALUE!</v>
      </c>
      <c r="DB123" t="e">
        <f>AND('BBP complete'!S478,"AAAAAHW//2k=")</f>
        <v>#VALUE!</v>
      </c>
      <c r="DC123" t="e">
        <f>AND('BBP complete'!Q479,"AAAAAHW//2o=")</f>
        <v>#VALUE!</v>
      </c>
      <c r="DD123" t="e">
        <f>AND('BBP complete'!R479,"AAAAAHW//2s=")</f>
        <v>#VALUE!</v>
      </c>
      <c r="DE123" t="e">
        <f>AND('BBP complete'!S479,"AAAAAHW//2w=")</f>
        <v>#VALUE!</v>
      </c>
      <c r="DF123" t="e">
        <f>AND('BBP complete'!Q480,"AAAAAHW//20=")</f>
        <v>#VALUE!</v>
      </c>
      <c r="DG123" t="e">
        <f>AND('BBP complete'!R480,"AAAAAHW//24=")</f>
        <v>#VALUE!</v>
      </c>
      <c r="DH123" t="e">
        <f>AND('BBP complete'!S480,"AAAAAHW//28=")</f>
        <v>#VALUE!</v>
      </c>
      <c r="DI123" t="e">
        <f>AND('BBP complete'!Q481,"AAAAAHW//3A=")</f>
        <v>#VALUE!</v>
      </c>
      <c r="DJ123" t="e">
        <f>AND('BBP complete'!R481,"AAAAAHW//3E=")</f>
        <v>#VALUE!</v>
      </c>
      <c r="DK123" t="e">
        <f>AND('BBP complete'!S481,"AAAAAHW//3I=")</f>
        <v>#VALUE!</v>
      </c>
      <c r="DL123" t="e">
        <f>AND('BBP complete'!Q482,"AAAAAHW//3M=")</f>
        <v>#VALUE!</v>
      </c>
      <c r="DM123" t="e">
        <f>AND('BBP complete'!R482,"AAAAAHW//3Q=")</f>
        <v>#VALUE!</v>
      </c>
      <c r="DN123" t="e">
        <f>AND('BBP complete'!S482,"AAAAAHW//3U=")</f>
        <v>#VALUE!</v>
      </c>
      <c r="DO123" t="e">
        <f>AND('BBP complete'!Q483,"AAAAAHW//3Y=")</f>
        <v>#VALUE!</v>
      </c>
      <c r="DP123" t="e">
        <f>AND('BBP complete'!R483,"AAAAAHW//3c=")</f>
        <v>#VALUE!</v>
      </c>
      <c r="DQ123" t="e">
        <f>AND('BBP complete'!S483,"AAAAAHW//3g=")</f>
        <v>#VALUE!</v>
      </c>
      <c r="DR123" t="e">
        <f>AND('BBP complete'!Q484,"AAAAAHW//3k=")</f>
        <v>#VALUE!</v>
      </c>
      <c r="DS123" t="e">
        <f>AND('BBP complete'!R484,"AAAAAHW//3o=")</f>
        <v>#VALUE!</v>
      </c>
      <c r="DT123" t="e">
        <f>AND('BBP complete'!S484,"AAAAAHW//3s=")</f>
        <v>#VALUE!</v>
      </c>
      <c r="DU123" t="e">
        <f>AND('BBP complete'!Q485,"AAAAAHW//3w=")</f>
        <v>#VALUE!</v>
      </c>
      <c r="DV123" t="e">
        <f>AND('BBP complete'!R485,"AAAAAHW//30=")</f>
        <v>#VALUE!</v>
      </c>
      <c r="DW123" t="e">
        <f>AND('BBP complete'!S485,"AAAAAHW//34=")</f>
        <v>#VALUE!</v>
      </c>
      <c r="DX123" t="e">
        <f>AND('BBP complete'!Q486,"AAAAAHW//38=")</f>
        <v>#VALUE!</v>
      </c>
      <c r="DY123" t="e">
        <f>AND('BBP complete'!R486,"AAAAAHW//4A=")</f>
        <v>#VALUE!</v>
      </c>
      <c r="DZ123" t="e">
        <f>AND('BBP complete'!S486,"AAAAAHW//4E=")</f>
        <v>#VALUE!</v>
      </c>
      <c r="EA123" t="e">
        <f>AND('BBP complete'!Q487,"AAAAAHW//4I=")</f>
        <v>#VALUE!</v>
      </c>
      <c r="EB123" t="e">
        <f>AND('BBP complete'!R487,"AAAAAHW//4M=")</f>
        <v>#VALUE!</v>
      </c>
      <c r="EC123" t="e">
        <f>AND('BBP complete'!S487,"AAAAAHW//4Q=")</f>
        <v>#VALUE!</v>
      </c>
      <c r="ED123" t="e">
        <f>AND('BBP complete'!Q488,"AAAAAHW//4U=")</f>
        <v>#VALUE!</v>
      </c>
      <c r="EE123" t="e">
        <f>AND('BBP complete'!R488,"AAAAAHW//4Y=")</f>
        <v>#VALUE!</v>
      </c>
      <c r="EF123" t="e">
        <f>AND('BBP complete'!S488,"AAAAAHW//4c=")</f>
        <v>#VALUE!</v>
      </c>
      <c r="EG123" t="e">
        <f>AND('BBP complete'!Q489,"AAAAAHW//4g=")</f>
        <v>#VALUE!</v>
      </c>
      <c r="EH123" t="e">
        <f>AND('BBP complete'!R489,"AAAAAHW//4k=")</f>
        <v>#VALUE!</v>
      </c>
      <c r="EI123" t="e">
        <f>AND('BBP complete'!S489,"AAAAAHW//4o=")</f>
        <v>#VALUE!</v>
      </c>
      <c r="EJ123" t="e">
        <f>AND('BBP complete'!Q490,"AAAAAHW//4s=")</f>
        <v>#VALUE!</v>
      </c>
      <c r="EK123" t="e">
        <f>AND('BBP complete'!R490,"AAAAAHW//4w=")</f>
        <v>#VALUE!</v>
      </c>
      <c r="EL123" t="e">
        <f>AND('BBP complete'!S490,"AAAAAHW//40=")</f>
        <v>#VALUE!</v>
      </c>
      <c r="EM123" t="e">
        <f>AND('BBP complete'!Q491,"AAAAAHW//44=")</f>
        <v>#VALUE!</v>
      </c>
      <c r="EN123" t="e">
        <f>AND('BBP complete'!R491,"AAAAAHW//48=")</f>
        <v>#VALUE!</v>
      </c>
      <c r="EO123" t="e">
        <f>AND('BBP complete'!S491,"AAAAAHW//5A=")</f>
        <v>#VALUE!</v>
      </c>
      <c r="EP123" t="e">
        <f>AND('BBP complete'!Q492,"AAAAAHW//5E=")</f>
        <v>#VALUE!</v>
      </c>
      <c r="EQ123" t="e">
        <f>AND('BBP complete'!R492,"AAAAAHW//5I=")</f>
        <v>#VALUE!</v>
      </c>
      <c r="ER123" t="e">
        <f>AND('BBP complete'!S492,"AAAAAHW//5M=")</f>
        <v>#VALUE!</v>
      </c>
      <c r="ES123" t="e">
        <f>AND('BBP complete'!Q493,"AAAAAHW//5Q=")</f>
        <v>#VALUE!</v>
      </c>
      <c r="ET123" t="e">
        <f>AND('BBP complete'!R493,"AAAAAHW//5U=")</f>
        <v>#VALUE!</v>
      </c>
      <c r="EU123" t="e">
        <f>AND('BBP complete'!S493,"AAAAAHW//5Y=")</f>
        <v>#VALUE!</v>
      </c>
      <c r="EV123" t="e">
        <f>AND('BBP complete'!Q494,"AAAAAHW//5c=")</f>
        <v>#VALUE!</v>
      </c>
      <c r="EW123" t="e">
        <f>AND('BBP complete'!R494,"AAAAAHW//5g=")</f>
        <v>#VALUE!</v>
      </c>
      <c r="EX123" t="e">
        <f>AND('BBP complete'!S494,"AAAAAHW//5k=")</f>
        <v>#VALUE!</v>
      </c>
      <c r="EY123" t="e">
        <f>AND('BBP complete'!Q495,"AAAAAHW//5o=")</f>
        <v>#VALUE!</v>
      </c>
      <c r="EZ123" t="e">
        <f>AND('BBP complete'!R495,"AAAAAHW//5s=")</f>
        <v>#VALUE!</v>
      </c>
      <c r="FA123" t="e">
        <f>AND('BBP complete'!S495,"AAAAAHW//5w=")</f>
        <v>#VALUE!</v>
      </c>
      <c r="FB123" t="e">
        <f>AND('BBP complete'!Q496,"AAAAAHW//50=")</f>
        <v>#VALUE!</v>
      </c>
      <c r="FC123" t="e">
        <f>AND('BBP complete'!R496,"AAAAAHW//54=")</f>
        <v>#VALUE!</v>
      </c>
      <c r="FD123" t="e">
        <f>AND('BBP complete'!S496,"AAAAAHW//58=")</f>
        <v>#VALUE!</v>
      </c>
      <c r="FE123" t="e">
        <f>AND('BBP complete'!Q497,"AAAAAHW//6A=")</f>
        <v>#VALUE!</v>
      </c>
      <c r="FF123" t="e">
        <f>AND('BBP complete'!R497,"AAAAAHW//6E=")</f>
        <v>#VALUE!</v>
      </c>
      <c r="FG123" t="e">
        <f>AND('BBP complete'!S497,"AAAAAHW//6I=")</f>
        <v>#VALUE!</v>
      </c>
      <c r="FH123" t="e">
        <f>AND('BBP complete'!Q498,"AAAAAHW//6M=")</f>
        <v>#VALUE!</v>
      </c>
      <c r="FI123" t="e">
        <f>AND('BBP complete'!R498,"AAAAAHW//6Q=")</f>
        <v>#VALUE!</v>
      </c>
      <c r="FJ123" t="e">
        <f>AND('BBP complete'!S498,"AAAAAHW//6U=")</f>
        <v>#VALUE!</v>
      </c>
      <c r="FK123" t="e">
        <f>AND('BBP complete'!Q499,"AAAAAHW//6Y=")</f>
        <v>#VALUE!</v>
      </c>
      <c r="FL123" t="e">
        <f>AND('BBP complete'!R499,"AAAAAHW//6c=")</f>
        <v>#VALUE!</v>
      </c>
      <c r="FM123" t="e">
        <f>AND('BBP complete'!S499,"AAAAAHW//6g=")</f>
        <v>#VALUE!</v>
      </c>
      <c r="FN123" t="e">
        <f>AND('BBP complete'!Q500,"AAAAAHW//6k=")</f>
        <v>#VALUE!</v>
      </c>
      <c r="FO123" t="e">
        <f>AND('BBP complete'!R500,"AAAAAHW//6o=")</f>
        <v>#VALUE!</v>
      </c>
      <c r="FP123" t="e">
        <f>AND('BBP complete'!S500,"AAAAAHW//6s=")</f>
        <v>#VALUE!</v>
      </c>
      <c r="FQ123" t="e">
        <f>AND('BBP complete'!Q501,"AAAAAHW//6w=")</f>
        <v>#VALUE!</v>
      </c>
      <c r="FR123" t="e">
        <f>AND('BBP complete'!R501,"AAAAAHW//60=")</f>
        <v>#VALUE!</v>
      </c>
      <c r="FS123" t="e">
        <f>AND('BBP complete'!S501,"AAAAAHW//64=")</f>
        <v>#VALUE!</v>
      </c>
      <c r="FT123" t="e">
        <f>AND('BBP complete'!Q502,"AAAAAHW//68=")</f>
        <v>#VALUE!</v>
      </c>
      <c r="FU123" t="e">
        <f>AND('BBP complete'!R502,"AAAAAHW//7A=")</f>
        <v>#VALUE!</v>
      </c>
      <c r="FV123" t="e">
        <f>AND('BBP complete'!S502,"AAAAAHW//7E=")</f>
        <v>#VALUE!</v>
      </c>
      <c r="FW123" t="e">
        <f>AND('BBP complete'!Q503,"AAAAAHW//7I=")</f>
        <v>#VALUE!</v>
      </c>
      <c r="FX123" t="e">
        <f>AND('BBP complete'!R503,"AAAAAHW//7M=")</f>
        <v>#VALUE!</v>
      </c>
      <c r="FY123" t="e">
        <f>AND('BBP complete'!S503,"AAAAAHW//7Q=")</f>
        <v>#VALUE!</v>
      </c>
      <c r="FZ123" t="e">
        <f>AND('BBP complete'!Q504,"AAAAAHW//7U=")</f>
        <v>#VALUE!</v>
      </c>
      <c r="GA123" t="e">
        <f>AND('BBP complete'!R504,"AAAAAHW//7Y=")</f>
        <v>#VALUE!</v>
      </c>
      <c r="GB123" t="e">
        <f>AND('BBP complete'!S504,"AAAAAHW//7c=")</f>
        <v>#VALUE!</v>
      </c>
      <c r="GC123" t="e">
        <f>AND('BBP complete'!Q505,"AAAAAHW//7g=")</f>
        <v>#VALUE!</v>
      </c>
      <c r="GD123" t="e">
        <f>AND('BBP complete'!R505,"AAAAAHW//7k=")</f>
        <v>#VALUE!</v>
      </c>
      <c r="GE123" t="e">
        <f>AND('BBP complete'!S505,"AAAAAHW//7o=")</f>
        <v>#VALUE!</v>
      </c>
      <c r="GF123" t="e">
        <f>AND('BBP complete'!Q506,"AAAAAHW//7s=")</f>
        <v>#VALUE!</v>
      </c>
      <c r="GG123" t="e">
        <f>AND('BBP complete'!R506,"AAAAAHW//7w=")</f>
        <v>#VALUE!</v>
      </c>
      <c r="GH123" t="e">
        <f>AND('BBP complete'!S506,"AAAAAHW//70=")</f>
        <v>#VALUE!</v>
      </c>
      <c r="GI123" t="e">
        <f>AND('BBP complete'!Q507,"AAAAAHW//74=")</f>
        <v>#VALUE!</v>
      </c>
      <c r="GJ123" t="e">
        <f>AND('BBP complete'!R507,"AAAAAHW//78=")</f>
        <v>#VALUE!</v>
      </c>
      <c r="GK123" t="e">
        <f>AND('BBP complete'!S507,"AAAAAHW//8A=")</f>
        <v>#VALUE!</v>
      </c>
      <c r="GL123" t="e">
        <f>AND('BBP complete'!Q508,"AAAAAHW//8E=")</f>
        <v>#VALUE!</v>
      </c>
      <c r="GM123" t="e">
        <f>AND('BBP complete'!R508,"AAAAAHW//8I=")</f>
        <v>#VALUE!</v>
      </c>
      <c r="GN123" t="e">
        <f>AND('BBP complete'!S508,"AAAAAHW//8M=")</f>
        <v>#VALUE!</v>
      </c>
      <c r="GO123" t="e">
        <f>AND('BBP complete'!Q509,"AAAAAHW//8Q=")</f>
        <v>#VALUE!</v>
      </c>
      <c r="GP123" t="e">
        <f>AND('BBP complete'!R509,"AAAAAHW//8U=")</f>
        <v>#VALUE!</v>
      </c>
      <c r="GQ123" t="e">
        <f>AND('BBP complete'!S509,"AAAAAHW//8Y=")</f>
        <v>#VALUE!</v>
      </c>
      <c r="GR123" t="e">
        <f>AND('BBP complete'!Q510,"AAAAAHW//8c=")</f>
        <v>#VALUE!</v>
      </c>
      <c r="GS123" t="e">
        <f>AND('BBP complete'!R510,"AAAAAHW//8g=")</f>
        <v>#VALUE!</v>
      </c>
      <c r="GT123" t="e">
        <f>AND('BBP complete'!S510,"AAAAAHW//8k=")</f>
        <v>#VALUE!</v>
      </c>
      <c r="GU123" t="e">
        <f>AND('BBP complete'!Q511,"AAAAAHW//8o=")</f>
        <v>#VALUE!</v>
      </c>
      <c r="GV123" t="e">
        <f>AND('BBP complete'!R511,"AAAAAHW//8s=")</f>
        <v>#VALUE!</v>
      </c>
      <c r="GW123" t="e">
        <f>AND('BBP complete'!S511,"AAAAAHW//8w=")</f>
        <v>#VALUE!</v>
      </c>
      <c r="GX123" t="e">
        <f>AND('BBP complete'!Q512,"AAAAAHW//80=")</f>
        <v>#VALUE!</v>
      </c>
      <c r="GY123" t="e">
        <f>AND('BBP complete'!R512,"AAAAAHW//84=")</f>
        <v>#VALUE!</v>
      </c>
      <c r="GZ123" t="e">
        <f>AND('BBP complete'!S512,"AAAAAHW//88=")</f>
        <v>#VALUE!</v>
      </c>
      <c r="HA123" t="e">
        <f>AND('BBP complete'!Q513,"AAAAAHW//9A=")</f>
        <v>#VALUE!</v>
      </c>
      <c r="HB123" t="e">
        <f>AND('BBP complete'!R513,"AAAAAHW//9E=")</f>
        <v>#VALUE!</v>
      </c>
      <c r="HC123" t="e">
        <f>AND('BBP complete'!S513,"AAAAAHW//9I=")</f>
        <v>#VALUE!</v>
      </c>
      <c r="HD123" t="e">
        <f>AND('BBP complete'!Q514,"AAAAAHW//9M=")</f>
        <v>#VALUE!</v>
      </c>
      <c r="HE123" t="e">
        <f>AND('BBP complete'!R514,"AAAAAHW//9Q=")</f>
        <v>#VALUE!</v>
      </c>
      <c r="HF123" t="e">
        <f>AND('BBP complete'!S514,"AAAAAHW//9U=")</f>
        <v>#VALUE!</v>
      </c>
      <c r="HG123" t="e">
        <f>AND('BBP complete'!Q515,"AAAAAHW//9Y=")</f>
        <v>#VALUE!</v>
      </c>
      <c r="HH123" t="e">
        <f>AND('BBP complete'!R515,"AAAAAHW//9c=")</f>
        <v>#VALUE!</v>
      </c>
      <c r="HI123" t="e">
        <f>AND('BBP complete'!S515,"AAAAAHW//9g=")</f>
        <v>#VALUE!</v>
      </c>
      <c r="HJ123" t="e">
        <f>AND('BBP complete'!Q516,"AAAAAHW//9k=")</f>
        <v>#VALUE!</v>
      </c>
      <c r="HK123" t="e">
        <f>AND('BBP complete'!R516,"AAAAAHW//9o=")</f>
        <v>#VALUE!</v>
      </c>
      <c r="HL123" t="e">
        <f>AND('BBP complete'!S516,"AAAAAHW//9s=")</f>
        <v>#VALUE!</v>
      </c>
      <c r="HM123" t="e">
        <f>AND('BBP complete'!Q517,"AAAAAHW//9w=")</f>
        <v>#VALUE!</v>
      </c>
      <c r="HN123" t="e">
        <f>AND('BBP complete'!R517,"AAAAAHW//90=")</f>
        <v>#VALUE!</v>
      </c>
      <c r="HO123" t="e">
        <f>AND('BBP complete'!S517,"AAAAAHW//94=")</f>
        <v>#VALUE!</v>
      </c>
      <c r="HP123" t="e">
        <f>AND('BBP complete'!Q518,"AAAAAHW//98=")</f>
        <v>#VALUE!</v>
      </c>
      <c r="HQ123" t="e">
        <f>AND('BBP complete'!R518,"AAAAAHW//+A=")</f>
        <v>#VALUE!</v>
      </c>
      <c r="HR123" t="e">
        <f>AND('BBP complete'!S518,"AAAAAHW//+E=")</f>
        <v>#VALUE!</v>
      </c>
      <c r="HS123" t="e">
        <f>AND('BBP complete'!Q519,"AAAAAHW//+I=")</f>
        <v>#VALUE!</v>
      </c>
      <c r="HT123" t="e">
        <f>AND('BBP complete'!R519,"AAAAAHW//+M=")</f>
        <v>#VALUE!</v>
      </c>
      <c r="HU123" t="e">
        <f>AND('BBP complete'!S519,"AAAAAHW//+Q=")</f>
        <v>#VALUE!</v>
      </c>
      <c r="HV123" t="e">
        <f>AND('BBP complete'!Q520,"AAAAAHW//+U=")</f>
        <v>#VALUE!</v>
      </c>
      <c r="HW123" t="e">
        <f>AND('BBP complete'!R520,"AAAAAHW//+Y=")</f>
        <v>#VALUE!</v>
      </c>
      <c r="HX123" t="e">
        <f>AND('BBP complete'!S520,"AAAAAHW//+c=")</f>
        <v>#VALUE!</v>
      </c>
      <c r="HY123" t="e">
        <f>AND('BBP complete'!Q521,"AAAAAHW//+g=")</f>
        <v>#VALUE!</v>
      </c>
      <c r="HZ123" t="e">
        <f>AND('BBP complete'!R521,"AAAAAHW//+k=")</f>
        <v>#VALUE!</v>
      </c>
      <c r="IA123" t="e">
        <f>AND('BBP complete'!S521,"AAAAAHW//+o=")</f>
        <v>#VALUE!</v>
      </c>
      <c r="IB123" t="e">
        <f>AND('BBP complete'!Q522,"AAAAAHW//+s=")</f>
        <v>#VALUE!</v>
      </c>
      <c r="IC123" t="e">
        <f>AND('BBP complete'!R522,"AAAAAHW//+w=")</f>
        <v>#VALUE!</v>
      </c>
      <c r="ID123" t="e">
        <f>AND('BBP complete'!S522,"AAAAAHW//+0=")</f>
        <v>#VALUE!</v>
      </c>
      <c r="IE123" t="e">
        <f>AND('BBP complete'!Q523,"AAAAAHW//+4=")</f>
        <v>#VALUE!</v>
      </c>
      <c r="IF123" t="e">
        <f>AND('BBP complete'!R523,"AAAAAHW//+8=")</f>
        <v>#VALUE!</v>
      </c>
      <c r="IG123" t="e">
        <f>AND('BBP complete'!S523,"AAAAAHW///A=")</f>
        <v>#VALUE!</v>
      </c>
      <c r="IH123" t="e">
        <f>AND('BBP complete'!Q524,"AAAAAHW///E=")</f>
        <v>#VALUE!</v>
      </c>
      <c r="II123" t="e">
        <f>AND('BBP complete'!R524,"AAAAAHW///I=")</f>
        <v>#VALUE!</v>
      </c>
      <c r="IJ123" t="e">
        <f>AND('BBP complete'!S524,"AAAAAHW///M=")</f>
        <v>#VALUE!</v>
      </c>
      <c r="IK123" t="e">
        <f>AND('BBP complete'!Q525,"AAAAAHW///Q=")</f>
        <v>#VALUE!</v>
      </c>
      <c r="IL123" t="e">
        <f>AND('BBP complete'!R525,"AAAAAHW///U=")</f>
        <v>#VALUE!</v>
      </c>
      <c r="IM123" t="e">
        <f>AND('BBP complete'!S525,"AAAAAHW///Y=")</f>
        <v>#VALUE!</v>
      </c>
      <c r="IN123" t="e">
        <f>AND('BBP complete'!Q526,"AAAAAHW///c=")</f>
        <v>#VALUE!</v>
      </c>
      <c r="IO123" t="e">
        <f>AND('BBP complete'!R526,"AAAAAHW///g=")</f>
        <v>#VALUE!</v>
      </c>
      <c r="IP123" t="e">
        <f>AND('BBP complete'!S526,"AAAAAHW///k=")</f>
        <v>#VALUE!</v>
      </c>
      <c r="IQ123" t="e">
        <f>AND('BBP complete'!Q527,"AAAAAHW///o=")</f>
        <v>#VALUE!</v>
      </c>
      <c r="IR123" t="e">
        <f>AND('BBP complete'!R527,"AAAAAHW///s=")</f>
        <v>#VALUE!</v>
      </c>
      <c r="IS123" t="e">
        <f>AND('BBP complete'!S527,"AAAAAHW///w=")</f>
        <v>#VALUE!</v>
      </c>
      <c r="IT123" t="e">
        <f>AND('BBP complete'!Q528,"AAAAAHW///0=")</f>
        <v>#VALUE!</v>
      </c>
      <c r="IU123" t="e">
        <f>AND('BBP complete'!R528,"AAAAAHW///4=")</f>
        <v>#VALUE!</v>
      </c>
      <c r="IV123" t="e">
        <f>AND('BBP complete'!S528,"AAAAAHW///8=")</f>
        <v>#VALUE!</v>
      </c>
    </row>
    <row r="124" spans="1:256" ht="15" customHeight="1" x14ac:dyDescent="0.25">
      <c r="A124" t="e">
        <f>AND('BBP complete'!Q529,"AAAAAE/5rAA=")</f>
        <v>#VALUE!</v>
      </c>
      <c r="B124" t="e">
        <f>AND('BBP complete'!R529,"AAAAAE/5rAE=")</f>
        <v>#VALUE!</v>
      </c>
      <c r="C124" t="e">
        <f>AND('BBP complete'!S529,"AAAAAE/5rAI=")</f>
        <v>#VALUE!</v>
      </c>
      <c r="D124" t="e">
        <f>AND('BBP complete'!Q530,"AAAAAE/5rAM=")</f>
        <v>#VALUE!</v>
      </c>
      <c r="E124" t="e">
        <f>AND('BBP complete'!R530,"AAAAAE/5rAQ=")</f>
        <v>#VALUE!</v>
      </c>
      <c r="F124" t="e">
        <f>AND('BBP complete'!S530,"AAAAAE/5rAU=")</f>
        <v>#VALUE!</v>
      </c>
      <c r="G124" t="e">
        <f>AND('BBP complete'!Q531,"AAAAAE/5rAY=")</f>
        <v>#VALUE!</v>
      </c>
      <c r="H124" t="e">
        <f>AND('BBP complete'!R531,"AAAAAE/5rAc=")</f>
        <v>#VALUE!</v>
      </c>
      <c r="I124" t="e">
        <f>AND('BBP complete'!S531,"AAAAAE/5rAg=")</f>
        <v>#VALUE!</v>
      </c>
      <c r="J124" t="e">
        <f>AND('BBP complete'!Q532,"AAAAAE/5rAk=")</f>
        <v>#VALUE!</v>
      </c>
      <c r="K124" t="e">
        <f>AND('BBP complete'!R532,"AAAAAE/5rAo=")</f>
        <v>#VALUE!</v>
      </c>
      <c r="L124" t="e">
        <f>AND('BBP complete'!S532,"AAAAAE/5rAs=")</f>
        <v>#VALUE!</v>
      </c>
      <c r="M124" t="e">
        <f>AND('BBP complete'!Q533,"AAAAAE/5rAw=")</f>
        <v>#VALUE!</v>
      </c>
      <c r="N124" t="e">
        <f>AND('BBP complete'!R533,"AAAAAE/5rA0=")</f>
        <v>#VALUE!</v>
      </c>
      <c r="O124" t="e">
        <f>AND('BBP complete'!S533,"AAAAAE/5rA4=")</f>
        <v>#VALUE!</v>
      </c>
      <c r="P124" t="e">
        <f>AND('BBP complete'!Q534,"AAAAAE/5rA8=")</f>
        <v>#VALUE!</v>
      </c>
      <c r="Q124" t="e">
        <f>AND('BBP complete'!R534,"AAAAAE/5rBA=")</f>
        <v>#VALUE!</v>
      </c>
      <c r="R124" t="e">
        <f>AND('BBP complete'!S534,"AAAAAE/5rBE=")</f>
        <v>#VALUE!</v>
      </c>
      <c r="S124" t="e">
        <f>AND('BBP complete'!Q535,"AAAAAE/5rBI=")</f>
        <v>#VALUE!</v>
      </c>
      <c r="T124" t="e">
        <f>AND('BBP complete'!R535,"AAAAAE/5rBM=")</f>
        <v>#VALUE!</v>
      </c>
      <c r="U124" t="e">
        <f>AND('BBP complete'!S535,"AAAAAE/5rBQ=")</f>
        <v>#VALUE!</v>
      </c>
      <c r="V124" t="e">
        <f>AND('BBP complete'!Q536,"AAAAAE/5rBU=")</f>
        <v>#VALUE!</v>
      </c>
      <c r="W124" t="e">
        <f>AND('BBP complete'!R536,"AAAAAE/5rBY=")</f>
        <v>#VALUE!</v>
      </c>
      <c r="X124" t="e">
        <f>AND('BBP complete'!S536,"AAAAAE/5rBc=")</f>
        <v>#VALUE!</v>
      </c>
      <c r="Y124" t="e">
        <f>AND('BBP complete'!Q537,"AAAAAE/5rBg=")</f>
        <v>#VALUE!</v>
      </c>
      <c r="Z124" t="e">
        <f>AND('BBP complete'!R537,"AAAAAE/5rBk=")</f>
        <v>#VALUE!</v>
      </c>
      <c r="AA124" t="e">
        <f>AND('BBP complete'!S537,"AAAAAE/5rBo=")</f>
        <v>#VALUE!</v>
      </c>
      <c r="AB124" t="e">
        <f>AND('BBP complete'!Q538,"AAAAAE/5rBs=")</f>
        <v>#VALUE!</v>
      </c>
      <c r="AC124" t="e">
        <f>AND('BBP complete'!R538,"AAAAAE/5rBw=")</f>
        <v>#VALUE!</v>
      </c>
      <c r="AD124" t="e">
        <f>AND('BBP complete'!S538,"AAAAAE/5rB0=")</f>
        <v>#VALUE!</v>
      </c>
      <c r="AE124" t="e">
        <f>AND('BBP complete'!Q539,"AAAAAE/5rB4=")</f>
        <v>#VALUE!</v>
      </c>
      <c r="AF124" t="e">
        <f>AND('BBP complete'!R539,"AAAAAE/5rB8=")</f>
        <v>#VALUE!</v>
      </c>
      <c r="AG124" t="e">
        <f>AND('BBP complete'!S539,"AAAAAE/5rCA=")</f>
        <v>#VALUE!</v>
      </c>
      <c r="AH124" t="e">
        <f>AND('BBP complete'!Q540,"AAAAAE/5rCE=")</f>
        <v>#VALUE!</v>
      </c>
      <c r="AI124" t="e">
        <f>AND('BBP complete'!R540,"AAAAAE/5rCI=")</f>
        <v>#VALUE!</v>
      </c>
      <c r="AJ124" t="e">
        <f>AND('BBP complete'!S540,"AAAAAE/5rCM=")</f>
        <v>#VALUE!</v>
      </c>
      <c r="AK124" t="e">
        <f>AND('BBP complete'!Q541,"AAAAAE/5rCQ=")</f>
        <v>#VALUE!</v>
      </c>
      <c r="AL124" t="e">
        <f>AND('BBP complete'!R541,"AAAAAE/5rCU=")</f>
        <v>#VALUE!</v>
      </c>
      <c r="AM124" t="e">
        <f>AND('BBP complete'!S541,"AAAAAE/5rCY=")</f>
        <v>#VALUE!</v>
      </c>
      <c r="AN124" t="e">
        <f>AND('BBP complete'!Q542,"AAAAAE/5rCc=")</f>
        <v>#VALUE!</v>
      </c>
      <c r="AO124" t="e">
        <f>AND('BBP complete'!R542,"AAAAAE/5rCg=")</f>
        <v>#VALUE!</v>
      </c>
      <c r="AP124" t="e">
        <f>AND('BBP complete'!S542,"AAAAAE/5rCk=")</f>
        <v>#VALUE!</v>
      </c>
      <c r="AQ124" t="e">
        <f>AND('BBP complete'!Q543,"AAAAAE/5rCo=")</f>
        <v>#VALUE!</v>
      </c>
      <c r="AR124" t="e">
        <f>AND('BBP complete'!R543,"AAAAAE/5rCs=")</f>
        <v>#VALUE!</v>
      </c>
      <c r="AS124" t="e">
        <f>AND('BBP complete'!S543,"AAAAAE/5rCw=")</f>
        <v>#VALUE!</v>
      </c>
      <c r="AT124" t="e">
        <f>AND('BBP complete'!Q544,"AAAAAE/5rC0=")</f>
        <v>#VALUE!</v>
      </c>
      <c r="AU124" t="e">
        <f>AND('BBP complete'!R544,"AAAAAE/5rC4=")</f>
        <v>#VALUE!</v>
      </c>
      <c r="AV124" t="e">
        <f>AND('BBP complete'!S544,"AAAAAE/5rC8=")</f>
        <v>#VALUE!</v>
      </c>
      <c r="AW124" t="e">
        <f>AND('BBP complete'!Q545,"AAAAAE/5rDA=")</f>
        <v>#VALUE!</v>
      </c>
      <c r="AX124" t="e">
        <f>AND('BBP complete'!R545,"AAAAAE/5rDE=")</f>
        <v>#VALUE!</v>
      </c>
      <c r="AY124" t="e">
        <f>AND('BBP complete'!S545,"AAAAAE/5rDI=")</f>
        <v>#VALUE!</v>
      </c>
      <c r="AZ124" t="e">
        <f>AND('BBP complete'!Q546,"AAAAAE/5rDM=")</f>
        <v>#VALUE!</v>
      </c>
      <c r="BA124" t="e">
        <f>AND('BBP complete'!R546,"AAAAAE/5rDQ=")</f>
        <v>#VALUE!</v>
      </c>
      <c r="BB124" t="e">
        <f>AND('BBP complete'!S546,"AAAAAE/5rDU=")</f>
        <v>#VALUE!</v>
      </c>
      <c r="BC124" t="e">
        <f>AND('BBP complete'!Q547,"AAAAAE/5rDY=")</f>
        <v>#VALUE!</v>
      </c>
      <c r="BD124" t="e">
        <f>AND('BBP complete'!R547,"AAAAAE/5rDc=")</f>
        <v>#VALUE!</v>
      </c>
      <c r="BE124" t="e">
        <f>AND('BBP complete'!S547,"AAAAAE/5rDg=")</f>
        <v>#VALUE!</v>
      </c>
      <c r="BF124" t="e">
        <f>AND('BBP complete'!Q548,"AAAAAE/5rDk=")</f>
        <v>#VALUE!</v>
      </c>
      <c r="BG124" t="e">
        <f>AND('BBP complete'!R548,"AAAAAE/5rDo=")</f>
        <v>#VALUE!</v>
      </c>
      <c r="BH124" t="e">
        <f>AND('BBP complete'!S548,"AAAAAE/5rDs=")</f>
        <v>#VALUE!</v>
      </c>
      <c r="BI124" t="e">
        <f>AND('BBP complete'!Q549,"AAAAAE/5rDw=")</f>
        <v>#VALUE!</v>
      </c>
      <c r="BJ124" t="e">
        <f>AND('BBP complete'!R549,"AAAAAE/5rD0=")</f>
        <v>#VALUE!</v>
      </c>
      <c r="BK124" t="e">
        <f>AND('BBP complete'!S549,"AAAAAE/5rD4=")</f>
        <v>#VALUE!</v>
      </c>
      <c r="BL124" t="e">
        <f>AND('BBP complete'!Q550,"AAAAAE/5rD8=")</f>
        <v>#VALUE!</v>
      </c>
      <c r="BM124" t="e">
        <f>AND('BBP complete'!R550,"AAAAAE/5rEA=")</f>
        <v>#VALUE!</v>
      </c>
      <c r="BN124" t="e">
        <f>AND('BBP complete'!S550,"AAAAAE/5rEE=")</f>
        <v>#VALUE!</v>
      </c>
      <c r="BO124" t="e">
        <f>AND('BBP complete'!Q551,"AAAAAE/5rEI=")</f>
        <v>#VALUE!</v>
      </c>
      <c r="BP124" t="e">
        <f>AND('BBP complete'!R551,"AAAAAE/5rEM=")</f>
        <v>#VALUE!</v>
      </c>
      <c r="BQ124" t="e">
        <f>AND('BBP complete'!S551,"AAAAAE/5rEQ=")</f>
        <v>#VALUE!</v>
      </c>
      <c r="BR124" t="e">
        <f>AND('BBP complete'!Q552,"AAAAAE/5rEU=")</f>
        <v>#VALUE!</v>
      </c>
      <c r="BS124" t="e">
        <f>AND('BBP complete'!R552,"AAAAAE/5rEY=")</f>
        <v>#VALUE!</v>
      </c>
      <c r="BT124" t="e">
        <f>AND('BBP complete'!S552,"AAAAAE/5rEc=")</f>
        <v>#VALUE!</v>
      </c>
      <c r="BU124" t="e">
        <f>AND('BBP complete'!Q553,"AAAAAE/5rEg=")</f>
        <v>#VALUE!</v>
      </c>
      <c r="BV124" t="e">
        <f>AND('BBP complete'!R553,"AAAAAE/5rEk=")</f>
        <v>#VALUE!</v>
      </c>
      <c r="BW124" t="e">
        <f>AND('BBP complete'!S553,"AAAAAE/5rEo=")</f>
        <v>#VALUE!</v>
      </c>
      <c r="BX124" t="e">
        <f>AND('BBP complete'!Q554,"AAAAAE/5rEs=")</f>
        <v>#VALUE!</v>
      </c>
      <c r="BY124" t="e">
        <f>AND('BBP complete'!R554,"AAAAAE/5rEw=")</f>
        <v>#VALUE!</v>
      </c>
      <c r="BZ124" t="e">
        <f>AND('BBP complete'!S554,"AAAAAE/5rE0=")</f>
        <v>#VALUE!</v>
      </c>
      <c r="CA124" t="e">
        <f>AND('BBP complete'!Q555,"AAAAAE/5rE4=")</f>
        <v>#VALUE!</v>
      </c>
      <c r="CB124" t="e">
        <f>AND('BBP complete'!R555,"AAAAAE/5rE8=")</f>
        <v>#VALUE!</v>
      </c>
      <c r="CC124" t="e">
        <f>AND('BBP complete'!S555,"AAAAAE/5rFA=")</f>
        <v>#VALUE!</v>
      </c>
      <c r="CD124" t="e">
        <f>AND('BBP complete'!Q556,"AAAAAE/5rFE=")</f>
        <v>#VALUE!</v>
      </c>
      <c r="CE124" t="e">
        <f>AND('BBP complete'!R556,"AAAAAE/5rFI=")</f>
        <v>#VALUE!</v>
      </c>
      <c r="CF124" t="e">
        <f>AND('BBP complete'!S556,"AAAAAE/5rFM=")</f>
        <v>#VALUE!</v>
      </c>
      <c r="CG124" t="e">
        <f>AND('BBP complete'!Q557,"AAAAAE/5rFQ=")</f>
        <v>#VALUE!</v>
      </c>
      <c r="CH124" t="e">
        <f>AND('BBP complete'!R557,"AAAAAE/5rFU=")</f>
        <v>#VALUE!</v>
      </c>
      <c r="CI124" t="e">
        <f>AND('BBP complete'!S557,"AAAAAE/5rFY=")</f>
        <v>#VALUE!</v>
      </c>
      <c r="CJ124" t="e">
        <f>AND('BBP complete'!Q558,"AAAAAE/5rFc=")</f>
        <v>#VALUE!</v>
      </c>
      <c r="CK124" t="e">
        <f>AND('BBP complete'!R558,"AAAAAE/5rFg=")</f>
        <v>#VALUE!</v>
      </c>
      <c r="CL124" t="e">
        <f>AND('BBP complete'!S558,"AAAAAE/5rFk=")</f>
        <v>#VALUE!</v>
      </c>
      <c r="CM124" t="e">
        <f>AND('BBP complete'!Q559,"AAAAAE/5rFo=")</f>
        <v>#VALUE!</v>
      </c>
      <c r="CN124" t="e">
        <f>AND('BBP complete'!R559,"AAAAAE/5rFs=")</f>
        <v>#VALUE!</v>
      </c>
      <c r="CO124" t="e">
        <f>AND('BBP complete'!S559,"AAAAAE/5rFw=")</f>
        <v>#VALUE!</v>
      </c>
      <c r="CP124" t="e">
        <f>AND('BBP complete'!Q560,"AAAAAE/5rF0=")</f>
        <v>#VALUE!</v>
      </c>
      <c r="CQ124" t="e">
        <f>AND('BBP complete'!R560,"AAAAAE/5rF4=")</f>
        <v>#VALUE!</v>
      </c>
      <c r="CR124" t="e">
        <f>AND('BBP complete'!S560,"AAAAAE/5rF8=")</f>
        <v>#VALUE!</v>
      </c>
      <c r="CS124" t="e">
        <f>AND('BBP complete'!Q561,"AAAAAE/5rGA=")</f>
        <v>#VALUE!</v>
      </c>
      <c r="CT124" t="e">
        <f>AND('BBP complete'!R561,"AAAAAE/5rGE=")</f>
        <v>#VALUE!</v>
      </c>
      <c r="CU124" t="e">
        <f>AND('BBP complete'!S561,"AAAAAE/5rGI=")</f>
        <v>#VALUE!</v>
      </c>
      <c r="CV124" t="e">
        <f>AND('BBP complete'!Q562,"AAAAAE/5rGM=")</f>
        <v>#VALUE!</v>
      </c>
      <c r="CW124" t="e">
        <f>AND('BBP complete'!R562,"AAAAAE/5rGQ=")</f>
        <v>#VALUE!</v>
      </c>
      <c r="CX124" t="e">
        <f>AND('BBP complete'!S562,"AAAAAE/5rGU=")</f>
        <v>#VALUE!</v>
      </c>
      <c r="CY124" t="e">
        <f>AND('BBP complete'!Q563,"AAAAAE/5rGY=")</f>
        <v>#VALUE!</v>
      </c>
      <c r="CZ124" t="e">
        <f>AND('BBP complete'!R563,"AAAAAE/5rGc=")</f>
        <v>#VALUE!</v>
      </c>
      <c r="DA124" t="e">
        <f>AND('BBP complete'!S563,"AAAAAE/5rGg=")</f>
        <v>#VALUE!</v>
      </c>
      <c r="DB124" t="e">
        <f>AND('BBP complete'!Q564,"AAAAAE/5rGk=")</f>
        <v>#VALUE!</v>
      </c>
      <c r="DC124" t="e">
        <f>AND('BBP complete'!R564,"AAAAAE/5rGo=")</f>
        <v>#VALUE!</v>
      </c>
      <c r="DD124" t="e">
        <f>AND('BBP complete'!S564,"AAAAAE/5rGs=")</f>
        <v>#VALUE!</v>
      </c>
      <c r="DE124" t="e">
        <f>AND('BBP complete'!Q565,"AAAAAE/5rGw=")</f>
        <v>#VALUE!</v>
      </c>
      <c r="DF124" t="e">
        <f>AND('BBP complete'!R565,"AAAAAE/5rG0=")</f>
        <v>#VALUE!</v>
      </c>
      <c r="DG124" t="e">
        <f>AND('BBP complete'!S565,"AAAAAE/5rG4=")</f>
        <v>#VALUE!</v>
      </c>
      <c r="DH124" t="e">
        <f>AND('BBP complete'!Q566,"AAAAAE/5rG8=")</f>
        <v>#VALUE!</v>
      </c>
      <c r="DI124" t="e">
        <f>AND('BBP complete'!R566,"AAAAAE/5rHA=")</f>
        <v>#VALUE!</v>
      </c>
      <c r="DJ124" t="e">
        <f>AND('BBP complete'!S566,"AAAAAE/5rHE=")</f>
        <v>#VALUE!</v>
      </c>
      <c r="DK124" t="e">
        <f>AND('BBP complete'!Q567,"AAAAAE/5rHI=")</f>
        <v>#VALUE!</v>
      </c>
      <c r="DL124" t="e">
        <f>AND('BBP complete'!R567,"AAAAAE/5rHM=")</f>
        <v>#VALUE!</v>
      </c>
      <c r="DM124" t="e">
        <f>AND('BBP complete'!S567,"AAAAAE/5rHQ=")</f>
        <v>#VALUE!</v>
      </c>
      <c r="DN124" t="e">
        <f>AND('BBP complete'!Q568,"AAAAAE/5rHU=")</f>
        <v>#VALUE!</v>
      </c>
      <c r="DO124" t="e">
        <f>AND('BBP complete'!R568,"AAAAAE/5rHY=")</f>
        <v>#VALUE!</v>
      </c>
      <c r="DP124" t="e">
        <f>AND('BBP complete'!S568,"AAAAAE/5rHc=")</f>
        <v>#VALUE!</v>
      </c>
      <c r="DQ124" t="e">
        <f>AND('BBP complete'!Q569,"AAAAAE/5rHg=")</f>
        <v>#VALUE!</v>
      </c>
      <c r="DR124" t="e">
        <f>AND('BBP complete'!R569,"AAAAAE/5rHk=")</f>
        <v>#VALUE!</v>
      </c>
      <c r="DS124" t="e">
        <f>AND('BBP complete'!S569,"AAAAAE/5rHo=")</f>
        <v>#VALUE!</v>
      </c>
      <c r="DT124" t="e">
        <f>AND('BBP complete'!Q570,"AAAAAE/5rHs=")</f>
        <v>#VALUE!</v>
      </c>
      <c r="DU124" t="e">
        <f>AND('BBP complete'!R570,"AAAAAE/5rHw=")</f>
        <v>#VALUE!</v>
      </c>
      <c r="DV124" t="e">
        <f>AND('BBP complete'!S570,"AAAAAE/5rH0=")</f>
        <v>#VALUE!</v>
      </c>
      <c r="DW124" t="e">
        <f>AND('BBP complete'!Q571,"AAAAAE/5rH4=")</f>
        <v>#VALUE!</v>
      </c>
      <c r="DX124" t="e">
        <f>AND('BBP complete'!R571,"AAAAAE/5rH8=")</f>
        <v>#VALUE!</v>
      </c>
      <c r="DY124" t="e">
        <f>AND('BBP complete'!S571,"AAAAAE/5rIA=")</f>
        <v>#VALUE!</v>
      </c>
      <c r="DZ124" t="e">
        <f>AND('BBP complete'!Q572,"AAAAAE/5rIE=")</f>
        <v>#VALUE!</v>
      </c>
      <c r="EA124" t="e">
        <f>AND('BBP complete'!R572,"AAAAAE/5rII=")</f>
        <v>#VALUE!</v>
      </c>
      <c r="EB124" t="e">
        <f>AND('BBP complete'!S572,"AAAAAE/5rIM=")</f>
        <v>#VALUE!</v>
      </c>
      <c r="EC124" t="e">
        <f>AND('BBP complete'!Q573,"AAAAAE/5rIQ=")</f>
        <v>#VALUE!</v>
      </c>
      <c r="ED124" t="e">
        <f>AND('BBP complete'!R573,"AAAAAE/5rIU=")</f>
        <v>#VALUE!</v>
      </c>
      <c r="EE124" t="e">
        <f>AND('BBP complete'!S573,"AAAAAE/5rIY=")</f>
        <v>#VALUE!</v>
      </c>
      <c r="EF124" t="e">
        <f>AND('BBP complete'!Q574,"AAAAAE/5rIc=")</f>
        <v>#VALUE!</v>
      </c>
      <c r="EG124" t="e">
        <f>AND('BBP complete'!R574,"AAAAAE/5rIg=")</f>
        <v>#VALUE!</v>
      </c>
      <c r="EH124" t="e">
        <f>AND('BBP complete'!S574,"AAAAAE/5rIk=")</f>
        <v>#VALUE!</v>
      </c>
      <c r="EI124" t="e">
        <f>AND('BBP complete'!Q575,"AAAAAE/5rIo=")</f>
        <v>#VALUE!</v>
      </c>
      <c r="EJ124" t="e">
        <f>AND('BBP complete'!R575,"AAAAAE/5rIs=")</f>
        <v>#VALUE!</v>
      </c>
      <c r="EK124" t="e">
        <f>AND('BBP complete'!S575,"AAAAAE/5rIw=")</f>
        <v>#VALUE!</v>
      </c>
      <c r="EL124" t="e">
        <f>AND('BBP complete'!Q576,"AAAAAE/5rI0=")</f>
        <v>#VALUE!</v>
      </c>
      <c r="EM124" t="e">
        <f>AND('BBP complete'!R576,"AAAAAE/5rI4=")</f>
        <v>#VALUE!</v>
      </c>
      <c r="EN124" t="e">
        <f>AND('BBP complete'!S576,"AAAAAE/5rI8=")</f>
        <v>#VALUE!</v>
      </c>
      <c r="EO124" t="e">
        <f>AND('BBP complete'!Q577,"AAAAAE/5rJA=")</f>
        <v>#VALUE!</v>
      </c>
      <c r="EP124" t="e">
        <f>AND('BBP complete'!R577,"AAAAAE/5rJE=")</f>
        <v>#VALUE!</v>
      </c>
      <c r="EQ124" t="e">
        <f>AND('BBP complete'!S577,"AAAAAE/5rJI=")</f>
        <v>#VALUE!</v>
      </c>
      <c r="ER124" t="e">
        <f>AND('BBP complete'!Q578,"AAAAAE/5rJM=")</f>
        <v>#VALUE!</v>
      </c>
      <c r="ES124" t="e">
        <f>AND('BBP complete'!R578,"AAAAAE/5rJQ=")</f>
        <v>#VALUE!</v>
      </c>
      <c r="ET124" t="e">
        <f>AND('BBP complete'!S578,"AAAAAE/5rJU=")</f>
        <v>#VALUE!</v>
      </c>
      <c r="EU124" t="e">
        <f>AND('BBP complete'!Q579,"AAAAAE/5rJY=")</f>
        <v>#VALUE!</v>
      </c>
      <c r="EV124" t="e">
        <f>AND('BBP complete'!R579,"AAAAAE/5rJc=")</f>
        <v>#VALUE!</v>
      </c>
      <c r="EW124" t="e">
        <f>AND('BBP complete'!S579,"AAAAAE/5rJg=")</f>
        <v>#VALUE!</v>
      </c>
      <c r="EX124" t="e">
        <f>AND('BBP complete'!Q580,"AAAAAE/5rJk=")</f>
        <v>#VALUE!</v>
      </c>
      <c r="EY124" t="e">
        <f>AND('BBP complete'!R580,"AAAAAE/5rJo=")</f>
        <v>#VALUE!</v>
      </c>
      <c r="EZ124" t="e">
        <f>AND('BBP complete'!S580,"AAAAAE/5rJs=")</f>
        <v>#VALUE!</v>
      </c>
      <c r="FA124" t="e">
        <f>AND('BBP complete'!Q581,"AAAAAE/5rJw=")</f>
        <v>#VALUE!</v>
      </c>
      <c r="FB124" t="e">
        <f>AND('BBP complete'!R581,"AAAAAE/5rJ0=")</f>
        <v>#VALUE!</v>
      </c>
      <c r="FC124" t="e">
        <f>AND('BBP complete'!S581,"AAAAAE/5rJ4=")</f>
        <v>#VALUE!</v>
      </c>
      <c r="FD124" t="e">
        <f>AND('BBP complete'!Q582,"AAAAAE/5rJ8=")</f>
        <v>#VALUE!</v>
      </c>
      <c r="FE124" t="e">
        <f>AND('BBP complete'!R582,"AAAAAE/5rKA=")</f>
        <v>#VALUE!</v>
      </c>
      <c r="FF124" t="e">
        <f>AND('BBP complete'!S582,"AAAAAE/5rKE=")</f>
        <v>#VALUE!</v>
      </c>
      <c r="FG124" t="e">
        <f>AND('BBP complete'!Q583,"AAAAAE/5rKI=")</f>
        <v>#VALUE!</v>
      </c>
      <c r="FH124" t="e">
        <f>AND('BBP complete'!R583,"AAAAAE/5rKM=")</f>
        <v>#VALUE!</v>
      </c>
      <c r="FI124" t="e">
        <f>AND('BBP complete'!S583,"AAAAAE/5rKQ=")</f>
        <v>#VALUE!</v>
      </c>
      <c r="FJ124" t="e">
        <f>AND('BBP complete'!Q584,"AAAAAE/5rKU=")</f>
        <v>#VALUE!</v>
      </c>
      <c r="FK124" t="e">
        <f>AND('BBP complete'!R584,"AAAAAE/5rKY=")</f>
        <v>#VALUE!</v>
      </c>
      <c r="FL124" t="e">
        <f>AND('BBP complete'!S584,"AAAAAE/5rKc=")</f>
        <v>#VALUE!</v>
      </c>
      <c r="FM124" t="e">
        <f>AND('BBP complete'!Q585,"AAAAAE/5rKg=")</f>
        <v>#VALUE!</v>
      </c>
      <c r="FN124" t="e">
        <f>AND('BBP complete'!R585,"AAAAAE/5rKk=")</f>
        <v>#VALUE!</v>
      </c>
      <c r="FO124" t="e">
        <f>AND('BBP complete'!S585,"AAAAAE/5rKo=")</f>
        <v>#VALUE!</v>
      </c>
      <c r="FP124" t="e">
        <f>AND('BBP complete'!Q586,"AAAAAE/5rKs=")</f>
        <v>#VALUE!</v>
      </c>
      <c r="FQ124" t="e">
        <f>AND('BBP complete'!R586,"AAAAAE/5rKw=")</f>
        <v>#VALUE!</v>
      </c>
      <c r="FR124" t="e">
        <f>AND('BBP complete'!S586,"AAAAAE/5rK0=")</f>
        <v>#VALUE!</v>
      </c>
      <c r="FS124" t="e">
        <f>AND('BBP complete'!Q587,"AAAAAE/5rK4=")</f>
        <v>#VALUE!</v>
      </c>
      <c r="FT124" t="e">
        <f>AND('BBP complete'!R587,"AAAAAE/5rK8=")</f>
        <v>#VALUE!</v>
      </c>
      <c r="FU124" t="e">
        <f>AND('BBP complete'!S587,"AAAAAE/5rLA=")</f>
        <v>#VALUE!</v>
      </c>
      <c r="FV124" t="e">
        <f>AND('BBP complete'!Q588,"AAAAAE/5rLE=")</f>
        <v>#VALUE!</v>
      </c>
      <c r="FW124" t="e">
        <f>AND('BBP complete'!R588,"AAAAAE/5rLI=")</f>
        <v>#VALUE!</v>
      </c>
      <c r="FX124" t="e">
        <f>AND('BBP complete'!S588,"AAAAAE/5rLM=")</f>
        <v>#VALUE!</v>
      </c>
      <c r="FY124" t="e">
        <f>AND('BBP complete'!Q589,"AAAAAE/5rLQ=")</f>
        <v>#VALUE!</v>
      </c>
      <c r="FZ124" t="e">
        <f>AND('BBP complete'!R589,"AAAAAE/5rLU=")</f>
        <v>#VALUE!</v>
      </c>
      <c r="GA124" t="e">
        <f>AND('BBP complete'!S589,"AAAAAE/5rLY=")</f>
        <v>#VALUE!</v>
      </c>
      <c r="GB124" t="e">
        <f>AND('BBP complete'!Q590,"AAAAAE/5rLc=")</f>
        <v>#VALUE!</v>
      </c>
      <c r="GC124" t="e">
        <f>AND('BBP complete'!R590,"AAAAAE/5rLg=")</f>
        <v>#VALUE!</v>
      </c>
      <c r="GD124" t="e">
        <f>AND('BBP complete'!S590,"AAAAAE/5rLk=")</f>
        <v>#VALUE!</v>
      </c>
      <c r="GE124" t="e">
        <f>AND('BBP complete'!Q591,"AAAAAE/5rLo=")</f>
        <v>#VALUE!</v>
      </c>
      <c r="GF124" t="e">
        <f>AND('BBP complete'!R591,"AAAAAE/5rLs=")</f>
        <v>#VALUE!</v>
      </c>
      <c r="GG124" t="e">
        <f>AND('BBP complete'!S591,"AAAAAE/5rLw=")</f>
        <v>#VALUE!</v>
      </c>
      <c r="GH124" t="e">
        <f>AND('BBP complete'!Q592,"AAAAAE/5rL0=")</f>
        <v>#VALUE!</v>
      </c>
      <c r="GI124" t="e">
        <f>AND('BBP complete'!R592,"AAAAAE/5rL4=")</f>
        <v>#VALUE!</v>
      </c>
      <c r="GJ124" t="e">
        <f>AND('BBP complete'!S592,"AAAAAE/5rL8=")</f>
        <v>#VALUE!</v>
      </c>
      <c r="GK124" t="e">
        <f>AND('BBP complete'!Q593,"AAAAAE/5rMA=")</f>
        <v>#VALUE!</v>
      </c>
      <c r="GL124" t="e">
        <f>AND('BBP complete'!R593,"AAAAAE/5rME=")</f>
        <v>#VALUE!</v>
      </c>
      <c r="GM124" t="e">
        <f>AND('BBP complete'!S593,"AAAAAE/5rMI=")</f>
        <v>#VALUE!</v>
      </c>
      <c r="GN124" t="e">
        <f>AND('BBP complete'!Q594,"AAAAAE/5rMM=")</f>
        <v>#VALUE!</v>
      </c>
      <c r="GO124" t="e">
        <f>AND('BBP complete'!R594,"AAAAAE/5rMQ=")</f>
        <v>#VALUE!</v>
      </c>
      <c r="GP124" t="e">
        <f>AND('BBP complete'!S594,"AAAAAE/5rMU=")</f>
        <v>#VALUE!</v>
      </c>
      <c r="GQ124" t="e">
        <f>AND('BBP complete'!Q595,"AAAAAE/5rMY=")</f>
        <v>#VALUE!</v>
      </c>
      <c r="GR124" t="e">
        <f>AND('BBP complete'!R595,"AAAAAE/5rMc=")</f>
        <v>#VALUE!</v>
      </c>
      <c r="GS124" t="e">
        <f>AND('BBP complete'!S595,"AAAAAE/5rMg=")</f>
        <v>#VALUE!</v>
      </c>
      <c r="GT124" t="e">
        <f>AND('BBP complete'!Q596,"AAAAAE/5rMk=")</f>
        <v>#VALUE!</v>
      </c>
      <c r="GU124" t="e">
        <f>AND('BBP complete'!R596,"AAAAAE/5rMo=")</f>
        <v>#VALUE!</v>
      </c>
      <c r="GV124" t="e">
        <f>AND('BBP complete'!S596,"AAAAAE/5rMs=")</f>
        <v>#VALUE!</v>
      </c>
      <c r="GW124" t="e">
        <f>AND('BBP complete'!Q597,"AAAAAE/5rMw=")</f>
        <v>#VALUE!</v>
      </c>
      <c r="GX124" t="e">
        <f>AND('BBP complete'!R597,"AAAAAE/5rM0=")</f>
        <v>#VALUE!</v>
      </c>
      <c r="GY124" t="e">
        <f>AND('BBP complete'!S597,"AAAAAE/5rM4=")</f>
        <v>#VALUE!</v>
      </c>
      <c r="GZ124" t="e">
        <f>AND('BBP complete'!Q598,"AAAAAE/5rM8=")</f>
        <v>#VALUE!</v>
      </c>
      <c r="HA124" t="e">
        <f>AND('BBP complete'!R598,"AAAAAE/5rNA=")</f>
        <v>#VALUE!</v>
      </c>
      <c r="HB124" t="e">
        <f>AND('BBP complete'!S598,"AAAAAE/5rNE=")</f>
        <v>#VALUE!</v>
      </c>
      <c r="HC124" t="e">
        <f>AND('BBP complete'!Q599,"AAAAAE/5rNI=")</f>
        <v>#VALUE!</v>
      </c>
      <c r="HD124" t="e">
        <f>AND('BBP complete'!R599,"AAAAAE/5rNM=")</f>
        <v>#VALUE!</v>
      </c>
      <c r="HE124" t="e">
        <f>AND('BBP complete'!S599,"AAAAAE/5rNQ=")</f>
        <v>#VALUE!</v>
      </c>
      <c r="HF124" t="e">
        <f>AND('BBP complete'!Q600,"AAAAAE/5rNU=")</f>
        <v>#VALUE!</v>
      </c>
      <c r="HG124" t="e">
        <f>AND('BBP complete'!R600,"AAAAAE/5rNY=")</f>
        <v>#VALUE!</v>
      </c>
      <c r="HH124" t="e">
        <f>AND('BBP complete'!S600,"AAAAAE/5rNc=")</f>
        <v>#VALUE!</v>
      </c>
      <c r="HI124" t="e">
        <f>AND('BBP complete'!Q601,"AAAAAE/5rNg=")</f>
        <v>#VALUE!</v>
      </c>
      <c r="HJ124" t="e">
        <f>AND('BBP complete'!R601,"AAAAAE/5rNk=")</f>
        <v>#VALUE!</v>
      </c>
      <c r="HK124" t="e">
        <f>AND('BBP complete'!S601,"AAAAAE/5rNo=")</f>
        <v>#VALUE!</v>
      </c>
      <c r="HL124" t="e">
        <f>AND('BBP complete'!Q602,"AAAAAE/5rNs=")</f>
        <v>#VALUE!</v>
      </c>
      <c r="HM124" t="e">
        <f>AND('BBP complete'!R602,"AAAAAE/5rNw=")</f>
        <v>#VALUE!</v>
      </c>
      <c r="HN124" t="e">
        <f>AND('BBP complete'!S602,"AAAAAE/5rN0=")</f>
        <v>#VALUE!</v>
      </c>
      <c r="HO124" t="e">
        <f>AND('BBP complete'!Q603,"AAAAAE/5rN4=")</f>
        <v>#VALUE!</v>
      </c>
      <c r="HP124" t="e">
        <f>AND('BBP complete'!R603,"AAAAAE/5rN8=")</f>
        <v>#VALUE!</v>
      </c>
      <c r="HQ124" t="e">
        <f>AND('BBP complete'!S603,"AAAAAE/5rOA=")</f>
        <v>#VALUE!</v>
      </c>
      <c r="HR124" t="e">
        <f>AND('BBP complete'!Q604,"AAAAAE/5rOE=")</f>
        <v>#VALUE!</v>
      </c>
      <c r="HS124" t="e">
        <f>AND('BBP complete'!R604,"AAAAAE/5rOI=")</f>
        <v>#VALUE!</v>
      </c>
      <c r="HT124" t="e">
        <f>AND('BBP complete'!S604,"AAAAAE/5rOM=")</f>
        <v>#VALUE!</v>
      </c>
      <c r="HU124" t="e">
        <f>AND('BBP complete'!Q605,"AAAAAE/5rOQ=")</f>
        <v>#VALUE!</v>
      </c>
      <c r="HV124" t="e">
        <f>AND('BBP complete'!R605,"AAAAAE/5rOU=")</f>
        <v>#VALUE!</v>
      </c>
      <c r="HW124" t="e">
        <f>AND('BBP complete'!S605,"AAAAAE/5rOY=")</f>
        <v>#VALUE!</v>
      </c>
      <c r="HX124" t="e">
        <f>AND('BBP complete'!Q606,"AAAAAE/5rOc=")</f>
        <v>#VALUE!</v>
      </c>
      <c r="HY124" t="e">
        <f>AND('BBP complete'!R606,"AAAAAE/5rOg=")</f>
        <v>#VALUE!</v>
      </c>
      <c r="HZ124" t="e">
        <f>AND('BBP complete'!S606,"AAAAAE/5rOk=")</f>
        <v>#VALUE!</v>
      </c>
      <c r="IA124" t="e">
        <f>AND('BBP complete'!Q607,"AAAAAE/5rOo=")</f>
        <v>#VALUE!</v>
      </c>
      <c r="IB124" t="e">
        <f>AND('BBP complete'!R607,"AAAAAE/5rOs=")</f>
        <v>#VALUE!</v>
      </c>
      <c r="IC124" t="e">
        <f>AND('BBP complete'!S607,"AAAAAE/5rOw=")</f>
        <v>#VALUE!</v>
      </c>
      <c r="ID124" t="e">
        <f>AND('BBP complete'!Q608,"AAAAAE/5rO0=")</f>
        <v>#VALUE!</v>
      </c>
      <c r="IE124" t="e">
        <f>AND('BBP complete'!R608,"AAAAAE/5rO4=")</f>
        <v>#VALUE!</v>
      </c>
      <c r="IF124" t="e">
        <f>AND('BBP complete'!S608,"AAAAAE/5rO8=")</f>
        <v>#VALUE!</v>
      </c>
      <c r="IG124" t="e">
        <f>AND('BBP complete'!Q609,"AAAAAE/5rPA=")</f>
        <v>#VALUE!</v>
      </c>
      <c r="IH124" t="e">
        <f>AND('BBP complete'!R609,"AAAAAE/5rPE=")</f>
        <v>#VALUE!</v>
      </c>
      <c r="II124" t="e">
        <f>AND('BBP complete'!S609,"AAAAAE/5rPI=")</f>
        <v>#VALUE!</v>
      </c>
      <c r="IJ124" t="e">
        <f>AND('BBP complete'!Q610,"AAAAAE/5rPM=")</f>
        <v>#VALUE!</v>
      </c>
      <c r="IK124" t="e">
        <f>AND('BBP complete'!R610,"AAAAAE/5rPQ=")</f>
        <v>#VALUE!</v>
      </c>
      <c r="IL124" t="e">
        <f>AND('BBP complete'!S610,"AAAAAE/5rPU=")</f>
        <v>#VALUE!</v>
      </c>
      <c r="IM124" t="e">
        <f>AND('BBP complete'!Q611,"AAAAAE/5rPY=")</f>
        <v>#VALUE!</v>
      </c>
      <c r="IN124" t="e">
        <f>AND('BBP complete'!R611,"AAAAAE/5rPc=")</f>
        <v>#VALUE!</v>
      </c>
      <c r="IO124" t="e">
        <f>AND('BBP complete'!S611,"AAAAAE/5rPg=")</f>
        <v>#VALUE!</v>
      </c>
      <c r="IP124" t="e">
        <f>AND('BBP complete'!Q612,"AAAAAE/5rPk=")</f>
        <v>#VALUE!</v>
      </c>
      <c r="IQ124" t="e">
        <f>AND('BBP complete'!R612,"AAAAAE/5rPo=")</f>
        <v>#VALUE!</v>
      </c>
      <c r="IR124" t="e">
        <f>AND('BBP complete'!S612,"AAAAAE/5rPs=")</f>
        <v>#VALUE!</v>
      </c>
      <c r="IS124" t="e">
        <f>AND('BBP complete'!Q613,"AAAAAE/5rPw=")</f>
        <v>#VALUE!</v>
      </c>
      <c r="IT124" t="e">
        <f>AND('BBP complete'!R613,"AAAAAE/5rP0=")</f>
        <v>#VALUE!</v>
      </c>
      <c r="IU124" t="e">
        <f>AND('BBP complete'!S613,"AAAAAE/5rP4=")</f>
        <v>#VALUE!</v>
      </c>
      <c r="IV124" t="e">
        <f>AND('BBP complete'!Q614,"AAAAAE/5rP8=")</f>
        <v>#VALUE!</v>
      </c>
    </row>
    <row r="125" spans="1:256" ht="15" customHeight="1" x14ac:dyDescent="0.25">
      <c r="A125" t="e">
        <f>AND('BBP complete'!R614,"AAAAAHq3/QA=")</f>
        <v>#VALUE!</v>
      </c>
      <c r="B125" t="e">
        <f>AND('BBP complete'!S614,"AAAAAHq3/QE=")</f>
        <v>#VALUE!</v>
      </c>
      <c r="C125" t="e">
        <f>AND('BBP complete'!Q615,"AAAAAHq3/QI=")</f>
        <v>#VALUE!</v>
      </c>
      <c r="D125" t="e">
        <f>AND('BBP complete'!R615,"AAAAAHq3/QM=")</f>
        <v>#VALUE!</v>
      </c>
      <c r="E125" t="e">
        <f>AND('BBP complete'!S615,"AAAAAHq3/QQ=")</f>
        <v>#VALUE!</v>
      </c>
      <c r="F125" t="e">
        <f>AND('BBP complete'!Q616,"AAAAAHq3/QU=")</f>
        <v>#VALUE!</v>
      </c>
      <c r="G125" t="e">
        <f>AND('BBP complete'!R616,"AAAAAHq3/QY=")</f>
        <v>#VALUE!</v>
      </c>
      <c r="H125" t="e">
        <f>AND('BBP complete'!S616,"AAAAAHq3/Qc=")</f>
        <v>#VALUE!</v>
      </c>
      <c r="I125" t="e">
        <f>AND('BBP complete'!Q617,"AAAAAHq3/Qg=")</f>
        <v>#VALUE!</v>
      </c>
      <c r="J125" t="e">
        <f>AND('BBP complete'!R617,"AAAAAHq3/Qk=")</f>
        <v>#VALUE!</v>
      </c>
      <c r="K125" t="e">
        <f>AND('BBP complete'!S617,"AAAAAHq3/Qo=")</f>
        <v>#VALUE!</v>
      </c>
      <c r="L125" t="e">
        <f>AND('BBP complete'!Q618,"AAAAAHq3/Qs=")</f>
        <v>#VALUE!</v>
      </c>
      <c r="M125" t="e">
        <f>AND('BBP complete'!R618,"AAAAAHq3/Qw=")</f>
        <v>#VALUE!</v>
      </c>
      <c r="N125" t="e">
        <f>AND('BBP complete'!S618,"AAAAAHq3/Q0=")</f>
        <v>#VALUE!</v>
      </c>
      <c r="O125" t="e">
        <f>AND('BBP complete'!Q619,"AAAAAHq3/Q4=")</f>
        <v>#VALUE!</v>
      </c>
      <c r="P125" t="e">
        <f>AND('BBP complete'!R619,"AAAAAHq3/Q8=")</f>
        <v>#VALUE!</v>
      </c>
      <c r="Q125" t="e">
        <f>AND('BBP complete'!S619,"AAAAAHq3/RA=")</f>
        <v>#VALUE!</v>
      </c>
      <c r="R125" t="e">
        <f>AND('BBP complete'!Q620,"AAAAAHq3/RE=")</f>
        <v>#VALUE!</v>
      </c>
      <c r="S125" t="e">
        <f>AND('BBP complete'!R620,"AAAAAHq3/RI=")</f>
        <v>#VALUE!</v>
      </c>
      <c r="T125" t="e">
        <f>AND('BBP complete'!S620,"AAAAAHq3/RM=")</f>
        <v>#VALUE!</v>
      </c>
      <c r="U125" t="e">
        <f>AND('BBP complete'!Q621,"AAAAAHq3/RQ=")</f>
        <v>#VALUE!</v>
      </c>
      <c r="V125" t="e">
        <f>AND('BBP complete'!R621,"AAAAAHq3/RU=")</f>
        <v>#VALUE!</v>
      </c>
      <c r="W125" t="e">
        <f>AND('BBP complete'!S621,"AAAAAHq3/RY=")</f>
        <v>#VALUE!</v>
      </c>
      <c r="X125" t="e">
        <f>AND('BBP complete'!Q622,"AAAAAHq3/Rc=")</f>
        <v>#VALUE!</v>
      </c>
      <c r="Y125" t="e">
        <f>AND('BBP complete'!R622,"AAAAAHq3/Rg=")</f>
        <v>#VALUE!</v>
      </c>
      <c r="Z125" t="e">
        <f>AND('BBP complete'!S622,"AAAAAHq3/Rk=")</f>
        <v>#VALUE!</v>
      </c>
      <c r="AA125" t="e">
        <f>AND('BBP complete'!Q623,"AAAAAHq3/Ro=")</f>
        <v>#VALUE!</v>
      </c>
      <c r="AB125" t="e">
        <f>AND('BBP complete'!R623,"AAAAAHq3/Rs=")</f>
        <v>#VALUE!</v>
      </c>
      <c r="AC125" t="e">
        <f>AND('BBP complete'!S623,"AAAAAHq3/Rw=")</f>
        <v>#VALUE!</v>
      </c>
      <c r="AD125" t="e">
        <f>AND('BBP complete'!Q624,"AAAAAHq3/R0=")</f>
        <v>#VALUE!</v>
      </c>
      <c r="AE125" t="e">
        <f>AND('BBP complete'!R624,"AAAAAHq3/R4=")</f>
        <v>#VALUE!</v>
      </c>
      <c r="AF125" t="e">
        <f>AND('BBP complete'!S624,"AAAAAHq3/R8=")</f>
        <v>#VALUE!</v>
      </c>
      <c r="AG125" t="e">
        <f>AND('BBP complete'!Q625,"AAAAAHq3/SA=")</f>
        <v>#VALUE!</v>
      </c>
      <c r="AH125" t="e">
        <f>AND('BBP complete'!R625,"AAAAAHq3/SE=")</f>
        <v>#VALUE!</v>
      </c>
      <c r="AI125" t="e">
        <f>AND('BBP complete'!S625,"AAAAAHq3/SI=")</f>
        <v>#VALUE!</v>
      </c>
      <c r="AJ125" t="e">
        <f>AND('BBP complete'!Q626,"AAAAAHq3/SM=")</f>
        <v>#VALUE!</v>
      </c>
      <c r="AK125" t="e">
        <f>AND('BBP complete'!R626,"AAAAAHq3/SQ=")</f>
        <v>#VALUE!</v>
      </c>
      <c r="AL125" t="e">
        <f>AND('BBP complete'!S626,"AAAAAHq3/SU=")</f>
        <v>#VALUE!</v>
      </c>
      <c r="AM125" t="e">
        <f>AND('BBP complete'!Q627,"AAAAAHq3/SY=")</f>
        <v>#VALUE!</v>
      </c>
      <c r="AN125" t="e">
        <f>AND('BBP complete'!R627,"AAAAAHq3/Sc=")</f>
        <v>#VALUE!</v>
      </c>
      <c r="AO125" t="e">
        <f>AND('BBP complete'!S627,"AAAAAHq3/Sg=")</f>
        <v>#VALUE!</v>
      </c>
      <c r="AP125" t="e">
        <f>AND('BBP complete'!Q628,"AAAAAHq3/Sk=")</f>
        <v>#VALUE!</v>
      </c>
      <c r="AQ125" t="e">
        <f>AND('BBP complete'!R628,"AAAAAHq3/So=")</f>
        <v>#VALUE!</v>
      </c>
      <c r="AR125" t="e">
        <f>AND('BBP complete'!S628,"AAAAAHq3/Ss=")</f>
        <v>#VALUE!</v>
      </c>
      <c r="AS125" t="e">
        <f>AND('BBP complete'!Q629,"AAAAAHq3/Sw=")</f>
        <v>#VALUE!</v>
      </c>
      <c r="AT125" t="e">
        <f>AND('BBP complete'!R629,"AAAAAHq3/S0=")</f>
        <v>#VALUE!</v>
      </c>
      <c r="AU125" t="e">
        <f>AND('BBP complete'!S629,"AAAAAHq3/S4=")</f>
        <v>#VALUE!</v>
      </c>
      <c r="AV125" t="e">
        <f>AND('BBP complete'!Q630,"AAAAAHq3/S8=")</f>
        <v>#VALUE!</v>
      </c>
      <c r="AW125" t="e">
        <f>AND('BBP complete'!R630,"AAAAAHq3/TA=")</f>
        <v>#VALUE!</v>
      </c>
      <c r="AX125" t="e">
        <f>AND('BBP complete'!S630,"AAAAAHq3/TE=")</f>
        <v>#VALUE!</v>
      </c>
      <c r="AY125" t="e">
        <f>AND('BBP complete'!Q631,"AAAAAHq3/TI=")</f>
        <v>#VALUE!</v>
      </c>
      <c r="AZ125" t="e">
        <f>AND('BBP complete'!R631,"AAAAAHq3/TM=")</f>
        <v>#VALUE!</v>
      </c>
      <c r="BA125" t="e">
        <f>AND('BBP complete'!S631,"AAAAAHq3/TQ=")</f>
        <v>#VALUE!</v>
      </c>
      <c r="BB125" t="e">
        <f>AND('BBP complete'!Q632,"AAAAAHq3/TU=")</f>
        <v>#VALUE!</v>
      </c>
      <c r="BC125" t="e">
        <f>AND('BBP complete'!R632,"AAAAAHq3/TY=")</f>
        <v>#VALUE!</v>
      </c>
      <c r="BD125" t="e">
        <f>AND('BBP complete'!S632,"AAAAAHq3/Tc=")</f>
        <v>#VALUE!</v>
      </c>
      <c r="BE125" t="e">
        <f>AND('BBP complete'!Q633,"AAAAAHq3/Tg=")</f>
        <v>#VALUE!</v>
      </c>
      <c r="BF125" t="e">
        <f>AND('BBP complete'!R633,"AAAAAHq3/Tk=")</f>
        <v>#VALUE!</v>
      </c>
      <c r="BG125" t="e">
        <f>AND('BBP complete'!S633,"AAAAAHq3/To=")</f>
        <v>#VALUE!</v>
      </c>
      <c r="BH125" t="e">
        <f>AND('BBP complete'!Q634,"AAAAAHq3/Ts=")</f>
        <v>#VALUE!</v>
      </c>
      <c r="BI125" t="e">
        <f>AND('BBP complete'!R634,"AAAAAHq3/Tw=")</f>
        <v>#VALUE!</v>
      </c>
      <c r="BJ125" t="e">
        <f>AND('BBP complete'!S634,"AAAAAHq3/T0=")</f>
        <v>#VALUE!</v>
      </c>
      <c r="BK125" t="e">
        <f>AND('BBP complete'!Q635,"AAAAAHq3/T4=")</f>
        <v>#VALUE!</v>
      </c>
      <c r="BL125" t="e">
        <f>AND('BBP complete'!R635,"AAAAAHq3/T8=")</f>
        <v>#VALUE!</v>
      </c>
      <c r="BM125" t="e">
        <f>AND('BBP complete'!S635,"AAAAAHq3/UA=")</f>
        <v>#VALUE!</v>
      </c>
      <c r="BN125" t="e">
        <f>AND('BBP complete'!Q636,"AAAAAHq3/UE=")</f>
        <v>#VALUE!</v>
      </c>
      <c r="BO125" t="e">
        <f>AND('BBP complete'!R636,"AAAAAHq3/UI=")</f>
        <v>#VALUE!</v>
      </c>
      <c r="BP125" t="e">
        <f>AND('BBP complete'!S636,"AAAAAHq3/UM=")</f>
        <v>#VALUE!</v>
      </c>
      <c r="BQ125" t="e">
        <f>AND('BBP complete'!Q637,"AAAAAHq3/UQ=")</f>
        <v>#VALUE!</v>
      </c>
      <c r="BR125" t="e">
        <f>AND('BBP complete'!R637,"AAAAAHq3/UU=")</f>
        <v>#VALUE!</v>
      </c>
      <c r="BS125" t="e">
        <f>AND('BBP complete'!S637,"AAAAAHq3/UY=")</f>
        <v>#VALUE!</v>
      </c>
      <c r="BT125" t="e">
        <f>AND('BBP complete'!Q638,"AAAAAHq3/Uc=")</f>
        <v>#VALUE!</v>
      </c>
      <c r="BU125" t="e">
        <f>AND('BBP complete'!R638,"AAAAAHq3/Ug=")</f>
        <v>#VALUE!</v>
      </c>
      <c r="BV125" t="e">
        <f>AND('BBP complete'!S638,"AAAAAHq3/Uk=")</f>
        <v>#VALUE!</v>
      </c>
      <c r="BW125" t="e">
        <f>AND('BBP complete'!Q639,"AAAAAHq3/Uo=")</f>
        <v>#VALUE!</v>
      </c>
      <c r="BX125" t="e">
        <f>AND('BBP complete'!R639,"AAAAAHq3/Us=")</f>
        <v>#VALUE!</v>
      </c>
      <c r="BY125" t="e">
        <f>AND('BBP complete'!S639,"AAAAAHq3/Uw=")</f>
        <v>#VALUE!</v>
      </c>
      <c r="BZ125" t="e">
        <f>AND('BBP complete'!Q640,"AAAAAHq3/U0=")</f>
        <v>#VALUE!</v>
      </c>
      <c r="CA125" t="e">
        <f>AND('BBP complete'!R640,"AAAAAHq3/U4=")</f>
        <v>#VALUE!</v>
      </c>
      <c r="CB125" t="e">
        <f>AND('BBP complete'!S640,"AAAAAHq3/U8=")</f>
        <v>#VALUE!</v>
      </c>
      <c r="CC125" t="e">
        <f>AND('BBP complete'!Q641,"AAAAAHq3/VA=")</f>
        <v>#VALUE!</v>
      </c>
      <c r="CD125" t="e">
        <f>AND('BBP complete'!R641,"AAAAAHq3/VE=")</f>
        <v>#VALUE!</v>
      </c>
      <c r="CE125" t="e">
        <f>AND('BBP complete'!S641,"AAAAAHq3/VI=")</f>
        <v>#VALUE!</v>
      </c>
      <c r="CF125" t="e">
        <f>AND('BBP complete'!Q642,"AAAAAHq3/VM=")</f>
        <v>#VALUE!</v>
      </c>
      <c r="CG125" t="e">
        <f>AND('BBP complete'!R642,"AAAAAHq3/VQ=")</f>
        <v>#VALUE!</v>
      </c>
      <c r="CH125" t="e">
        <f>AND('BBP complete'!S642,"AAAAAHq3/VU=")</f>
        <v>#VALUE!</v>
      </c>
      <c r="CI125" t="e">
        <f>AND('BBP complete'!Q643,"AAAAAHq3/VY=")</f>
        <v>#VALUE!</v>
      </c>
      <c r="CJ125" t="e">
        <f>AND('BBP complete'!R643,"AAAAAHq3/Vc=")</f>
        <v>#VALUE!</v>
      </c>
      <c r="CK125" t="e">
        <f>AND('BBP complete'!S643,"AAAAAHq3/Vg=")</f>
        <v>#VALUE!</v>
      </c>
      <c r="CL125" t="e">
        <f>AND('BBP complete'!Q644,"AAAAAHq3/Vk=")</f>
        <v>#VALUE!</v>
      </c>
      <c r="CM125" t="e">
        <f>AND('BBP complete'!R644,"AAAAAHq3/Vo=")</f>
        <v>#VALUE!</v>
      </c>
      <c r="CN125" t="e">
        <f>AND('BBP complete'!S644,"AAAAAHq3/Vs=")</f>
        <v>#VALUE!</v>
      </c>
      <c r="CO125" t="e">
        <f>AND('BBP complete'!Q645,"AAAAAHq3/Vw=")</f>
        <v>#VALUE!</v>
      </c>
      <c r="CP125" t="e">
        <f>AND('BBP complete'!R645,"AAAAAHq3/V0=")</f>
        <v>#VALUE!</v>
      </c>
      <c r="CQ125" t="e">
        <f>AND('BBP complete'!S645,"AAAAAHq3/V4=")</f>
        <v>#VALUE!</v>
      </c>
      <c r="CR125" t="e">
        <f>AND('BBP complete'!Q646,"AAAAAHq3/V8=")</f>
        <v>#VALUE!</v>
      </c>
      <c r="CS125" t="e">
        <f>AND('BBP complete'!R646,"AAAAAHq3/WA=")</f>
        <v>#VALUE!</v>
      </c>
      <c r="CT125" t="e">
        <f>AND('BBP complete'!S646,"AAAAAHq3/WE=")</f>
        <v>#VALUE!</v>
      </c>
      <c r="CU125" t="e">
        <f>AND('BBP complete'!Q647,"AAAAAHq3/WI=")</f>
        <v>#VALUE!</v>
      </c>
      <c r="CV125" t="e">
        <f>AND('BBP complete'!R647,"AAAAAHq3/WM=")</f>
        <v>#VALUE!</v>
      </c>
      <c r="CW125" t="e">
        <f>AND('BBP complete'!S647,"AAAAAHq3/WQ=")</f>
        <v>#VALUE!</v>
      </c>
      <c r="CX125" t="e">
        <f>AND('BBP complete'!Q648,"AAAAAHq3/WU=")</f>
        <v>#VALUE!</v>
      </c>
      <c r="CY125" t="e">
        <f>AND('BBP complete'!R648,"AAAAAHq3/WY=")</f>
        <v>#VALUE!</v>
      </c>
      <c r="CZ125" t="e">
        <f>AND('BBP complete'!S648,"AAAAAHq3/Wc=")</f>
        <v>#VALUE!</v>
      </c>
      <c r="DA125" t="e">
        <f>AND('BBP complete'!Q649,"AAAAAHq3/Wg=")</f>
        <v>#VALUE!</v>
      </c>
      <c r="DB125" t="e">
        <f>AND('BBP complete'!R649,"AAAAAHq3/Wk=")</f>
        <v>#VALUE!</v>
      </c>
      <c r="DC125" t="e">
        <f>AND('BBP complete'!S649,"AAAAAHq3/Wo=")</f>
        <v>#VALUE!</v>
      </c>
      <c r="DD125" t="e">
        <f>AND('BBP complete'!Q650,"AAAAAHq3/Ws=")</f>
        <v>#VALUE!</v>
      </c>
      <c r="DE125" t="e">
        <f>AND('BBP complete'!R650,"AAAAAHq3/Ww=")</f>
        <v>#VALUE!</v>
      </c>
      <c r="DF125" t="e">
        <f>AND('BBP complete'!S650,"AAAAAHq3/W0=")</f>
        <v>#VALUE!</v>
      </c>
      <c r="DG125" t="e">
        <f>AND('BBP complete'!Q651,"AAAAAHq3/W4=")</f>
        <v>#VALUE!</v>
      </c>
      <c r="DH125" t="e">
        <f>AND('BBP complete'!R651,"AAAAAHq3/W8=")</f>
        <v>#VALUE!</v>
      </c>
      <c r="DI125" t="e">
        <f>AND('BBP complete'!S651,"AAAAAHq3/XA=")</f>
        <v>#VALUE!</v>
      </c>
      <c r="DJ125" t="e">
        <f>AND('BBP complete'!Q652,"AAAAAHq3/XE=")</f>
        <v>#VALUE!</v>
      </c>
      <c r="DK125" t="e">
        <f>AND('BBP complete'!R652,"AAAAAHq3/XI=")</f>
        <v>#VALUE!</v>
      </c>
      <c r="DL125" t="e">
        <f>AND('BBP complete'!S652,"AAAAAHq3/XM=")</f>
        <v>#VALUE!</v>
      </c>
      <c r="DM125" t="e">
        <f>AND('BBP complete'!Q653,"AAAAAHq3/XQ=")</f>
        <v>#VALUE!</v>
      </c>
      <c r="DN125" t="e">
        <f>AND('BBP complete'!R653,"AAAAAHq3/XU=")</f>
        <v>#VALUE!</v>
      </c>
      <c r="DO125" t="e">
        <f>AND('BBP complete'!S653,"AAAAAHq3/XY=")</f>
        <v>#VALUE!</v>
      </c>
      <c r="DP125" t="e">
        <f>AND('BBP complete'!Q654,"AAAAAHq3/Xc=")</f>
        <v>#VALUE!</v>
      </c>
      <c r="DQ125" t="e">
        <f>AND('BBP complete'!R654,"AAAAAHq3/Xg=")</f>
        <v>#VALUE!</v>
      </c>
      <c r="DR125" t="e">
        <f>AND('BBP complete'!S654,"AAAAAHq3/Xk=")</f>
        <v>#VALUE!</v>
      </c>
      <c r="DS125" t="e">
        <f>AND('BBP complete'!Q655,"AAAAAHq3/Xo=")</f>
        <v>#VALUE!</v>
      </c>
      <c r="DT125" t="e">
        <f>AND('BBP complete'!R655,"AAAAAHq3/Xs=")</f>
        <v>#VALUE!</v>
      </c>
      <c r="DU125" t="e">
        <f>AND('BBP complete'!S655,"AAAAAHq3/Xw=")</f>
        <v>#VALUE!</v>
      </c>
      <c r="DV125" t="e">
        <f>AND('BBP complete'!Q656,"AAAAAHq3/X0=")</f>
        <v>#VALUE!</v>
      </c>
      <c r="DW125" t="e">
        <f>AND('BBP complete'!#REF!,"AAAAAHq3/X4=")</f>
        <v>#REF!</v>
      </c>
      <c r="DX125" t="e">
        <f>AND('BBP complete'!#REF!,"AAAAAHq3/X8=")</f>
        <v>#REF!</v>
      </c>
      <c r="DY125" t="e">
        <f>AND('BBP complete'!#REF!,"AAAAAHq3/YA=")</f>
        <v>#REF!</v>
      </c>
      <c r="DZ125" t="e">
        <f>AND('BBP complete'!S656,"AAAAAHq3/YE=")</f>
        <v>#VALUE!</v>
      </c>
      <c r="EA125" t="e">
        <f>AND('BBP complete'!R656,"AAAAAHq3/YI=")</f>
        <v>#VALUE!</v>
      </c>
      <c r="EB125" t="e">
        <f>AND('BBP complete'!#REF!,"AAAAAHq3/YM=")</f>
        <v>#REF!</v>
      </c>
      <c r="EC125" t="e">
        <f>AND('BBP complete'!S658,"AAAAAHq3/YQ=")</f>
        <v>#VALUE!</v>
      </c>
      <c r="ED125" t="e">
        <f>AND('BBP complete'!R658,"AAAAAHq3/YU=")</f>
        <v>#VALUE!</v>
      </c>
      <c r="EE125" t="e">
        <f>AND('BBP complete'!Q659,"AAAAAHq3/YY=")</f>
        <v>#VALUE!</v>
      </c>
      <c r="EF125" t="e">
        <f>AND('BBP complete'!#REF!,"AAAAAHq3/Yc=")</f>
        <v>#REF!</v>
      </c>
      <c r="EG125" t="e">
        <f>AND('BBP complete'!#REF!,"AAAAAHq3/Yg=")</f>
        <v>#REF!</v>
      </c>
      <c r="EH125" t="e">
        <f>AND('BBP complete'!Q660,"AAAAAHq3/Yk=")</f>
        <v>#VALUE!</v>
      </c>
      <c r="EI125" t="e">
        <f>AND('BBP complete'!R660,"AAAAAHq3/Yo=")</f>
        <v>#VALUE!</v>
      </c>
      <c r="EJ125" t="e">
        <f>AND('BBP complete'!S660,"AAAAAHq3/Ys=")</f>
        <v>#VALUE!</v>
      </c>
      <c r="EK125" t="e">
        <f>AND('BBP complete'!Q662,"AAAAAHq3/Yw=")</f>
        <v>#VALUE!</v>
      </c>
      <c r="EL125" t="e">
        <f>AND('BBP complete'!R662,"AAAAAHq3/Y0=")</f>
        <v>#VALUE!</v>
      </c>
      <c r="EM125" t="e">
        <f>AND('BBP complete'!S662,"AAAAAHq3/Y4=")</f>
        <v>#VALUE!</v>
      </c>
      <c r="EN125" t="e">
        <f>AND('BBP complete'!Q665,"AAAAAHq3/Y8=")</f>
        <v>#VALUE!</v>
      </c>
      <c r="EO125" t="e">
        <f>AND('BBP complete'!#REF!,"AAAAAHq3/ZA=")</f>
        <v>#REF!</v>
      </c>
      <c r="EP125" t="e">
        <f>AND('BBP complete'!R665,"AAAAAHq3/ZE=")</f>
        <v>#VALUE!</v>
      </c>
      <c r="EQ125" t="e">
        <f>AND('BBP complete'!Q666,"AAAAAHq3/ZI=")</f>
        <v>#VALUE!</v>
      </c>
      <c r="ER125" t="e">
        <f>AND('BBP complete'!R666,"AAAAAHq3/ZM=")</f>
        <v>#VALUE!</v>
      </c>
      <c r="ES125" t="e">
        <f>AND('BBP complete'!S666,"AAAAAHq3/ZQ=")</f>
        <v>#VALUE!</v>
      </c>
      <c r="ET125" t="e">
        <f>AND('BBP complete'!#REF!,"AAAAAHq3/ZU=")</f>
        <v>#REF!</v>
      </c>
      <c r="EU125" t="e">
        <f>AND('BBP complete'!#REF!,"AAAAAHq3/ZY=")</f>
        <v>#REF!</v>
      </c>
      <c r="EV125" t="e">
        <f>AND('BBP complete'!#REF!,"AAAAAHq3/Zc=")</f>
        <v>#REF!</v>
      </c>
      <c r="EW125" t="e">
        <f>AND('BBP complete'!Q667,"AAAAAHq3/Zg=")</f>
        <v>#VALUE!</v>
      </c>
      <c r="EX125" t="e">
        <f>AND('BBP complete'!R667,"AAAAAHq3/Zk=")</f>
        <v>#VALUE!</v>
      </c>
      <c r="EY125" t="e">
        <f>AND('BBP complete'!S667,"AAAAAHq3/Zo=")</f>
        <v>#VALUE!</v>
      </c>
      <c r="EZ125" t="e">
        <f>AND('BBP complete'!N660,"AAAAAHq3/Zs=")</f>
        <v>#VALUE!</v>
      </c>
      <c r="FA125" t="e">
        <f>AND('BBP complete'!R668,"AAAAAHq3/Zw=")</f>
        <v>#VALUE!</v>
      </c>
      <c r="FB125" t="e">
        <f>AND('BBP complete'!S668,"AAAAAHq3/Z0=")</f>
        <v>#VALUE!</v>
      </c>
      <c r="FC125" t="e">
        <f>AND('BBP complete'!Q669,"AAAAAHq3/Z4=")</f>
        <v>#VALUE!</v>
      </c>
      <c r="FD125" t="e">
        <f>AND('BBP complete'!R669,"AAAAAHq3/Z8=")</f>
        <v>#VALUE!</v>
      </c>
      <c r="FE125" t="e">
        <f>AND('BBP complete'!S669,"AAAAAHq3/aA=")</f>
        <v>#VALUE!</v>
      </c>
      <c r="FF125" t="e">
        <f>AND('BBP complete'!Q670,"AAAAAHq3/aE=")</f>
        <v>#VALUE!</v>
      </c>
      <c r="FG125" t="e">
        <f>AND('BBP complete'!R670,"AAAAAHq3/aI=")</f>
        <v>#VALUE!</v>
      </c>
      <c r="FH125" t="e">
        <f>AND('BBP complete'!S670,"AAAAAHq3/aM=")</f>
        <v>#VALUE!</v>
      </c>
      <c r="FI125" t="e">
        <f>AND('BBP complete'!Q671,"AAAAAHq3/aQ=")</f>
        <v>#VALUE!</v>
      </c>
      <c r="FJ125" t="e">
        <f>AND('BBP complete'!R671,"AAAAAHq3/aU=")</f>
        <v>#VALUE!</v>
      </c>
      <c r="FK125" t="e">
        <f>AND('BBP complete'!S671,"AAAAAHq3/aY=")</f>
        <v>#VALUE!</v>
      </c>
      <c r="FL125" t="e">
        <f>AND('BBP complete'!Q673,"AAAAAHq3/ac=")</f>
        <v>#VALUE!</v>
      </c>
      <c r="FM125" t="e">
        <f>AND('BBP complete'!R673,"AAAAAHq3/ag=")</f>
        <v>#VALUE!</v>
      </c>
      <c r="FN125" t="e">
        <f>AND('BBP complete'!S673,"AAAAAHq3/ak=")</f>
        <v>#VALUE!</v>
      </c>
      <c r="FO125" t="e">
        <f>AND('BBP complete'!Q674,"AAAAAHq3/ao=")</f>
        <v>#VALUE!</v>
      </c>
      <c r="FP125" t="e">
        <f>AND('BBP complete'!R674,"AAAAAHq3/as=")</f>
        <v>#VALUE!</v>
      </c>
      <c r="FQ125" t="e">
        <f>AND('BBP complete'!S674,"AAAAAHq3/aw=")</f>
        <v>#VALUE!</v>
      </c>
      <c r="FR125" t="e">
        <f>AND('BBP complete'!#REF!,"AAAAAHq3/a0=")</f>
        <v>#REF!</v>
      </c>
      <c r="FS125" t="e">
        <f>AND('BBP complete'!#REF!,"AAAAAHq3/a4=")</f>
        <v>#REF!</v>
      </c>
      <c r="FT125" t="e">
        <f>AND('BBP complete'!#REF!,"AAAAAHq3/a8=")</f>
        <v>#REF!</v>
      </c>
      <c r="FU125" t="e">
        <f>AND('BBP complete'!Q676,"AAAAAHq3/bA=")</f>
        <v>#VALUE!</v>
      </c>
      <c r="FV125" t="e">
        <f>AND('BBP complete'!R676,"AAAAAHq3/bE=")</f>
        <v>#VALUE!</v>
      </c>
      <c r="FW125" t="e">
        <f>AND('BBP complete'!S676,"AAAAAHq3/bI=")</f>
        <v>#VALUE!</v>
      </c>
      <c r="FX125" t="e">
        <f>AND('BBP complete'!Q677,"AAAAAHq3/bM=")</f>
        <v>#VALUE!</v>
      </c>
      <c r="FY125" t="e">
        <f>AND('BBP complete'!R677,"AAAAAHq3/bQ=")</f>
        <v>#VALUE!</v>
      </c>
      <c r="FZ125" t="e">
        <f>AND('BBP complete'!S677,"AAAAAHq3/bU=")</f>
        <v>#VALUE!</v>
      </c>
      <c r="GA125" t="e">
        <f>AND('BBP complete'!Q678,"AAAAAHq3/bY=")</f>
        <v>#VALUE!</v>
      </c>
      <c r="GB125" t="e">
        <f>AND('BBP complete'!R678,"AAAAAHq3/bc=")</f>
        <v>#VALUE!</v>
      </c>
      <c r="GC125" t="e">
        <f>AND('BBP complete'!S678,"AAAAAHq3/bg=")</f>
        <v>#VALUE!</v>
      </c>
      <c r="GD125" t="e">
        <f>AND('BBP complete'!Q680,"AAAAAHq3/bk=")</f>
        <v>#VALUE!</v>
      </c>
      <c r="GE125" t="e">
        <f>AND('BBP complete'!R680,"AAAAAHq3/bo=")</f>
        <v>#VALUE!</v>
      </c>
      <c r="GF125" t="e">
        <f>AND('BBP complete'!S679,"AAAAAHq3/bs=")</f>
        <v>#VALUE!</v>
      </c>
      <c r="GG125" t="e">
        <f>AND('BBP complete'!Q681,"AAAAAHq3/bw=")</f>
        <v>#VALUE!</v>
      </c>
      <c r="GH125" t="e">
        <f>AND('BBP complete'!R681,"AAAAAHq3/b0=")</f>
        <v>#VALUE!</v>
      </c>
      <c r="GI125" t="e">
        <f>AND('BBP complete'!S680,"AAAAAHq3/b4=")</f>
        <v>#VALUE!</v>
      </c>
      <c r="GJ125" t="e">
        <f>AND('BBP complete'!#REF!,"AAAAAHq3/b8=")</f>
        <v>#REF!</v>
      </c>
      <c r="GK125" t="e">
        <f>AND('BBP complete'!#REF!,"AAAAAHq3/cA=")</f>
        <v>#REF!</v>
      </c>
      <c r="GL125" t="e">
        <f>AND('BBP complete'!S681,"AAAAAHq3/cE=")</f>
        <v>#VALUE!</v>
      </c>
      <c r="GM125" t="e">
        <f>AND('BBP complete'!#REF!,"AAAAAHq3/cI=")</f>
        <v>#REF!</v>
      </c>
      <c r="GN125" t="e">
        <f>AND('BBP complete'!#REF!,"AAAAAHq3/cM=")</f>
        <v>#REF!</v>
      </c>
      <c r="GO125" t="e">
        <f>AND('BBP complete'!#REF!,"AAAAAHq3/cQ=")</f>
        <v>#REF!</v>
      </c>
      <c r="GP125" t="e">
        <f>AND('BBP complete'!Q682,"AAAAAHq3/cU=")</f>
        <v>#VALUE!</v>
      </c>
      <c r="GQ125" t="e">
        <f>AND('BBP complete'!R682,"AAAAAHq3/cY=")</f>
        <v>#VALUE!</v>
      </c>
      <c r="GR125" t="e">
        <f>AND('BBP complete'!S682,"AAAAAHq3/cc=")</f>
        <v>#VALUE!</v>
      </c>
      <c r="GS125" t="e">
        <f>AND('BBP complete'!Q683,"AAAAAHq3/cg=")</f>
        <v>#VALUE!</v>
      </c>
      <c r="GT125" t="e">
        <f>AND('BBP complete'!R683,"AAAAAHq3/ck=")</f>
        <v>#VALUE!</v>
      </c>
      <c r="GU125" t="e">
        <f>AND('BBP complete'!S683,"AAAAAHq3/co=")</f>
        <v>#VALUE!</v>
      </c>
      <c r="GV125" t="e">
        <f>AND('BBP complete'!Q684,"AAAAAHq3/cs=")</f>
        <v>#VALUE!</v>
      </c>
      <c r="GW125" t="e">
        <f>AND('BBP complete'!R684,"AAAAAHq3/cw=")</f>
        <v>#VALUE!</v>
      </c>
      <c r="GX125" t="e">
        <f>AND('BBP complete'!S684,"AAAAAHq3/c0=")</f>
        <v>#VALUE!</v>
      </c>
      <c r="GY125" t="e">
        <f>AND('BBP complete'!#REF!,"AAAAAHq3/c4=")</f>
        <v>#REF!</v>
      </c>
      <c r="GZ125" t="e">
        <f>AND('BBP complete'!#REF!,"AAAAAHq3/c8=")</f>
        <v>#REF!</v>
      </c>
      <c r="HA125" t="e">
        <f>AND('BBP complete'!#REF!,"AAAAAHq3/dA=")</f>
        <v>#REF!</v>
      </c>
      <c r="HB125" t="e">
        <f>AND('BBP complete'!Q685,"AAAAAHq3/dE=")</f>
        <v>#VALUE!</v>
      </c>
      <c r="HC125" t="e">
        <f>AND('BBP complete'!R685,"AAAAAHq3/dI=")</f>
        <v>#VALUE!</v>
      </c>
      <c r="HD125" t="e">
        <f>AND('BBP complete'!S685,"AAAAAHq3/dM=")</f>
        <v>#VALUE!</v>
      </c>
      <c r="HE125" t="e">
        <f>AND('BBP complete'!Q686,"AAAAAHq3/dQ=")</f>
        <v>#VALUE!</v>
      </c>
      <c r="HF125" t="e">
        <f>AND('BBP complete'!R686,"AAAAAHq3/dU=")</f>
        <v>#VALUE!</v>
      </c>
      <c r="HG125" t="e">
        <f>AND('BBP complete'!S686,"AAAAAHq3/dY=")</f>
        <v>#VALUE!</v>
      </c>
      <c r="HH125" t="e">
        <f>AND('BBP complete'!Q687,"AAAAAHq3/dc=")</f>
        <v>#VALUE!</v>
      </c>
      <c r="HI125" t="e">
        <f>AND('BBP complete'!R687,"AAAAAHq3/dg=")</f>
        <v>#VALUE!</v>
      </c>
      <c r="HJ125" t="e">
        <f>AND('BBP complete'!S687,"AAAAAHq3/dk=")</f>
        <v>#VALUE!</v>
      </c>
      <c r="HK125" t="e">
        <f>AND('BBP complete'!Q688,"AAAAAHq3/do=")</f>
        <v>#VALUE!</v>
      </c>
      <c r="HL125" t="e">
        <f>AND('BBP complete'!R688,"AAAAAHq3/ds=")</f>
        <v>#VALUE!</v>
      </c>
      <c r="HM125" t="e">
        <f>AND('BBP complete'!S688,"AAAAAHq3/dw=")</f>
        <v>#VALUE!</v>
      </c>
      <c r="HN125" t="e">
        <f>AND('BBP complete'!Q689,"AAAAAHq3/d0=")</f>
        <v>#VALUE!</v>
      </c>
      <c r="HO125" t="e">
        <f>AND('BBP complete'!R689,"AAAAAHq3/d4=")</f>
        <v>#VALUE!</v>
      </c>
      <c r="HP125" t="e">
        <f>AND('BBP complete'!S689,"AAAAAHq3/d8=")</f>
        <v>#VALUE!</v>
      </c>
      <c r="HQ125" t="e">
        <f>AND('BBP complete'!Q690,"AAAAAHq3/eA=")</f>
        <v>#VALUE!</v>
      </c>
      <c r="HR125" t="e">
        <f>AND('BBP complete'!R690,"AAAAAHq3/eE=")</f>
        <v>#VALUE!</v>
      </c>
      <c r="HS125" t="e">
        <f>AND('BBP complete'!S690,"AAAAAHq3/eI=")</f>
        <v>#VALUE!</v>
      </c>
      <c r="HT125" t="e">
        <f>AND('BBP complete'!Q691,"AAAAAHq3/eM=")</f>
        <v>#VALUE!</v>
      </c>
      <c r="HU125" t="e">
        <f>AND('BBP complete'!R691,"AAAAAHq3/eQ=")</f>
        <v>#VALUE!</v>
      </c>
      <c r="HV125" t="e">
        <f>AND('BBP complete'!S691,"AAAAAHq3/eU=")</f>
        <v>#VALUE!</v>
      </c>
      <c r="HW125" t="e">
        <f>AND('BBP complete'!Q692,"AAAAAHq3/eY=")</f>
        <v>#VALUE!</v>
      </c>
      <c r="HX125" t="e">
        <f>AND('BBP complete'!R692,"AAAAAHq3/ec=")</f>
        <v>#VALUE!</v>
      </c>
      <c r="HY125" t="e">
        <f>AND('BBP complete'!S692,"AAAAAHq3/eg=")</f>
        <v>#VALUE!</v>
      </c>
      <c r="HZ125" t="e">
        <f>AND('BBP complete'!Q693,"AAAAAHq3/ek=")</f>
        <v>#VALUE!</v>
      </c>
      <c r="IA125" t="e">
        <f>AND('BBP complete'!R693,"AAAAAHq3/eo=")</f>
        <v>#VALUE!</v>
      </c>
      <c r="IB125" t="e">
        <f>AND('BBP complete'!S693,"AAAAAHq3/es=")</f>
        <v>#VALUE!</v>
      </c>
      <c r="IC125" t="e">
        <f>AND('BBP complete'!Q694,"AAAAAHq3/ew=")</f>
        <v>#VALUE!</v>
      </c>
      <c r="ID125" t="e">
        <f>AND('BBP complete'!R694,"AAAAAHq3/e0=")</f>
        <v>#VALUE!</v>
      </c>
      <c r="IE125" t="e">
        <f>AND('BBP complete'!S694,"AAAAAHq3/e4=")</f>
        <v>#VALUE!</v>
      </c>
      <c r="IF125" t="e">
        <f>AND('BBP complete'!Q695,"AAAAAHq3/e8=")</f>
        <v>#VALUE!</v>
      </c>
      <c r="IG125" t="e">
        <f>AND('BBP complete'!R695,"AAAAAHq3/fA=")</f>
        <v>#VALUE!</v>
      </c>
      <c r="IH125" t="e">
        <f>AND('BBP complete'!S695,"AAAAAHq3/fE=")</f>
        <v>#VALUE!</v>
      </c>
      <c r="II125" t="e">
        <f>AND('BBP complete'!Q696,"AAAAAHq3/fI=")</f>
        <v>#VALUE!</v>
      </c>
      <c r="IJ125" t="e">
        <f>AND('BBP complete'!R696,"AAAAAHq3/fM=")</f>
        <v>#VALUE!</v>
      </c>
      <c r="IK125" t="e">
        <f>AND('BBP complete'!S696,"AAAAAHq3/fQ=")</f>
        <v>#VALUE!</v>
      </c>
      <c r="IL125" t="e">
        <f>AND('BBP complete'!Q697,"AAAAAHq3/fU=")</f>
        <v>#VALUE!</v>
      </c>
      <c r="IM125" t="e">
        <f>AND('BBP complete'!R697,"AAAAAHq3/fY=")</f>
        <v>#VALUE!</v>
      </c>
      <c r="IN125" t="e">
        <f>AND('BBP complete'!S697,"AAAAAHq3/fc=")</f>
        <v>#VALUE!</v>
      </c>
      <c r="IO125" t="e">
        <f>AND('BBP complete'!Q698,"AAAAAHq3/fg=")</f>
        <v>#VALUE!</v>
      </c>
      <c r="IP125" t="e">
        <f>AND('BBP complete'!R698,"AAAAAHq3/fk=")</f>
        <v>#VALUE!</v>
      </c>
      <c r="IQ125" t="e">
        <f>AND('BBP complete'!S698,"AAAAAHq3/fo=")</f>
        <v>#VALUE!</v>
      </c>
      <c r="IR125" t="e">
        <f>AND('BBP complete'!Q699,"AAAAAHq3/fs=")</f>
        <v>#VALUE!</v>
      </c>
      <c r="IS125" t="e">
        <f>AND('BBP complete'!R699,"AAAAAHq3/fw=")</f>
        <v>#VALUE!</v>
      </c>
      <c r="IT125" t="e">
        <f>AND('BBP complete'!S699,"AAAAAHq3/f0=")</f>
        <v>#VALUE!</v>
      </c>
      <c r="IU125" t="e">
        <f>AND('BBP complete'!Q700,"AAAAAHq3/f4=")</f>
        <v>#VALUE!</v>
      </c>
      <c r="IV125" t="e">
        <f>AND('BBP complete'!R700,"AAAAAHq3/f8=")</f>
        <v>#VALUE!</v>
      </c>
    </row>
    <row r="126" spans="1:256" ht="15" customHeight="1" x14ac:dyDescent="0.25">
      <c r="A126" t="e">
        <f>AND('BBP complete'!S700,"AAAAAHvnlgA=")</f>
        <v>#VALUE!</v>
      </c>
      <c r="B126" t="e">
        <f>AND('BBP complete'!Q701,"AAAAAHvnlgE=")</f>
        <v>#VALUE!</v>
      </c>
      <c r="C126" t="e">
        <f>AND('BBP complete'!R701,"AAAAAHvnlgI=")</f>
        <v>#VALUE!</v>
      </c>
      <c r="D126" t="e">
        <f>AND('BBP complete'!S701,"AAAAAHvnlgM=")</f>
        <v>#VALUE!</v>
      </c>
      <c r="E126" t="e">
        <f>AND('BBP complete'!Q702,"AAAAAHvnlgQ=")</f>
        <v>#VALUE!</v>
      </c>
      <c r="F126" t="e">
        <f>AND('BBP complete'!R702,"AAAAAHvnlgU=")</f>
        <v>#VALUE!</v>
      </c>
      <c r="G126" t="e">
        <f>AND('BBP complete'!S702,"AAAAAHvnlgY=")</f>
        <v>#VALUE!</v>
      </c>
      <c r="H126" t="e">
        <f>AND('BBP complete'!Q703,"AAAAAHvnlgc=")</f>
        <v>#VALUE!</v>
      </c>
      <c r="I126" t="e">
        <f>AND('BBP complete'!R703,"AAAAAHvnlgg=")</f>
        <v>#VALUE!</v>
      </c>
      <c r="J126" t="e">
        <f>AND('BBP complete'!S703,"AAAAAHvnlgk=")</f>
        <v>#VALUE!</v>
      </c>
      <c r="K126" t="e">
        <f>AND('BBP complete'!Q704,"AAAAAHvnlgo=")</f>
        <v>#VALUE!</v>
      </c>
      <c r="L126" t="e">
        <f>AND('BBP complete'!R704,"AAAAAHvnlgs=")</f>
        <v>#VALUE!</v>
      </c>
      <c r="M126" t="e">
        <f>AND('BBP complete'!S704,"AAAAAHvnlgw=")</f>
        <v>#VALUE!</v>
      </c>
      <c r="N126" t="e">
        <f>AND('BBP complete'!Q705,"AAAAAHvnlg0=")</f>
        <v>#VALUE!</v>
      </c>
      <c r="O126" t="e">
        <f>AND('BBP complete'!R705,"AAAAAHvnlg4=")</f>
        <v>#VALUE!</v>
      </c>
      <c r="P126" t="e">
        <f>AND('BBP complete'!S705,"AAAAAHvnlg8=")</f>
        <v>#VALUE!</v>
      </c>
      <c r="Q126" t="e">
        <f>AND('BBP complete'!Q706,"AAAAAHvnlhA=")</f>
        <v>#VALUE!</v>
      </c>
      <c r="R126" t="e">
        <f>AND('BBP complete'!R706,"AAAAAHvnlhE=")</f>
        <v>#VALUE!</v>
      </c>
      <c r="S126" t="e">
        <f>AND('BBP complete'!S706,"AAAAAHvnlhI=")</f>
        <v>#VALUE!</v>
      </c>
      <c r="T126" t="e">
        <f>AND('BBP complete'!Q707,"AAAAAHvnlhM=")</f>
        <v>#VALUE!</v>
      </c>
      <c r="U126" t="e">
        <f>AND('BBP complete'!R707,"AAAAAHvnlhQ=")</f>
        <v>#VALUE!</v>
      </c>
      <c r="V126" t="e">
        <f>AND('BBP complete'!S707,"AAAAAHvnlhU=")</f>
        <v>#VALUE!</v>
      </c>
      <c r="W126" t="e">
        <f>AND('BBP complete'!Q708,"AAAAAHvnlhY=")</f>
        <v>#VALUE!</v>
      </c>
      <c r="X126" t="e">
        <f>AND('BBP complete'!R708,"AAAAAHvnlhc=")</f>
        <v>#VALUE!</v>
      </c>
      <c r="Y126" t="e">
        <f>AND('BBP complete'!S708,"AAAAAHvnlhg=")</f>
        <v>#VALUE!</v>
      </c>
      <c r="Z126" t="e">
        <f>AND('BBP complete'!Q709,"AAAAAHvnlhk=")</f>
        <v>#VALUE!</v>
      </c>
      <c r="AA126" t="e">
        <f>AND('BBP complete'!R709,"AAAAAHvnlho=")</f>
        <v>#VALUE!</v>
      </c>
      <c r="AB126" t="e">
        <f>AND('BBP complete'!S709,"AAAAAHvnlhs=")</f>
        <v>#VALUE!</v>
      </c>
      <c r="AC126" t="e">
        <f>AND('BBP complete'!Q710,"AAAAAHvnlhw=")</f>
        <v>#VALUE!</v>
      </c>
      <c r="AD126" t="e">
        <f>AND('BBP complete'!R710,"AAAAAHvnlh0=")</f>
        <v>#VALUE!</v>
      </c>
      <c r="AE126" t="e">
        <f>AND('BBP complete'!S710,"AAAAAHvnlh4=")</f>
        <v>#VALUE!</v>
      </c>
      <c r="AF126" t="e">
        <f>AND('BBP complete'!Q711,"AAAAAHvnlh8=")</f>
        <v>#VALUE!</v>
      </c>
      <c r="AG126" t="e">
        <f>AND('BBP complete'!R711,"AAAAAHvnliA=")</f>
        <v>#VALUE!</v>
      </c>
      <c r="AH126" t="e">
        <f>AND('BBP complete'!S711,"AAAAAHvnliE=")</f>
        <v>#VALUE!</v>
      </c>
      <c r="AI126" t="e">
        <f>AND('BBP complete'!Q712,"AAAAAHvnliI=")</f>
        <v>#VALUE!</v>
      </c>
      <c r="AJ126" t="e">
        <f>AND('BBP complete'!R712,"AAAAAHvnliM=")</f>
        <v>#VALUE!</v>
      </c>
      <c r="AK126" t="e">
        <f>AND('BBP complete'!S712,"AAAAAHvnliQ=")</f>
        <v>#VALUE!</v>
      </c>
      <c r="AL126" t="e">
        <f>AND('BBP complete'!Q713,"AAAAAHvnliU=")</f>
        <v>#VALUE!</v>
      </c>
      <c r="AM126" t="e">
        <f>AND('BBP complete'!R713,"AAAAAHvnliY=")</f>
        <v>#VALUE!</v>
      </c>
      <c r="AN126" t="e">
        <f>AND('BBP complete'!S713,"AAAAAHvnlic=")</f>
        <v>#VALUE!</v>
      </c>
      <c r="AO126" t="e">
        <f>AND('BBP complete'!Q714,"AAAAAHvnlig=")</f>
        <v>#VALUE!</v>
      </c>
      <c r="AP126" t="e">
        <f>AND('BBP complete'!R714,"AAAAAHvnlik=")</f>
        <v>#VALUE!</v>
      </c>
      <c r="AQ126" t="e">
        <f>AND('BBP complete'!S714,"AAAAAHvnlio=")</f>
        <v>#VALUE!</v>
      </c>
      <c r="AR126" t="e">
        <f>AND('BBP complete'!Q715,"AAAAAHvnlis=")</f>
        <v>#VALUE!</v>
      </c>
      <c r="AS126" t="e">
        <f>AND('BBP complete'!R715,"AAAAAHvnliw=")</f>
        <v>#VALUE!</v>
      </c>
      <c r="AT126" t="e">
        <f>AND('BBP complete'!S715,"AAAAAHvnli0=")</f>
        <v>#VALUE!</v>
      </c>
      <c r="AU126" t="e">
        <f>AND('BBP complete'!#REF!,"AAAAAHvnli4=")</f>
        <v>#REF!</v>
      </c>
      <c r="AV126" t="e">
        <f>AND('BBP complete'!R716,"AAAAAHvnli8=")</f>
        <v>#VALUE!</v>
      </c>
      <c r="AW126" t="e">
        <f>AND('BBP complete'!S716,"AAAAAHvnljA=")</f>
        <v>#VALUE!</v>
      </c>
      <c r="AX126" t="e">
        <f>AND('BBP complete'!N707,"AAAAAHvnljE=")</f>
        <v>#VALUE!</v>
      </c>
      <c r="AY126" t="e">
        <f>AND('BBP complete'!R717,"AAAAAHvnljI=")</f>
        <v>#VALUE!</v>
      </c>
      <c r="AZ126" t="e">
        <f>AND('BBP complete'!S717,"AAAAAHvnljM=")</f>
        <v>#VALUE!</v>
      </c>
      <c r="BA126" t="e">
        <f>AND('BBP complete'!#REF!,"AAAAAHvnljQ=")</f>
        <v>#REF!</v>
      </c>
      <c r="BB126" t="e">
        <f>AND('BBP complete'!R718,"AAAAAHvnljU=")</f>
        <v>#VALUE!</v>
      </c>
      <c r="BC126" t="e">
        <f>AND('BBP complete'!S718,"AAAAAHvnljY=")</f>
        <v>#VALUE!</v>
      </c>
      <c r="BD126" t="e">
        <f>AND('BBP complete'!#REF!,"AAAAAHvnljc=")</f>
        <v>#REF!</v>
      </c>
      <c r="BE126" t="e">
        <f>AND('BBP complete'!R719,"AAAAAHvnljg=")</f>
        <v>#VALUE!</v>
      </c>
      <c r="BF126" t="e">
        <f>AND('BBP complete'!S719,"AAAAAHvnljk=")</f>
        <v>#VALUE!</v>
      </c>
      <c r="BG126" t="e">
        <f>AND('BBP complete'!Q720,"AAAAAHvnljo=")</f>
        <v>#VALUE!</v>
      </c>
      <c r="BH126" t="e">
        <f>AND('BBP complete'!R720,"AAAAAHvnljs=")</f>
        <v>#VALUE!</v>
      </c>
      <c r="BI126" t="e">
        <f>AND('BBP complete'!S720,"AAAAAHvnljw=")</f>
        <v>#VALUE!</v>
      </c>
      <c r="BJ126" t="e">
        <f>AND('BBP complete'!Q721,"AAAAAHvnlj0=")</f>
        <v>#VALUE!</v>
      </c>
      <c r="BK126" t="e">
        <f>AND('BBP complete'!R721,"AAAAAHvnlj4=")</f>
        <v>#VALUE!</v>
      </c>
      <c r="BL126" t="e">
        <f>AND('BBP complete'!S721,"AAAAAHvnlj8=")</f>
        <v>#VALUE!</v>
      </c>
      <c r="BM126" t="e">
        <f>AND('BBP complete'!Q722,"AAAAAHvnlkA=")</f>
        <v>#VALUE!</v>
      </c>
      <c r="BN126" t="e">
        <f>AND('BBP complete'!R722,"AAAAAHvnlkE=")</f>
        <v>#VALUE!</v>
      </c>
      <c r="BO126" t="e">
        <f>AND('BBP complete'!S722,"AAAAAHvnlkI=")</f>
        <v>#VALUE!</v>
      </c>
      <c r="BP126" t="e">
        <f>AND('BBP complete'!Q723,"AAAAAHvnlkM=")</f>
        <v>#VALUE!</v>
      </c>
      <c r="BQ126" t="e">
        <f>AND('BBP complete'!R723,"AAAAAHvnlkQ=")</f>
        <v>#VALUE!</v>
      </c>
      <c r="BR126" t="e">
        <f>AND('BBP complete'!S723,"AAAAAHvnlkU=")</f>
        <v>#VALUE!</v>
      </c>
      <c r="BS126" t="e">
        <f>AND('BBP complete'!Q724,"AAAAAHvnlkY=")</f>
        <v>#VALUE!</v>
      </c>
      <c r="BT126" t="e">
        <f>AND('BBP complete'!R724,"AAAAAHvnlkc=")</f>
        <v>#VALUE!</v>
      </c>
      <c r="BU126" t="e">
        <f>AND('BBP complete'!S724,"AAAAAHvnlkg=")</f>
        <v>#VALUE!</v>
      </c>
      <c r="BV126" t="e">
        <f>AND('BBP complete'!Q725,"AAAAAHvnlkk=")</f>
        <v>#VALUE!</v>
      </c>
      <c r="BW126" t="e">
        <f>AND('BBP complete'!R725,"AAAAAHvnlko=")</f>
        <v>#VALUE!</v>
      </c>
      <c r="BX126" t="e">
        <f>AND('BBP complete'!S725,"AAAAAHvnlks=")</f>
        <v>#VALUE!</v>
      </c>
      <c r="BY126" t="e">
        <f>AND('BBP complete'!Q726,"AAAAAHvnlkw=")</f>
        <v>#VALUE!</v>
      </c>
      <c r="BZ126" t="e">
        <f>AND('BBP complete'!R726,"AAAAAHvnlk0=")</f>
        <v>#VALUE!</v>
      </c>
      <c r="CA126" t="e">
        <f>AND('BBP complete'!S726,"AAAAAHvnlk4=")</f>
        <v>#VALUE!</v>
      </c>
      <c r="CB126" t="e">
        <f>AND('BBP complete'!Q727,"AAAAAHvnlk8=")</f>
        <v>#VALUE!</v>
      </c>
      <c r="CC126" t="e">
        <f>AND('BBP complete'!R727,"AAAAAHvnllA=")</f>
        <v>#VALUE!</v>
      </c>
      <c r="CD126" t="e">
        <f>AND('BBP complete'!S727,"AAAAAHvnllE=")</f>
        <v>#VALUE!</v>
      </c>
      <c r="CE126" t="e">
        <f>AND('BBP complete'!Q728,"AAAAAHvnllI=")</f>
        <v>#VALUE!</v>
      </c>
      <c r="CF126" t="e">
        <f>AND('BBP complete'!R728,"AAAAAHvnllM=")</f>
        <v>#VALUE!</v>
      </c>
      <c r="CG126" t="e">
        <f>AND('BBP complete'!S728,"AAAAAHvnllQ=")</f>
        <v>#VALUE!</v>
      </c>
      <c r="CH126" t="e">
        <f>AND('BBP complete'!Q729,"AAAAAHvnllU=")</f>
        <v>#VALUE!</v>
      </c>
      <c r="CI126" t="e">
        <f>AND('BBP complete'!R729,"AAAAAHvnllY=")</f>
        <v>#VALUE!</v>
      </c>
      <c r="CJ126" t="e">
        <f>AND('BBP complete'!S729,"AAAAAHvnllc=")</f>
        <v>#VALUE!</v>
      </c>
      <c r="CK126" t="e">
        <f>AND('BBP complete'!Q730,"AAAAAHvnllg=")</f>
        <v>#VALUE!</v>
      </c>
      <c r="CL126" t="e">
        <f>AND('BBP complete'!R730,"AAAAAHvnllk=")</f>
        <v>#VALUE!</v>
      </c>
      <c r="CM126" t="e">
        <f>AND('BBP complete'!S730,"AAAAAHvnllo=")</f>
        <v>#VALUE!</v>
      </c>
      <c r="CN126" t="e">
        <f>AND('BBP complete'!Q731,"AAAAAHvnlls=")</f>
        <v>#VALUE!</v>
      </c>
      <c r="CO126" t="e">
        <f>AND('BBP complete'!R731,"AAAAAHvnllw=")</f>
        <v>#VALUE!</v>
      </c>
      <c r="CP126" t="e">
        <f>AND('BBP complete'!S731,"AAAAAHvnll0=")</f>
        <v>#VALUE!</v>
      </c>
      <c r="CQ126" t="e">
        <f>AND('BBP complete'!Q732,"AAAAAHvnll4=")</f>
        <v>#VALUE!</v>
      </c>
      <c r="CR126" t="e">
        <f>AND('BBP complete'!R732,"AAAAAHvnll8=")</f>
        <v>#VALUE!</v>
      </c>
      <c r="CS126" t="e">
        <f>AND('BBP complete'!S732,"AAAAAHvnlmA=")</f>
        <v>#VALUE!</v>
      </c>
      <c r="CT126" t="e">
        <f>AND('BBP complete'!Q733,"AAAAAHvnlmE=")</f>
        <v>#VALUE!</v>
      </c>
      <c r="CU126" t="e">
        <f>AND('BBP complete'!R733,"AAAAAHvnlmI=")</f>
        <v>#VALUE!</v>
      </c>
      <c r="CV126" t="e">
        <f>AND('BBP complete'!S733,"AAAAAHvnlmM=")</f>
        <v>#VALUE!</v>
      </c>
      <c r="CW126" t="e">
        <f>AND('BBP complete'!Q734,"AAAAAHvnlmQ=")</f>
        <v>#VALUE!</v>
      </c>
      <c r="CX126" t="e">
        <f>AND('BBP complete'!R734,"AAAAAHvnlmU=")</f>
        <v>#VALUE!</v>
      </c>
      <c r="CY126" t="e">
        <f>AND('BBP complete'!S734,"AAAAAHvnlmY=")</f>
        <v>#VALUE!</v>
      </c>
      <c r="CZ126" t="e">
        <f>AND('BBP complete'!Q735,"AAAAAHvnlmc=")</f>
        <v>#VALUE!</v>
      </c>
      <c r="DA126" t="e">
        <f>AND('BBP complete'!R735,"AAAAAHvnlmg=")</f>
        <v>#VALUE!</v>
      </c>
      <c r="DB126" t="e">
        <f>AND('BBP complete'!S735,"AAAAAHvnlmk=")</f>
        <v>#VALUE!</v>
      </c>
      <c r="DC126" t="e">
        <f>AND('BBP complete'!Q736,"AAAAAHvnlmo=")</f>
        <v>#VALUE!</v>
      </c>
      <c r="DD126" t="e">
        <f>AND('BBP complete'!R736,"AAAAAHvnlms=")</f>
        <v>#VALUE!</v>
      </c>
      <c r="DE126" t="e">
        <f>AND('BBP complete'!S736,"AAAAAHvnlmw=")</f>
        <v>#VALUE!</v>
      </c>
      <c r="DF126" t="e">
        <f>AND('BBP complete'!Q737,"AAAAAHvnlm0=")</f>
        <v>#VALUE!</v>
      </c>
      <c r="DG126" t="e">
        <f>AND('BBP complete'!R737,"AAAAAHvnlm4=")</f>
        <v>#VALUE!</v>
      </c>
      <c r="DH126" t="e">
        <f>AND('BBP complete'!S737,"AAAAAHvnlm8=")</f>
        <v>#VALUE!</v>
      </c>
      <c r="DI126" t="e">
        <f>AND('BBP complete'!Q738,"AAAAAHvnlnA=")</f>
        <v>#VALUE!</v>
      </c>
      <c r="DJ126" t="e">
        <f>AND('BBP complete'!R738,"AAAAAHvnlnE=")</f>
        <v>#VALUE!</v>
      </c>
      <c r="DK126" t="e">
        <f>AND('BBP complete'!S738,"AAAAAHvnlnI=")</f>
        <v>#VALUE!</v>
      </c>
      <c r="DL126" t="e">
        <f>AND('BBP complete'!Q739,"AAAAAHvnlnM=")</f>
        <v>#VALUE!</v>
      </c>
      <c r="DM126" t="e">
        <f>AND('BBP complete'!R739,"AAAAAHvnlnQ=")</f>
        <v>#VALUE!</v>
      </c>
      <c r="DN126" t="e">
        <f>AND('BBP complete'!S739,"AAAAAHvnlnU=")</f>
        <v>#VALUE!</v>
      </c>
      <c r="DO126" t="e">
        <f>AND('BBP complete'!Q740,"AAAAAHvnlnY=")</f>
        <v>#VALUE!</v>
      </c>
      <c r="DP126" t="e">
        <f>AND('BBP complete'!R740,"AAAAAHvnlnc=")</f>
        <v>#VALUE!</v>
      </c>
      <c r="DQ126" t="e">
        <f>AND('BBP complete'!S740,"AAAAAHvnlng=")</f>
        <v>#VALUE!</v>
      </c>
      <c r="DR126" t="e">
        <f>AND('BBP complete'!Q741,"AAAAAHvnlnk=")</f>
        <v>#VALUE!</v>
      </c>
      <c r="DS126" t="e">
        <f>AND('BBP complete'!R741,"AAAAAHvnlno=")</f>
        <v>#VALUE!</v>
      </c>
      <c r="DT126" t="e">
        <f>AND('BBP complete'!S741,"AAAAAHvnlns=")</f>
        <v>#VALUE!</v>
      </c>
      <c r="DU126" t="e">
        <f>AND('BBP complete'!Q742,"AAAAAHvnlnw=")</f>
        <v>#VALUE!</v>
      </c>
      <c r="DV126" t="e">
        <f>AND('BBP complete'!R742,"AAAAAHvnln0=")</f>
        <v>#VALUE!</v>
      </c>
      <c r="DW126" t="e">
        <f>AND('BBP complete'!S742,"AAAAAHvnln4=")</f>
        <v>#VALUE!</v>
      </c>
      <c r="DX126" t="e">
        <f>AND('BBP complete'!Q743,"AAAAAHvnln8=")</f>
        <v>#VALUE!</v>
      </c>
      <c r="DY126" t="e">
        <f>AND('BBP complete'!R743,"AAAAAHvnloA=")</f>
        <v>#VALUE!</v>
      </c>
      <c r="DZ126" t="e">
        <f>AND('BBP complete'!S743,"AAAAAHvnloE=")</f>
        <v>#VALUE!</v>
      </c>
      <c r="EA126" t="e">
        <f>AND('BBP complete'!Q744,"AAAAAHvnloI=")</f>
        <v>#VALUE!</v>
      </c>
      <c r="EB126" t="e">
        <f>AND('BBP complete'!R744,"AAAAAHvnloM=")</f>
        <v>#VALUE!</v>
      </c>
      <c r="EC126" t="e">
        <f>AND('BBP complete'!S744,"AAAAAHvnloQ=")</f>
        <v>#VALUE!</v>
      </c>
      <c r="ED126" t="e">
        <f>AND('BBP complete'!Q745,"AAAAAHvnloU=")</f>
        <v>#VALUE!</v>
      </c>
      <c r="EE126" t="e">
        <f>AND('BBP complete'!R745,"AAAAAHvnloY=")</f>
        <v>#VALUE!</v>
      </c>
      <c r="EF126" t="e">
        <f>AND('BBP complete'!S745,"AAAAAHvnloc=")</f>
        <v>#VALUE!</v>
      </c>
      <c r="EG126" t="e">
        <f>AND('BBP complete'!Q746,"AAAAAHvnlog=")</f>
        <v>#VALUE!</v>
      </c>
      <c r="EH126" t="e">
        <f>AND('BBP complete'!R746,"AAAAAHvnlok=")</f>
        <v>#VALUE!</v>
      </c>
      <c r="EI126" t="e">
        <f>AND('BBP complete'!S746,"AAAAAHvnloo=")</f>
        <v>#VALUE!</v>
      </c>
      <c r="EJ126" t="e">
        <f>AND('BBP complete'!Q747,"AAAAAHvnlos=")</f>
        <v>#VALUE!</v>
      </c>
      <c r="EK126" t="e">
        <f>AND('BBP complete'!R747,"AAAAAHvnlow=")</f>
        <v>#VALUE!</v>
      </c>
      <c r="EL126" t="e">
        <f>AND('BBP complete'!S747,"AAAAAHvnlo0=")</f>
        <v>#VALUE!</v>
      </c>
      <c r="EM126" t="e">
        <f>AND('BBP complete'!Q748,"AAAAAHvnlo4=")</f>
        <v>#VALUE!</v>
      </c>
      <c r="EN126" t="e">
        <f>AND('BBP complete'!R748,"AAAAAHvnlo8=")</f>
        <v>#VALUE!</v>
      </c>
      <c r="EO126" t="e">
        <f>AND('BBP complete'!S748,"AAAAAHvnlpA=")</f>
        <v>#VALUE!</v>
      </c>
      <c r="EP126" t="e">
        <f>AND('BBP complete'!Q749,"AAAAAHvnlpE=")</f>
        <v>#VALUE!</v>
      </c>
      <c r="EQ126" t="e">
        <f>AND('BBP complete'!R749,"AAAAAHvnlpI=")</f>
        <v>#VALUE!</v>
      </c>
      <c r="ER126" t="e">
        <f>AND('BBP complete'!S749,"AAAAAHvnlpM=")</f>
        <v>#VALUE!</v>
      </c>
      <c r="ES126" t="e">
        <f>AND('BBP complete'!Q750,"AAAAAHvnlpQ=")</f>
        <v>#VALUE!</v>
      </c>
      <c r="ET126" t="e">
        <f>AND('BBP complete'!R750,"AAAAAHvnlpU=")</f>
        <v>#VALUE!</v>
      </c>
      <c r="EU126" t="e">
        <f>AND('BBP complete'!S750,"AAAAAHvnlpY=")</f>
        <v>#VALUE!</v>
      </c>
      <c r="EV126" t="e">
        <f>AND('BBP complete'!Q751,"AAAAAHvnlpc=")</f>
        <v>#VALUE!</v>
      </c>
      <c r="EW126" t="e">
        <f>AND('BBP complete'!R751,"AAAAAHvnlpg=")</f>
        <v>#VALUE!</v>
      </c>
      <c r="EX126" t="e">
        <f>AND('BBP complete'!S751,"AAAAAHvnlpk=")</f>
        <v>#VALUE!</v>
      </c>
      <c r="EY126" t="e">
        <f>AND('BBP complete'!Q752,"AAAAAHvnlpo=")</f>
        <v>#VALUE!</v>
      </c>
      <c r="EZ126" t="e">
        <f>AND('BBP complete'!R752,"AAAAAHvnlps=")</f>
        <v>#VALUE!</v>
      </c>
      <c r="FA126" t="e">
        <f>AND('BBP complete'!S752,"AAAAAHvnlpw=")</f>
        <v>#VALUE!</v>
      </c>
      <c r="FB126" t="e">
        <f>AND('BBP complete'!Q753,"AAAAAHvnlp0=")</f>
        <v>#VALUE!</v>
      </c>
      <c r="FC126" t="e">
        <f>AND('BBP complete'!R753,"AAAAAHvnlp4=")</f>
        <v>#VALUE!</v>
      </c>
      <c r="FD126" t="e">
        <f>AND('BBP complete'!S753,"AAAAAHvnlp8=")</f>
        <v>#VALUE!</v>
      </c>
      <c r="FE126" t="e">
        <f>AND('BBP complete'!Q754,"AAAAAHvnlqA=")</f>
        <v>#VALUE!</v>
      </c>
      <c r="FF126" t="e">
        <f>AND('BBP complete'!R754,"AAAAAHvnlqE=")</f>
        <v>#VALUE!</v>
      </c>
      <c r="FG126" t="e">
        <f>AND('BBP complete'!S754,"AAAAAHvnlqI=")</f>
        <v>#VALUE!</v>
      </c>
      <c r="FH126" t="e">
        <f>AND('BBP complete'!Q755,"AAAAAHvnlqM=")</f>
        <v>#VALUE!</v>
      </c>
      <c r="FI126" t="e">
        <f>AND('BBP complete'!R755,"AAAAAHvnlqQ=")</f>
        <v>#VALUE!</v>
      </c>
      <c r="FJ126" t="e">
        <f>AND('BBP complete'!S755,"AAAAAHvnlqU=")</f>
        <v>#VALUE!</v>
      </c>
      <c r="FK126" t="e">
        <f>AND('BBP complete'!Q756,"AAAAAHvnlqY=")</f>
        <v>#VALUE!</v>
      </c>
      <c r="FL126" t="e">
        <f>AND('BBP complete'!R756,"AAAAAHvnlqc=")</f>
        <v>#VALUE!</v>
      </c>
      <c r="FM126" t="e">
        <f>AND('BBP complete'!S756,"AAAAAHvnlqg=")</f>
        <v>#VALUE!</v>
      </c>
      <c r="FN126" t="e">
        <f>AND('BBP complete'!Q757,"AAAAAHvnlqk=")</f>
        <v>#VALUE!</v>
      </c>
      <c r="FO126" t="e">
        <f>AND('BBP complete'!R757,"AAAAAHvnlqo=")</f>
        <v>#VALUE!</v>
      </c>
      <c r="FP126" t="e">
        <f>AND('BBP complete'!S757,"AAAAAHvnlqs=")</f>
        <v>#VALUE!</v>
      </c>
      <c r="FQ126" t="e">
        <f>AND('BBP complete'!Q758,"AAAAAHvnlqw=")</f>
        <v>#VALUE!</v>
      </c>
      <c r="FR126" t="e">
        <f>AND('BBP complete'!R758,"AAAAAHvnlq0=")</f>
        <v>#VALUE!</v>
      </c>
      <c r="FS126" t="e">
        <f>AND('BBP complete'!S758,"AAAAAHvnlq4=")</f>
        <v>#VALUE!</v>
      </c>
      <c r="FT126" t="e">
        <f>AND('BBP complete'!Q759,"AAAAAHvnlq8=")</f>
        <v>#VALUE!</v>
      </c>
      <c r="FU126" t="e">
        <f>AND('BBP complete'!R759,"AAAAAHvnlrA=")</f>
        <v>#VALUE!</v>
      </c>
      <c r="FV126" t="e">
        <f>AND('BBP complete'!S759,"AAAAAHvnlrE=")</f>
        <v>#VALUE!</v>
      </c>
      <c r="FW126" t="e">
        <f>AND('BBP complete'!Q760,"AAAAAHvnlrI=")</f>
        <v>#VALUE!</v>
      </c>
      <c r="FX126" t="e">
        <f>AND('BBP complete'!R760,"AAAAAHvnlrM=")</f>
        <v>#VALUE!</v>
      </c>
      <c r="FY126" t="e">
        <f>AND('BBP complete'!S760,"AAAAAHvnlrQ=")</f>
        <v>#VALUE!</v>
      </c>
      <c r="FZ126" t="e">
        <f>AND('BBP complete'!Q761,"AAAAAHvnlrU=")</f>
        <v>#VALUE!</v>
      </c>
      <c r="GA126" t="e">
        <f>AND('BBP complete'!R761,"AAAAAHvnlrY=")</f>
        <v>#VALUE!</v>
      </c>
      <c r="GB126" t="e">
        <f>AND('BBP complete'!S761,"AAAAAHvnlrc=")</f>
        <v>#VALUE!</v>
      </c>
      <c r="GC126" t="e">
        <f>AND('BBP complete'!Q762,"AAAAAHvnlrg=")</f>
        <v>#VALUE!</v>
      </c>
      <c r="GD126" t="e">
        <f>AND('BBP complete'!R762,"AAAAAHvnlrk=")</f>
        <v>#VALUE!</v>
      </c>
      <c r="GE126" t="e">
        <f>AND('BBP complete'!S762,"AAAAAHvnlro=")</f>
        <v>#VALUE!</v>
      </c>
      <c r="GF126" t="e">
        <f>AND('BBP complete'!Q763,"AAAAAHvnlrs=")</f>
        <v>#VALUE!</v>
      </c>
      <c r="GG126" t="e">
        <f>AND('BBP complete'!R763,"AAAAAHvnlrw=")</f>
        <v>#VALUE!</v>
      </c>
      <c r="GH126" t="e">
        <f>AND('BBP complete'!S763,"AAAAAHvnlr0=")</f>
        <v>#VALUE!</v>
      </c>
      <c r="GI126" t="e">
        <f>AND('BBP complete'!Q764,"AAAAAHvnlr4=")</f>
        <v>#VALUE!</v>
      </c>
      <c r="GJ126" t="e">
        <f>AND('BBP complete'!R764,"AAAAAHvnlr8=")</f>
        <v>#VALUE!</v>
      </c>
      <c r="GK126" t="e">
        <f>AND('BBP complete'!S764,"AAAAAHvnlsA=")</f>
        <v>#VALUE!</v>
      </c>
      <c r="GL126" t="e">
        <f>AND('BBP complete'!Q765,"AAAAAHvnlsE=")</f>
        <v>#VALUE!</v>
      </c>
      <c r="GM126" t="e">
        <f>AND('BBP complete'!R765,"AAAAAHvnlsI=")</f>
        <v>#VALUE!</v>
      </c>
      <c r="GN126" t="e">
        <f>AND('BBP complete'!S765,"AAAAAHvnlsM=")</f>
        <v>#VALUE!</v>
      </c>
      <c r="GO126" t="e">
        <f>AND('BBP complete'!Q766,"AAAAAHvnlsQ=")</f>
        <v>#VALUE!</v>
      </c>
      <c r="GP126" t="e">
        <f>AND('BBP complete'!R766,"AAAAAHvnlsU=")</f>
        <v>#VALUE!</v>
      </c>
      <c r="GQ126" t="e">
        <f>AND('BBP complete'!S766,"AAAAAHvnlsY=")</f>
        <v>#VALUE!</v>
      </c>
      <c r="GR126" t="e">
        <f>AND('BBP complete'!Q767,"AAAAAHvnlsc=")</f>
        <v>#VALUE!</v>
      </c>
      <c r="GS126" t="e">
        <f>AND('BBP complete'!R767,"AAAAAHvnlsg=")</f>
        <v>#VALUE!</v>
      </c>
      <c r="GT126" t="e">
        <f>AND('BBP complete'!S767,"AAAAAHvnlsk=")</f>
        <v>#VALUE!</v>
      </c>
      <c r="GU126" t="e">
        <f>AND('BBP complete'!Q768,"AAAAAHvnlso=")</f>
        <v>#VALUE!</v>
      </c>
      <c r="GV126" t="e">
        <f>AND('BBP complete'!R768,"AAAAAHvnlss=")</f>
        <v>#VALUE!</v>
      </c>
      <c r="GW126" t="e">
        <f>AND('BBP complete'!S768,"AAAAAHvnlsw=")</f>
        <v>#VALUE!</v>
      </c>
      <c r="GX126" t="e">
        <f>AND('BBP complete'!Q769,"AAAAAHvnls0=")</f>
        <v>#VALUE!</v>
      </c>
      <c r="GY126" t="e">
        <f>AND('BBP complete'!R769,"AAAAAHvnls4=")</f>
        <v>#VALUE!</v>
      </c>
      <c r="GZ126" t="e">
        <f>AND('BBP complete'!S769,"AAAAAHvnls8=")</f>
        <v>#VALUE!</v>
      </c>
      <c r="HA126" t="e">
        <f>AND('BBP complete'!Q770,"AAAAAHvnltA=")</f>
        <v>#VALUE!</v>
      </c>
      <c r="HB126" t="e">
        <f>AND('BBP complete'!R770,"AAAAAHvnltE=")</f>
        <v>#VALUE!</v>
      </c>
      <c r="HC126" t="e">
        <f>AND('BBP complete'!S770,"AAAAAHvnltI=")</f>
        <v>#VALUE!</v>
      </c>
      <c r="HD126" t="e">
        <f>AND('BBP complete'!Q771,"AAAAAHvnltM=")</f>
        <v>#VALUE!</v>
      </c>
      <c r="HE126" t="e">
        <f>AND('BBP complete'!R771,"AAAAAHvnltQ=")</f>
        <v>#VALUE!</v>
      </c>
      <c r="HF126" t="e">
        <f>AND('BBP complete'!S771,"AAAAAHvnltU=")</f>
        <v>#VALUE!</v>
      </c>
      <c r="HG126" t="e">
        <f>AND('BBP complete'!Q772,"AAAAAHvnltY=")</f>
        <v>#VALUE!</v>
      </c>
      <c r="HH126" t="e">
        <f>AND('BBP complete'!R772,"AAAAAHvnltc=")</f>
        <v>#VALUE!</v>
      </c>
      <c r="HI126" t="e">
        <f>AND('BBP complete'!S772,"AAAAAHvnltg=")</f>
        <v>#VALUE!</v>
      </c>
      <c r="HJ126" t="e">
        <f>AND('BBP complete'!Q773,"AAAAAHvnltk=")</f>
        <v>#VALUE!</v>
      </c>
      <c r="HK126" t="e">
        <f>AND('BBP complete'!R773,"AAAAAHvnlto=")</f>
        <v>#VALUE!</v>
      </c>
      <c r="HL126" t="e">
        <f>AND('BBP complete'!S773,"AAAAAHvnlts=")</f>
        <v>#VALUE!</v>
      </c>
      <c r="HM126" t="e">
        <f>AND('BBP complete'!Q774,"AAAAAHvnltw=")</f>
        <v>#VALUE!</v>
      </c>
      <c r="HN126" t="e">
        <f>AND('BBP complete'!R774,"AAAAAHvnlt0=")</f>
        <v>#VALUE!</v>
      </c>
      <c r="HO126" t="e">
        <f>AND('BBP complete'!S774,"AAAAAHvnlt4=")</f>
        <v>#VALUE!</v>
      </c>
      <c r="HP126" t="e">
        <f>AND('BBP complete'!Q775,"AAAAAHvnlt8=")</f>
        <v>#VALUE!</v>
      </c>
      <c r="HQ126" t="e">
        <f>AND('BBP complete'!R775,"AAAAAHvnluA=")</f>
        <v>#VALUE!</v>
      </c>
      <c r="HR126" t="e">
        <f>AND('BBP complete'!S775,"AAAAAHvnluE=")</f>
        <v>#VALUE!</v>
      </c>
      <c r="HS126" t="e">
        <f>AND('BBP complete'!Q776,"AAAAAHvnluI=")</f>
        <v>#VALUE!</v>
      </c>
      <c r="HT126" t="e">
        <f>AND('BBP complete'!R776,"AAAAAHvnluM=")</f>
        <v>#VALUE!</v>
      </c>
      <c r="HU126" t="e">
        <f>AND('BBP complete'!S776,"AAAAAHvnluQ=")</f>
        <v>#VALUE!</v>
      </c>
      <c r="HV126" t="e">
        <f>AND('BBP complete'!Q777,"AAAAAHvnluU=")</f>
        <v>#VALUE!</v>
      </c>
      <c r="HW126" t="e">
        <f>AND('BBP complete'!R777,"AAAAAHvnluY=")</f>
        <v>#VALUE!</v>
      </c>
      <c r="HX126" t="e">
        <f>AND('BBP complete'!S777,"AAAAAHvnluc=")</f>
        <v>#VALUE!</v>
      </c>
      <c r="HY126" t="e">
        <f>AND('BBP complete'!Q778,"AAAAAHvnlug=")</f>
        <v>#VALUE!</v>
      </c>
      <c r="HZ126" t="e">
        <f>AND('BBP complete'!R778,"AAAAAHvnluk=")</f>
        <v>#VALUE!</v>
      </c>
      <c r="IA126" t="e">
        <f>AND('BBP complete'!S778,"AAAAAHvnluo=")</f>
        <v>#VALUE!</v>
      </c>
      <c r="IB126" t="e">
        <f>AND('BBP complete'!Q779,"AAAAAHvnlus=")</f>
        <v>#VALUE!</v>
      </c>
      <c r="IC126" t="e">
        <f>AND('BBP complete'!R779,"AAAAAHvnluw=")</f>
        <v>#VALUE!</v>
      </c>
      <c r="ID126" t="e">
        <f>AND('BBP complete'!S779,"AAAAAHvnlu0=")</f>
        <v>#VALUE!</v>
      </c>
      <c r="IE126" t="e">
        <f>AND('BBP complete'!Q780,"AAAAAHvnlu4=")</f>
        <v>#VALUE!</v>
      </c>
      <c r="IF126" t="e">
        <f>AND('BBP complete'!R780,"AAAAAHvnlu8=")</f>
        <v>#VALUE!</v>
      </c>
      <c r="IG126" t="e">
        <f>AND('BBP complete'!S780,"AAAAAHvnlvA=")</f>
        <v>#VALUE!</v>
      </c>
      <c r="IH126" t="e">
        <f>AND('BBP complete'!Q781,"AAAAAHvnlvE=")</f>
        <v>#VALUE!</v>
      </c>
      <c r="II126" t="e">
        <f>AND('BBP complete'!R781,"AAAAAHvnlvI=")</f>
        <v>#VALUE!</v>
      </c>
      <c r="IJ126" t="e">
        <f>AND('BBP complete'!S781,"AAAAAHvnlvM=")</f>
        <v>#VALUE!</v>
      </c>
      <c r="IK126" t="e">
        <f>AND('BBP complete'!Q782,"AAAAAHvnlvQ=")</f>
        <v>#VALUE!</v>
      </c>
      <c r="IL126" t="e">
        <f>AND('BBP complete'!R782,"AAAAAHvnlvU=")</f>
        <v>#VALUE!</v>
      </c>
      <c r="IM126" t="e">
        <f>AND('BBP complete'!S782,"AAAAAHvnlvY=")</f>
        <v>#VALUE!</v>
      </c>
      <c r="IN126" t="e">
        <f>AND('BBP complete'!Q783,"AAAAAHvnlvc=")</f>
        <v>#VALUE!</v>
      </c>
      <c r="IO126" t="e">
        <f>AND('BBP complete'!R783,"AAAAAHvnlvg=")</f>
        <v>#VALUE!</v>
      </c>
      <c r="IP126" t="e">
        <f>AND('BBP complete'!S783,"AAAAAHvnlvk=")</f>
        <v>#VALUE!</v>
      </c>
      <c r="IQ126" t="e">
        <f>AND('BBP complete'!Q784,"AAAAAHvnlvo=")</f>
        <v>#VALUE!</v>
      </c>
      <c r="IR126" t="e">
        <f>AND('BBP complete'!R784,"AAAAAHvnlvs=")</f>
        <v>#VALUE!</v>
      </c>
      <c r="IS126" t="e">
        <f>AND('BBP complete'!S784,"AAAAAHvnlvw=")</f>
        <v>#VALUE!</v>
      </c>
      <c r="IT126" t="e">
        <f>AND('BBP complete'!Q785,"AAAAAHvnlv0=")</f>
        <v>#VALUE!</v>
      </c>
      <c r="IU126" t="e">
        <f>AND('BBP complete'!R785,"AAAAAHvnlv4=")</f>
        <v>#VALUE!</v>
      </c>
      <c r="IV126" t="e">
        <f>AND('BBP complete'!S785,"AAAAAHvnlv8=")</f>
        <v>#VALUE!</v>
      </c>
    </row>
    <row r="127" spans="1:256" ht="15" customHeight="1" x14ac:dyDescent="0.25">
      <c r="A127" t="e">
        <f>AND('BBP complete'!Q786,"AAAAAB9rPwA=")</f>
        <v>#VALUE!</v>
      </c>
      <c r="B127" t="e">
        <f>AND('BBP complete'!R786,"AAAAAB9rPwE=")</f>
        <v>#VALUE!</v>
      </c>
      <c r="C127" t="e">
        <f>AND('BBP complete'!S786,"AAAAAB9rPwI=")</f>
        <v>#VALUE!</v>
      </c>
      <c r="D127" t="e">
        <f>AND('BBP complete'!Q787,"AAAAAB9rPwM=")</f>
        <v>#VALUE!</v>
      </c>
      <c r="E127" t="e">
        <f>AND('BBP complete'!R787,"AAAAAB9rPwQ=")</f>
        <v>#VALUE!</v>
      </c>
      <c r="F127" t="e">
        <f>AND('BBP complete'!S787,"AAAAAB9rPwU=")</f>
        <v>#VALUE!</v>
      </c>
      <c r="G127" t="e">
        <f>AND('BBP complete'!Q788,"AAAAAB9rPwY=")</f>
        <v>#VALUE!</v>
      </c>
      <c r="H127" t="e">
        <f>AND('BBP complete'!R788,"AAAAAB9rPwc=")</f>
        <v>#VALUE!</v>
      </c>
      <c r="I127" t="e">
        <f>AND('BBP complete'!S788,"AAAAAB9rPwg=")</f>
        <v>#VALUE!</v>
      </c>
      <c r="J127" t="e">
        <f>AND('BBP complete'!Q789,"AAAAAB9rPwk=")</f>
        <v>#VALUE!</v>
      </c>
      <c r="K127" t="e">
        <f>AND('BBP complete'!R789,"AAAAAB9rPwo=")</f>
        <v>#VALUE!</v>
      </c>
      <c r="L127" t="e">
        <f>AND('BBP complete'!S789,"AAAAAB9rPws=")</f>
        <v>#VALUE!</v>
      </c>
      <c r="M127" t="e">
        <f>AND('BBP complete'!Q790,"AAAAAB9rPww=")</f>
        <v>#VALUE!</v>
      </c>
      <c r="N127" t="e">
        <f>AND('BBP complete'!R790,"AAAAAB9rPw0=")</f>
        <v>#VALUE!</v>
      </c>
      <c r="O127" t="e">
        <f>AND('BBP complete'!S790,"AAAAAB9rPw4=")</f>
        <v>#VALUE!</v>
      </c>
      <c r="P127" t="e">
        <f>AND('BBP complete'!Q791,"AAAAAB9rPw8=")</f>
        <v>#VALUE!</v>
      </c>
      <c r="Q127" t="e">
        <f>AND('BBP complete'!R791,"AAAAAB9rPxA=")</f>
        <v>#VALUE!</v>
      </c>
      <c r="R127" t="e">
        <f>AND('BBP complete'!S791,"AAAAAB9rPxE=")</f>
        <v>#VALUE!</v>
      </c>
      <c r="S127" t="e">
        <f>AND('BBP complete'!Q792,"AAAAAB9rPxI=")</f>
        <v>#VALUE!</v>
      </c>
      <c r="T127" t="e">
        <f>AND('BBP complete'!R792,"AAAAAB9rPxM=")</f>
        <v>#VALUE!</v>
      </c>
      <c r="U127" t="e">
        <f>AND('BBP complete'!S792,"AAAAAB9rPxQ=")</f>
        <v>#VALUE!</v>
      </c>
      <c r="V127" t="e">
        <f>AND('BBP complete'!Q793,"AAAAAB9rPxU=")</f>
        <v>#VALUE!</v>
      </c>
      <c r="W127" t="e">
        <f>AND('BBP complete'!R793,"AAAAAB9rPxY=")</f>
        <v>#VALUE!</v>
      </c>
      <c r="X127" t="e">
        <f>AND('BBP complete'!S793,"AAAAAB9rPxc=")</f>
        <v>#VALUE!</v>
      </c>
      <c r="Y127" t="e">
        <f>AND('BBP complete'!Q794,"AAAAAB9rPxg=")</f>
        <v>#VALUE!</v>
      </c>
      <c r="Z127" t="e">
        <f>AND('BBP complete'!R794,"AAAAAB9rPxk=")</f>
        <v>#VALUE!</v>
      </c>
      <c r="AA127" t="e">
        <f>AND('BBP complete'!S794,"AAAAAB9rPxo=")</f>
        <v>#VALUE!</v>
      </c>
      <c r="AB127" t="e">
        <f>AND('BBP complete'!Q795,"AAAAAB9rPxs=")</f>
        <v>#VALUE!</v>
      </c>
      <c r="AC127" t="e">
        <f>AND('BBP complete'!R795,"AAAAAB9rPxw=")</f>
        <v>#VALUE!</v>
      </c>
      <c r="AD127" t="e">
        <f>AND('BBP complete'!S795,"AAAAAB9rPx0=")</f>
        <v>#VALUE!</v>
      </c>
      <c r="AE127" t="e">
        <f>AND('BBP complete'!Q796,"AAAAAB9rPx4=")</f>
        <v>#VALUE!</v>
      </c>
      <c r="AF127" t="e">
        <f>AND('BBP complete'!R796,"AAAAAB9rPx8=")</f>
        <v>#VALUE!</v>
      </c>
      <c r="AG127" t="e">
        <f>AND('BBP complete'!S796,"AAAAAB9rPyA=")</f>
        <v>#VALUE!</v>
      </c>
      <c r="AH127" t="e">
        <f>AND('BBP complete'!Q797,"AAAAAB9rPyE=")</f>
        <v>#VALUE!</v>
      </c>
      <c r="AI127" t="e">
        <f>AND('BBP complete'!R797,"AAAAAB9rPyI=")</f>
        <v>#VALUE!</v>
      </c>
      <c r="AJ127" t="e">
        <f>AND('BBP complete'!S797,"AAAAAB9rPyM=")</f>
        <v>#VALUE!</v>
      </c>
      <c r="AK127" t="e">
        <f>AND('BBP complete'!Q798,"AAAAAB9rPyQ=")</f>
        <v>#VALUE!</v>
      </c>
      <c r="AL127" t="e">
        <f>AND('BBP complete'!R798,"AAAAAB9rPyU=")</f>
        <v>#VALUE!</v>
      </c>
      <c r="AM127" t="e">
        <f>AND('BBP complete'!S798,"AAAAAB9rPyY=")</f>
        <v>#VALUE!</v>
      </c>
      <c r="AN127" t="e">
        <f>AND('BBP complete'!Q799,"AAAAAB9rPyc=")</f>
        <v>#VALUE!</v>
      </c>
      <c r="AO127" t="e">
        <f>AND('BBP complete'!R799,"AAAAAB9rPyg=")</f>
        <v>#VALUE!</v>
      </c>
      <c r="AP127" t="e">
        <f>AND('BBP complete'!S799,"AAAAAB9rPyk=")</f>
        <v>#VALUE!</v>
      </c>
      <c r="AQ127" t="e">
        <f>AND('BBP complete'!Q800,"AAAAAB9rPyo=")</f>
        <v>#VALUE!</v>
      </c>
      <c r="AR127" t="e">
        <f>AND('BBP complete'!R800,"AAAAAB9rPys=")</f>
        <v>#VALUE!</v>
      </c>
      <c r="AS127" t="e">
        <f>AND('BBP complete'!S800,"AAAAAB9rPyw=")</f>
        <v>#VALUE!</v>
      </c>
      <c r="AT127" t="e">
        <f>AND('BBP complete'!Q801,"AAAAAB9rPy0=")</f>
        <v>#VALUE!</v>
      </c>
      <c r="AU127" t="e">
        <f>AND('BBP complete'!R801,"AAAAAB9rPy4=")</f>
        <v>#VALUE!</v>
      </c>
      <c r="AV127" t="e">
        <f>AND('BBP complete'!S801,"AAAAAB9rPy8=")</f>
        <v>#VALUE!</v>
      </c>
      <c r="AW127" t="e">
        <f>AND('BBP complete'!Q802,"AAAAAB9rPzA=")</f>
        <v>#VALUE!</v>
      </c>
      <c r="AX127" t="e">
        <f>AND('BBP complete'!R802,"AAAAAB9rPzE=")</f>
        <v>#VALUE!</v>
      </c>
      <c r="AY127" t="e">
        <f>AND('BBP complete'!S802,"AAAAAB9rPzI=")</f>
        <v>#VALUE!</v>
      </c>
      <c r="AZ127" t="e">
        <f>AND('BBP complete'!Q803,"AAAAAB9rPzM=")</f>
        <v>#VALUE!</v>
      </c>
      <c r="BA127" t="e">
        <f>AND('BBP complete'!R803,"AAAAAB9rPzQ=")</f>
        <v>#VALUE!</v>
      </c>
      <c r="BB127" t="e">
        <f>AND('BBP complete'!S803,"AAAAAB9rPzU=")</f>
        <v>#VALUE!</v>
      </c>
      <c r="BC127" t="e">
        <f>AND('BBP complete'!Q804,"AAAAAB9rPzY=")</f>
        <v>#VALUE!</v>
      </c>
      <c r="BD127" t="e">
        <f>AND('BBP complete'!R804,"AAAAAB9rPzc=")</f>
        <v>#VALUE!</v>
      </c>
      <c r="BE127" t="e">
        <f>AND('BBP complete'!S804,"AAAAAB9rPzg=")</f>
        <v>#VALUE!</v>
      </c>
      <c r="BF127" t="e">
        <f>AND('BBP complete'!Q805,"AAAAAB9rPzk=")</f>
        <v>#VALUE!</v>
      </c>
      <c r="BG127" t="e">
        <f>AND('BBP complete'!R805,"AAAAAB9rPzo=")</f>
        <v>#VALUE!</v>
      </c>
      <c r="BH127" t="e">
        <f>AND('BBP complete'!S805,"AAAAAB9rPzs=")</f>
        <v>#VALUE!</v>
      </c>
      <c r="BI127" t="e">
        <f>AND('BBP complete'!Q806,"AAAAAB9rPzw=")</f>
        <v>#VALUE!</v>
      </c>
      <c r="BJ127" t="e">
        <f>AND('BBP complete'!R806,"AAAAAB9rPz0=")</f>
        <v>#VALUE!</v>
      </c>
      <c r="BK127" t="e">
        <f>AND('BBP complete'!S806,"AAAAAB9rPz4=")</f>
        <v>#VALUE!</v>
      </c>
      <c r="BL127" t="e">
        <f>AND('BBP complete'!Q807,"AAAAAB9rPz8=")</f>
        <v>#VALUE!</v>
      </c>
      <c r="BM127" t="e">
        <f>AND('BBP complete'!R807,"AAAAAB9rP0A=")</f>
        <v>#VALUE!</v>
      </c>
      <c r="BN127" t="e">
        <f>AND('BBP complete'!S807,"AAAAAB9rP0E=")</f>
        <v>#VALUE!</v>
      </c>
      <c r="BO127" t="e">
        <f>AND('BBP complete'!Q808,"AAAAAB9rP0I=")</f>
        <v>#VALUE!</v>
      </c>
      <c r="BP127" t="e">
        <f>AND('BBP complete'!R808,"AAAAAB9rP0M=")</f>
        <v>#VALUE!</v>
      </c>
      <c r="BQ127" t="e">
        <f>AND('BBP complete'!S808,"AAAAAB9rP0Q=")</f>
        <v>#VALUE!</v>
      </c>
      <c r="BR127" t="e">
        <f>AND('BBP complete'!Q809,"AAAAAB9rP0U=")</f>
        <v>#VALUE!</v>
      </c>
      <c r="BS127" t="e">
        <f>AND('BBP complete'!R809,"AAAAAB9rP0Y=")</f>
        <v>#VALUE!</v>
      </c>
      <c r="BT127" t="e">
        <f>AND('BBP complete'!S809,"AAAAAB9rP0c=")</f>
        <v>#VALUE!</v>
      </c>
      <c r="BU127" t="e">
        <f>AND('BBP complete'!Q810,"AAAAAB9rP0g=")</f>
        <v>#VALUE!</v>
      </c>
      <c r="BV127" t="e">
        <f>AND('BBP complete'!R810,"AAAAAB9rP0k=")</f>
        <v>#VALUE!</v>
      </c>
      <c r="BW127" t="e">
        <f>AND('BBP complete'!S810,"AAAAAB9rP0o=")</f>
        <v>#VALUE!</v>
      </c>
      <c r="BX127" t="e">
        <f>AND('BBP complete'!Q811,"AAAAAB9rP0s=")</f>
        <v>#VALUE!</v>
      </c>
      <c r="BY127" t="e">
        <f>AND('BBP complete'!R811,"AAAAAB9rP0w=")</f>
        <v>#VALUE!</v>
      </c>
      <c r="BZ127" t="e">
        <f>AND('BBP complete'!S811,"AAAAAB9rP00=")</f>
        <v>#VALUE!</v>
      </c>
      <c r="CA127" t="e">
        <f>AND('BBP complete'!Q812,"AAAAAB9rP04=")</f>
        <v>#VALUE!</v>
      </c>
      <c r="CB127" t="e">
        <f>AND('BBP complete'!R812,"AAAAAB9rP08=")</f>
        <v>#VALUE!</v>
      </c>
      <c r="CC127" t="e">
        <f>AND('BBP complete'!S812,"AAAAAB9rP1A=")</f>
        <v>#VALUE!</v>
      </c>
      <c r="CD127" t="e">
        <f>AND('BBP complete'!Q813,"AAAAAB9rP1E=")</f>
        <v>#VALUE!</v>
      </c>
      <c r="CE127" t="e">
        <f>AND('BBP complete'!R813,"AAAAAB9rP1I=")</f>
        <v>#VALUE!</v>
      </c>
      <c r="CF127" t="e">
        <f>AND('BBP complete'!S813,"AAAAAB9rP1M=")</f>
        <v>#VALUE!</v>
      </c>
      <c r="CG127" t="e">
        <f>AND('BBP complete'!Q814,"AAAAAB9rP1Q=")</f>
        <v>#VALUE!</v>
      </c>
      <c r="CH127" t="e">
        <f>AND('BBP complete'!R814,"AAAAAB9rP1U=")</f>
        <v>#VALUE!</v>
      </c>
      <c r="CI127" t="e">
        <f>AND('BBP complete'!S814,"AAAAAB9rP1Y=")</f>
        <v>#VALUE!</v>
      </c>
      <c r="CJ127" t="e">
        <f>AND('BBP complete'!Q815,"AAAAAB9rP1c=")</f>
        <v>#VALUE!</v>
      </c>
      <c r="CK127" t="e">
        <f>AND('BBP complete'!R815,"AAAAAB9rP1g=")</f>
        <v>#VALUE!</v>
      </c>
      <c r="CL127" t="e">
        <f>AND('BBP complete'!S815,"AAAAAB9rP1k=")</f>
        <v>#VALUE!</v>
      </c>
      <c r="CM127" t="e">
        <f>AND('BBP complete'!Q816,"AAAAAB9rP1o=")</f>
        <v>#VALUE!</v>
      </c>
      <c r="CN127" t="e">
        <f>AND('BBP complete'!R816,"AAAAAB9rP1s=")</f>
        <v>#VALUE!</v>
      </c>
      <c r="CO127" t="e">
        <f>AND('BBP complete'!S816,"AAAAAB9rP1w=")</f>
        <v>#VALUE!</v>
      </c>
      <c r="CP127" t="e">
        <f>AND('BBP complete'!Q817,"AAAAAB9rP10=")</f>
        <v>#VALUE!</v>
      </c>
      <c r="CQ127" t="e">
        <f>AND('BBP complete'!R817,"AAAAAB9rP14=")</f>
        <v>#VALUE!</v>
      </c>
      <c r="CR127" t="e">
        <f>AND('BBP complete'!S817,"AAAAAB9rP18=")</f>
        <v>#VALUE!</v>
      </c>
      <c r="CS127" t="e">
        <f>AND('BBP complete'!Q818,"AAAAAB9rP2A=")</f>
        <v>#VALUE!</v>
      </c>
      <c r="CT127" t="e">
        <f>AND('BBP complete'!R818,"AAAAAB9rP2E=")</f>
        <v>#VALUE!</v>
      </c>
      <c r="CU127" t="e">
        <f>AND('BBP complete'!S818,"AAAAAB9rP2I=")</f>
        <v>#VALUE!</v>
      </c>
      <c r="CV127" t="e">
        <f>AND('BBP complete'!Q819,"AAAAAB9rP2M=")</f>
        <v>#VALUE!</v>
      </c>
      <c r="CW127" t="e">
        <f>AND('BBP complete'!R819,"AAAAAB9rP2Q=")</f>
        <v>#VALUE!</v>
      </c>
      <c r="CX127" t="e">
        <f>AND('BBP complete'!S819,"AAAAAB9rP2U=")</f>
        <v>#VALUE!</v>
      </c>
      <c r="CY127" t="e">
        <f>AND('BBP complete'!Q820,"AAAAAB9rP2Y=")</f>
        <v>#VALUE!</v>
      </c>
      <c r="CZ127" t="e">
        <f>AND('BBP complete'!R820,"AAAAAB9rP2c=")</f>
        <v>#VALUE!</v>
      </c>
      <c r="DA127" t="e">
        <f>AND('BBP complete'!S820,"AAAAAB9rP2g=")</f>
        <v>#VALUE!</v>
      </c>
      <c r="DB127" t="e">
        <f>AND('BBP complete'!Q821,"AAAAAB9rP2k=")</f>
        <v>#VALUE!</v>
      </c>
      <c r="DC127" t="e">
        <f>AND('BBP complete'!R821,"AAAAAB9rP2o=")</f>
        <v>#VALUE!</v>
      </c>
      <c r="DD127" t="e">
        <f>AND('BBP complete'!S821,"AAAAAB9rP2s=")</f>
        <v>#VALUE!</v>
      </c>
      <c r="DE127" t="e">
        <f>AND('BBP complete'!Q822,"AAAAAB9rP2w=")</f>
        <v>#VALUE!</v>
      </c>
      <c r="DF127" t="e">
        <f>AND('BBP complete'!R822,"AAAAAB9rP20=")</f>
        <v>#VALUE!</v>
      </c>
      <c r="DG127" t="e">
        <f>AND('BBP complete'!S822,"AAAAAB9rP24=")</f>
        <v>#VALUE!</v>
      </c>
      <c r="DH127" t="e">
        <f>AND('BBP complete'!#REF!,"AAAAAB9rP28=")</f>
        <v>#REF!</v>
      </c>
      <c r="DI127" t="e">
        <f>AND('BBP complete'!Q823,"AAAAAB9rP3A=")</f>
        <v>#VALUE!</v>
      </c>
      <c r="DJ127" t="e">
        <f>AND('BBP complete'!R823,"AAAAAB9rP3E=")</f>
        <v>#VALUE!</v>
      </c>
      <c r="DK127" t="e">
        <f>AND('BBP complete'!S823,"AAAAAB9rP3I=")</f>
        <v>#VALUE!</v>
      </c>
      <c r="DL127" t="e">
        <f>AND('BBP complete'!Q824,"AAAAAB9rP3M=")</f>
        <v>#VALUE!</v>
      </c>
      <c r="DM127" t="e">
        <f>AND('BBP complete'!R824,"AAAAAB9rP3Q=")</f>
        <v>#VALUE!</v>
      </c>
      <c r="DN127" t="e">
        <f>AND('BBP complete'!S824,"AAAAAB9rP3U=")</f>
        <v>#VALUE!</v>
      </c>
      <c r="DO127" t="e">
        <f>AND('BBP complete'!Q825,"AAAAAB9rP3Y=")</f>
        <v>#VALUE!</v>
      </c>
      <c r="DP127" t="e">
        <f>AND('BBP complete'!R825,"AAAAAB9rP3c=")</f>
        <v>#VALUE!</v>
      </c>
      <c r="DQ127" t="e">
        <f>AND('BBP complete'!S825,"AAAAAB9rP3g=")</f>
        <v>#VALUE!</v>
      </c>
      <c r="DR127" t="e">
        <f>AND('BBP complete'!Q826,"AAAAAB9rP3k=")</f>
        <v>#VALUE!</v>
      </c>
      <c r="DS127" t="e">
        <f>AND('BBP complete'!R826,"AAAAAB9rP3o=")</f>
        <v>#VALUE!</v>
      </c>
      <c r="DT127" t="e">
        <f>AND('BBP complete'!S826,"AAAAAB9rP3s=")</f>
        <v>#VALUE!</v>
      </c>
      <c r="DU127" t="e">
        <f>AND('BBP complete'!Q827,"AAAAAB9rP3w=")</f>
        <v>#VALUE!</v>
      </c>
      <c r="DV127" t="e">
        <f>AND('BBP complete'!R827,"AAAAAB9rP30=")</f>
        <v>#VALUE!</v>
      </c>
      <c r="DW127" t="e">
        <f>AND('BBP complete'!S827,"AAAAAB9rP34=")</f>
        <v>#VALUE!</v>
      </c>
      <c r="DX127" t="e">
        <f>AND('BBP complete'!Q828,"AAAAAB9rP38=")</f>
        <v>#VALUE!</v>
      </c>
      <c r="DY127" t="e">
        <f>AND('BBP complete'!R828,"AAAAAB9rP4A=")</f>
        <v>#VALUE!</v>
      </c>
      <c r="DZ127" t="e">
        <f>AND('BBP complete'!S828,"AAAAAB9rP4E=")</f>
        <v>#VALUE!</v>
      </c>
      <c r="EA127" t="e">
        <f>AND('BBP complete'!Q829,"AAAAAB9rP4I=")</f>
        <v>#VALUE!</v>
      </c>
      <c r="EB127" t="e">
        <f>AND('BBP complete'!R829,"AAAAAB9rP4M=")</f>
        <v>#VALUE!</v>
      </c>
      <c r="EC127" t="e">
        <f>AND('BBP complete'!S829,"AAAAAB9rP4Q=")</f>
        <v>#VALUE!</v>
      </c>
      <c r="ED127" t="e">
        <f>AND('BBP complete'!Q830,"AAAAAB9rP4U=")</f>
        <v>#VALUE!</v>
      </c>
      <c r="EE127" t="e">
        <f>AND('BBP complete'!R830,"AAAAAB9rP4Y=")</f>
        <v>#VALUE!</v>
      </c>
      <c r="EF127" t="e">
        <f>AND('BBP complete'!S830,"AAAAAB9rP4c=")</f>
        <v>#VALUE!</v>
      </c>
      <c r="EG127" t="e">
        <f>AND('BBP complete'!Q831,"AAAAAB9rP4g=")</f>
        <v>#VALUE!</v>
      </c>
      <c r="EH127" t="e">
        <f>AND('BBP complete'!R831,"AAAAAB9rP4k=")</f>
        <v>#VALUE!</v>
      </c>
      <c r="EI127" t="e">
        <f>AND('BBP complete'!S831,"AAAAAB9rP4o=")</f>
        <v>#VALUE!</v>
      </c>
      <c r="EJ127" t="e">
        <f>AND('BBP complete'!Q832,"AAAAAB9rP4s=")</f>
        <v>#VALUE!</v>
      </c>
      <c r="EK127" t="e">
        <f>AND('BBP complete'!R832,"AAAAAB9rP4w=")</f>
        <v>#VALUE!</v>
      </c>
      <c r="EL127" t="e">
        <f>AND('BBP complete'!S832,"AAAAAB9rP40=")</f>
        <v>#VALUE!</v>
      </c>
      <c r="EM127" t="e">
        <f>AND('BBP complete'!Q833,"AAAAAB9rP44=")</f>
        <v>#VALUE!</v>
      </c>
      <c r="EN127" t="e">
        <f>AND('BBP complete'!R833,"AAAAAB9rP48=")</f>
        <v>#VALUE!</v>
      </c>
      <c r="EO127" t="e">
        <f>AND('BBP complete'!S833,"AAAAAB9rP5A=")</f>
        <v>#VALUE!</v>
      </c>
      <c r="EP127" t="e">
        <f>AND('BBP complete'!Q834,"AAAAAB9rP5E=")</f>
        <v>#VALUE!</v>
      </c>
      <c r="EQ127" t="e">
        <f>AND('BBP complete'!R834,"AAAAAB9rP5I=")</f>
        <v>#VALUE!</v>
      </c>
      <c r="ER127" t="e">
        <f>AND('BBP complete'!S834,"AAAAAB9rP5M=")</f>
        <v>#VALUE!</v>
      </c>
      <c r="ES127" t="e">
        <f>AND('BBP complete'!Q835,"AAAAAB9rP5Q=")</f>
        <v>#VALUE!</v>
      </c>
      <c r="ET127" t="e">
        <f>AND('BBP complete'!R835,"AAAAAB9rP5U=")</f>
        <v>#VALUE!</v>
      </c>
      <c r="EU127" t="e">
        <f>AND('BBP complete'!S835,"AAAAAB9rP5Y=")</f>
        <v>#VALUE!</v>
      </c>
      <c r="EV127" t="e">
        <f>AND('BBP complete'!Q836,"AAAAAB9rP5c=")</f>
        <v>#VALUE!</v>
      </c>
      <c r="EW127" t="e">
        <f>AND('BBP complete'!R836,"AAAAAB9rP5g=")</f>
        <v>#VALUE!</v>
      </c>
      <c r="EX127" t="e">
        <f>AND('BBP complete'!S836,"AAAAAB9rP5k=")</f>
        <v>#VALUE!</v>
      </c>
      <c r="EY127" t="e">
        <f>AND('BBP complete'!Q837,"AAAAAB9rP5o=")</f>
        <v>#VALUE!</v>
      </c>
      <c r="EZ127" t="e">
        <f>AND('BBP complete'!R837,"AAAAAB9rP5s=")</f>
        <v>#VALUE!</v>
      </c>
      <c r="FA127" t="e">
        <f>AND('BBP complete'!S837,"AAAAAB9rP5w=")</f>
        <v>#VALUE!</v>
      </c>
      <c r="FB127" t="e">
        <f>AND('BBP complete'!Q838,"AAAAAB9rP50=")</f>
        <v>#VALUE!</v>
      </c>
      <c r="FC127" t="e">
        <f>AND('BBP complete'!R838,"AAAAAB9rP54=")</f>
        <v>#VALUE!</v>
      </c>
      <c r="FD127" t="e">
        <f>AND('BBP complete'!S838,"AAAAAB9rP58=")</f>
        <v>#VALUE!</v>
      </c>
      <c r="FE127" t="e">
        <f>AND('BBP complete'!Q839,"AAAAAB9rP6A=")</f>
        <v>#VALUE!</v>
      </c>
      <c r="FF127" t="e">
        <f>AND('BBP complete'!R839,"AAAAAB9rP6E=")</f>
        <v>#VALUE!</v>
      </c>
      <c r="FG127" t="e">
        <f>AND('BBP complete'!S839,"AAAAAB9rP6I=")</f>
        <v>#VALUE!</v>
      </c>
      <c r="FH127" t="e">
        <f>AND('BBP complete'!Q840,"AAAAAB9rP6M=")</f>
        <v>#VALUE!</v>
      </c>
      <c r="FI127" t="e">
        <f>AND('BBP complete'!R840,"AAAAAB9rP6Q=")</f>
        <v>#VALUE!</v>
      </c>
      <c r="FJ127" t="e">
        <f>AND('BBP complete'!S840,"AAAAAB9rP6U=")</f>
        <v>#VALUE!</v>
      </c>
      <c r="FK127" t="e">
        <f>AND('BBP complete'!Q841,"AAAAAB9rP6Y=")</f>
        <v>#VALUE!</v>
      </c>
      <c r="FL127" t="e">
        <f>AND('BBP complete'!R841,"AAAAAB9rP6c=")</f>
        <v>#VALUE!</v>
      </c>
      <c r="FM127" t="e">
        <f>AND('BBP complete'!S841,"AAAAAB9rP6g=")</f>
        <v>#VALUE!</v>
      </c>
      <c r="FN127" t="e">
        <f>AND('BBP complete'!Q842,"AAAAAB9rP6k=")</f>
        <v>#VALUE!</v>
      </c>
      <c r="FO127" t="e">
        <f>AND('BBP complete'!R842,"AAAAAB9rP6o=")</f>
        <v>#VALUE!</v>
      </c>
      <c r="FP127" t="e">
        <f>AND('BBP complete'!S842,"AAAAAB9rP6s=")</f>
        <v>#VALUE!</v>
      </c>
      <c r="FQ127" t="e">
        <f>AND('BBP complete'!Q843,"AAAAAB9rP6w=")</f>
        <v>#VALUE!</v>
      </c>
      <c r="FR127" t="e">
        <f>AND('BBP complete'!R843,"AAAAAB9rP60=")</f>
        <v>#VALUE!</v>
      </c>
      <c r="FS127" t="e">
        <f>AND('BBP complete'!S843,"AAAAAB9rP64=")</f>
        <v>#VALUE!</v>
      </c>
      <c r="FT127" t="e">
        <f>AND('BBP complete'!Q844,"AAAAAB9rP68=")</f>
        <v>#VALUE!</v>
      </c>
      <c r="FU127" t="e">
        <f>AND('BBP complete'!R844,"AAAAAB9rP7A=")</f>
        <v>#VALUE!</v>
      </c>
      <c r="FV127" t="e">
        <f>AND('BBP complete'!S844,"AAAAAB9rP7E=")</f>
        <v>#VALUE!</v>
      </c>
      <c r="FW127" t="e">
        <f>AND('BBP complete'!Q845,"AAAAAB9rP7I=")</f>
        <v>#VALUE!</v>
      </c>
      <c r="FX127" t="e">
        <f>AND('BBP complete'!R845,"AAAAAB9rP7M=")</f>
        <v>#VALUE!</v>
      </c>
      <c r="FY127" t="e">
        <f>AND('BBP complete'!S845,"AAAAAB9rP7Q=")</f>
        <v>#VALUE!</v>
      </c>
      <c r="FZ127" t="e">
        <f>AND('BBP complete'!Q846,"AAAAAB9rP7U=")</f>
        <v>#VALUE!</v>
      </c>
      <c r="GA127" t="e">
        <f>AND('BBP complete'!R846,"AAAAAB9rP7Y=")</f>
        <v>#VALUE!</v>
      </c>
      <c r="GB127" t="e">
        <f>AND('BBP complete'!S846,"AAAAAB9rP7c=")</f>
        <v>#VALUE!</v>
      </c>
      <c r="GC127" t="e">
        <f>AND('BBP complete'!Q847,"AAAAAB9rP7g=")</f>
        <v>#VALUE!</v>
      </c>
      <c r="GD127" t="e">
        <f>AND('BBP complete'!R847,"AAAAAB9rP7k=")</f>
        <v>#VALUE!</v>
      </c>
      <c r="GE127" t="e">
        <f>AND('BBP complete'!S847,"AAAAAB9rP7o=")</f>
        <v>#VALUE!</v>
      </c>
      <c r="GF127" t="e">
        <f>AND('BBP complete'!Q848,"AAAAAB9rP7s=")</f>
        <v>#VALUE!</v>
      </c>
      <c r="GG127" t="e">
        <f>AND('BBP complete'!R848,"AAAAAB9rP7w=")</f>
        <v>#VALUE!</v>
      </c>
      <c r="GH127" t="e">
        <f>AND('BBP complete'!S848,"AAAAAB9rP70=")</f>
        <v>#VALUE!</v>
      </c>
      <c r="GI127" t="e">
        <f>AND('BBP complete'!Q849,"AAAAAB9rP74=")</f>
        <v>#VALUE!</v>
      </c>
      <c r="GJ127" t="e">
        <f>AND('BBP complete'!R849,"AAAAAB9rP78=")</f>
        <v>#VALUE!</v>
      </c>
      <c r="GK127" t="e">
        <f>AND('BBP complete'!S849,"AAAAAB9rP8A=")</f>
        <v>#VALUE!</v>
      </c>
      <c r="GL127" t="e">
        <f>AND('BBP complete'!Q850,"AAAAAB9rP8E=")</f>
        <v>#VALUE!</v>
      </c>
      <c r="GM127" t="e">
        <f>AND('BBP complete'!R850,"AAAAAB9rP8I=")</f>
        <v>#VALUE!</v>
      </c>
      <c r="GN127" t="e">
        <f>AND('BBP complete'!S850,"AAAAAB9rP8M=")</f>
        <v>#VALUE!</v>
      </c>
      <c r="GO127" t="e">
        <f>AND('BBP complete'!Q851,"AAAAAB9rP8Q=")</f>
        <v>#VALUE!</v>
      </c>
      <c r="GP127" t="e">
        <f>AND('BBP complete'!R851,"AAAAAB9rP8U=")</f>
        <v>#VALUE!</v>
      </c>
      <c r="GQ127" t="e">
        <f>AND('BBP complete'!S851,"AAAAAB9rP8Y=")</f>
        <v>#VALUE!</v>
      </c>
      <c r="GR127" t="e">
        <f>AND('BBP complete'!Q852,"AAAAAB9rP8c=")</f>
        <v>#VALUE!</v>
      </c>
      <c r="GS127" t="e">
        <f>AND('BBP complete'!R852,"AAAAAB9rP8g=")</f>
        <v>#VALUE!</v>
      </c>
      <c r="GT127" t="e">
        <f>AND('BBP complete'!S852,"AAAAAB9rP8k=")</f>
        <v>#VALUE!</v>
      </c>
      <c r="GU127" t="e">
        <f>AND('BBP complete'!Q853,"AAAAAB9rP8o=")</f>
        <v>#VALUE!</v>
      </c>
      <c r="GV127" t="e">
        <f>AND('BBP complete'!R853,"AAAAAB9rP8s=")</f>
        <v>#VALUE!</v>
      </c>
      <c r="GW127" t="e">
        <f>AND('BBP complete'!S853,"AAAAAB9rP8w=")</f>
        <v>#VALUE!</v>
      </c>
      <c r="GX127" t="e">
        <f>AND('BBP complete'!Q854,"AAAAAB9rP80=")</f>
        <v>#VALUE!</v>
      </c>
      <c r="GY127" t="e">
        <f>AND('BBP complete'!R854,"AAAAAB9rP84=")</f>
        <v>#VALUE!</v>
      </c>
      <c r="GZ127" t="e">
        <f>AND('BBP complete'!S854,"AAAAAB9rP88=")</f>
        <v>#VALUE!</v>
      </c>
      <c r="HA127" t="e">
        <f>AND('BBP complete'!Q855,"AAAAAB9rP9A=")</f>
        <v>#VALUE!</v>
      </c>
      <c r="HB127" t="e">
        <f>AND('BBP complete'!R855,"AAAAAB9rP9E=")</f>
        <v>#VALUE!</v>
      </c>
      <c r="HC127" t="e">
        <f>AND('BBP complete'!S855,"AAAAAB9rP9I=")</f>
        <v>#VALUE!</v>
      </c>
      <c r="HD127" t="e">
        <f>AND('BBP complete'!Q856,"AAAAAB9rP9M=")</f>
        <v>#VALUE!</v>
      </c>
      <c r="HE127" t="e">
        <f>AND('BBP complete'!R856,"AAAAAB9rP9Q=")</f>
        <v>#VALUE!</v>
      </c>
      <c r="HF127" t="e">
        <f>AND('BBP complete'!S856,"AAAAAB9rP9U=")</f>
        <v>#VALUE!</v>
      </c>
      <c r="HG127" t="e">
        <f>AND('BBP complete'!Q857,"AAAAAB9rP9Y=")</f>
        <v>#VALUE!</v>
      </c>
      <c r="HH127" t="e">
        <f>AND('BBP complete'!R857,"AAAAAB9rP9c=")</f>
        <v>#VALUE!</v>
      </c>
      <c r="HI127" t="e">
        <f>AND('BBP complete'!S857,"AAAAAB9rP9g=")</f>
        <v>#VALUE!</v>
      </c>
      <c r="HJ127" t="e">
        <f>AND('BBP complete'!Q858,"AAAAAB9rP9k=")</f>
        <v>#VALUE!</v>
      </c>
      <c r="HK127" t="e">
        <f>AND('BBP complete'!R858,"AAAAAB9rP9o=")</f>
        <v>#VALUE!</v>
      </c>
      <c r="HL127" t="e">
        <f>AND('BBP complete'!S858,"AAAAAB9rP9s=")</f>
        <v>#VALUE!</v>
      </c>
      <c r="HM127" t="e">
        <f>AND('BBP complete'!Q859,"AAAAAB9rP9w=")</f>
        <v>#VALUE!</v>
      </c>
      <c r="HN127" t="e">
        <f>AND('BBP complete'!R859,"AAAAAB9rP90=")</f>
        <v>#VALUE!</v>
      </c>
      <c r="HO127" t="e">
        <f>AND('BBP complete'!S859,"AAAAAB9rP94=")</f>
        <v>#VALUE!</v>
      </c>
      <c r="HP127" t="e">
        <f>AND('BBP complete'!Q860,"AAAAAB9rP98=")</f>
        <v>#VALUE!</v>
      </c>
      <c r="HQ127" t="e">
        <f>AND('BBP complete'!R860,"AAAAAB9rP+A=")</f>
        <v>#VALUE!</v>
      </c>
      <c r="HR127" t="e">
        <f>AND('BBP complete'!S860,"AAAAAB9rP+E=")</f>
        <v>#VALUE!</v>
      </c>
      <c r="HS127" t="e">
        <f>AND('BBP complete'!Q861,"AAAAAB9rP+I=")</f>
        <v>#VALUE!</v>
      </c>
      <c r="HT127" t="e">
        <f>AND('BBP complete'!R861,"AAAAAB9rP+M=")</f>
        <v>#VALUE!</v>
      </c>
      <c r="HU127" t="e">
        <f>AND('BBP complete'!S861,"AAAAAB9rP+Q=")</f>
        <v>#VALUE!</v>
      </c>
      <c r="HV127" t="e">
        <f>AND('BBP complete'!Q862,"AAAAAB9rP+U=")</f>
        <v>#VALUE!</v>
      </c>
      <c r="HW127" t="e">
        <f>AND('BBP complete'!R862,"AAAAAB9rP+Y=")</f>
        <v>#VALUE!</v>
      </c>
      <c r="HX127" t="e">
        <f>AND('BBP complete'!S862,"AAAAAB9rP+c=")</f>
        <v>#VALUE!</v>
      </c>
      <c r="HY127" t="e">
        <f>AND('BBP complete'!Q863,"AAAAAB9rP+g=")</f>
        <v>#VALUE!</v>
      </c>
      <c r="HZ127" t="e">
        <f>AND('BBP complete'!R863,"AAAAAB9rP+k=")</f>
        <v>#VALUE!</v>
      </c>
      <c r="IA127" t="e">
        <f>AND('BBP complete'!S863,"AAAAAB9rP+o=")</f>
        <v>#VALUE!</v>
      </c>
      <c r="IB127" t="e">
        <f>AND('BBP complete'!Q864,"AAAAAB9rP+s=")</f>
        <v>#VALUE!</v>
      </c>
      <c r="IC127" t="e">
        <f>AND('BBP complete'!R864,"AAAAAB9rP+w=")</f>
        <v>#VALUE!</v>
      </c>
      <c r="ID127" t="e">
        <f>AND('BBP complete'!S864,"AAAAAB9rP+0=")</f>
        <v>#VALUE!</v>
      </c>
      <c r="IE127" t="e">
        <f>AND('BBP complete'!Q865,"AAAAAB9rP+4=")</f>
        <v>#VALUE!</v>
      </c>
      <c r="IF127" t="e">
        <f>AND('BBP complete'!R865,"AAAAAB9rP+8=")</f>
        <v>#VALUE!</v>
      </c>
      <c r="IG127" t="e">
        <f>AND('BBP complete'!S865,"AAAAAB9rP/A=")</f>
        <v>#VALUE!</v>
      </c>
      <c r="IH127" t="e">
        <f>AND('BBP complete'!Q866,"AAAAAB9rP/E=")</f>
        <v>#VALUE!</v>
      </c>
      <c r="II127" t="e">
        <f>AND('BBP complete'!R866,"AAAAAB9rP/I=")</f>
        <v>#VALUE!</v>
      </c>
      <c r="IJ127" t="e">
        <f>AND('BBP complete'!S866,"AAAAAB9rP/M=")</f>
        <v>#VALUE!</v>
      </c>
      <c r="IK127" t="e">
        <f>AND('BBP complete'!Q867,"AAAAAB9rP/Q=")</f>
        <v>#VALUE!</v>
      </c>
      <c r="IL127" t="e">
        <f>AND('BBP complete'!R867,"AAAAAB9rP/U=")</f>
        <v>#VALUE!</v>
      </c>
      <c r="IM127" t="e">
        <f>AND('BBP complete'!S867,"AAAAAB9rP/Y=")</f>
        <v>#VALUE!</v>
      </c>
      <c r="IN127" t="e">
        <f>AND('BBP complete'!Q868,"AAAAAB9rP/c=")</f>
        <v>#VALUE!</v>
      </c>
      <c r="IO127" t="e">
        <f>AND('BBP complete'!R868,"AAAAAB9rP/g=")</f>
        <v>#VALUE!</v>
      </c>
      <c r="IP127" t="e">
        <f>AND('BBP complete'!S868,"AAAAAB9rP/k=")</f>
        <v>#VALUE!</v>
      </c>
      <c r="IQ127" t="e">
        <f>AND('BBP complete'!Q869,"AAAAAB9rP/o=")</f>
        <v>#VALUE!</v>
      </c>
      <c r="IR127" t="e">
        <f>AND('BBP complete'!R869,"AAAAAB9rP/s=")</f>
        <v>#VALUE!</v>
      </c>
      <c r="IS127" t="e">
        <f>AND('BBP complete'!S869,"AAAAAB9rP/w=")</f>
        <v>#VALUE!</v>
      </c>
      <c r="IT127" t="e">
        <f>AND('BBP complete'!Q870,"AAAAAB9rP/0=")</f>
        <v>#VALUE!</v>
      </c>
      <c r="IU127" t="e">
        <f>AND('BBP complete'!R870,"AAAAAB9rP/4=")</f>
        <v>#VALUE!</v>
      </c>
      <c r="IV127" t="e">
        <f>AND('BBP complete'!S870,"AAAAAB9rP/8=")</f>
        <v>#VALUE!</v>
      </c>
    </row>
    <row r="128" spans="1:256" ht="15" customHeight="1" x14ac:dyDescent="0.25">
      <c r="A128" t="e">
        <f>AND('BBP complete'!Q871,"AAAAAFn7nwA=")</f>
        <v>#VALUE!</v>
      </c>
      <c r="B128" t="e">
        <f>AND('BBP complete'!R871,"AAAAAFn7nwE=")</f>
        <v>#VALUE!</v>
      </c>
      <c r="C128" t="e">
        <f>AND('BBP complete'!S871,"AAAAAFn7nwI=")</f>
        <v>#VALUE!</v>
      </c>
      <c r="D128" t="e">
        <f>AND('BBP complete'!Q872,"AAAAAFn7nwM=")</f>
        <v>#VALUE!</v>
      </c>
      <c r="E128" t="e">
        <f>AND('BBP complete'!R872,"AAAAAFn7nwQ=")</f>
        <v>#VALUE!</v>
      </c>
      <c r="F128" t="e">
        <f>AND('BBP complete'!S872,"AAAAAFn7nwU=")</f>
        <v>#VALUE!</v>
      </c>
      <c r="G128" t="e">
        <f>AND('BBP complete'!Q873,"AAAAAFn7nwY=")</f>
        <v>#VALUE!</v>
      </c>
      <c r="H128" t="e">
        <f>AND('BBP complete'!R873,"AAAAAFn7nwc=")</f>
        <v>#VALUE!</v>
      </c>
      <c r="I128" t="e">
        <f>AND('BBP complete'!S873,"AAAAAFn7nwg=")</f>
        <v>#VALUE!</v>
      </c>
      <c r="J128" t="e">
        <f>AND('BBP complete'!Q874,"AAAAAFn7nwk=")</f>
        <v>#VALUE!</v>
      </c>
      <c r="K128" t="e">
        <f>AND('BBP complete'!R874,"AAAAAFn7nwo=")</f>
        <v>#VALUE!</v>
      </c>
      <c r="L128" t="e">
        <f>AND('BBP complete'!S874,"AAAAAFn7nws=")</f>
        <v>#VALUE!</v>
      </c>
      <c r="M128" t="e">
        <f>AND('BBP complete'!Q875,"AAAAAFn7nww=")</f>
        <v>#VALUE!</v>
      </c>
      <c r="N128" t="e">
        <f>AND('BBP complete'!R875,"AAAAAFn7nw0=")</f>
        <v>#VALUE!</v>
      </c>
      <c r="O128" t="e">
        <f>AND('BBP complete'!S875,"AAAAAFn7nw4=")</f>
        <v>#VALUE!</v>
      </c>
      <c r="P128" t="e">
        <f>AND('BBP complete'!Q876,"AAAAAFn7nw8=")</f>
        <v>#VALUE!</v>
      </c>
      <c r="Q128" t="e">
        <f>AND('BBP complete'!R876,"AAAAAFn7nxA=")</f>
        <v>#VALUE!</v>
      </c>
      <c r="R128" t="e">
        <f>AND('BBP complete'!S876,"AAAAAFn7nxE=")</f>
        <v>#VALUE!</v>
      </c>
      <c r="S128" t="e">
        <f>AND('BBP complete'!Q877,"AAAAAFn7nxI=")</f>
        <v>#VALUE!</v>
      </c>
      <c r="T128" t="e">
        <f>AND('BBP complete'!R877,"AAAAAFn7nxM=")</f>
        <v>#VALUE!</v>
      </c>
      <c r="U128" t="e">
        <f>AND('BBP complete'!S877,"AAAAAFn7nxQ=")</f>
        <v>#VALUE!</v>
      </c>
      <c r="V128" t="e">
        <f>AND('BBP complete'!Q878,"AAAAAFn7nxU=")</f>
        <v>#VALUE!</v>
      </c>
      <c r="W128" t="e">
        <f>AND('BBP complete'!R878,"AAAAAFn7nxY=")</f>
        <v>#VALUE!</v>
      </c>
      <c r="X128" t="e">
        <f>AND('BBP complete'!S878,"AAAAAFn7nxc=")</f>
        <v>#VALUE!</v>
      </c>
      <c r="Y128" t="e">
        <f>AND('BBP complete'!Q879,"AAAAAFn7nxg=")</f>
        <v>#VALUE!</v>
      </c>
      <c r="Z128" t="e">
        <f>AND('BBP complete'!R879,"AAAAAFn7nxk=")</f>
        <v>#VALUE!</v>
      </c>
      <c r="AA128" t="e">
        <f>AND('BBP complete'!S879,"AAAAAFn7nxo=")</f>
        <v>#VALUE!</v>
      </c>
      <c r="AB128" t="e">
        <f>AND('BBP complete'!Q880,"AAAAAFn7nxs=")</f>
        <v>#VALUE!</v>
      </c>
      <c r="AC128" t="e">
        <f>AND('BBP complete'!R880,"AAAAAFn7nxw=")</f>
        <v>#VALUE!</v>
      </c>
      <c r="AD128" t="e">
        <f>AND('BBP complete'!S880,"AAAAAFn7nx0=")</f>
        <v>#VALUE!</v>
      </c>
      <c r="AE128" t="e">
        <f>AND('BBP complete'!Q881,"AAAAAFn7nx4=")</f>
        <v>#VALUE!</v>
      </c>
      <c r="AF128" t="e">
        <f>AND('BBP complete'!R881,"AAAAAFn7nx8=")</f>
        <v>#VALUE!</v>
      </c>
      <c r="AG128" t="e">
        <f>AND('BBP complete'!S881,"AAAAAFn7nyA=")</f>
        <v>#VALUE!</v>
      </c>
      <c r="AH128" t="e">
        <f>AND('BBP complete'!Q882,"AAAAAFn7nyE=")</f>
        <v>#VALUE!</v>
      </c>
      <c r="AI128" t="e">
        <f>AND('BBP complete'!R882,"AAAAAFn7nyI=")</f>
        <v>#VALUE!</v>
      </c>
      <c r="AJ128" t="e">
        <f>AND('BBP complete'!S882,"AAAAAFn7nyM=")</f>
        <v>#VALUE!</v>
      </c>
      <c r="AK128" t="e">
        <f>AND('BBP complete'!Q883,"AAAAAFn7nyQ=")</f>
        <v>#VALUE!</v>
      </c>
      <c r="AL128" t="e">
        <f>AND('BBP complete'!R883,"AAAAAFn7nyU=")</f>
        <v>#VALUE!</v>
      </c>
      <c r="AM128" t="e">
        <f>AND('BBP complete'!S883,"AAAAAFn7nyY=")</f>
        <v>#VALUE!</v>
      </c>
      <c r="AN128" t="e">
        <f>AND('BBP complete'!Q884,"AAAAAFn7nyc=")</f>
        <v>#VALUE!</v>
      </c>
      <c r="AO128" t="e">
        <f>AND('BBP complete'!R884,"AAAAAFn7nyg=")</f>
        <v>#VALUE!</v>
      </c>
      <c r="AP128" t="e">
        <f>AND('BBP complete'!S884,"AAAAAFn7nyk=")</f>
        <v>#VALUE!</v>
      </c>
      <c r="AQ128" t="e">
        <f>AND('BBP complete'!Q885,"AAAAAFn7nyo=")</f>
        <v>#VALUE!</v>
      </c>
      <c r="AR128" t="e">
        <f>AND('BBP complete'!R885,"AAAAAFn7nys=")</f>
        <v>#VALUE!</v>
      </c>
      <c r="AS128" t="e">
        <f>AND('BBP complete'!S885,"AAAAAFn7nyw=")</f>
        <v>#VALUE!</v>
      </c>
      <c r="AT128" t="e">
        <f>AND('BBP complete'!Q886,"AAAAAFn7ny0=")</f>
        <v>#VALUE!</v>
      </c>
      <c r="AU128" t="e">
        <f>AND('BBP complete'!R886,"AAAAAFn7ny4=")</f>
        <v>#VALUE!</v>
      </c>
      <c r="AV128" t="e">
        <f>AND('BBP complete'!S886,"AAAAAFn7ny8=")</f>
        <v>#VALUE!</v>
      </c>
      <c r="AW128" t="e">
        <f>AND('BBP complete'!Q887,"AAAAAFn7nzA=")</f>
        <v>#VALUE!</v>
      </c>
      <c r="AX128" t="e">
        <f>AND('BBP complete'!R887,"AAAAAFn7nzE=")</f>
        <v>#VALUE!</v>
      </c>
      <c r="AY128" t="e">
        <f>AND('BBP complete'!S887,"AAAAAFn7nzI=")</f>
        <v>#VALUE!</v>
      </c>
      <c r="AZ128" t="e">
        <f>AND('BBP complete'!Q888,"AAAAAFn7nzM=")</f>
        <v>#VALUE!</v>
      </c>
      <c r="BA128" t="e">
        <f>AND('BBP complete'!R888,"AAAAAFn7nzQ=")</f>
        <v>#VALUE!</v>
      </c>
      <c r="BB128" t="e">
        <f>AND('BBP complete'!S888,"AAAAAFn7nzU=")</f>
        <v>#VALUE!</v>
      </c>
      <c r="BC128" t="e">
        <f>AND('BBP complete'!B878,"AAAAAFn7nzY=")</f>
        <v>#VALUE!</v>
      </c>
      <c r="BD128" t="e">
        <f>AND('BBP complete'!C878,"AAAAAFn7nzc=")</f>
        <v>#VALUE!</v>
      </c>
      <c r="BE128" t="e">
        <f>AND('BBP complete'!Q889,"AAAAAFn7nzg=")</f>
        <v>#VALUE!</v>
      </c>
      <c r="BF128" t="e">
        <f>AND('BBP complete'!R889,"AAAAAFn7nzk=")</f>
        <v>#VALUE!</v>
      </c>
      <c r="BG128" t="e">
        <f>AND('BBP complete'!S889,"AAAAAFn7nzo=")</f>
        <v>#VALUE!</v>
      </c>
      <c r="BH128" t="e">
        <f>AND('BBP complete'!A879,"AAAAAFn7nzs=")</f>
        <v>#VALUE!</v>
      </c>
      <c r="BI128" t="e">
        <f>AND('BBP complete'!C879,"AAAAAFn7nzw=")</f>
        <v>#VALUE!</v>
      </c>
      <c r="BJ128" t="e">
        <f>AND('BBP complete'!Q890,"AAAAAFn7nz0=")</f>
        <v>#VALUE!</v>
      </c>
      <c r="BK128" t="e">
        <f>AND('BBP complete'!R890,"AAAAAFn7nz4=")</f>
        <v>#VALUE!</v>
      </c>
      <c r="BL128" t="e">
        <f>AND('BBP complete'!S890,"AAAAAFn7nz8=")</f>
        <v>#VALUE!</v>
      </c>
      <c r="BM128" t="e">
        <f>AND('BBP complete'!B880,"AAAAAFn7n0A=")</f>
        <v>#VALUE!</v>
      </c>
      <c r="BN128" t="e">
        <f>AND('BBP complete'!C880,"AAAAAFn7n0E=")</f>
        <v>#VALUE!</v>
      </c>
      <c r="BO128" t="e">
        <f>AND('BBP complete'!Q891,"AAAAAFn7n0I=")</f>
        <v>#VALUE!</v>
      </c>
      <c r="BP128" t="e">
        <f>AND('BBP complete'!R891,"AAAAAFn7n0M=")</f>
        <v>#VALUE!</v>
      </c>
      <c r="BQ128" t="e">
        <f>AND('BBP complete'!S891,"AAAAAFn7n0Q=")</f>
        <v>#VALUE!</v>
      </c>
      <c r="BR128" t="e">
        <f>AND('BBP complete'!Q892,"AAAAAFn7n0U=")</f>
        <v>#VALUE!</v>
      </c>
      <c r="BS128" t="e">
        <f>AND('BBP complete'!R892,"AAAAAFn7n0Y=")</f>
        <v>#VALUE!</v>
      </c>
      <c r="BT128" t="e">
        <f>AND('BBP complete'!S892,"AAAAAFn7n0c=")</f>
        <v>#VALUE!</v>
      </c>
      <c r="BU128" t="e">
        <f>AND('BBP complete'!Q893,"AAAAAFn7n0g=")</f>
        <v>#VALUE!</v>
      </c>
      <c r="BV128" t="e">
        <f>AND('BBP complete'!R893,"AAAAAFn7n0k=")</f>
        <v>#VALUE!</v>
      </c>
      <c r="BW128" t="e">
        <f>AND('BBP complete'!S893,"AAAAAFn7n0o=")</f>
        <v>#VALUE!</v>
      </c>
      <c r="BX128" t="e">
        <f>AND('BBP complete'!B883,"AAAAAFn7n0s=")</f>
        <v>#VALUE!</v>
      </c>
      <c r="BY128" t="e">
        <f>AND('BBP complete'!C883,"AAAAAFn7n0w=")</f>
        <v>#VALUE!</v>
      </c>
      <c r="BZ128" t="e">
        <f>AND('BBP complete'!Q894,"AAAAAFn7n00=")</f>
        <v>#VALUE!</v>
      </c>
      <c r="CA128" t="e">
        <f>AND('BBP complete'!R894,"AAAAAFn7n04=")</f>
        <v>#VALUE!</v>
      </c>
      <c r="CB128" t="e">
        <f>AND('BBP complete'!S894,"AAAAAFn7n08=")</f>
        <v>#VALUE!</v>
      </c>
      <c r="CC128" t="e">
        <f>AND('BBP complete'!Q895,"AAAAAFn7n1A=")</f>
        <v>#VALUE!</v>
      </c>
      <c r="CD128" t="e">
        <f>AND('BBP complete'!R895,"AAAAAFn7n1E=")</f>
        <v>#VALUE!</v>
      </c>
      <c r="CE128" t="e">
        <f>AND('BBP complete'!S895,"AAAAAFn7n1I=")</f>
        <v>#VALUE!</v>
      </c>
      <c r="CF128" t="e">
        <f>AND('BBP complete'!B885,"AAAAAFn7n1M=")</f>
        <v>#VALUE!</v>
      </c>
      <c r="CG128" t="e">
        <f>AND('BBP complete'!C885,"AAAAAFn7n1Q=")</f>
        <v>#VALUE!</v>
      </c>
      <c r="CH128" t="e">
        <f>AND('BBP complete'!Q896,"AAAAAFn7n1U=")</f>
        <v>#VALUE!</v>
      </c>
      <c r="CI128" t="e">
        <f>AND('BBP complete'!R896,"AAAAAFn7n1Y=")</f>
        <v>#VALUE!</v>
      </c>
      <c r="CJ128" t="e">
        <f>AND('BBP complete'!S896,"AAAAAFn7n1c=")</f>
        <v>#VALUE!</v>
      </c>
      <c r="CK128" t="e">
        <f>AND('BBP complete'!B886,"AAAAAFn7n1g=")</f>
        <v>#VALUE!</v>
      </c>
      <c r="CL128" t="e">
        <f>AND('BBP complete'!C886,"AAAAAFn7n1k=")</f>
        <v>#VALUE!</v>
      </c>
      <c r="CM128" t="e">
        <f>AND('BBP complete'!Q897,"AAAAAFn7n1o=")</f>
        <v>#VALUE!</v>
      </c>
      <c r="CN128" t="e">
        <f>AND('BBP complete'!R897,"AAAAAFn7n1s=")</f>
        <v>#VALUE!</v>
      </c>
      <c r="CO128" t="e">
        <f>AND('BBP complete'!S897,"AAAAAFn7n1w=")</f>
        <v>#VALUE!</v>
      </c>
      <c r="CP128" s="60" t="e">
        <v>#VALUE!</v>
      </c>
      <c r="CQ128" t="e">
        <f>AND('BBP complete'!A887,"AAAAAFn7n14=")</f>
        <v>#VALUE!</v>
      </c>
      <c r="CR128" t="e">
        <f>AND('BBP complete'!B887,"AAAAAFn7n18=")</f>
        <v>#VALUE!</v>
      </c>
      <c r="CS128" t="e">
        <f>AND('BBP complete'!C887,"AAAAAFn7n2A=")</f>
        <v>#VALUE!</v>
      </c>
      <c r="CT128" t="e">
        <f>AND('BBP complete'!#REF!,"AAAAAFn7n2E=")</f>
        <v>#REF!</v>
      </c>
      <c r="CU128" t="e">
        <f>AND('BBP complete'!#REF!,"AAAAAFn7n2I=")</f>
        <v>#REF!</v>
      </c>
      <c r="CV128" t="e">
        <f>AND('BBP complete'!#REF!,"AAAAAFn7n2M=")</f>
        <v>#REF!</v>
      </c>
      <c r="CW128" t="e">
        <f>AND('BBP complete'!E887,"AAAAAFn7n2Q=")</f>
        <v>#VALUE!</v>
      </c>
      <c r="CX128" t="e">
        <f>AND('BBP complete'!#REF!,"AAAAAFn7n2U=")</f>
        <v>#REF!</v>
      </c>
      <c r="CY128" t="e">
        <f>AND('BBP complete'!K887,"AAAAAFn7n2Y=")</f>
        <v>#VALUE!</v>
      </c>
      <c r="CZ128" t="e">
        <f>AND('BBP complete'!L886,"AAAAAFn7n2c=")</f>
        <v>#VALUE!</v>
      </c>
      <c r="DA128" t="e">
        <f>AND('BBP complete'!D887,"AAAAAFn7n2g=")</f>
        <v>#VALUE!</v>
      </c>
      <c r="DB128" t="e">
        <f>AND('BBP complete'!F887,"AAAAAFn7n2k=")</f>
        <v>#VALUE!</v>
      </c>
      <c r="DC128" t="e">
        <f>AND('BBP complete'!G887,"AAAAAFn7n2o=")</f>
        <v>#VALUE!</v>
      </c>
      <c r="DD128" t="e">
        <f>AND('BBP complete'!H887,"AAAAAFn7n2s=")</f>
        <v>#VALUE!</v>
      </c>
      <c r="DE128" t="e">
        <f>AND('BBP complete'!I887,"AAAAAFn7n2w=")</f>
        <v>#VALUE!</v>
      </c>
      <c r="DF128" t="e">
        <f>AND('BBP complete'!Q898,"AAAAAFn7n20=")</f>
        <v>#VALUE!</v>
      </c>
      <c r="DG128" t="e">
        <f>AND('BBP complete'!R898,"AAAAAFn7n24=")</f>
        <v>#VALUE!</v>
      </c>
      <c r="DH128" t="e">
        <f>AND('BBP complete'!S898,"AAAAAFn7n28=")</f>
        <v>#VALUE!</v>
      </c>
      <c r="DI128" t="e">
        <f>AND('BBP complete'!B888,"AAAAAFn7n3A=")</f>
        <v>#VALUE!</v>
      </c>
      <c r="DJ128" t="e">
        <f>AND('BBP complete'!C888,"AAAAAFn7n3E=")</f>
        <v>#VALUE!</v>
      </c>
      <c r="DK128" t="e">
        <f>AND('BBP complete'!Q899,"AAAAAFn7n3I=")</f>
        <v>#VALUE!</v>
      </c>
      <c r="DL128" t="e">
        <f>AND('BBP complete'!R899,"AAAAAFn7n3M=")</f>
        <v>#VALUE!</v>
      </c>
      <c r="DM128" t="e">
        <f>AND('BBP complete'!S899,"AAAAAFn7n3Q=")</f>
        <v>#VALUE!</v>
      </c>
      <c r="DN128" t="e">
        <f>AND('BBP complete'!B889,"AAAAAFn7n3U=")</f>
        <v>#VALUE!</v>
      </c>
      <c r="DO128" t="e">
        <f>AND('BBP complete'!C889,"AAAAAFn7n3Y=")</f>
        <v>#VALUE!</v>
      </c>
      <c r="DP128" t="e">
        <f>AND('BBP complete'!Q900,"AAAAAFn7n3c=")</f>
        <v>#VALUE!</v>
      </c>
      <c r="DQ128" t="e">
        <f>AND('BBP complete'!R900,"AAAAAFn7n3g=")</f>
        <v>#VALUE!</v>
      </c>
      <c r="DR128" t="e">
        <f>AND('BBP complete'!S900,"AAAAAFn7n3k=")</f>
        <v>#VALUE!</v>
      </c>
      <c r="DS128" t="e">
        <f>AND('BBP complete'!B890,"AAAAAFn7n3o=")</f>
        <v>#VALUE!</v>
      </c>
      <c r="DT128" t="e">
        <f>AND('BBP complete'!C890,"AAAAAFn7n3s=")</f>
        <v>#VALUE!</v>
      </c>
      <c r="DU128" t="e">
        <f>AND('BBP complete'!Q901,"AAAAAFn7n3w=")</f>
        <v>#VALUE!</v>
      </c>
      <c r="DV128" t="e">
        <f>AND('BBP complete'!R901,"AAAAAFn7n30=")</f>
        <v>#VALUE!</v>
      </c>
      <c r="DW128" t="e">
        <f>AND('BBP complete'!S901,"AAAAAFn7n34=")</f>
        <v>#VALUE!</v>
      </c>
      <c r="DX128" t="e">
        <f>AND('BBP complete'!B891,"AAAAAFn7n38=")</f>
        <v>#VALUE!</v>
      </c>
      <c r="DY128" t="e">
        <f>AND('BBP complete'!C891,"AAAAAFn7n4A=")</f>
        <v>#VALUE!</v>
      </c>
      <c r="DZ128" t="e">
        <f>AND('BBP complete'!Q902,"AAAAAFn7n4E=")</f>
        <v>#VALUE!</v>
      </c>
      <c r="EA128" t="e">
        <f>AND('BBP complete'!R902,"AAAAAFn7n4I=")</f>
        <v>#VALUE!</v>
      </c>
      <c r="EB128" t="e">
        <f>AND('BBP complete'!S902,"AAAAAFn7n4M=")</f>
        <v>#VALUE!</v>
      </c>
      <c r="EC128" t="e">
        <f>AND('BBP complete'!B892,"AAAAAFn7n4Q=")</f>
        <v>#VALUE!</v>
      </c>
      <c r="ED128" t="e">
        <f>AND('BBP complete'!C892,"AAAAAFn7n4U=")</f>
        <v>#VALUE!</v>
      </c>
      <c r="EE128" t="e">
        <f>AND('BBP complete'!Q903,"AAAAAFn7n4Y=")</f>
        <v>#VALUE!</v>
      </c>
      <c r="EF128" t="e">
        <f>AND('BBP complete'!R903,"AAAAAFn7n4c=")</f>
        <v>#VALUE!</v>
      </c>
      <c r="EG128" t="e">
        <f>AND('BBP complete'!S903,"AAAAAFn7n4g=")</f>
        <v>#VALUE!</v>
      </c>
      <c r="EH128" t="e">
        <f>AND('BBP complete'!B893,"AAAAAFn7n4k=")</f>
        <v>#VALUE!</v>
      </c>
      <c r="EI128" t="e">
        <f>AND('BBP complete'!C893,"AAAAAFn7n4o=")</f>
        <v>#VALUE!</v>
      </c>
      <c r="EJ128" t="e">
        <f>AND('BBP complete'!Q904,"AAAAAFn7n4s=")</f>
        <v>#VALUE!</v>
      </c>
      <c r="EK128" t="e">
        <f>AND('BBP complete'!R904,"AAAAAFn7n4w=")</f>
        <v>#VALUE!</v>
      </c>
      <c r="EL128" t="e">
        <f>AND('BBP complete'!S904,"AAAAAFn7n40=")</f>
        <v>#VALUE!</v>
      </c>
      <c r="EM128" t="e">
        <f>AND('BBP complete'!B894,"AAAAAFn7n44=")</f>
        <v>#VALUE!</v>
      </c>
      <c r="EN128" t="e">
        <f>AND('BBP complete'!C894,"AAAAAFn7n48=")</f>
        <v>#VALUE!</v>
      </c>
      <c r="EO128" t="e">
        <f>AND('BBP complete'!Q905,"AAAAAFn7n5A=")</f>
        <v>#VALUE!</v>
      </c>
      <c r="EP128" t="e">
        <f>AND('BBP complete'!R905,"AAAAAFn7n5E=")</f>
        <v>#VALUE!</v>
      </c>
      <c r="EQ128" t="e">
        <f>AND('BBP complete'!S905,"AAAAAFn7n5I=")</f>
        <v>#VALUE!</v>
      </c>
      <c r="ER128" t="e">
        <f>AND('BBP complete'!B895,"AAAAAFn7n5M=")</f>
        <v>#VALUE!</v>
      </c>
      <c r="ES128" t="e">
        <f>AND('BBP complete'!C895,"AAAAAFn7n5Q=")</f>
        <v>#VALUE!</v>
      </c>
      <c r="ET128" t="e">
        <f>AND('BBP complete'!Q906,"AAAAAFn7n5U=")</f>
        <v>#VALUE!</v>
      </c>
      <c r="EU128" t="e">
        <f>AND('BBP complete'!R906,"AAAAAFn7n5Y=")</f>
        <v>#VALUE!</v>
      </c>
      <c r="EV128" t="e">
        <f>AND('BBP complete'!S906,"AAAAAFn7n5c=")</f>
        <v>#VALUE!</v>
      </c>
      <c r="EW128" t="e">
        <f>AND('BBP complete'!B896,"AAAAAFn7n5g=")</f>
        <v>#VALUE!</v>
      </c>
      <c r="EX128" t="e">
        <f>AND('BBP complete'!C896,"AAAAAFn7n5k=")</f>
        <v>#VALUE!</v>
      </c>
      <c r="EY128" t="e">
        <f>AND('BBP complete'!Q907,"AAAAAFn7n5o=")</f>
        <v>#VALUE!</v>
      </c>
      <c r="EZ128" t="e">
        <f>AND('BBP complete'!R907,"AAAAAFn7n5s=")</f>
        <v>#VALUE!</v>
      </c>
      <c r="FA128" t="e">
        <f>AND('BBP complete'!S907,"AAAAAFn7n5w=")</f>
        <v>#VALUE!</v>
      </c>
      <c r="FB128" t="e">
        <f>AND('BBP complete'!B897,"AAAAAFn7n50=")</f>
        <v>#VALUE!</v>
      </c>
      <c r="FC128" t="e">
        <f>AND('BBP complete'!C897,"AAAAAFn7n54=")</f>
        <v>#VALUE!</v>
      </c>
      <c r="FD128" t="e">
        <f>AND('BBP complete'!Q908,"AAAAAFn7n58=")</f>
        <v>#VALUE!</v>
      </c>
      <c r="FE128" t="e">
        <f>AND('BBP complete'!R908,"AAAAAFn7n6A=")</f>
        <v>#VALUE!</v>
      </c>
      <c r="FF128" t="e">
        <f>AND('BBP complete'!S908,"AAAAAFn7n6E=")</f>
        <v>#VALUE!</v>
      </c>
      <c r="FG128" t="e">
        <f>AND('BBP complete'!B898,"AAAAAFn7n6I=")</f>
        <v>#VALUE!</v>
      </c>
      <c r="FH128" t="e">
        <f>AND('BBP complete'!C898,"AAAAAFn7n6M=")</f>
        <v>#VALUE!</v>
      </c>
      <c r="FI128" t="e">
        <f>AND('BBP complete'!Q909,"AAAAAFn7n6Q=")</f>
        <v>#VALUE!</v>
      </c>
      <c r="FJ128" t="e">
        <f>AND('BBP complete'!R909,"AAAAAFn7n6U=")</f>
        <v>#VALUE!</v>
      </c>
      <c r="FK128" t="e">
        <f>AND('BBP complete'!S909,"AAAAAFn7n6Y=")</f>
        <v>#VALUE!</v>
      </c>
      <c r="FL128" t="e">
        <f>AND('BBP complete'!B899,"AAAAAFn7n6c=")</f>
        <v>#VALUE!</v>
      </c>
      <c r="FM128" t="e">
        <f>AND('BBP complete'!C899,"AAAAAFn7n6g=")</f>
        <v>#VALUE!</v>
      </c>
      <c r="FN128" t="e">
        <f>AND('BBP complete'!Q910,"AAAAAFn7n6k=")</f>
        <v>#VALUE!</v>
      </c>
      <c r="FO128" t="e">
        <f>AND('BBP complete'!R910,"AAAAAFn7n6o=")</f>
        <v>#VALUE!</v>
      </c>
      <c r="FP128" t="e">
        <f>AND('BBP complete'!S910,"AAAAAFn7n6s=")</f>
        <v>#VALUE!</v>
      </c>
      <c r="FQ128" t="e">
        <f>AND('BBP complete'!Q911,"AAAAAFn7n6w=")</f>
        <v>#VALUE!</v>
      </c>
      <c r="FR128" t="e">
        <f>AND('BBP complete'!R911,"AAAAAFn7n60=")</f>
        <v>#VALUE!</v>
      </c>
      <c r="FS128" t="e">
        <f>AND('BBP complete'!S911,"AAAAAFn7n64=")</f>
        <v>#VALUE!</v>
      </c>
      <c r="FT128" t="e">
        <f>AND('BBP complete'!Q912,"AAAAAFn7n68=")</f>
        <v>#VALUE!</v>
      </c>
      <c r="FU128" t="e">
        <f>AND('BBP complete'!R912,"AAAAAFn7n7A=")</f>
        <v>#VALUE!</v>
      </c>
      <c r="FV128" t="e">
        <f>AND('BBP complete'!S912,"AAAAAFn7n7E=")</f>
        <v>#VALUE!</v>
      </c>
      <c r="FW128" t="e">
        <f>AND('BBP complete'!Q913,"AAAAAFn7n7I=")</f>
        <v>#VALUE!</v>
      </c>
      <c r="FX128" t="e">
        <f>AND('BBP complete'!R913,"AAAAAFn7n7M=")</f>
        <v>#VALUE!</v>
      </c>
      <c r="FY128" t="e">
        <f>AND('BBP complete'!S913,"AAAAAFn7n7Q=")</f>
        <v>#VALUE!</v>
      </c>
      <c r="FZ128" t="e">
        <f>AND('BBP complete'!Q914,"AAAAAFn7n7U=")</f>
        <v>#VALUE!</v>
      </c>
      <c r="GA128" t="e">
        <f>AND('BBP complete'!R914,"AAAAAFn7n7Y=")</f>
        <v>#VALUE!</v>
      </c>
      <c r="GB128" t="e">
        <f>AND('BBP complete'!S914,"AAAAAFn7n7c=")</f>
        <v>#VALUE!</v>
      </c>
      <c r="GC128" t="e">
        <f>AND('BBP complete'!Q915,"AAAAAFn7n7g=")</f>
        <v>#VALUE!</v>
      </c>
      <c r="GD128" t="e">
        <f>AND('BBP complete'!R915,"AAAAAFn7n7k=")</f>
        <v>#VALUE!</v>
      </c>
      <c r="GE128" t="e">
        <f>AND('BBP complete'!S915,"AAAAAFn7n7o=")</f>
        <v>#VALUE!</v>
      </c>
      <c r="GF128" t="e">
        <f>AND('BBP complete'!Q916,"AAAAAFn7n7s=")</f>
        <v>#VALUE!</v>
      </c>
      <c r="GG128" t="e">
        <f>AND('BBP complete'!R916,"AAAAAFn7n7w=")</f>
        <v>#VALUE!</v>
      </c>
      <c r="GH128" t="e">
        <f>AND('BBP complete'!S916,"AAAAAFn7n70=")</f>
        <v>#VALUE!</v>
      </c>
      <c r="GI128" t="e">
        <f>AND('BBP complete'!Q917,"AAAAAFn7n74=")</f>
        <v>#VALUE!</v>
      </c>
      <c r="GJ128" t="e">
        <f>AND('BBP complete'!R917,"AAAAAFn7n78=")</f>
        <v>#VALUE!</v>
      </c>
      <c r="GK128" t="e">
        <f>AND('BBP complete'!S917,"AAAAAFn7n8A=")</f>
        <v>#VALUE!</v>
      </c>
      <c r="GL128" t="e">
        <f>AND('BBP complete'!B907,"AAAAAFn7n8E=")</f>
        <v>#VALUE!</v>
      </c>
      <c r="GM128" t="e">
        <f>AND('BBP complete'!C907,"AAAAAFn7n8I=")</f>
        <v>#VALUE!</v>
      </c>
      <c r="GN128" t="e">
        <f>AND('BBP complete'!Q918,"AAAAAFn7n8M=")</f>
        <v>#VALUE!</v>
      </c>
      <c r="GO128" t="e">
        <f>AND('BBP complete'!R918,"AAAAAFn7n8Q=")</f>
        <v>#VALUE!</v>
      </c>
      <c r="GP128" t="e">
        <f>AND('BBP complete'!S918,"AAAAAFn7n8U=")</f>
        <v>#VALUE!</v>
      </c>
      <c r="GQ128" t="e">
        <f>AND('BBP complete'!Q919,"AAAAAFn7n8Y=")</f>
        <v>#VALUE!</v>
      </c>
      <c r="GR128" t="e">
        <f>AND('BBP complete'!R919,"AAAAAFn7n8c=")</f>
        <v>#VALUE!</v>
      </c>
      <c r="GS128" t="e">
        <f>AND('BBP complete'!S919,"AAAAAFn7n8g=")</f>
        <v>#VALUE!</v>
      </c>
      <c r="GT128" t="e">
        <f>AND('BBP complete'!Q920,"AAAAAFn7n8k=")</f>
        <v>#VALUE!</v>
      </c>
      <c r="GU128" t="e">
        <f>AND('BBP complete'!R920,"AAAAAFn7n8o=")</f>
        <v>#VALUE!</v>
      </c>
      <c r="GV128" t="e">
        <f>AND('BBP complete'!S920,"AAAAAFn7n8s=")</f>
        <v>#VALUE!</v>
      </c>
      <c r="GW128" t="e">
        <f>AND('BBP complete'!Q921,"AAAAAFn7n8w=")</f>
        <v>#VALUE!</v>
      </c>
      <c r="GX128" t="e">
        <f>AND('BBP complete'!R921,"AAAAAFn7n80=")</f>
        <v>#VALUE!</v>
      </c>
      <c r="GY128" t="e">
        <f>AND('BBP complete'!S921,"AAAAAFn7n84=")</f>
        <v>#VALUE!</v>
      </c>
      <c r="GZ128" t="e">
        <f>AND('BBP complete'!Q922,"AAAAAFn7n88=")</f>
        <v>#VALUE!</v>
      </c>
      <c r="HA128" t="e">
        <f>AND('BBP complete'!R922,"AAAAAFn7n9A=")</f>
        <v>#VALUE!</v>
      </c>
      <c r="HB128" t="e">
        <f>AND('BBP complete'!S922,"AAAAAFn7n9E=")</f>
        <v>#VALUE!</v>
      </c>
      <c r="HC128" t="e">
        <f>AND('BBP complete'!Q923,"AAAAAFn7n9I=")</f>
        <v>#VALUE!</v>
      </c>
      <c r="HD128" t="e">
        <f>AND('BBP complete'!R923,"AAAAAFn7n9M=")</f>
        <v>#VALUE!</v>
      </c>
      <c r="HE128" t="e">
        <f>AND('BBP complete'!S923,"AAAAAFn7n9Q=")</f>
        <v>#VALUE!</v>
      </c>
      <c r="HF128" t="e">
        <f>AND('BBP complete'!Q924,"AAAAAFn7n9U=")</f>
        <v>#VALUE!</v>
      </c>
      <c r="HG128" t="e">
        <f>AND('BBP complete'!R924,"AAAAAFn7n9Y=")</f>
        <v>#VALUE!</v>
      </c>
      <c r="HH128" t="e">
        <f>AND('BBP complete'!S924,"AAAAAFn7n9c=")</f>
        <v>#VALUE!</v>
      </c>
      <c r="HI128" t="e">
        <f>AND('BBP complete'!Q925,"AAAAAFn7n9g=")</f>
        <v>#VALUE!</v>
      </c>
      <c r="HJ128" t="e">
        <f>AND('BBP complete'!R925,"AAAAAFn7n9k=")</f>
        <v>#VALUE!</v>
      </c>
      <c r="HK128" t="e">
        <f>AND('BBP complete'!S925,"AAAAAFn7n9o=")</f>
        <v>#VALUE!</v>
      </c>
      <c r="HL128" t="e">
        <f>AND('BBP complete'!Q926,"AAAAAFn7n9s=")</f>
        <v>#VALUE!</v>
      </c>
      <c r="HM128" t="e">
        <f>AND('BBP complete'!R926,"AAAAAFn7n9w=")</f>
        <v>#VALUE!</v>
      </c>
      <c r="HN128" t="e">
        <f>AND('BBP complete'!S926,"AAAAAFn7n90=")</f>
        <v>#VALUE!</v>
      </c>
      <c r="HO128" t="e">
        <f>AND('BBP complete'!Q927,"AAAAAFn7n94=")</f>
        <v>#VALUE!</v>
      </c>
      <c r="HP128" t="e">
        <f>AND('BBP complete'!R927,"AAAAAFn7n98=")</f>
        <v>#VALUE!</v>
      </c>
      <c r="HQ128" t="e">
        <f>AND('BBP complete'!S927,"AAAAAFn7n+A=")</f>
        <v>#VALUE!</v>
      </c>
      <c r="HR128" t="e">
        <f>AND('BBP complete'!B917,"AAAAAFn7n+E=")</f>
        <v>#VALUE!</v>
      </c>
      <c r="HS128" t="e">
        <f>AND('BBP complete'!C917,"AAAAAFn7n+I=")</f>
        <v>#VALUE!</v>
      </c>
      <c r="HT128" t="e">
        <f>AND('BBP complete'!Q928,"AAAAAFn7n+M=")</f>
        <v>#VALUE!</v>
      </c>
      <c r="HU128" t="e">
        <f>AND('BBP complete'!R928,"AAAAAFn7n+Q=")</f>
        <v>#VALUE!</v>
      </c>
      <c r="HV128" t="e">
        <f>AND('BBP complete'!S928,"AAAAAFn7n+U=")</f>
        <v>#VALUE!</v>
      </c>
      <c r="HW128" t="e">
        <f>AND('BBP complete'!Q929,"AAAAAFn7n+Y=")</f>
        <v>#VALUE!</v>
      </c>
      <c r="HX128" t="e">
        <f>AND('BBP complete'!R929,"AAAAAFn7n+c=")</f>
        <v>#VALUE!</v>
      </c>
      <c r="HY128" t="e">
        <f>AND('BBP complete'!S929,"AAAAAFn7n+g=")</f>
        <v>#VALUE!</v>
      </c>
      <c r="HZ128" t="e">
        <f>AND('BBP complete'!B919,"AAAAAFn7n+k=")</f>
        <v>#VALUE!</v>
      </c>
      <c r="IA128" t="e">
        <f>AND('BBP complete'!C919,"AAAAAFn7n+o=")</f>
        <v>#VALUE!</v>
      </c>
      <c r="IB128" t="e">
        <f>AND('BBP complete'!Q930,"AAAAAFn7n+s=")</f>
        <v>#VALUE!</v>
      </c>
      <c r="IC128" t="e">
        <f>AND('BBP complete'!R930,"AAAAAFn7n+w=")</f>
        <v>#VALUE!</v>
      </c>
      <c r="ID128" t="e">
        <f>AND('BBP complete'!S930,"AAAAAFn7n+0=")</f>
        <v>#VALUE!</v>
      </c>
      <c r="IE128" t="e">
        <f>AND('BBP complete'!B920,"AAAAAFn7n+4=")</f>
        <v>#VALUE!</v>
      </c>
      <c r="IF128" t="e">
        <f>AND('BBP complete'!C920,"AAAAAFn7n+8=")</f>
        <v>#VALUE!</v>
      </c>
      <c r="IG128" t="e">
        <f>AND('BBP complete'!Q931,"AAAAAFn7n/A=")</f>
        <v>#VALUE!</v>
      </c>
      <c r="IH128" t="e">
        <f>AND('BBP complete'!R931,"AAAAAFn7n/E=")</f>
        <v>#VALUE!</v>
      </c>
      <c r="II128" t="e">
        <f>AND('BBP complete'!S931,"AAAAAFn7n/I=")</f>
        <v>#VALUE!</v>
      </c>
      <c r="IJ128" t="e">
        <f>AND('BBP complete'!B921,"AAAAAFn7n/M=")</f>
        <v>#VALUE!</v>
      </c>
      <c r="IK128" t="e">
        <f>AND('BBP complete'!C921,"AAAAAFn7n/Q=")</f>
        <v>#VALUE!</v>
      </c>
      <c r="IL128" t="e">
        <f>AND('BBP complete'!Q932,"AAAAAFn7n/U=")</f>
        <v>#VALUE!</v>
      </c>
      <c r="IM128" t="e">
        <f>AND('BBP complete'!R932,"AAAAAFn7n/Y=")</f>
        <v>#VALUE!</v>
      </c>
      <c r="IN128" t="e">
        <f>AND('BBP complete'!S932,"AAAAAFn7n/c=")</f>
        <v>#VALUE!</v>
      </c>
      <c r="IO128" t="e">
        <f>AND('BBP complete'!B922,"AAAAAFn7n/g=")</f>
        <v>#VALUE!</v>
      </c>
      <c r="IP128" t="e">
        <f>AND('BBP complete'!C922,"AAAAAFn7n/k=")</f>
        <v>#VALUE!</v>
      </c>
      <c r="IQ128" t="e">
        <f>AND('BBP complete'!Q933,"AAAAAFn7n/o=")</f>
        <v>#VALUE!</v>
      </c>
      <c r="IR128" t="e">
        <f>AND('BBP complete'!R933,"AAAAAFn7n/s=")</f>
        <v>#VALUE!</v>
      </c>
      <c r="IS128" t="e">
        <f>AND('BBP complete'!S933,"AAAAAFn7n/w=")</f>
        <v>#VALUE!</v>
      </c>
      <c r="IT128" t="e">
        <f>AND('BBP complete'!B923,"AAAAAFn7n/0=")</f>
        <v>#VALUE!</v>
      </c>
      <c r="IU128" t="e">
        <f>AND('BBP complete'!C923,"AAAAAFn7n/4=")</f>
        <v>#VALUE!</v>
      </c>
      <c r="IV128" t="e">
        <f>AND('BBP complete'!Q934,"AAAAAFn7n/8=")</f>
        <v>#VALUE!</v>
      </c>
    </row>
    <row r="129" spans="1:256" ht="15" customHeight="1" x14ac:dyDescent="0.25">
      <c r="A129" t="e">
        <f>AND('BBP complete'!R934,"AAAAADnfuwA=")</f>
        <v>#VALUE!</v>
      </c>
      <c r="B129" t="e">
        <f>AND('BBP complete'!S934,"AAAAADnfuwE=")</f>
        <v>#VALUE!</v>
      </c>
      <c r="C129" t="e">
        <f>AND('BBP complete'!B924,"AAAAADnfuwI=")</f>
        <v>#VALUE!</v>
      </c>
      <c r="D129" t="e">
        <f>AND('BBP complete'!C924,"AAAAADnfuwM=")</f>
        <v>#VALUE!</v>
      </c>
      <c r="E129" t="e">
        <f>AND('BBP complete'!Q935,"AAAAADnfuwQ=")</f>
        <v>#VALUE!</v>
      </c>
      <c r="F129" t="e">
        <f>AND('BBP complete'!R935,"AAAAADnfuwU=")</f>
        <v>#VALUE!</v>
      </c>
      <c r="G129" t="e">
        <f>AND('BBP complete'!S935,"AAAAADnfuwY=")</f>
        <v>#VALUE!</v>
      </c>
      <c r="H129" t="e">
        <f>AND('BBP complete'!B925,"AAAAADnfuwc=")</f>
        <v>#VALUE!</v>
      </c>
      <c r="I129" t="e">
        <f>AND('BBP complete'!C925,"AAAAADnfuwg=")</f>
        <v>#VALUE!</v>
      </c>
      <c r="J129" t="e">
        <f>AND('BBP complete'!Q936,"AAAAADnfuwk=")</f>
        <v>#VALUE!</v>
      </c>
      <c r="K129" t="e">
        <f>AND('BBP complete'!R936,"AAAAADnfuwo=")</f>
        <v>#VALUE!</v>
      </c>
      <c r="L129" t="e">
        <f>AND('BBP complete'!S936,"AAAAADnfuws=")</f>
        <v>#VALUE!</v>
      </c>
      <c r="M129" t="e">
        <f>AND('BBP complete'!B926,"AAAAADnfuww=")</f>
        <v>#VALUE!</v>
      </c>
      <c r="N129" t="e">
        <f>AND('BBP complete'!C926,"AAAAADnfuw0=")</f>
        <v>#VALUE!</v>
      </c>
      <c r="O129" t="e">
        <f>AND('BBP complete'!Q937,"AAAAADnfuw4=")</f>
        <v>#VALUE!</v>
      </c>
      <c r="P129" t="e">
        <f>AND('BBP complete'!R937,"AAAAADnfuw8=")</f>
        <v>#VALUE!</v>
      </c>
      <c r="Q129" t="e">
        <f>AND('BBP complete'!S937,"AAAAADnfuxA=")</f>
        <v>#VALUE!</v>
      </c>
      <c r="R129" t="e">
        <f>AND('BBP complete'!B927,"AAAAADnfuxE=")</f>
        <v>#VALUE!</v>
      </c>
      <c r="S129" t="e">
        <f>AND('BBP complete'!C927,"AAAAADnfuxI=")</f>
        <v>#VALUE!</v>
      </c>
      <c r="T129" t="e">
        <f>AND('BBP complete'!Q938,"AAAAADnfuxM=")</f>
        <v>#VALUE!</v>
      </c>
      <c r="U129" t="e">
        <f>AND('BBP complete'!R938,"AAAAADnfuxQ=")</f>
        <v>#VALUE!</v>
      </c>
      <c r="V129" t="e">
        <f>AND('BBP complete'!S938,"AAAAADnfuxU=")</f>
        <v>#VALUE!</v>
      </c>
      <c r="W129" t="e">
        <f>AND('BBP complete'!B928,"AAAAADnfuxY=")</f>
        <v>#VALUE!</v>
      </c>
      <c r="X129" t="e">
        <f>AND('BBP complete'!C928,"AAAAADnfuxc=")</f>
        <v>#VALUE!</v>
      </c>
      <c r="Y129" t="e">
        <f>AND('BBP complete'!Q939,"AAAAADnfuxg=")</f>
        <v>#VALUE!</v>
      </c>
      <c r="Z129" t="e">
        <f>AND('BBP complete'!R939,"AAAAADnfuxk=")</f>
        <v>#VALUE!</v>
      </c>
      <c r="AA129" t="e">
        <f>AND('BBP complete'!S939,"AAAAADnfuxo=")</f>
        <v>#VALUE!</v>
      </c>
      <c r="AB129" t="e">
        <f>AND('BBP complete'!B929,"AAAAADnfuxs=")</f>
        <v>#VALUE!</v>
      </c>
      <c r="AC129" t="e">
        <f>AND('BBP complete'!C929,"AAAAADnfuxw=")</f>
        <v>#VALUE!</v>
      </c>
      <c r="AD129" t="e">
        <f>AND('BBP complete'!Q940,"AAAAADnfux0=")</f>
        <v>#VALUE!</v>
      </c>
      <c r="AE129" t="e">
        <f>AND('BBP complete'!R940,"AAAAADnfux4=")</f>
        <v>#VALUE!</v>
      </c>
      <c r="AF129" t="e">
        <f>AND('BBP complete'!S940,"AAAAADnfux8=")</f>
        <v>#VALUE!</v>
      </c>
      <c r="AG129" t="e">
        <f>AND('BBP complete'!B930,"AAAAADnfuyA=")</f>
        <v>#VALUE!</v>
      </c>
      <c r="AH129" t="e">
        <f>AND('BBP complete'!C930,"AAAAADnfuyE=")</f>
        <v>#VALUE!</v>
      </c>
      <c r="AI129" t="e">
        <f>AND('BBP complete'!Q941,"AAAAADnfuyI=")</f>
        <v>#VALUE!</v>
      </c>
      <c r="AJ129" t="e">
        <f>AND('BBP complete'!R941,"AAAAADnfuyM=")</f>
        <v>#VALUE!</v>
      </c>
      <c r="AK129" t="e">
        <f>AND('BBP complete'!S941,"AAAAADnfuyQ=")</f>
        <v>#VALUE!</v>
      </c>
      <c r="AL129" t="e">
        <f>AND('BBP complete'!B931,"AAAAADnfuyU=")</f>
        <v>#VALUE!</v>
      </c>
      <c r="AM129" t="e">
        <f>AND('BBP complete'!C931,"AAAAADnfuyY=")</f>
        <v>#VALUE!</v>
      </c>
      <c r="AN129" t="e">
        <f>AND('BBP complete'!Q942,"AAAAADnfuyc=")</f>
        <v>#VALUE!</v>
      </c>
      <c r="AO129" t="e">
        <f>AND('BBP complete'!R942,"AAAAADnfuyg=")</f>
        <v>#VALUE!</v>
      </c>
      <c r="AP129" t="e">
        <f>AND('BBP complete'!S942,"AAAAADnfuyk=")</f>
        <v>#VALUE!</v>
      </c>
      <c r="AQ129" t="e">
        <f>AND('BBP complete'!B932,"AAAAADnfuyo=")</f>
        <v>#VALUE!</v>
      </c>
      <c r="AR129" t="e">
        <f>AND('BBP complete'!C932,"AAAAADnfuys=")</f>
        <v>#VALUE!</v>
      </c>
      <c r="AS129" t="e">
        <f>AND('BBP complete'!Q943,"AAAAADnfuyw=")</f>
        <v>#VALUE!</v>
      </c>
      <c r="AT129" t="e">
        <f>AND('BBP complete'!R943,"AAAAADnfuy0=")</f>
        <v>#VALUE!</v>
      </c>
      <c r="AU129" t="e">
        <f>AND('BBP complete'!S943,"AAAAADnfuy4=")</f>
        <v>#VALUE!</v>
      </c>
      <c r="AV129" t="e">
        <f>AND('BBP complete'!B933,"AAAAADnfuy8=")</f>
        <v>#VALUE!</v>
      </c>
      <c r="AW129" t="e">
        <f>AND('BBP complete'!C933,"AAAAADnfuzA=")</f>
        <v>#VALUE!</v>
      </c>
      <c r="AX129" t="e">
        <f>AND('BBP complete'!Q944,"AAAAADnfuzE=")</f>
        <v>#VALUE!</v>
      </c>
      <c r="AY129" t="e">
        <f>AND('BBP complete'!R944,"AAAAADnfuzI=")</f>
        <v>#VALUE!</v>
      </c>
      <c r="AZ129" t="e">
        <f>AND('BBP complete'!S944,"AAAAADnfuzM=")</f>
        <v>#VALUE!</v>
      </c>
      <c r="BA129" t="e">
        <f>AND('BBP complete'!B934,"AAAAADnfuzQ=")</f>
        <v>#VALUE!</v>
      </c>
      <c r="BB129" t="e">
        <f>AND('BBP complete'!C934,"AAAAADnfuzU=")</f>
        <v>#VALUE!</v>
      </c>
      <c r="BC129" t="e">
        <f>AND('BBP complete'!Q945,"AAAAADnfuzY=")</f>
        <v>#VALUE!</v>
      </c>
      <c r="BD129" t="e">
        <f>AND('BBP complete'!R945,"AAAAADnfuzc=")</f>
        <v>#VALUE!</v>
      </c>
      <c r="BE129" t="e">
        <f>AND('BBP complete'!S945,"AAAAADnfuzg=")</f>
        <v>#VALUE!</v>
      </c>
      <c r="BF129" t="e">
        <f>AND('BBP complete'!B935,"AAAAADnfuzk=")</f>
        <v>#VALUE!</v>
      </c>
      <c r="BG129" t="e">
        <f>AND('BBP complete'!C935,"AAAAADnfuzo=")</f>
        <v>#VALUE!</v>
      </c>
      <c r="BH129" t="e">
        <f>AND('BBP complete'!Q946,"AAAAADnfuzs=")</f>
        <v>#VALUE!</v>
      </c>
      <c r="BI129" t="e">
        <f>AND('BBP complete'!R946,"AAAAADnfuzw=")</f>
        <v>#VALUE!</v>
      </c>
      <c r="BJ129" t="e">
        <f>AND('BBP complete'!S946,"AAAAADnfuz0=")</f>
        <v>#VALUE!</v>
      </c>
      <c r="BK129" t="e">
        <f>AND('BBP complete'!B936,"AAAAADnfuz4=")</f>
        <v>#VALUE!</v>
      </c>
      <c r="BL129" t="e">
        <f>AND('BBP complete'!C936,"AAAAADnfuz8=")</f>
        <v>#VALUE!</v>
      </c>
      <c r="BM129" t="e">
        <f>AND('BBP complete'!Q947,"AAAAADnfu0A=")</f>
        <v>#VALUE!</v>
      </c>
      <c r="BN129" t="e">
        <f>AND('BBP complete'!R947,"AAAAADnfu0E=")</f>
        <v>#VALUE!</v>
      </c>
      <c r="BO129" t="e">
        <f>AND('BBP complete'!S947,"AAAAADnfu0I=")</f>
        <v>#VALUE!</v>
      </c>
      <c r="BP129" t="e">
        <f>AND('BBP complete'!B937,"AAAAADnfu0M=")</f>
        <v>#VALUE!</v>
      </c>
      <c r="BQ129" t="e">
        <f>AND('BBP complete'!C937,"AAAAADnfu0Q=")</f>
        <v>#VALUE!</v>
      </c>
      <c r="BR129" t="e">
        <f>AND('BBP complete'!Q948,"AAAAADnfu0U=")</f>
        <v>#VALUE!</v>
      </c>
      <c r="BS129" t="e">
        <f>AND('BBP complete'!R948,"AAAAADnfu0Y=")</f>
        <v>#VALUE!</v>
      </c>
      <c r="BT129" t="e">
        <f>AND('BBP complete'!S948,"AAAAADnfu0c=")</f>
        <v>#VALUE!</v>
      </c>
      <c r="BU129" t="e">
        <f>AND('BBP complete'!B938,"AAAAADnfu0g=")</f>
        <v>#VALUE!</v>
      </c>
      <c r="BV129" t="e">
        <f>AND('BBP complete'!C938,"AAAAADnfu0k=")</f>
        <v>#VALUE!</v>
      </c>
      <c r="BW129" t="e">
        <f>AND('BBP complete'!Q949,"AAAAADnfu0o=")</f>
        <v>#VALUE!</v>
      </c>
      <c r="BX129" t="e">
        <f>AND('BBP complete'!R949,"AAAAADnfu0s=")</f>
        <v>#VALUE!</v>
      </c>
      <c r="BY129" t="e">
        <f>AND('BBP complete'!S949,"AAAAADnfu0w=")</f>
        <v>#VALUE!</v>
      </c>
      <c r="BZ129" t="e">
        <f>AND('BBP complete'!B939,"AAAAADnfu00=")</f>
        <v>#VALUE!</v>
      </c>
      <c r="CA129" t="e">
        <f>AND('BBP complete'!C939,"AAAAADnfu04=")</f>
        <v>#VALUE!</v>
      </c>
      <c r="CB129" t="e">
        <f>AND('BBP complete'!Q950,"AAAAADnfu08=")</f>
        <v>#VALUE!</v>
      </c>
      <c r="CC129" t="e">
        <f>AND('BBP complete'!R950,"AAAAADnfu1A=")</f>
        <v>#VALUE!</v>
      </c>
      <c r="CD129" t="e">
        <f>AND('BBP complete'!S950,"AAAAADnfu1E=")</f>
        <v>#VALUE!</v>
      </c>
      <c r="CE129" t="e">
        <f>AND('BBP complete'!B940,"AAAAADnfu1I=")</f>
        <v>#VALUE!</v>
      </c>
      <c r="CF129" t="e">
        <f>AND('BBP complete'!C940,"AAAAADnfu1M=")</f>
        <v>#VALUE!</v>
      </c>
      <c r="CG129" t="e">
        <f>AND('BBP complete'!Q951,"AAAAADnfu1Q=")</f>
        <v>#VALUE!</v>
      </c>
      <c r="CH129" t="e">
        <f>AND('BBP complete'!R951,"AAAAADnfu1U=")</f>
        <v>#VALUE!</v>
      </c>
      <c r="CI129" t="e">
        <f>AND('BBP complete'!S951,"AAAAADnfu1Y=")</f>
        <v>#VALUE!</v>
      </c>
      <c r="CJ129" t="e">
        <f>AND('BBP complete'!B941,"AAAAADnfu1c=")</f>
        <v>#VALUE!</v>
      </c>
      <c r="CK129" t="e">
        <f>AND('BBP complete'!C941,"AAAAADnfu1g=")</f>
        <v>#VALUE!</v>
      </c>
      <c r="CL129" t="e">
        <f>AND('BBP complete'!Q952,"AAAAADnfu1k=")</f>
        <v>#VALUE!</v>
      </c>
      <c r="CM129" t="e">
        <f>AND('BBP complete'!R952,"AAAAADnfu1o=")</f>
        <v>#VALUE!</v>
      </c>
      <c r="CN129" t="e">
        <f>AND('BBP complete'!S952,"AAAAADnfu1s=")</f>
        <v>#VALUE!</v>
      </c>
      <c r="CO129" t="e">
        <f>AND('BBP complete'!B942,"AAAAADnfu1w=")</f>
        <v>#VALUE!</v>
      </c>
      <c r="CP129" t="e">
        <f>AND('BBP complete'!C942,"AAAAADnfu10=")</f>
        <v>#VALUE!</v>
      </c>
      <c r="CQ129" t="e">
        <f>AND('BBP complete'!Q953,"AAAAADnfu14=")</f>
        <v>#VALUE!</v>
      </c>
      <c r="CR129" t="e">
        <f>AND('BBP complete'!R953,"AAAAADnfu18=")</f>
        <v>#VALUE!</v>
      </c>
      <c r="CS129" t="e">
        <f>AND('BBP complete'!S953,"AAAAADnfu2A=")</f>
        <v>#VALUE!</v>
      </c>
      <c r="CT129" t="e">
        <f>AND('BBP complete'!B943,"AAAAADnfu2E=")</f>
        <v>#VALUE!</v>
      </c>
      <c r="CU129" t="e">
        <f>AND('BBP complete'!C943,"AAAAADnfu2I=")</f>
        <v>#VALUE!</v>
      </c>
      <c r="CV129" t="e">
        <f>AND('BBP complete'!Q954,"AAAAADnfu2M=")</f>
        <v>#VALUE!</v>
      </c>
      <c r="CW129" t="e">
        <f>AND('BBP complete'!R954,"AAAAADnfu2Q=")</f>
        <v>#VALUE!</v>
      </c>
      <c r="CX129" t="e">
        <f>AND('BBP complete'!S954,"AAAAADnfu2U=")</f>
        <v>#VALUE!</v>
      </c>
      <c r="CY129" t="e">
        <f>AND('BBP complete'!B944,"AAAAADnfu2Y=")</f>
        <v>#VALUE!</v>
      </c>
      <c r="CZ129" t="e">
        <f>AND('BBP complete'!C944,"AAAAADnfu2c=")</f>
        <v>#VALUE!</v>
      </c>
      <c r="DA129" t="e">
        <f>AND('BBP complete'!Q955,"AAAAADnfu2g=")</f>
        <v>#VALUE!</v>
      </c>
      <c r="DB129" t="e">
        <f>AND('BBP complete'!R955,"AAAAADnfu2k=")</f>
        <v>#VALUE!</v>
      </c>
      <c r="DC129" t="e">
        <f>AND('BBP complete'!S955,"AAAAADnfu2o=")</f>
        <v>#VALUE!</v>
      </c>
      <c r="DD129" t="e">
        <f>AND('BBP complete'!B945,"AAAAADnfu2s=")</f>
        <v>#VALUE!</v>
      </c>
      <c r="DE129" t="e">
        <f>AND('BBP complete'!C945,"AAAAADnfu2w=")</f>
        <v>#VALUE!</v>
      </c>
      <c r="DF129" t="e">
        <f>AND('BBP complete'!Q956,"AAAAADnfu20=")</f>
        <v>#VALUE!</v>
      </c>
      <c r="DG129" t="e">
        <f>AND('BBP complete'!R956,"AAAAADnfu24=")</f>
        <v>#VALUE!</v>
      </c>
      <c r="DH129" t="e">
        <f>AND('BBP complete'!S956,"AAAAADnfu28=")</f>
        <v>#VALUE!</v>
      </c>
      <c r="DI129" t="e">
        <f>AND('BBP complete'!B946,"AAAAADnfu3A=")</f>
        <v>#VALUE!</v>
      </c>
      <c r="DJ129" t="e">
        <f>AND('BBP complete'!C946,"AAAAADnfu3E=")</f>
        <v>#VALUE!</v>
      </c>
      <c r="DK129" t="e">
        <f>AND('BBP complete'!Q957,"AAAAADnfu3I=")</f>
        <v>#VALUE!</v>
      </c>
      <c r="DL129" t="e">
        <f>AND('BBP complete'!R957,"AAAAADnfu3M=")</f>
        <v>#VALUE!</v>
      </c>
      <c r="DM129" t="e">
        <f>AND('BBP complete'!S957,"AAAAADnfu3Q=")</f>
        <v>#VALUE!</v>
      </c>
      <c r="DN129" t="e">
        <f>AND('BBP complete'!B947,"AAAAADnfu3U=")</f>
        <v>#VALUE!</v>
      </c>
      <c r="DO129" t="e">
        <f>AND('BBP complete'!C947,"AAAAADnfu3Y=")</f>
        <v>#VALUE!</v>
      </c>
      <c r="DP129" t="e">
        <f>AND('BBP complete'!Q958,"AAAAADnfu3c=")</f>
        <v>#VALUE!</v>
      </c>
      <c r="DQ129" t="e">
        <f>AND('BBP complete'!R958,"AAAAADnfu3g=")</f>
        <v>#VALUE!</v>
      </c>
      <c r="DR129" t="e">
        <f>AND('BBP complete'!S958,"AAAAADnfu3k=")</f>
        <v>#VALUE!</v>
      </c>
      <c r="DS129" t="e">
        <f>AND('BBP complete'!B948,"AAAAADnfu3o=")</f>
        <v>#VALUE!</v>
      </c>
      <c r="DT129" t="e">
        <f>AND('BBP complete'!C948,"AAAAADnfu3s=")</f>
        <v>#VALUE!</v>
      </c>
      <c r="DU129" t="e">
        <f>AND('BBP complete'!Q959,"AAAAADnfu3w=")</f>
        <v>#VALUE!</v>
      </c>
      <c r="DV129" t="e">
        <f>AND('BBP complete'!R959,"AAAAADnfu30=")</f>
        <v>#VALUE!</v>
      </c>
      <c r="DW129" t="e">
        <f>AND('BBP complete'!S959,"AAAAADnfu34=")</f>
        <v>#VALUE!</v>
      </c>
      <c r="DX129" t="e">
        <f>AND('BBP complete'!B949,"AAAAADnfu38=")</f>
        <v>#VALUE!</v>
      </c>
      <c r="DY129" t="e">
        <f>AND('BBP complete'!C949,"AAAAADnfu4A=")</f>
        <v>#VALUE!</v>
      </c>
      <c r="DZ129" t="e">
        <f>AND('BBP complete'!Q960,"AAAAADnfu4E=")</f>
        <v>#VALUE!</v>
      </c>
      <c r="EA129" t="e">
        <f>AND('BBP complete'!R960,"AAAAADnfu4I=")</f>
        <v>#VALUE!</v>
      </c>
      <c r="EB129" t="e">
        <f>AND('BBP complete'!S960,"AAAAADnfu4M=")</f>
        <v>#VALUE!</v>
      </c>
      <c r="EC129" t="e">
        <f>AND('BBP complete'!B950,"AAAAADnfu4Q=")</f>
        <v>#VALUE!</v>
      </c>
      <c r="ED129" t="e">
        <f>AND('BBP complete'!C950,"AAAAADnfu4U=")</f>
        <v>#VALUE!</v>
      </c>
      <c r="EE129" t="e">
        <f>AND('BBP complete'!Q961,"AAAAADnfu4Y=")</f>
        <v>#VALUE!</v>
      </c>
      <c r="EF129" t="e">
        <f>AND('BBP complete'!R961,"AAAAADnfu4c=")</f>
        <v>#VALUE!</v>
      </c>
      <c r="EG129" t="e">
        <f>AND('BBP complete'!S961,"AAAAADnfu4g=")</f>
        <v>#VALUE!</v>
      </c>
      <c r="EH129" t="e">
        <f>AND('BBP complete'!B951,"AAAAADnfu4k=")</f>
        <v>#VALUE!</v>
      </c>
      <c r="EI129" t="e">
        <f>AND('BBP complete'!C951,"AAAAADnfu4o=")</f>
        <v>#VALUE!</v>
      </c>
      <c r="EJ129" t="e">
        <f>AND('BBP complete'!Q962,"AAAAADnfu4s=")</f>
        <v>#VALUE!</v>
      </c>
      <c r="EK129" t="e">
        <f>AND('BBP complete'!R962,"AAAAADnfu4w=")</f>
        <v>#VALUE!</v>
      </c>
      <c r="EL129" t="e">
        <f>AND('BBP complete'!S962,"AAAAADnfu40=")</f>
        <v>#VALUE!</v>
      </c>
      <c r="EM129" t="e">
        <f>AND('BBP complete'!B952,"AAAAADnfu44=")</f>
        <v>#VALUE!</v>
      </c>
      <c r="EN129" t="e">
        <f>AND('BBP complete'!C952,"AAAAADnfu48=")</f>
        <v>#VALUE!</v>
      </c>
      <c r="EO129" t="e">
        <f>AND('BBP complete'!Q963,"AAAAADnfu5A=")</f>
        <v>#VALUE!</v>
      </c>
      <c r="EP129" t="e">
        <f>AND('BBP complete'!R963,"AAAAADnfu5E=")</f>
        <v>#VALUE!</v>
      </c>
      <c r="EQ129" t="e">
        <f>AND('BBP complete'!S963,"AAAAADnfu5I=")</f>
        <v>#VALUE!</v>
      </c>
      <c r="ER129" t="e">
        <f>AND('BBP complete'!B953,"AAAAADnfu5M=")</f>
        <v>#VALUE!</v>
      </c>
      <c r="ES129" t="e">
        <f>AND('BBP complete'!C953,"AAAAADnfu5Q=")</f>
        <v>#VALUE!</v>
      </c>
      <c r="ET129" t="e">
        <f>AND('BBP complete'!Q964,"AAAAADnfu5U=")</f>
        <v>#VALUE!</v>
      </c>
      <c r="EU129" t="e">
        <f>AND('BBP complete'!R964,"AAAAADnfu5Y=")</f>
        <v>#VALUE!</v>
      </c>
      <c r="EV129" t="e">
        <f>AND('BBP complete'!S964,"AAAAADnfu5c=")</f>
        <v>#VALUE!</v>
      </c>
      <c r="EW129" t="e">
        <f>AND('BBP complete'!B954,"AAAAADnfu5g=")</f>
        <v>#VALUE!</v>
      </c>
      <c r="EX129" t="e">
        <f>AND('BBP complete'!C954,"AAAAADnfu5k=")</f>
        <v>#VALUE!</v>
      </c>
      <c r="EY129" t="e">
        <f>AND('BBP complete'!Q965,"AAAAADnfu5o=")</f>
        <v>#VALUE!</v>
      </c>
      <c r="EZ129" t="e">
        <f>AND('BBP complete'!R965,"AAAAADnfu5s=")</f>
        <v>#VALUE!</v>
      </c>
      <c r="FA129" t="e">
        <f>AND('BBP complete'!S965,"AAAAADnfu5w=")</f>
        <v>#VALUE!</v>
      </c>
      <c r="FB129" t="e">
        <f>AND('BBP complete'!B955,"AAAAADnfu50=")</f>
        <v>#VALUE!</v>
      </c>
      <c r="FC129" t="e">
        <f>AND('BBP complete'!C955,"AAAAADnfu54=")</f>
        <v>#VALUE!</v>
      </c>
      <c r="FD129" t="e">
        <f>AND('BBP complete'!Q966,"AAAAADnfu58=")</f>
        <v>#VALUE!</v>
      </c>
      <c r="FE129" t="e">
        <f>AND('BBP complete'!R966,"AAAAADnfu6A=")</f>
        <v>#VALUE!</v>
      </c>
      <c r="FF129" t="e">
        <f>AND('BBP complete'!S966,"AAAAADnfu6E=")</f>
        <v>#VALUE!</v>
      </c>
      <c r="FG129" t="e">
        <f>AND('BBP complete'!B956,"AAAAADnfu6I=")</f>
        <v>#VALUE!</v>
      </c>
      <c r="FH129" t="e">
        <f>AND('BBP complete'!C956,"AAAAADnfu6M=")</f>
        <v>#VALUE!</v>
      </c>
      <c r="FI129" t="e">
        <f>AND('BBP complete'!Q967,"AAAAADnfu6Q=")</f>
        <v>#VALUE!</v>
      </c>
      <c r="FJ129" t="e">
        <f>AND('BBP complete'!R967,"AAAAADnfu6U=")</f>
        <v>#VALUE!</v>
      </c>
      <c r="FK129" t="e">
        <f>AND('BBP complete'!S967,"AAAAADnfu6Y=")</f>
        <v>#VALUE!</v>
      </c>
      <c r="FL129" t="e">
        <f>AND('BBP complete'!B957,"AAAAADnfu6c=")</f>
        <v>#VALUE!</v>
      </c>
      <c r="FM129" t="e">
        <f>AND('BBP complete'!C957,"AAAAADnfu6g=")</f>
        <v>#VALUE!</v>
      </c>
      <c r="FN129" t="e">
        <f>AND('BBP complete'!Q968,"AAAAADnfu6k=")</f>
        <v>#VALUE!</v>
      </c>
      <c r="FO129" t="e">
        <f>AND('BBP complete'!R968,"AAAAADnfu6o=")</f>
        <v>#VALUE!</v>
      </c>
      <c r="FP129" t="e">
        <f>AND('BBP complete'!S968,"AAAAADnfu6s=")</f>
        <v>#VALUE!</v>
      </c>
      <c r="FQ129" t="e">
        <f>AND('BBP complete'!B958,"AAAAADnfu6w=")</f>
        <v>#VALUE!</v>
      </c>
      <c r="FR129" t="e">
        <f>AND('BBP complete'!C958,"AAAAADnfu60=")</f>
        <v>#VALUE!</v>
      </c>
      <c r="FS129" t="e">
        <f>AND('BBP complete'!Q969,"AAAAADnfu64=")</f>
        <v>#VALUE!</v>
      </c>
      <c r="FT129" t="e">
        <f>AND('BBP complete'!R969,"AAAAADnfu68=")</f>
        <v>#VALUE!</v>
      </c>
      <c r="FU129" t="e">
        <f>AND('BBP complete'!S969,"AAAAADnfu7A=")</f>
        <v>#VALUE!</v>
      </c>
      <c r="FV129" t="e">
        <f>AND('BBP complete'!B959,"AAAAADnfu7E=")</f>
        <v>#VALUE!</v>
      </c>
      <c r="FW129" t="e">
        <f>AND('BBP complete'!C959,"AAAAADnfu7I=")</f>
        <v>#VALUE!</v>
      </c>
      <c r="FX129" t="e">
        <f>AND('BBP complete'!Q970,"AAAAADnfu7M=")</f>
        <v>#VALUE!</v>
      </c>
      <c r="FY129" t="e">
        <f>AND('BBP complete'!R970,"AAAAADnfu7Q=")</f>
        <v>#VALUE!</v>
      </c>
      <c r="FZ129" t="e">
        <f>AND('BBP complete'!S970,"AAAAADnfu7U=")</f>
        <v>#VALUE!</v>
      </c>
      <c r="GA129" t="e">
        <f>AND('BBP complete'!B960,"AAAAADnfu7Y=")</f>
        <v>#VALUE!</v>
      </c>
      <c r="GB129" t="e">
        <f>AND('BBP complete'!C960,"AAAAADnfu7c=")</f>
        <v>#VALUE!</v>
      </c>
      <c r="GC129" t="e">
        <f>AND('BBP complete'!Q971,"AAAAADnfu7g=")</f>
        <v>#VALUE!</v>
      </c>
      <c r="GD129" t="e">
        <f>AND('BBP complete'!R971,"AAAAADnfu7k=")</f>
        <v>#VALUE!</v>
      </c>
      <c r="GE129" t="e">
        <f>AND('BBP complete'!S971,"AAAAADnfu7o=")</f>
        <v>#VALUE!</v>
      </c>
      <c r="GF129" t="e">
        <f>AND('BBP complete'!B961,"AAAAADnfu7s=")</f>
        <v>#VALUE!</v>
      </c>
      <c r="GG129" t="e">
        <f>AND('BBP complete'!C961,"AAAAADnfu7w=")</f>
        <v>#VALUE!</v>
      </c>
      <c r="GH129" t="e">
        <f>AND('BBP complete'!Q972,"AAAAADnfu70=")</f>
        <v>#VALUE!</v>
      </c>
      <c r="GI129" t="e">
        <f>AND('BBP complete'!R972,"AAAAADnfu74=")</f>
        <v>#VALUE!</v>
      </c>
      <c r="GJ129" t="e">
        <f>AND('BBP complete'!S972,"AAAAADnfu78=")</f>
        <v>#VALUE!</v>
      </c>
      <c r="GK129" t="e">
        <f>AND('BBP complete'!B962,"AAAAADnfu8A=")</f>
        <v>#VALUE!</v>
      </c>
      <c r="GL129" t="e">
        <f>AND('BBP complete'!C962,"AAAAADnfu8E=")</f>
        <v>#VALUE!</v>
      </c>
      <c r="GM129" t="e">
        <f>AND('BBP complete'!Q973,"AAAAADnfu8I=")</f>
        <v>#VALUE!</v>
      </c>
      <c r="GN129" t="e">
        <f>AND('BBP complete'!R973,"AAAAADnfu8M=")</f>
        <v>#VALUE!</v>
      </c>
      <c r="GO129" t="e">
        <f>AND('BBP complete'!S973,"AAAAADnfu8Q=")</f>
        <v>#VALUE!</v>
      </c>
      <c r="GP129" t="e">
        <f>AND('BBP complete'!B963,"AAAAADnfu8U=")</f>
        <v>#VALUE!</v>
      </c>
      <c r="GQ129" t="e">
        <f>AND('BBP complete'!C963,"AAAAADnfu8Y=")</f>
        <v>#VALUE!</v>
      </c>
      <c r="GR129" t="e">
        <f>AND('BBP complete'!Q974,"AAAAADnfu8c=")</f>
        <v>#VALUE!</v>
      </c>
      <c r="GS129" t="e">
        <f>AND('BBP complete'!R974,"AAAAADnfu8g=")</f>
        <v>#VALUE!</v>
      </c>
      <c r="GT129" t="e">
        <f>AND('BBP complete'!S974,"AAAAADnfu8k=")</f>
        <v>#VALUE!</v>
      </c>
      <c r="GU129" t="e">
        <f>AND('BBP complete'!B964,"AAAAADnfu8o=")</f>
        <v>#VALUE!</v>
      </c>
      <c r="GV129" t="e">
        <f>AND('BBP complete'!C964,"AAAAADnfu8s=")</f>
        <v>#VALUE!</v>
      </c>
      <c r="GW129" t="e">
        <f>AND('BBP complete'!Q975,"AAAAADnfu8w=")</f>
        <v>#VALUE!</v>
      </c>
      <c r="GX129" t="e">
        <f>AND('BBP complete'!R975,"AAAAADnfu80=")</f>
        <v>#VALUE!</v>
      </c>
      <c r="GY129" t="e">
        <f>AND('BBP complete'!S975,"AAAAADnfu84=")</f>
        <v>#VALUE!</v>
      </c>
      <c r="GZ129" t="e">
        <f>AND('BBP complete'!B965,"AAAAADnfu88=")</f>
        <v>#VALUE!</v>
      </c>
      <c r="HA129" t="e">
        <f>AND('BBP complete'!C965,"AAAAADnfu9A=")</f>
        <v>#VALUE!</v>
      </c>
      <c r="HB129" t="e">
        <f>AND('BBP complete'!Q976,"AAAAADnfu9E=")</f>
        <v>#VALUE!</v>
      </c>
      <c r="HC129" t="e">
        <f>AND('BBP complete'!R976,"AAAAADnfu9I=")</f>
        <v>#VALUE!</v>
      </c>
      <c r="HD129" t="e">
        <f>AND('BBP complete'!S976,"AAAAADnfu9M=")</f>
        <v>#VALUE!</v>
      </c>
      <c r="HE129" t="e">
        <f>AND('BBP complete'!B966,"AAAAADnfu9Q=")</f>
        <v>#VALUE!</v>
      </c>
      <c r="HF129" t="e">
        <f>AND('BBP complete'!C966,"AAAAADnfu9U=")</f>
        <v>#VALUE!</v>
      </c>
      <c r="HG129" t="e">
        <f>AND('BBP complete'!Q977,"AAAAADnfu9Y=")</f>
        <v>#VALUE!</v>
      </c>
      <c r="HH129" t="e">
        <f>AND('BBP complete'!R977,"AAAAADnfu9c=")</f>
        <v>#VALUE!</v>
      </c>
      <c r="HI129" t="e">
        <f>AND('BBP complete'!S977,"AAAAADnfu9g=")</f>
        <v>#VALUE!</v>
      </c>
      <c r="HJ129" t="e">
        <f>AND('BBP complete'!B967,"AAAAADnfu9k=")</f>
        <v>#VALUE!</v>
      </c>
      <c r="HK129" t="e">
        <f>AND('BBP complete'!C967,"AAAAADnfu9o=")</f>
        <v>#VALUE!</v>
      </c>
      <c r="HL129" t="e">
        <f>AND('BBP complete'!Q978,"AAAAADnfu9s=")</f>
        <v>#VALUE!</v>
      </c>
      <c r="HM129" t="e">
        <f>AND('BBP complete'!R978,"AAAAADnfu9w=")</f>
        <v>#VALUE!</v>
      </c>
      <c r="HN129" t="e">
        <f>AND('BBP complete'!S978,"AAAAADnfu90=")</f>
        <v>#VALUE!</v>
      </c>
      <c r="HO129" t="e">
        <f>AND('BBP complete'!B968,"AAAAADnfu94=")</f>
        <v>#VALUE!</v>
      </c>
      <c r="HP129" t="e">
        <f>AND('BBP complete'!C968,"AAAAADnfu98=")</f>
        <v>#VALUE!</v>
      </c>
      <c r="HQ129" t="e">
        <f>AND('BBP complete'!Q979,"AAAAADnfu+A=")</f>
        <v>#VALUE!</v>
      </c>
      <c r="HR129" t="e">
        <f>AND('BBP complete'!R979,"AAAAADnfu+E=")</f>
        <v>#VALUE!</v>
      </c>
      <c r="HS129" t="e">
        <f>AND('BBP complete'!S979,"AAAAADnfu+I=")</f>
        <v>#VALUE!</v>
      </c>
      <c r="HT129" t="e">
        <f>AND('BBP complete'!B969,"AAAAADnfu+M=")</f>
        <v>#VALUE!</v>
      </c>
      <c r="HU129" t="e">
        <f>AND('BBP complete'!C969,"AAAAADnfu+Q=")</f>
        <v>#VALUE!</v>
      </c>
      <c r="HV129" t="e">
        <f>AND('BBP complete'!Q980,"AAAAADnfu+U=")</f>
        <v>#VALUE!</v>
      </c>
      <c r="HW129" t="e">
        <f>AND('BBP complete'!R980,"AAAAADnfu+Y=")</f>
        <v>#VALUE!</v>
      </c>
      <c r="HX129" t="e">
        <f>AND('BBP complete'!S980,"AAAAADnfu+c=")</f>
        <v>#VALUE!</v>
      </c>
      <c r="HY129" t="e">
        <f>AND('BBP complete'!B970,"AAAAADnfu+g=")</f>
        <v>#VALUE!</v>
      </c>
      <c r="HZ129" t="e">
        <f>AND('BBP complete'!C970,"AAAAADnfu+k=")</f>
        <v>#VALUE!</v>
      </c>
      <c r="IA129" t="e">
        <f>AND('BBP complete'!Q981,"AAAAADnfu+o=")</f>
        <v>#VALUE!</v>
      </c>
      <c r="IB129" t="e">
        <f>AND('BBP complete'!R981,"AAAAADnfu+s=")</f>
        <v>#VALUE!</v>
      </c>
      <c r="IC129" t="e">
        <f>AND('BBP complete'!S981,"AAAAADnfu+w=")</f>
        <v>#VALUE!</v>
      </c>
      <c r="ID129" t="e">
        <f>AND('BBP complete'!B971,"AAAAADnfu+0=")</f>
        <v>#VALUE!</v>
      </c>
      <c r="IE129" t="e">
        <f>AND('BBP complete'!C971,"AAAAADnfu+4=")</f>
        <v>#VALUE!</v>
      </c>
      <c r="IF129" t="e">
        <f>AND('BBP complete'!Q982,"AAAAADnfu+8=")</f>
        <v>#VALUE!</v>
      </c>
      <c r="IG129" t="e">
        <f>AND('BBP complete'!R982,"AAAAADnfu/A=")</f>
        <v>#VALUE!</v>
      </c>
      <c r="IH129" t="e">
        <f>AND('BBP complete'!S982,"AAAAADnfu/E=")</f>
        <v>#VALUE!</v>
      </c>
      <c r="II129" t="e">
        <f>AND('BBP complete'!B972,"AAAAADnfu/I=")</f>
        <v>#VALUE!</v>
      </c>
      <c r="IJ129" t="e">
        <f>AND('BBP complete'!C972,"AAAAADnfu/M=")</f>
        <v>#VALUE!</v>
      </c>
      <c r="IK129" t="e">
        <f>AND('BBP complete'!Q983,"AAAAADnfu/Q=")</f>
        <v>#VALUE!</v>
      </c>
      <c r="IL129" t="e">
        <f>AND('BBP complete'!R983,"AAAAADnfu/U=")</f>
        <v>#VALUE!</v>
      </c>
      <c r="IM129" t="e">
        <f>AND('BBP complete'!S983,"AAAAADnfu/Y=")</f>
        <v>#VALUE!</v>
      </c>
      <c r="IN129" t="e">
        <f>AND('BBP complete'!B973,"AAAAADnfu/c=")</f>
        <v>#VALUE!</v>
      </c>
      <c r="IO129" t="e">
        <f>AND('BBP complete'!C973,"AAAAADnfu/g=")</f>
        <v>#VALUE!</v>
      </c>
      <c r="IP129" t="e">
        <f>AND('BBP complete'!Q984,"AAAAADnfu/k=")</f>
        <v>#VALUE!</v>
      </c>
      <c r="IQ129" t="e">
        <f>AND('BBP complete'!R984,"AAAAADnfu/o=")</f>
        <v>#VALUE!</v>
      </c>
      <c r="IR129" t="e">
        <f>AND('BBP complete'!S984,"AAAAADnfu/s=")</f>
        <v>#VALUE!</v>
      </c>
      <c r="IS129" t="e">
        <f>AND('BBP complete'!B974,"AAAAADnfu/w=")</f>
        <v>#VALUE!</v>
      </c>
      <c r="IT129" t="e">
        <f>AND('BBP complete'!C974,"AAAAADnfu/0=")</f>
        <v>#VALUE!</v>
      </c>
      <c r="IU129" t="e">
        <f>AND('BBP complete'!Q985,"AAAAADnfu/4=")</f>
        <v>#VALUE!</v>
      </c>
      <c r="IV129" t="e">
        <f>AND('BBP complete'!R985,"AAAAADnfu/8=")</f>
        <v>#VALUE!</v>
      </c>
    </row>
    <row r="130" spans="1:256" ht="15" customHeight="1" x14ac:dyDescent="0.25">
      <c r="A130" t="e">
        <f>AND('BBP complete'!S985,"AAAAAFv7/wA=")</f>
        <v>#VALUE!</v>
      </c>
      <c r="B130" t="e">
        <f>AND('BBP complete'!B975,"AAAAAFv7/wE=")</f>
        <v>#VALUE!</v>
      </c>
      <c r="C130" t="e">
        <f>AND('BBP complete'!C975,"AAAAAFv7/wI=")</f>
        <v>#VALUE!</v>
      </c>
      <c r="D130" t="e">
        <f>AND('BBP complete'!Q986,"AAAAAFv7/wM=")</f>
        <v>#VALUE!</v>
      </c>
      <c r="E130" t="e">
        <f>AND('BBP complete'!R986,"AAAAAFv7/wQ=")</f>
        <v>#VALUE!</v>
      </c>
      <c r="F130" t="e">
        <f>AND('BBP complete'!S986,"AAAAAFv7/wU=")</f>
        <v>#VALUE!</v>
      </c>
      <c r="G130" t="e">
        <f>AND('BBP complete'!B976,"AAAAAFv7/wY=")</f>
        <v>#VALUE!</v>
      </c>
      <c r="H130" t="e">
        <f>AND('BBP complete'!C976,"AAAAAFv7/wc=")</f>
        <v>#VALUE!</v>
      </c>
      <c r="I130" t="e">
        <f>AND('BBP complete'!Q987,"AAAAAFv7/wg=")</f>
        <v>#VALUE!</v>
      </c>
      <c r="J130" t="e">
        <f>AND('BBP complete'!R987,"AAAAAFv7/wk=")</f>
        <v>#VALUE!</v>
      </c>
      <c r="K130" t="e">
        <f>AND('BBP complete'!S987,"AAAAAFv7/wo=")</f>
        <v>#VALUE!</v>
      </c>
      <c r="L130" t="e">
        <f>AND('BBP complete'!B977,"AAAAAFv7/ws=")</f>
        <v>#VALUE!</v>
      </c>
      <c r="M130" t="e">
        <f>AND('BBP complete'!C977,"AAAAAFv7/ww=")</f>
        <v>#VALUE!</v>
      </c>
      <c r="N130" t="e">
        <f>AND('BBP complete'!Q988,"AAAAAFv7/w0=")</f>
        <v>#VALUE!</v>
      </c>
      <c r="O130" t="e">
        <f>AND('BBP complete'!R988,"AAAAAFv7/w4=")</f>
        <v>#VALUE!</v>
      </c>
      <c r="P130" t="e">
        <f>AND('BBP complete'!S988,"AAAAAFv7/w8=")</f>
        <v>#VALUE!</v>
      </c>
      <c r="Q130" t="e">
        <f>AND('BBP complete'!B978,"AAAAAFv7/xA=")</f>
        <v>#VALUE!</v>
      </c>
      <c r="R130" t="e">
        <f>AND('BBP complete'!C978,"AAAAAFv7/xE=")</f>
        <v>#VALUE!</v>
      </c>
      <c r="S130" t="e">
        <f>AND('BBP complete'!Q989,"AAAAAFv7/xI=")</f>
        <v>#VALUE!</v>
      </c>
      <c r="T130" t="e">
        <f>AND('BBP complete'!R989,"AAAAAFv7/xM=")</f>
        <v>#VALUE!</v>
      </c>
      <c r="U130" t="e">
        <f>AND('BBP complete'!S989,"AAAAAFv7/xQ=")</f>
        <v>#VALUE!</v>
      </c>
      <c r="V130" t="e">
        <f>AND('BBP complete'!B979,"AAAAAFv7/xU=")</f>
        <v>#VALUE!</v>
      </c>
      <c r="W130" t="e">
        <f>AND('BBP complete'!C979,"AAAAAFv7/xY=")</f>
        <v>#VALUE!</v>
      </c>
      <c r="X130" t="e">
        <f>AND('BBP complete'!Q990,"AAAAAFv7/xc=")</f>
        <v>#VALUE!</v>
      </c>
      <c r="Y130" t="e">
        <f>AND('BBP complete'!R990,"AAAAAFv7/xg=")</f>
        <v>#VALUE!</v>
      </c>
      <c r="Z130" t="e">
        <f>AND('BBP complete'!S990,"AAAAAFv7/xk=")</f>
        <v>#VALUE!</v>
      </c>
      <c r="AA130" t="e">
        <f>AND('BBP complete'!B980,"AAAAAFv7/xo=")</f>
        <v>#VALUE!</v>
      </c>
      <c r="AB130" t="e">
        <f>AND('BBP complete'!C980,"AAAAAFv7/xs=")</f>
        <v>#VALUE!</v>
      </c>
      <c r="AC130" t="e">
        <f>AND('BBP complete'!Q991,"AAAAAFv7/xw=")</f>
        <v>#VALUE!</v>
      </c>
      <c r="AD130" t="e">
        <f>AND('BBP complete'!R991,"AAAAAFv7/x0=")</f>
        <v>#VALUE!</v>
      </c>
      <c r="AE130" t="e">
        <f>AND('BBP complete'!S991,"AAAAAFv7/x4=")</f>
        <v>#VALUE!</v>
      </c>
      <c r="AF130" t="e">
        <f>AND('BBP complete'!B981,"AAAAAFv7/x8=")</f>
        <v>#VALUE!</v>
      </c>
      <c r="AG130" t="e">
        <f>AND('BBP complete'!C981,"AAAAAFv7/yA=")</f>
        <v>#VALUE!</v>
      </c>
      <c r="AH130" t="e">
        <f>AND('BBP complete'!Q992,"AAAAAFv7/yE=")</f>
        <v>#VALUE!</v>
      </c>
      <c r="AI130" t="e">
        <f>AND('BBP complete'!R992,"AAAAAFv7/yI=")</f>
        <v>#VALUE!</v>
      </c>
      <c r="AJ130" t="e">
        <f>AND('BBP complete'!S992,"AAAAAFv7/yM=")</f>
        <v>#VALUE!</v>
      </c>
      <c r="AK130" t="e">
        <f>AND('BBP complete'!B982,"AAAAAFv7/yQ=")</f>
        <v>#VALUE!</v>
      </c>
      <c r="AL130" t="e">
        <f>AND('BBP complete'!C982,"AAAAAFv7/yU=")</f>
        <v>#VALUE!</v>
      </c>
      <c r="AM130" t="e">
        <f>AND('BBP complete'!Q993,"AAAAAFv7/yY=")</f>
        <v>#VALUE!</v>
      </c>
      <c r="AN130" t="e">
        <f>AND('BBP complete'!R993,"AAAAAFv7/yc=")</f>
        <v>#VALUE!</v>
      </c>
      <c r="AO130" t="e">
        <f>AND('BBP complete'!S993,"AAAAAFv7/yg=")</f>
        <v>#VALUE!</v>
      </c>
      <c r="AP130" t="e">
        <f>AND('BBP complete'!B983,"AAAAAFv7/yk=")</f>
        <v>#VALUE!</v>
      </c>
      <c r="AQ130" t="e">
        <f>AND('BBP complete'!C983,"AAAAAFv7/yo=")</f>
        <v>#VALUE!</v>
      </c>
      <c r="AR130" t="e">
        <f>AND('BBP complete'!Q994,"AAAAAFv7/ys=")</f>
        <v>#VALUE!</v>
      </c>
      <c r="AS130" t="e">
        <f>AND('BBP complete'!R994,"AAAAAFv7/yw=")</f>
        <v>#VALUE!</v>
      </c>
      <c r="AT130" t="e">
        <f>AND('BBP complete'!S994,"AAAAAFv7/y0=")</f>
        <v>#VALUE!</v>
      </c>
      <c r="AU130" t="e">
        <f>AND('BBP complete'!B984,"AAAAAFv7/y4=")</f>
        <v>#VALUE!</v>
      </c>
      <c r="AV130" t="e">
        <f>AND('BBP complete'!C984,"AAAAAFv7/y8=")</f>
        <v>#VALUE!</v>
      </c>
      <c r="AW130" t="e">
        <f>AND('BBP complete'!Q995,"AAAAAFv7/zA=")</f>
        <v>#VALUE!</v>
      </c>
      <c r="AX130" t="e">
        <f>AND('BBP complete'!R995,"AAAAAFv7/zE=")</f>
        <v>#VALUE!</v>
      </c>
      <c r="AY130" t="e">
        <f>AND('BBP complete'!S995,"AAAAAFv7/zI=")</f>
        <v>#VALUE!</v>
      </c>
      <c r="AZ130" t="e">
        <f>AND('BBP complete'!B985,"AAAAAFv7/zM=")</f>
        <v>#VALUE!</v>
      </c>
      <c r="BA130" t="e">
        <f>AND('BBP complete'!C985,"AAAAAFv7/zQ=")</f>
        <v>#VALUE!</v>
      </c>
      <c r="BB130" t="e">
        <f>AND('BBP complete'!Q996,"AAAAAFv7/zU=")</f>
        <v>#VALUE!</v>
      </c>
      <c r="BC130" t="e">
        <f>AND('BBP complete'!R996,"AAAAAFv7/zY=")</f>
        <v>#VALUE!</v>
      </c>
      <c r="BD130" t="e">
        <f>AND('BBP complete'!S996,"AAAAAFv7/zc=")</f>
        <v>#VALUE!</v>
      </c>
      <c r="BE130" t="e">
        <f>AND('BBP complete'!B986,"AAAAAFv7/zg=")</f>
        <v>#VALUE!</v>
      </c>
      <c r="BF130" t="e">
        <f>AND('BBP complete'!C986,"AAAAAFv7/zk=")</f>
        <v>#VALUE!</v>
      </c>
      <c r="BG130" t="e">
        <f>AND('BBP complete'!Q997,"AAAAAFv7/zo=")</f>
        <v>#VALUE!</v>
      </c>
      <c r="BH130" t="e">
        <f>AND('BBP complete'!R997,"AAAAAFv7/zs=")</f>
        <v>#VALUE!</v>
      </c>
      <c r="BI130" t="e">
        <f>AND('BBP complete'!S997,"AAAAAFv7/zw=")</f>
        <v>#VALUE!</v>
      </c>
      <c r="BJ130" t="e">
        <f>AND('BBP complete'!B987,"AAAAAFv7/z0=")</f>
        <v>#VALUE!</v>
      </c>
      <c r="BK130" t="e">
        <f>AND('BBP complete'!C987,"AAAAAFv7/z4=")</f>
        <v>#VALUE!</v>
      </c>
      <c r="BL130" t="e">
        <f>AND('BBP complete'!Q998,"AAAAAFv7/z8=")</f>
        <v>#VALUE!</v>
      </c>
      <c r="BM130" t="e">
        <f>AND('BBP complete'!R998,"AAAAAFv7/0A=")</f>
        <v>#VALUE!</v>
      </c>
      <c r="BN130" t="e">
        <f>AND('BBP complete'!S998,"AAAAAFv7/0E=")</f>
        <v>#VALUE!</v>
      </c>
      <c r="BO130" t="e">
        <f>AND('BBP complete'!B988,"AAAAAFv7/0I=")</f>
        <v>#VALUE!</v>
      </c>
      <c r="BP130" t="e">
        <f>AND('BBP complete'!C988,"AAAAAFv7/0M=")</f>
        <v>#VALUE!</v>
      </c>
      <c r="BQ130" t="e">
        <f>AND('BBP complete'!Q999,"AAAAAFv7/0Q=")</f>
        <v>#VALUE!</v>
      </c>
      <c r="BR130" t="e">
        <f>AND('BBP complete'!R999,"AAAAAFv7/0U=")</f>
        <v>#VALUE!</v>
      </c>
      <c r="BS130" t="e">
        <f>AND('BBP complete'!S999,"AAAAAFv7/0Y=")</f>
        <v>#VALUE!</v>
      </c>
      <c r="BT130" t="e">
        <f>AND('BBP complete'!B989,"AAAAAFv7/0c=")</f>
        <v>#VALUE!</v>
      </c>
      <c r="BU130" t="e">
        <f>AND('BBP complete'!C989,"AAAAAFv7/0g=")</f>
        <v>#VALUE!</v>
      </c>
      <c r="BV130" t="e">
        <f>AND('BBP complete'!Q1000,"AAAAAFv7/0k=")</f>
        <v>#VALUE!</v>
      </c>
      <c r="BW130" t="e">
        <f>AND('BBP complete'!R1000,"AAAAAFv7/0o=")</f>
        <v>#VALUE!</v>
      </c>
      <c r="BX130" t="e">
        <f>AND('BBP complete'!S1000,"AAAAAFv7/0s=")</f>
        <v>#VALUE!</v>
      </c>
      <c r="BY130" t="e">
        <f>AND('BBP complete'!B990,"AAAAAFv7/0w=")</f>
        <v>#VALUE!</v>
      </c>
      <c r="BZ130" t="e">
        <f>AND('BBP complete'!C990,"AAAAAFv7/00=")</f>
        <v>#VALUE!</v>
      </c>
      <c r="CA130" t="e">
        <f>AND('BBP complete'!Q1001,"AAAAAFv7/04=")</f>
        <v>#VALUE!</v>
      </c>
      <c r="CB130" t="e">
        <f>AND('BBP complete'!R1001,"AAAAAFv7/08=")</f>
        <v>#VALUE!</v>
      </c>
      <c r="CC130" t="e">
        <f>AND('BBP complete'!S1001,"AAAAAFv7/1A=")</f>
        <v>#VALUE!</v>
      </c>
      <c r="CD130" t="e">
        <f>AND('BBP complete'!B991,"AAAAAFv7/1E=")</f>
        <v>#VALUE!</v>
      </c>
      <c r="CE130" t="e">
        <f>AND('BBP complete'!C991,"AAAAAFv7/1I=")</f>
        <v>#VALUE!</v>
      </c>
      <c r="CF130" t="e">
        <f>AND('BBP complete'!Q1002,"AAAAAFv7/1M=")</f>
        <v>#VALUE!</v>
      </c>
      <c r="CG130" t="e">
        <f>AND('BBP complete'!R1002,"AAAAAFv7/1Q=")</f>
        <v>#VALUE!</v>
      </c>
      <c r="CH130" t="e">
        <f>AND('BBP complete'!S1002,"AAAAAFv7/1U=")</f>
        <v>#VALUE!</v>
      </c>
      <c r="CI130" t="e">
        <f>AND('BBP complete'!B992,"AAAAAFv7/1Y=")</f>
        <v>#VALUE!</v>
      </c>
      <c r="CJ130" t="e">
        <f>AND('BBP complete'!C992,"AAAAAFv7/1c=")</f>
        <v>#VALUE!</v>
      </c>
      <c r="CK130" t="e">
        <f>AND('BBP complete'!Q1003,"AAAAAFv7/1g=")</f>
        <v>#VALUE!</v>
      </c>
      <c r="CL130" t="e">
        <f>AND('BBP complete'!R1003,"AAAAAFv7/1k=")</f>
        <v>#VALUE!</v>
      </c>
      <c r="CM130" t="e">
        <f>AND('BBP complete'!S1003,"AAAAAFv7/1o=")</f>
        <v>#VALUE!</v>
      </c>
      <c r="CN130" t="e">
        <f>AND('BBP complete'!B993,"AAAAAFv7/1s=")</f>
        <v>#VALUE!</v>
      </c>
      <c r="CO130" t="e">
        <f>AND('BBP complete'!C993,"AAAAAFv7/1w=")</f>
        <v>#VALUE!</v>
      </c>
      <c r="CP130" t="e">
        <f>AND('BBP complete'!Q1004,"AAAAAFv7/10=")</f>
        <v>#VALUE!</v>
      </c>
      <c r="CQ130" t="e">
        <f>AND('BBP complete'!R1004,"AAAAAFv7/14=")</f>
        <v>#VALUE!</v>
      </c>
      <c r="CR130" t="e">
        <f>AND('BBP complete'!S1004,"AAAAAFv7/18=")</f>
        <v>#VALUE!</v>
      </c>
      <c r="CS130" t="e">
        <f>AND('BBP complete'!B994,"AAAAAFv7/2A=")</f>
        <v>#VALUE!</v>
      </c>
      <c r="CT130" t="e">
        <f>AND('BBP complete'!C994,"AAAAAFv7/2E=")</f>
        <v>#VALUE!</v>
      </c>
      <c r="CU130" t="e">
        <f>AND('BBP complete'!Q1005,"AAAAAFv7/2I=")</f>
        <v>#VALUE!</v>
      </c>
      <c r="CV130" t="e">
        <f>AND('BBP complete'!R1005,"AAAAAFv7/2M=")</f>
        <v>#VALUE!</v>
      </c>
      <c r="CW130" t="e">
        <f>AND('BBP complete'!S1005,"AAAAAFv7/2Q=")</f>
        <v>#VALUE!</v>
      </c>
      <c r="CX130" t="e">
        <f>AND('BBP complete'!B995,"AAAAAFv7/2U=")</f>
        <v>#VALUE!</v>
      </c>
      <c r="CY130" t="e">
        <f>AND('BBP complete'!C995,"AAAAAFv7/2Y=")</f>
        <v>#VALUE!</v>
      </c>
      <c r="CZ130" t="e">
        <f>AND('BBP complete'!Q1006,"AAAAAFv7/2c=")</f>
        <v>#VALUE!</v>
      </c>
      <c r="DA130" t="e">
        <f>AND('BBP complete'!R1006,"AAAAAFv7/2g=")</f>
        <v>#VALUE!</v>
      </c>
      <c r="DB130" t="e">
        <f>AND('BBP complete'!S1006,"AAAAAFv7/2k=")</f>
        <v>#VALUE!</v>
      </c>
      <c r="DC130" t="e">
        <f>AND('BBP complete'!B996,"AAAAAFv7/2o=")</f>
        <v>#VALUE!</v>
      </c>
      <c r="DD130" t="e">
        <f>AND('BBP complete'!C996,"AAAAAFv7/2s=")</f>
        <v>#VALUE!</v>
      </c>
      <c r="DE130" t="e">
        <f>AND('BBP complete'!Q1007,"AAAAAFv7/2w=")</f>
        <v>#VALUE!</v>
      </c>
      <c r="DF130" t="e">
        <f>AND('BBP complete'!R1007,"AAAAAFv7/20=")</f>
        <v>#VALUE!</v>
      </c>
      <c r="DG130" t="e">
        <f>AND('BBP complete'!S1007,"AAAAAFv7/24=")</f>
        <v>#VALUE!</v>
      </c>
      <c r="DH130" t="e">
        <f>AND('BBP complete'!B997,"AAAAAFv7/28=")</f>
        <v>#VALUE!</v>
      </c>
      <c r="DI130" t="e">
        <f>AND('BBP complete'!C997,"AAAAAFv7/3A=")</f>
        <v>#VALUE!</v>
      </c>
      <c r="DJ130" t="e">
        <f>AND('BBP complete'!Q1008,"AAAAAFv7/3E=")</f>
        <v>#VALUE!</v>
      </c>
      <c r="DK130" t="e">
        <f>AND('BBP complete'!R1008,"AAAAAFv7/3I=")</f>
        <v>#VALUE!</v>
      </c>
      <c r="DL130" t="e">
        <f>AND('BBP complete'!S1008,"AAAAAFv7/3M=")</f>
        <v>#VALUE!</v>
      </c>
      <c r="DM130" t="e">
        <f>AND('BBP complete'!B998,"AAAAAFv7/3Q=")</f>
        <v>#VALUE!</v>
      </c>
      <c r="DN130" t="e">
        <f>AND('BBP complete'!C998,"AAAAAFv7/3U=")</f>
        <v>#VALUE!</v>
      </c>
      <c r="DO130" t="e">
        <f>AND('BBP complete'!Q1009,"AAAAAFv7/3Y=")</f>
        <v>#VALUE!</v>
      </c>
      <c r="DP130" t="e">
        <f>AND('BBP complete'!R1009,"AAAAAFv7/3c=")</f>
        <v>#VALUE!</v>
      </c>
      <c r="DQ130" t="e">
        <f>AND('BBP complete'!S1009,"AAAAAFv7/3g=")</f>
        <v>#VALUE!</v>
      </c>
      <c r="DR130" t="e">
        <f>AND('BBP complete'!B999,"AAAAAFv7/3k=")</f>
        <v>#VALUE!</v>
      </c>
      <c r="DS130" t="e">
        <f>AND('BBP complete'!C999,"AAAAAFv7/3o=")</f>
        <v>#VALUE!</v>
      </c>
      <c r="DT130" t="e">
        <f>AND('BBP complete'!Q1010,"AAAAAFv7/3s=")</f>
        <v>#VALUE!</v>
      </c>
      <c r="DU130" t="e">
        <f>AND('BBP complete'!R1010,"AAAAAFv7/3w=")</f>
        <v>#VALUE!</v>
      </c>
      <c r="DV130" t="e">
        <f>AND('BBP complete'!S1010,"AAAAAFv7/30=")</f>
        <v>#VALUE!</v>
      </c>
      <c r="DW130" t="e">
        <f>AND('BBP complete'!B1000,"AAAAAFv7/34=")</f>
        <v>#VALUE!</v>
      </c>
      <c r="DX130" t="e">
        <f>AND('BBP complete'!C1000,"AAAAAFv7/38=")</f>
        <v>#VALUE!</v>
      </c>
      <c r="DY130" t="e">
        <f>AND('BBP complete'!Q1011,"AAAAAFv7/4A=")</f>
        <v>#VALUE!</v>
      </c>
      <c r="DZ130" t="e">
        <f>AND('BBP complete'!R1011,"AAAAAFv7/4E=")</f>
        <v>#VALUE!</v>
      </c>
      <c r="EA130" t="e">
        <f>AND('BBP complete'!S1011,"AAAAAFv7/4I=")</f>
        <v>#VALUE!</v>
      </c>
      <c r="EB130" t="e">
        <f>AND('BBP complete'!B1001,"AAAAAFv7/4M=")</f>
        <v>#VALUE!</v>
      </c>
      <c r="EC130" t="e">
        <f>AND('BBP complete'!C1001,"AAAAAFv7/4Q=")</f>
        <v>#VALUE!</v>
      </c>
      <c r="ED130" t="e">
        <f>AND('BBP complete'!Q1012,"AAAAAFv7/4U=")</f>
        <v>#VALUE!</v>
      </c>
      <c r="EE130" t="e">
        <f>AND('BBP complete'!R1012,"AAAAAFv7/4Y=")</f>
        <v>#VALUE!</v>
      </c>
      <c r="EF130" t="e">
        <f>AND('BBP complete'!S1012,"AAAAAFv7/4c=")</f>
        <v>#VALUE!</v>
      </c>
      <c r="EG130" t="e">
        <f>AND('BBP complete'!B1002,"AAAAAFv7/4g=")</f>
        <v>#VALUE!</v>
      </c>
      <c r="EH130" t="e">
        <f>AND('BBP complete'!C1002,"AAAAAFv7/4k=")</f>
        <v>#VALUE!</v>
      </c>
      <c r="EI130" t="e">
        <f>AND('BBP complete'!Q1013,"AAAAAFv7/4o=")</f>
        <v>#VALUE!</v>
      </c>
      <c r="EJ130" t="e">
        <f>AND('BBP complete'!R1013,"AAAAAFv7/4s=")</f>
        <v>#VALUE!</v>
      </c>
      <c r="EK130" t="e">
        <f>AND('BBP complete'!S1013,"AAAAAFv7/4w=")</f>
        <v>#VALUE!</v>
      </c>
      <c r="EL130" t="e">
        <f>AND('BBP complete'!B1003,"AAAAAFv7/40=")</f>
        <v>#VALUE!</v>
      </c>
      <c r="EM130" t="e">
        <f>AND('BBP complete'!C1003,"AAAAAFv7/44=")</f>
        <v>#VALUE!</v>
      </c>
      <c r="EN130" t="e">
        <f>AND('BBP complete'!Q1014,"AAAAAFv7/48=")</f>
        <v>#VALUE!</v>
      </c>
      <c r="EO130" t="e">
        <f>AND('BBP complete'!R1014,"AAAAAFv7/5A=")</f>
        <v>#VALUE!</v>
      </c>
      <c r="EP130" t="e">
        <f>AND('BBP complete'!S1014,"AAAAAFv7/5E=")</f>
        <v>#VALUE!</v>
      </c>
      <c r="EQ130" t="e">
        <f>AND('BBP complete'!B1004,"AAAAAFv7/5I=")</f>
        <v>#VALUE!</v>
      </c>
      <c r="ER130" t="e">
        <f>AND('BBP complete'!C1004,"AAAAAFv7/5M=")</f>
        <v>#VALUE!</v>
      </c>
      <c r="ES130" t="e">
        <f>AND('BBP complete'!Q1015,"AAAAAFv7/5Q=")</f>
        <v>#VALUE!</v>
      </c>
      <c r="ET130" t="e">
        <f>AND('BBP complete'!R1015,"AAAAAFv7/5U=")</f>
        <v>#VALUE!</v>
      </c>
      <c r="EU130" t="e">
        <f>AND('BBP complete'!S1015,"AAAAAFv7/5Y=")</f>
        <v>#VALUE!</v>
      </c>
      <c r="EV130" t="e">
        <f>AND('BBP complete'!B1005,"AAAAAFv7/5c=")</f>
        <v>#VALUE!</v>
      </c>
      <c r="EW130" t="e">
        <f>AND('BBP complete'!C1005,"AAAAAFv7/5g=")</f>
        <v>#VALUE!</v>
      </c>
      <c r="EX130" t="e">
        <f>AND('BBP complete'!Q1016,"AAAAAFv7/5k=")</f>
        <v>#VALUE!</v>
      </c>
      <c r="EY130" t="e">
        <f>AND('BBP complete'!R1016,"AAAAAFv7/5o=")</f>
        <v>#VALUE!</v>
      </c>
      <c r="EZ130" t="e">
        <f>AND('BBP complete'!S1016,"AAAAAFv7/5s=")</f>
        <v>#VALUE!</v>
      </c>
      <c r="FA130" t="e">
        <f>AND('BBP complete'!B1006,"AAAAAFv7/5w=")</f>
        <v>#VALUE!</v>
      </c>
      <c r="FB130" t="e">
        <f>AND('BBP complete'!C1006,"AAAAAFv7/50=")</f>
        <v>#VALUE!</v>
      </c>
      <c r="FC130" t="e">
        <f>AND('BBP complete'!Q1017,"AAAAAFv7/54=")</f>
        <v>#VALUE!</v>
      </c>
      <c r="FD130" t="e">
        <f>AND('BBP complete'!R1017,"AAAAAFv7/58=")</f>
        <v>#VALUE!</v>
      </c>
      <c r="FE130" t="e">
        <f>AND('BBP complete'!S1017,"AAAAAFv7/6A=")</f>
        <v>#VALUE!</v>
      </c>
      <c r="FF130" t="e">
        <f>AND('BBP complete'!B1007,"AAAAAFv7/6E=")</f>
        <v>#VALUE!</v>
      </c>
      <c r="FG130" t="e">
        <f>AND('BBP complete'!C1007,"AAAAAFv7/6I=")</f>
        <v>#VALUE!</v>
      </c>
      <c r="FH130" t="e">
        <f>AND('BBP complete'!Q1018,"AAAAAFv7/6M=")</f>
        <v>#VALUE!</v>
      </c>
      <c r="FI130" t="e">
        <f>AND('BBP complete'!R1018,"AAAAAFv7/6Q=")</f>
        <v>#VALUE!</v>
      </c>
      <c r="FJ130" t="e">
        <f>AND('BBP complete'!S1018,"AAAAAFv7/6U=")</f>
        <v>#VALUE!</v>
      </c>
      <c r="FK130" t="e">
        <f>AND('BBP complete'!B1008,"AAAAAFv7/6Y=")</f>
        <v>#VALUE!</v>
      </c>
      <c r="FL130" t="e">
        <f>AND('BBP complete'!C1008,"AAAAAFv7/6c=")</f>
        <v>#VALUE!</v>
      </c>
      <c r="FM130" t="e">
        <f>AND('BBP complete'!Q1019,"AAAAAFv7/6g=")</f>
        <v>#VALUE!</v>
      </c>
      <c r="FN130" t="e">
        <f>AND('BBP complete'!R1019,"AAAAAFv7/6k=")</f>
        <v>#VALUE!</v>
      </c>
      <c r="FO130" t="e">
        <f>AND('BBP complete'!S1019,"AAAAAFv7/6o=")</f>
        <v>#VALUE!</v>
      </c>
      <c r="FP130" t="e">
        <f>AND('BBP complete'!B1009,"AAAAAFv7/6s=")</f>
        <v>#VALUE!</v>
      </c>
      <c r="FQ130" t="e">
        <f>AND('BBP complete'!C1009,"AAAAAFv7/6w=")</f>
        <v>#VALUE!</v>
      </c>
      <c r="FR130" t="e">
        <f>AND('BBP complete'!Q1020,"AAAAAFv7/60=")</f>
        <v>#VALUE!</v>
      </c>
      <c r="FS130" t="e">
        <f>AND('BBP complete'!R1020,"AAAAAFv7/64=")</f>
        <v>#VALUE!</v>
      </c>
      <c r="FT130" t="e">
        <f>AND('BBP complete'!S1020,"AAAAAFv7/68=")</f>
        <v>#VALUE!</v>
      </c>
      <c r="FU130" t="e">
        <f>AND('BBP complete'!B1010,"AAAAAFv7/7A=")</f>
        <v>#VALUE!</v>
      </c>
      <c r="FV130" t="e">
        <f>AND('BBP complete'!C1010,"AAAAAFv7/7E=")</f>
        <v>#VALUE!</v>
      </c>
      <c r="FW130" t="e">
        <f>AND('BBP complete'!Q1021,"AAAAAFv7/7I=")</f>
        <v>#VALUE!</v>
      </c>
      <c r="FX130" t="e">
        <f>AND('BBP complete'!R1021,"AAAAAFv7/7M=")</f>
        <v>#VALUE!</v>
      </c>
      <c r="FY130" t="e">
        <f>AND('BBP complete'!S1021,"AAAAAFv7/7Q=")</f>
        <v>#VALUE!</v>
      </c>
      <c r="FZ130" t="e">
        <f>AND('BBP complete'!B1011,"AAAAAFv7/7U=")</f>
        <v>#VALUE!</v>
      </c>
      <c r="GA130" t="e">
        <f>AND('BBP complete'!C1011,"AAAAAFv7/7Y=")</f>
        <v>#VALUE!</v>
      </c>
      <c r="GB130" t="e">
        <f>AND('BBP complete'!Q1022,"AAAAAFv7/7c=")</f>
        <v>#VALUE!</v>
      </c>
      <c r="GC130" t="e">
        <f>AND('BBP complete'!R1022,"AAAAAFv7/7g=")</f>
        <v>#VALUE!</v>
      </c>
      <c r="GD130" t="e">
        <f>AND('BBP complete'!S1022,"AAAAAFv7/7k=")</f>
        <v>#VALUE!</v>
      </c>
      <c r="GE130" t="e">
        <f>AND('BBP complete'!B1012,"AAAAAFv7/7o=")</f>
        <v>#VALUE!</v>
      </c>
      <c r="GF130" t="e">
        <f>AND('BBP complete'!C1012,"AAAAAFv7/7s=")</f>
        <v>#VALUE!</v>
      </c>
      <c r="GG130" t="e">
        <f>AND('BBP complete'!Q1023,"AAAAAFv7/7w=")</f>
        <v>#VALUE!</v>
      </c>
      <c r="GH130" t="e">
        <f>AND('BBP complete'!R1023,"AAAAAFv7/70=")</f>
        <v>#VALUE!</v>
      </c>
      <c r="GI130" t="e">
        <f>AND('BBP complete'!S1023,"AAAAAFv7/74=")</f>
        <v>#VALUE!</v>
      </c>
      <c r="GJ130" t="e">
        <f>AND('BBP complete'!B1013,"AAAAAFv7/78=")</f>
        <v>#VALUE!</v>
      </c>
      <c r="GK130" t="e">
        <f>AND('BBP complete'!C1013,"AAAAAFv7/8A=")</f>
        <v>#VALUE!</v>
      </c>
      <c r="GL130" t="e">
        <f>AND('BBP complete'!Q1024,"AAAAAFv7/8E=")</f>
        <v>#VALUE!</v>
      </c>
      <c r="GM130" t="e">
        <f>AND('BBP complete'!R1024,"AAAAAFv7/8I=")</f>
        <v>#VALUE!</v>
      </c>
      <c r="GN130" t="e">
        <f>AND('BBP complete'!S1024,"AAAAAFv7/8M=")</f>
        <v>#VALUE!</v>
      </c>
      <c r="GO130" t="e">
        <f>AND('BBP complete'!B1014,"AAAAAFv7/8Q=")</f>
        <v>#VALUE!</v>
      </c>
      <c r="GP130" t="e">
        <f>AND('BBP complete'!C1014,"AAAAAFv7/8U=")</f>
        <v>#VALUE!</v>
      </c>
      <c r="GQ130" t="e">
        <f>AND('BBP complete'!Q1025,"AAAAAFv7/8Y=")</f>
        <v>#VALUE!</v>
      </c>
      <c r="GR130" t="e">
        <f>AND('BBP complete'!R1025,"AAAAAFv7/8c=")</f>
        <v>#VALUE!</v>
      </c>
      <c r="GS130" t="e">
        <f>AND('BBP complete'!S1025,"AAAAAFv7/8g=")</f>
        <v>#VALUE!</v>
      </c>
      <c r="GT130" t="e">
        <f>AND('BBP complete'!B1015,"AAAAAFv7/8k=")</f>
        <v>#VALUE!</v>
      </c>
      <c r="GU130" t="e">
        <f>AND('BBP complete'!C1015,"AAAAAFv7/8o=")</f>
        <v>#VALUE!</v>
      </c>
      <c r="GV130" t="e">
        <f>AND('BBP complete'!Q1026,"AAAAAFv7/8s=")</f>
        <v>#VALUE!</v>
      </c>
      <c r="GW130" t="e">
        <f>AND('BBP complete'!R1026,"AAAAAFv7/8w=")</f>
        <v>#VALUE!</v>
      </c>
      <c r="GX130" t="e">
        <f>AND('BBP complete'!S1026,"AAAAAFv7/80=")</f>
        <v>#VALUE!</v>
      </c>
      <c r="GY130" t="e">
        <f>AND('BBP complete'!B1016,"AAAAAFv7/84=")</f>
        <v>#VALUE!</v>
      </c>
      <c r="GZ130" t="e">
        <f>AND('BBP complete'!C1016,"AAAAAFv7/88=")</f>
        <v>#VALUE!</v>
      </c>
      <c r="HA130" t="e">
        <f>AND('BBP complete'!Q1027,"AAAAAFv7/9A=")</f>
        <v>#VALUE!</v>
      </c>
      <c r="HB130" t="e">
        <f>AND('BBP complete'!R1027,"AAAAAFv7/9E=")</f>
        <v>#VALUE!</v>
      </c>
      <c r="HC130" t="e">
        <f>AND('BBP complete'!S1027,"AAAAAFv7/9I=")</f>
        <v>#VALUE!</v>
      </c>
      <c r="HD130" t="e">
        <f>AND('BBP complete'!B1017,"AAAAAFv7/9M=")</f>
        <v>#VALUE!</v>
      </c>
      <c r="HE130" t="e">
        <f>AND('BBP complete'!C1017,"AAAAAFv7/9Q=")</f>
        <v>#VALUE!</v>
      </c>
      <c r="HF130" t="e">
        <f>AND('BBP complete'!Q1028,"AAAAAFv7/9U=")</f>
        <v>#VALUE!</v>
      </c>
      <c r="HG130" t="e">
        <f>AND('BBP complete'!R1028,"AAAAAFv7/9Y=")</f>
        <v>#VALUE!</v>
      </c>
      <c r="HH130" t="e">
        <f>AND('BBP complete'!S1028,"AAAAAFv7/9c=")</f>
        <v>#VALUE!</v>
      </c>
      <c r="HI130" t="e">
        <f>AND('BBP complete'!B1018,"AAAAAFv7/9g=")</f>
        <v>#VALUE!</v>
      </c>
      <c r="HJ130" t="e">
        <f>AND('BBP complete'!C1018,"AAAAAFv7/9k=")</f>
        <v>#VALUE!</v>
      </c>
      <c r="HK130" t="e">
        <f>AND('BBP complete'!Q1029,"AAAAAFv7/9o=")</f>
        <v>#VALUE!</v>
      </c>
      <c r="HL130" t="e">
        <f>AND('BBP complete'!R1029,"AAAAAFv7/9s=")</f>
        <v>#VALUE!</v>
      </c>
      <c r="HM130" t="e">
        <f>AND('BBP complete'!S1029,"AAAAAFv7/9w=")</f>
        <v>#VALUE!</v>
      </c>
      <c r="HN130" t="e">
        <f>AND('BBP complete'!B1019,"AAAAAFv7/90=")</f>
        <v>#VALUE!</v>
      </c>
      <c r="HO130" t="e">
        <f>AND('BBP complete'!C1019,"AAAAAFv7/94=")</f>
        <v>#VALUE!</v>
      </c>
      <c r="HP130" t="e">
        <f>AND('BBP complete'!Q1030,"AAAAAFv7/98=")</f>
        <v>#VALUE!</v>
      </c>
      <c r="HQ130" t="e">
        <f>AND('BBP complete'!R1030,"AAAAAFv7/+A=")</f>
        <v>#VALUE!</v>
      </c>
      <c r="HR130" t="e">
        <f>AND('BBP complete'!S1030,"AAAAAFv7/+E=")</f>
        <v>#VALUE!</v>
      </c>
      <c r="HS130" t="e">
        <f>AND('BBP complete'!B1020,"AAAAAFv7/+I=")</f>
        <v>#VALUE!</v>
      </c>
      <c r="HT130" t="e">
        <f>AND('BBP complete'!C1020,"AAAAAFv7/+M=")</f>
        <v>#VALUE!</v>
      </c>
      <c r="HU130" t="e">
        <f>AND('BBP complete'!Q1031,"AAAAAFv7/+Q=")</f>
        <v>#VALUE!</v>
      </c>
      <c r="HV130" t="e">
        <f>AND('BBP complete'!R1031,"AAAAAFv7/+U=")</f>
        <v>#VALUE!</v>
      </c>
      <c r="HW130" t="e">
        <f>AND('BBP complete'!S1031,"AAAAAFv7/+Y=")</f>
        <v>#VALUE!</v>
      </c>
      <c r="HX130" t="e">
        <f>AND('BBP complete'!B1021,"AAAAAFv7/+c=")</f>
        <v>#VALUE!</v>
      </c>
      <c r="HY130" t="e">
        <f>AND('BBP complete'!C1021,"AAAAAFv7/+g=")</f>
        <v>#VALUE!</v>
      </c>
      <c r="HZ130" t="e">
        <f>AND('BBP complete'!Q1032,"AAAAAFv7/+k=")</f>
        <v>#VALUE!</v>
      </c>
      <c r="IA130" t="e">
        <f>AND('BBP complete'!R1032,"AAAAAFv7/+o=")</f>
        <v>#VALUE!</v>
      </c>
      <c r="IB130" t="e">
        <f>AND('BBP complete'!S1032,"AAAAAFv7/+s=")</f>
        <v>#VALUE!</v>
      </c>
      <c r="IC130" t="e">
        <f>AND('BBP complete'!B1022,"AAAAAFv7/+w=")</f>
        <v>#VALUE!</v>
      </c>
      <c r="ID130" t="e">
        <f>AND('BBP complete'!C1022,"AAAAAFv7/+0=")</f>
        <v>#VALUE!</v>
      </c>
      <c r="IE130" t="e">
        <f>AND('BBP complete'!Q1033,"AAAAAFv7/+4=")</f>
        <v>#VALUE!</v>
      </c>
      <c r="IF130" t="e">
        <f>AND('BBP complete'!R1033,"AAAAAFv7/+8=")</f>
        <v>#VALUE!</v>
      </c>
      <c r="IG130" t="e">
        <f>AND('BBP complete'!S1033,"AAAAAFv7//A=")</f>
        <v>#VALUE!</v>
      </c>
      <c r="IH130" t="e">
        <f>AND('BBP complete'!B1023,"AAAAAFv7//E=")</f>
        <v>#VALUE!</v>
      </c>
      <c r="II130" t="e">
        <f>AND('BBP complete'!C1023,"AAAAAFv7//I=")</f>
        <v>#VALUE!</v>
      </c>
      <c r="IJ130" t="e">
        <f>AND('BBP complete'!Q1034,"AAAAAFv7//M=")</f>
        <v>#VALUE!</v>
      </c>
      <c r="IK130" t="e">
        <f>AND('BBP complete'!R1034,"AAAAAFv7//Q=")</f>
        <v>#VALUE!</v>
      </c>
      <c r="IL130" t="e">
        <f>AND('BBP complete'!S1034,"AAAAAFv7//U=")</f>
        <v>#VALUE!</v>
      </c>
      <c r="IM130" t="e">
        <f>AND('BBP complete'!B1024,"AAAAAFv7//Y=")</f>
        <v>#VALUE!</v>
      </c>
      <c r="IN130" t="e">
        <f>AND('BBP complete'!C1024,"AAAAAFv7//c=")</f>
        <v>#VALUE!</v>
      </c>
      <c r="IO130" t="e">
        <f>AND('BBP complete'!Q1035,"AAAAAFv7//g=")</f>
        <v>#VALUE!</v>
      </c>
      <c r="IP130" t="e">
        <f>AND('BBP complete'!R1035,"AAAAAFv7//k=")</f>
        <v>#VALUE!</v>
      </c>
      <c r="IQ130" t="e">
        <f>AND('BBP complete'!S1035,"AAAAAFv7//o=")</f>
        <v>#VALUE!</v>
      </c>
      <c r="IR130" t="e">
        <f>AND('BBP complete'!B1025,"AAAAAFv7//s=")</f>
        <v>#VALUE!</v>
      </c>
      <c r="IS130" t="e">
        <f>AND('BBP complete'!C1025,"AAAAAFv7//w=")</f>
        <v>#VALUE!</v>
      </c>
      <c r="IT130" t="e">
        <f>AND('BBP complete'!Q1036,"AAAAAFv7//0=")</f>
        <v>#VALUE!</v>
      </c>
      <c r="IU130" t="e">
        <f>AND('BBP complete'!R1036,"AAAAAFv7//4=")</f>
        <v>#VALUE!</v>
      </c>
      <c r="IV130" t="e">
        <f>AND('BBP complete'!S1036,"AAAAAFv7//8=")</f>
        <v>#VALUE!</v>
      </c>
    </row>
    <row r="131" spans="1:256" ht="15" customHeight="1" x14ac:dyDescent="0.25">
      <c r="A131" t="e">
        <f>AND('BBP complete'!B1026,"AAAAAFW79wA=")</f>
        <v>#VALUE!</v>
      </c>
      <c r="B131" t="e">
        <f>AND('BBP complete'!C1026,"AAAAAFW79wE=")</f>
        <v>#VALUE!</v>
      </c>
      <c r="C131" t="e">
        <f>AND('BBP complete'!Q1037,"AAAAAFW79wI=")</f>
        <v>#VALUE!</v>
      </c>
      <c r="D131" t="e">
        <f>AND('BBP complete'!R1037,"AAAAAFW79wM=")</f>
        <v>#VALUE!</v>
      </c>
      <c r="E131" t="e">
        <f>AND('BBP complete'!S1037,"AAAAAFW79wQ=")</f>
        <v>#VALUE!</v>
      </c>
      <c r="F131" t="e">
        <f>AND('BBP complete'!B1027,"AAAAAFW79wU=")</f>
        <v>#VALUE!</v>
      </c>
      <c r="G131" t="e">
        <f>AND('BBP complete'!C1027,"AAAAAFW79wY=")</f>
        <v>#VALUE!</v>
      </c>
      <c r="H131" t="e">
        <f>AND('BBP complete'!Q1038,"AAAAAFW79wc=")</f>
        <v>#VALUE!</v>
      </c>
      <c r="I131" t="e">
        <f>AND('BBP complete'!R1038,"AAAAAFW79wg=")</f>
        <v>#VALUE!</v>
      </c>
      <c r="J131" t="e">
        <f>AND('BBP complete'!S1038,"AAAAAFW79wk=")</f>
        <v>#VALUE!</v>
      </c>
      <c r="K131" t="e">
        <f>AND('BBP complete'!B1028,"AAAAAFW79wo=")</f>
        <v>#VALUE!</v>
      </c>
      <c r="L131" t="e">
        <f>AND('BBP complete'!C1028,"AAAAAFW79ws=")</f>
        <v>#VALUE!</v>
      </c>
      <c r="M131" t="e">
        <f>AND('BBP complete'!Q1039,"AAAAAFW79ww=")</f>
        <v>#VALUE!</v>
      </c>
      <c r="N131" t="e">
        <f>AND('BBP complete'!R1039,"AAAAAFW79w0=")</f>
        <v>#VALUE!</v>
      </c>
      <c r="O131" t="e">
        <f>AND('BBP complete'!S1039,"AAAAAFW79w4=")</f>
        <v>#VALUE!</v>
      </c>
      <c r="P131" t="e">
        <f>AND('BBP complete'!B1029,"AAAAAFW79w8=")</f>
        <v>#VALUE!</v>
      </c>
      <c r="Q131" t="e">
        <f>AND('BBP complete'!C1029,"AAAAAFW79xA=")</f>
        <v>#VALUE!</v>
      </c>
      <c r="R131" t="e">
        <f>AND('BBP complete'!Q1040,"AAAAAFW79xE=")</f>
        <v>#VALUE!</v>
      </c>
      <c r="S131" t="e">
        <f>AND('BBP complete'!R1040,"AAAAAFW79xI=")</f>
        <v>#VALUE!</v>
      </c>
      <c r="T131" t="e">
        <f>AND('BBP complete'!S1040,"AAAAAFW79xM=")</f>
        <v>#VALUE!</v>
      </c>
      <c r="U131" t="e">
        <f>AND('BBP complete'!B1030,"AAAAAFW79xQ=")</f>
        <v>#VALUE!</v>
      </c>
      <c r="V131" t="e">
        <f>AND('BBP complete'!C1030,"AAAAAFW79xU=")</f>
        <v>#VALUE!</v>
      </c>
      <c r="W131" t="e">
        <f>AND('BBP complete'!Q1041,"AAAAAFW79xY=")</f>
        <v>#VALUE!</v>
      </c>
      <c r="X131" t="e">
        <f>AND('BBP complete'!R1041,"AAAAAFW79xc=")</f>
        <v>#VALUE!</v>
      </c>
      <c r="Y131" t="e">
        <f>AND('BBP complete'!S1041,"AAAAAFW79xg=")</f>
        <v>#VALUE!</v>
      </c>
      <c r="Z131" t="e">
        <f>AND('BBP complete'!B1031,"AAAAAFW79xk=")</f>
        <v>#VALUE!</v>
      </c>
      <c r="AA131" t="e">
        <f>AND('BBP complete'!C1031,"AAAAAFW79xo=")</f>
        <v>#VALUE!</v>
      </c>
      <c r="AB131" t="e">
        <f>AND('BBP complete'!Q1042,"AAAAAFW79xs=")</f>
        <v>#VALUE!</v>
      </c>
      <c r="AC131" t="e">
        <f>AND('BBP complete'!R1042,"AAAAAFW79xw=")</f>
        <v>#VALUE!</v>
      </c>
      <c r="AD131" t="e">
        <f>AND('BBP complete'!S1042,"AAAAAFW79x0=")</f>
        <v>#VALUE!</v>
      </c>
      <c r="AE131" t="e">
        <f>AND('BBP complete'!B1034,"AAAAAFW79x4=")</f>
        <v>#VALUE!</v>
      </c>
      <c r="AF131" t="e">
        <f>AND('BBP complete'!C1034,"AAAAAFW79x8=")</f>
        <v>#VALUE!</v>
      </c>
      <c r="AG131" t="e">
        <f>AND('BBP complete'!Q1044,"AAAAAFW79yA=")</f>
        <v>#VALUE!</v>
      </c>
      <c r="AH131" t="e">
        <f>AND('BBP complete'!R1044,"AAAAAFW79yE=")</f>
        <v>#VALUE!</v>
      </c>
      <c r="AI131" t="e">
        <f>AND('BBP complete'!S1044,"AAAAAFW79yI=")</f>
        <v>#VALUE!</v>
      </c>
      <c r="AJ131" t="e">
        <f>AND('BBP complete'!B1035,"AAAAAFW79yM=")</f>
        <v>#VALUE!</v>
      </c>
      <c r="AK131" t="e">
        <f>AND('BBP complete'!C1035,"AAAAAFW79yQ=")</f>
        <v>#VALUE!</v>
      </c>
      <c r="AL131" t="e">
        <f>AND('BBP complete'!Q1045,"AAAAAFW79yU=")</f>
        <v>#VALUE!</v>
      </c>
      <c r="AM131" t="e">
        <f>AND('BBP complete'!R1045,"AAAAAFW79yY=")</f>
        <v>#VALUE!</v>
      </c>
      <c r="AN131" t="e">
        <f>AND('BBP complete'!S1045,"AAAAAFW79yc=")</f>
        <v>#VALUE!</v>
      </c>
      <c r="AO131" t="e">
        <f>AND('BBP complete'!B1036,"AAAAAFW79yg=")</f>
        <v>#VALUE!</v>
      </c>
      <c r="AP131" t="e">
        <f>AND('BBP complete'!C1036,"AAAAAFW79yk=")</f>
        <v>#VALUE!</v>
      </c>
      <c r="AQ131" t="e">
        <f>AND('BBP complete'!Q1046,"AAAAAFW79yo=")</f>
        <v>#VALUE!</v>
      </c>
      <c r="AR131" t="e">
        <f>AND('BBP complete'!R1046,"AAAAAFW79ys=")</f>
        <v>#VALUE!</v>
      </c>
      <c r="AS131" t="e">
        <f>AND('BBP complete'!S1046,"AAAAAFW79yw=")</f>
        <v>#VALUE!</v>
      </c>
      <c r="AT131" t="e">
        <f>AND('BBP complete'!B1037,"AAAAAFW79y0=")</f>
        <v>#VALUE!</v>
      </c>
      <c r="AU131" t="e">
        <f>AND('BBP complete'!C1037,"AAAAAFW79y4=")</f>
        <v>#VALUE!</v>
      </c>
      <c r="AV131" t="e">
        <f>AND('BBP complete'!Q1047,"AAAAAFW79y8=")</f>
        <v>#VALUE!</v>
      </c>
      <c r="AW131" t="e">
        <f>AND('BBP complete'!R1047,"AAAAAFW79zA=")</f>
        <v>#VALUE!</v>
      </c>
      <c r="AX131" t="e">
        <f>AND('BBP complete'!S1047,"AAAAAFW79zE=")</f>
        <v>#VALUE!</v>
      </c>
      <c r="AY131" t="e">
        <f>AND('BBP complete'!B1038,"AAAAAFW79zI=")</f>
        <v>#VALUE!</v>
      </c>
      <c r="AZ131" t="e">
        <f>AND('BBP complete'!C1038,"AAAAAFW79zM=")</f>
        <v>#VALUE!</v>
      </c>
      <c r="BA131" t="e">
        <f>AND('BBP complete'!Q1048,"AAAAAFW79zQ=")</f>
        <v>#VALUE!</v>
      </c>
      <c r="BB131" t="e">
        <f>AND('BBP complete'!R1048,"AAAAAFW79zU=")</f>
        <v>#VALUE!</v>
      </c>
      <c r="BC131" t="e">
        <f>AND('BBP complete'!S1048,"AAAAAFW79zY=")</f>
        <v>#VALUE!</v>
      </c>
      <c r="BD131" t="e">
        <f>AND('BBP complete'!B1039,"AAAAAFW79zc=")</f>
        <v>#VALUE!</v>
      </c>
      <c r="BE131" t="e">
        <f>AND('BBP complete'!C1039,"AAAAAFW79zg=")</f>
        <v>#VALUE!</v>
      </c>
      <c r="BF131" t="e">
        <f>AND('BBP complete'!Q1049,"AAAAAFW79zk=")</f>
        <v>#VALUE!</v>
      </c>
      <c r="BG131" t="e">
        <f>AND('BBP complete'!R1049,"AAAAAFW79zo=")</f>
        <v>#VALUE!</v>
      </c>
      <c r="BH131" t="e">
        <f>AND('BBP complete'!S1049,"AAAAAFW79zs=")</f>
        <v>#VALUE!</v>
      </c>
      <c r="BI131" t="e">
        <f>AND('BBP complete'!B1040,"AAAAAFW79zw=")</f>
        <v>#VALUE!</v>
      </c>
      <c r="BJ131" t="e">
        <f>AND('BBP complete'!C1040,"AAAAAFW79z0=")</f>
        <v>#VALUE!</v>
      </c>
      <c r="BK131" t="e">
        <f>AND('BBP complete'!Q1050,"AAAAAFW79z4=")</f>
        <v>#VALUE!</v>
      </c>
      <c r="BL131" t="e">
        <f>AND('BBP complete'!R1050,"AAAAAFW79z8=")</f>
        <v>#VALUE!</v>
      </c>
      <c r="BM131" t="e">
        <f>AND('BBP complete'!S1050,"AAAAAFW790A=")</f>
        <v>#VALUE!</v>
      </c>
      <c r="BN131" t="e">
        <f>AND('BBP complete'!B1041,"AAAAAFW790E=")</f>
        <v>#VALUE!</v>
      </c>
      <c r="BO131" t="e">
        <f>AND('BBP complete'!C1041,"AAAAAFW790I=")</f>
        <v>#VALUE!</v>
      </c>
      <c r="BP131" t="e">
        <f>AND('BBP complete'!Q1051,"AAAAAFW790M=")</f>
        <v>#VALUE!</v>
      </c>
      <c r="BQ131" t="e">
        <f>AND('BBP complete'!R1051,"AAAAAFW790Q=")</f>
        <v>#VALUE!</v>
      </c>
      <c r="BR131" t="e">
        <f>AND('BBP complete'!S1051,"AAAAAFW790U=")</f>
        <v>#VALUE!</v>
      </c>
      <c r="BS131" t="e">
        <f>AND('BBP complete'!B1043,"AAAAAFW790Y=")</f>
        <v>#VALUE!</v>
      </c>
      <c r="BT131" t="e">
        <f>AND('BBP complete'!C1043,"AAAAAFW790c=")</f>
        <v>#VALUE!</v>
      </c>
      <c r="BU131" t="e">
        <f>AND('BBP complete'!Q1052,"AAAAAFW790g=")</f>
        <v>#VALUE!</v>
      </c>
      <c r="BV131" t="e">
        <f>AND('BBP complete'!R1052,"AAAAAFW790k=")</f>
        <v>#VALUE!</v>
      </c>
      <c r="BW131" t="e">
        <f>AND('BBP complete'!S1052,"AAAAAFW790o=")</f>
        <v>#VALUE!</v>
      </c>
      <c r="BX131" t="e">
        <f>AND('BBP complete'!B1045,"AAAAAFW790s=")</f>
        <v>#VALUE!</v>
      </c>
      <c r="BY131" t="e">
        <f>AND('BBP complete'!C1045,"AAAAAFW790w=")</f>
        <v>#VALUE!</v>
      </c>
      <c r="BZ131" t="e">
        <f>AND('BBP complete'!Q1054,"AAAAAFW7900=")</f>
        <v>#VALUE!</v>
      </c>
      <c r="CA131" t="e">
        <f>AND('BBP complete'!R1054,"AAAAAFW7904=")</f>
        <v>#VALUE!</v>
      </c>
      <c r="CB131" t="e">
        <f>AND('BBP complete'!S1054,"AAAAAFW7908=")</f>
        <v>#VALUE!</v>
      </c>
      <c r="CC131" t="e">
        <f>AND('BBP complete'!B1046,"AAAAAFW791A=")</f>
        <v>#VALUE!</v>
      </c>
      <c r="CD131" t="e">
        <f>AND('BBP complete'!C1046,"AAAAAFW791E=")</f>
        <v>#VALUE!</v>
      </c>
      <c r="CE131" t="e">
        <f>AND('BBP complete'!Q1055,"AAAAAFW791I=")</f>
        <v>#VALUE!</v>
      </c>
      <c r="CF131" t="e">
        <f>AND('BBP complete'!R1055,"AAAAAFW791M=")</f>
        <v>#VALUE!</v>
      </c>
      <c r="CG131" t="e">
        <f>AND('BBP complete'!S1055,"AAAAAFW791Q=")</f>
        <v>#VALUE!</v>
      </c>
      <c r="CH131" t="e">
        <f>AND('BBP complete'!B1047,"AAAAAFW791U=")</f>
        <v>#VALUE!</v>
      </c>
      <c r="CI131" t="e">
        <f>AND('BBP complete'!C1047,"AAAAAFW791Y=")</f>
        <v>#VALUE!</v>
      </c>
      <c r="CJ131" t="e">
        <f>AND('BBP complete'!Q1056,"AAAAAFW791c=")</f>
        <v>#VALUE!</v>
      </c>
      <c r="CK131" t="e">
        <f>AND('BBP complete'!R1056,"AAAAAFW791g=")</f>
        <v>#VALUE!</v>
      </c>
      <c r="CL131" t="e">
        <f>AND('BBP complete'!S1056,"AAAAAFW791k=")</f>
        <v>#VALUE!</v>
      </c>
      <c r="CM131" t="e">
        <f>AND('BBP complete'!B1048,"AAAAAFW791o=")</f>
        <v>#VALUE!</v>
      </c>
      <c r="CN131" t="e">
        <f>AND('BBP complete'!C1048,"AAAAAFW791s=")</f>
        <v>#VALUE!</v>
      </c>
      <c r="CO131" t="e">
        <f>AND('BBP complete'!Q1057,"AAAAAFW791w=")</f>
        <v>#VALUE!</v>
      </c>
      <c r="CP131" t="e">
        <f>AND('BBP complete'!R1057,"AAAAAFW7910=")</f>
        <v>#VALUE!</v>
      </c>
      <c r="CQ131" t="e">
        <f>AND('BBP complete'!S1057,"AAAAAFW7914=")</f>
        <v>#VALUE!</v>
      </c>
      <c r="CR131" t="e">
        <f>AND('BBP complete'!Q1058,"AAAAAFW7918=")</f>
        <v>#VALUE!</v>
      </c>
      <c r="CS131" t="e">
        <f>AND('BBP complete'!R1058,"AAAAAFW792A=")</f>
        <v>#VALUE!</v>
      </c>
      <c r="CT131" t="e">
        <f>AND('BBP complete'!S1058,"AAAAAFW792E=")</f>
        <v>#VALUE!</v>
      </c>
      <c r="CU131" t="e">
        <f>AND('BBP complete'!Q1059,"AAAAAFW792I=")</f>
        <v>#VALUE!</v>
      </c>
      <c r="CV131" t="e">
        <f>AND('BBP complete'!R1059,"AAAAAFW792M=")</f>
        <v>#VALUE!</v>
      </c>
      <c r="CW131" t="e">
        <f>AND('BBP complete'!S1059,"AAAAAFW792Q=")</f>
        <v>#VALUE!</v>
      </c>
      <c r="CX131" t="e">
        <f>AND('BBP complete'!Q1060,"AAAAAFW792U=")</f>
        <v>#VALUE!</v>
      </c>
      <c r="CY131" t="e">
        <f>AND('BBP complete'!R1060,"AAAAAFW792Y=")</f>
        <v>#VALUE!</v>
      </c>
      <c r="CZ131" t="e">
        <f>AND('BBP complete'!S1060,"AAAAAFW792c=")</f>
        <v>#VALUE!</v>
      </c>
      <c r="DA131" t="e">
        <f>AND('BBP complete'!B1052,"AAAAAFW792g=")</f>
        <v>#VALUE!</v>
      </c>
      <c r="DB131" t="e">
        <f>AND('BBP complete'!C1052,"AAAAAFW792k=")</f>
        <v>#VALUE!</v>
      </c>
      <c r="DC131" t="e">
        <f>AND('BBP complete'!Q1061,"AAAAAFW792o=")</f>
        <v>#VALUE!</v>
      </c>
      <c r="DD131" t="e">
        <f>AND('BBP complete'!R1061,"AAAAAFW792s=")</f>
        <v>#VALUE!</v>
      </c>
      <c r="DE131" t="e">
        <f>AND('BBP complete'!S1061,"AAAAAFW792w=")</f>
        <v>#VALUE!</v>
      </c>
      <c r="DF131" t="e">
        <f>AND('BBP complete'!B1053,"AAAAAFW7920=")</f>
        <v>#VALUE!</v>
      </c>
      <c r="DG131" t="e">
        <f>AND('BBP complete'!C1053,"AAAAAFW7924=")</f>
        <v>#VALUE!</v>
      </c>
      <c r="DH131" t="e">
        <f>AND('BBP complete'!Q1062,"AAAAAFW7928=")</f>
        <v>#VALUE!</v>
      </c>
      <c r="DI131" t="e">
        <f>AND('BBP complete'!R1062,"AAAAAFW793A=")</f>
        <v>#VALUE!</v>
      </c>
      <c r="DJ131" t="e">
        <f>AND('BBP complete'!S1062,"AAAAAFW793E=")</f>
        <v>#VALUE!</v>
      </c>
      <c r="DK131" t="e">
        <f>AND('BBP complete'!B1054,"AAAAAFW793I=")</f>
        <v>#VALUE!</v>
      </c>
      <c r="DL131" t="e">
        <f>AND('BBP complete'!C1054,"AAAAAFW793M=")</f>
        <v>#VALUE!</v>
      </c>
      <c r="DM131" t="e">
        <f>AND('BBP complete'!Q1063,"AAAAAFW793Q=")</f>
        <v>#VALUE!</v>
      </c>
      <c r="DN131" t="e">
        <f>AND('BBP complete'!R1063,"AAAAAFW793U=")</f>
        <v>#VALUE!</v>
      </c>
      <c r="DO131" t="e">
        <f>AND('BBP complete'!S1063,"AAAAAFW793Y=")</f>
        <v>#VALUE!</v>
      </c>
      <c r="DP131" t="e">
        <f>AND('BBP complete'!B1055,"AAAAAFW793c=")</f>
        <v>#VALUE!</v>
      </c>
      <c r="DQ131" t="e">
        <f>AND('BBP complete'!C1055,"AAAAAFW793g=")</f>
        <v>#VALUE!</v>
      </c>
      <c r="DR131" t="e">
        <f>AND('BBP complete'!Q1064,"AAAAAFW793k=")</f>
        <v>#VALUE!</v>
      </c>
      <c r="DS131" t="e">
        <f>AND('BBP complete'!R1064,"AAAAAFW793o=")</f>
        <v>#VALUE!</v>
      </c>
      <c r="DT131" t="e">
        <f>AND('BBP complete'!S1064,"AAAAAFW793s=")</f>
        <v>#VALUE!</v>
      </c>
      <c r="DU131" t="e">
        <f>AND('BBP complete'!B1056,"AAAAAFW793w=")</f>
        <v>#VALUE!</v>
      </c>
      <c r="DV131" t="e">
        <f>AND('BBP complete'!C1056,"AAAAAFW7930=")</f>
        <v>#VALUE!</v>
      </c>
      <c r="DW131" t="e">
        <f>AND('BBP complete'!Q1065,"AAAAAFW7934=")</f>
        <v>#VALUE!</v>
      </c>
      <c r="DX131" t="e">
        <f>AND('BBP complete'!R1065,"AAAAAFW7938=")</f>
        <v>#VALUE!</v>
      </c>
      <c r="DY131" t="e">
        <f>AND('BBP complete'!S1065,"AAAAAFW794A=")</f>
        <v>#VALUE!</v>
      </c>
      <c r="DZ131" t="e">
        <f>AND('BBP complete'!B1057,"AAAAAFW794E=")</f>
        <v>#VALUE!</v>
      </c>
      <c r="EA131" t="e">
        <f>AND('BBP complete'!C1057,"AAAAAFW794I=")</f>
        <v>#VALUE!</v>
      </c>
      <c r="EB131" t="e">
        <f>AND('BBP complete'!Q1066,"AAAAAFW794M=")</f>
        <v>#VALUE!</v>
      </c>
      <c r="EC131" t="e">
        <f>AND('BBP complete'!R1066,"AAAAAFW794Q=")</f>
        <v>#VALUE!</v>
      </c>
      <c r="ED131" t="e">
        <f>AND('BBP complete'!S1066,"AAAAAFW794U=")</f>
        <v>#VALUE!</v>
      </c>
      <c r="EE131" t="e">
        <f>AND('BBP complete'!B1058,"AAAAAFW794Y=")</f>
        <v>#VALUE!</v>
      </c>
      <c r="EF131" t="e">
        <f>AND('BBP complete'!C1058,"AAAAAFW794c=")</f>
        <v>#VALUE!</v>
      </c>
      <c r="EG131" t="e">
        <f>AND('BBP complete'!Q1067,"AAAAAFW794g=")</f>
        <v>#VALUE!</v>
      </c>
      <c r="EH131" t="e">
        <f>AND('BBP complete'!R1067,"AAAAAFW794k=")</f>
        <v>#VALUE!</v>
      </c>
      <c r="EI131" t="e">
        <f>AND('BBP complete'!S1067,"AAAAAFW794o=")</f>
        <v>#VALUE!</v>
      </c>
      <c r="EJ131" t="e">
        <f>AND('BBP complete'!B1059,"AAAAAFW794s=")</f>
        <v>#VALUE!</v>
      </c>
      <c r="EK131" t="e">
        <f>AND('BBP complete'!C1059,"AAAAAFW794w=")</f>
        <v>#VALUE!</v>
      </c>
      <c r="EL131" t="e">
        <f>AND('BBP complete'!Q1068,"AAAAAFW7940=")</f>
        <v>#VALUE!</v>
      </c>
      <c r="EM131" t="e">
        <f>AND('BBP complete'!R1068,"AAAAAFW7944=")</f>
        <v>#VALUE!</v>
      </c>
      <c r="EN131" t="e">
        <f>AND('BBP complete'!S1068,"AAAAAFW7948=")</f>
        <v>#VALUE!</v>
      </c>
      <c r="EO131" t="e">
        <f>AND('BBP complete'!B1060,"AAAAAFW795A=")</f>
        <v>#VALUE!</v>
      </c>
      <c r="EP131" t="e">
        <f>AND('BBP complete'!C1060,"AAAAAFW795E=")</f>
        <v>#VALUE!</v>
      </c>
      <c r="EQ131" t="e">
        <f>AND('BBP complete'!Q1069,"AAAAAFW795I=")</f>
        <v>#VALUE!</v>
      </c>
      <c r="ER131" t="e">
        <f>AND('BBP complete'!R1069,"AAAAAFW795M=")</f>
        <v>#VALUE!</v>
      </c>
      <c r="ES131" t="e">
        <f>AND('BBP complete'!S1069,"AAAAAFW795Q=")</f>
        <v>#VALUE!</v>
      </c>
      <c r="ET131" t="e">
        <f>AND('BBP complete'!B1061,"AAAAAFW795U=")</f>
        <v>#VALUE!</v>
      </c>
      <c r="EU131" t="e">
        <f>AND('BBP complete'!C1061,"AAAAAFW795Y=")</f>
        <v>#VALUE!</v>
      </c>
      <c r="EV131" t="e">
        <f>AND('BBP complete'!Q1070,"AAAAAFW795c=")</f>
        <v>#VALUE!</v>
      </c>
      <c r="EW131" t="e">
        <f>AND('BBP complete'!R1070,"AAAAAFW795g=")</f>
        <v>#VALUE!</v>
      </c>
      <c r="EX131" t="e">
        <f>AND('BBP complete'!S1070,"AAAAAFW795k=")</f>
        <v>#VALUE!</v>
      </c>
      <c r="EY131" t="e">
        <f>AND('BBP complete'!B1062,"AAAAAFW795o=")</f>
        <v>#VALUE!</v>
      </c>
      <c r="EZ131" t="e">
        <f>AND('BBP complete'!C1062,"AAAAAFW795s=")</f>
        <v>#VALUE!</v>
      </c>
      <c r="FA131" t="e">
        <f>AND('BBP complete'!Q1071,"AAAAAFW795w=")</f>
        <v>#VALUE!</v>
      </c>
      <c r="FB131" t="e">
        <f>AND('BBP complete'!R1071,"AAAAAFW7950=")</f>
        <v>#VALUE!</v>
      </c>
      <c r="FC131" t="e">
        <f>AND('BBP complete'!S1071,"AAAAAFW7954=")</f>
        <v>#VALUE!</v>
      </c>
      <c r="FD131" t="e">
        <f>AND('BBP complete'!B1063,"AAAAAFW7958=")</f>
        <v>#VALUE!</v>
      </c>
      <c r="FE131" t="e">
        <f>AND('BBP complete'!C1063,"AAAAAFW796A=")</f>
        <v>#VALUE!</v>
      </c>
      <c r="FF131" t="e">
        <f>AND('BBP complete'!Q1072,"AAAAAFW796E=")</f>
        <v>#VALUE!</v>
      </c>
      <c r="FG131" t="e">
        <f>AND('BBP complete'!R1072,"AAAAAFW796I=")</f>
        <v>#VALUE!</v>
      </c>
      <c r="FH131" t="e">
        <f>AND('BBP complete'!S1072,"AAAAAFW796M=")</f>
        <v>#VALUE!</v>
      </c>
      <c r="FI131" t="e">
        <f>AND('BBP complete'!B1064,"AAAAAFW796Q=")</f>
        <v>#VALUE!</v>
      </c>
      <c r="FJ131" t="e">
        <f>AND('BBP complete'!C1064,"AAAAAFW796U=")</f>
        <v>#VALUE!</v>
      </c>
      <c r="FK131" t="e">
        <f>AND('BBP complete'!Q1073,"AAAAAFW796Y=")</f>
        <v>#VALUE!</v>
      </c>
      <c r="FL131" t="e">
        <f>AND('BBP complete'!R1073,"AAAAAFW796c=")</f>
        <v>#VALUE!</v>
      </c>
      <c r="FM131" t="e">
        <f>AND('BBP complete'!S1073,"AAAAAFW796g=")</f>
        <v>#VALUE!</v>
      </c>
      <c r="FN131" t="e">
        <f>AND('BBP complete'!B1065,"AAAAAFW796k=")</f>
        <v>#VALUE!</v>
      </c>
      <c r="FO131" t="e">
        <f>AND('BBP complete'!C1065,"AAAAAFW796o=")</f>
        <v>#VALUE!</v>
      </c>
      <c r="FP131" t="e">
        <f>AND('BBP complete'!Q1074,"AAAAAFW796s=")</f>
        <v>#VALUE!</v>
      </c>
      <c r="FQ131" t="e">
        <f>AND('BBP complete'!R1074,"AAAAAFW796w=")</f>
        <v>#VALUE!</v>
      </c>
      <c r="FR131" t="e">
        <f>AND('BBP complete'!S1074,"AAAAAFW7960=")</f>
        <v>#VALUE!</v>
      </c>
      <c r="FS131" t="e">
        <f>AND('BBP complete'!B1066,"AAAAAFW7964=")</f>
        <v>#VALUE!</v>
      </c>
      <c r="FT131" t="e">
        <f>AND('BBP complete'!C1066,"AAAAAFW7968=")</f>
        <v>#VALUE!</v>
      </c>
      <c r="FU131" t="e">
        <f>AND('BBP complete'!Q1075,"AAAAAFW797A=")</f>
        <v>#VALUE!</v>
      </c>
      <c r="FV131" t="e">
        <f>AND('BBP complete'!R1075,"AAAAAFW797E=")</f>
        <v>#VALUE!</v>
      </c>
      <c r="FW131" t="e">
        <f>AND('BBP complete'!S1075,"AAAAAFW797I=")</f>
        <v>#VALUE!</v>
      </c>
      <c r="FX131" t="e">
        <f>AND('BBP complete'!B1067,"AAAAAFW797M=")</f>
        <v>#VALUE!</v>
      </c>
      <c r="FY131" t="e">
        <f>AND('BBP complete'!C1067,"AAAAAFW797Q=")</f>
        <v>#VALUE!</v>
      </c>
      <c r="FZ131" t="e">
        <f>AND('BBP complete'!Q1076,"AAAAAFW797U=")</f>
        <v>#VALUE!</v>
      </c>
      <c r="GA131" t="e">
        <f>AND('BBP complete'!R1076,"AAAAAFW797Y=")</f>
        <v>#VALUE!</v>
      </c>
      <c r="GB131" t="e">
        <f>AND('BBP complete'!S1076,"AAAAAFW797c=")</f>
        <v>#VALUE!</v>
      </c>
      <c r="GC131" t="e">
        <f>AND('BBP complete'!B1068,"AAAAAFW797g=")</f>
        <v>#VALUE!</v>
      </c>
      <c r="GD131" t="e">
        <f>AND('BBP complete'!C1068,"AAAAAFW797k=")</f>
        <v>#VALUE!</v>
      </c>
      <c r="GE131" t="e">
        <f>AND('BBP complete'!Q1077,"AAAAAFW797o=")</f>
        <v>#VALUE!</v>
      </c>
      <c r="GF131" t="e">
        <f>AND('BBP complete'!R1077,"AAAAAFW797s=")</f>
        <v>#VALUE!</v>
      </c>
      <c r="GG131" t="e">
        <f>AND('BBP complete'!S1077,"AAAAAFW797w=")</f>
        <v>#VALUE!</v>
      </c>
      <c r="GH131" t="e">
        <f>AND('BBP complete'!B1069,"AAAAAFW7970=")</f>
        <v>#VALUE!</v>
      </c>
      <c r="GI131" t="e">
        <f>AND('BBP complete'!C1069,"AAAAAFW7974=")</f>
        <v>#VALUE!</v>
      </c>
      <c r="GJ131" t="e">
        <f>AND('BBP complete'!Q1078,"AAAAAFW7978=")</f>
        <v>#VALUE!</v>
      </c>
      <c r="GK131" t="e">
        <f>AND('BBP complete'!R1078,"AAAAAFW798A=")</f>
        <v>#VALUE!</v>
      </c>
      <c r="GL131" t="e">
        <f>AND('BBP complete'!S1078,"AAAAAFW798E=")</f>
        <v>#VALUE!</v>
      </c>
      <c r="GM131" t="e">
        <f>AND('BBP complete'!B1070,"AAAAAFW798I=")</f>
        <v>#VALUE!</v>
      </c>
      <c r="GN131" t="e">
        <f>AND('BBP complete'!C1070,"AAAAAFW798M=")</f>
        <v>#VALUE!</v>
      </c>
      <c r="GO131" t="e">
        <f>AND('BBP complete'!Q1079,"AAAAAFW798Q=")</f>
        <v>#VALUE!</v>
      </c>
      <c r="GP131" t="e">
        <f>AND('BBP complete'!R1079,"AAAAAFW798U=")</f>
        <v>#VALUE!</v>
      </c>
      <c r="GQ131" t="e">
        <f>AND('BBP complete'!S1079,"AAAAAFW798Y=")</f>
        <v>#VALUE!</v>
      </c>
      <c r="GR131" t="e">
        <f>AND('BBP complete'!B1071,"AAAAAFW798c=")</f>
        <v>#VALUE!</v>
      </c>
      <c r="GS131" t="e">
        <f>AND('BBP complete'!C1071,"AAAAAFW798g=")</f>
        <v>#VALUE!</v>
      </c>
      <c r="GT131" t="e">
        <f>AND('BBP complete'!Q1080,"AAAAAFW798k=")</f>
        <v>#VALUE!</v>
      </c>
      <c r="GU131" t="e">
        <f>AND('BBP complete'!R1080,"AAAAAFW798o=")</f>
        <v>#VALUE!</v>
      </c>
      <c r="GV131" t="e">
        <f>AND('BBP complete'!S1080,"AAAAAFW798s=")</f>
        <v>#VALUE!</v>
      </c>
      <c r="GW131" t="e">
        <f>AND('BBP complete'!B1072,"AAAAAFW798w=")</f>
        <v>#VALUE!</v>
      </c>
      <c r="GX131" t="e">
        <f>AND('BBP complete'!C1072,"AAAAAFW7980=")</f>
        <v>#VALUE!</v>
      </c>
      <c r="GY131" t="e">
        <f>AND('BBP complete'!Q1081,"AAAAAFW7984=")</f>
        <v>#VALUE!</v>
      </c>
      <c r="GZ131" t="e">
        <f>AND('BBP complete'!R1081,"AAAAAFW7988=")</f>
        <v>#VALUE!</v>
      </c>
      <c r="HA131" t="e">
        <f>AND('BBP complete'!S1081,"AAAAAFW799A=")</f>
        <v>#VALUE!</v>
      </c>
      <c r="HB131" t="e">
        <f>AND('BBP complete'!B1073,"AAAAAFW799E=")</f>
        <v>#VALUE!</v>
      </c>
      <c r="HC131" t="e">
        <f>AND('BBP complete'!C1073,"AAAAAFW799I=")</f>
        <v>#VALUE!</v>
      </c>
      <c r="HD131" t="e">
        <f>AND('BBP complete'!Q1082,"AAAAAFW799M=")</f>
        <v>#VALUE!</v>
      </c>
      <c r="HE131" t="e">
        <f>AND('BBP complete'!R1082,"AAAAAFW799Q=")</f>
        <v>#VALUE!</v>
      </c>
      <c r="HF131" t="e">
        <f>AND('BBP complete'!S1082,"AAAAAFW799U=")</f>
        <v>#VALUE!</v>
      </c>
      <c r="HG131" t="e">
        <f>AND('BBP complete'!Q1083,"AAAAAFW799Y=")</f>
        <v>#VALUE!</v>
      </c>
      <c r="HH131" t="e">
        <f>AND('BBP complete'!R1083,"AAAAAFW799c=")</f>
        <v>#VALUE!</v>
      </c>
      <c r="HI131" t="e">
        <f>AND('BBP complete'!S1083,"AAAAAFW799g=")</f>
        <v>#VALUE!</v>
      </c>
      <c r="HJ131" t="e">
        <f>AND('BBP complete'!B1075,"AAAAAFW799k=")</f>
        <v>#VALUE!</v>
      </c>
      <c r="HK131" t="e">
        <f>AND('BBP complete'!C1075,"AAAAAFW799o=")</f>
        <v>#VALUE!</v>
      </c>
      <c r="HL131" t="e">
        <f>AND('BBP complete'!Q1084,"AAAAAFW799s=")</f>
        <v>#VALUE!</v>
      </c>
      <c r="HM131" t="e">
        <f>AND('BBP complete'!R1084,"AAAAAFW799w=")</f>
        <v>#VALUE!</v>
      </c>
      <c r="HN131" t="e">
        <f>AND('BBP complete'!S1084,"AAAAAFW7990=")</f>
        <v>#VALUE!</v>
      </c>
      <c r="HO131" t="e">
        <f>AND('BBP complete'!Q1085,"AAAAAFW7994=")</f>
        <v>#VALUE!</v>
      </c>
      <c r="HP131" t="e">
        <f>AND('BBP complete'!R1085,"AAAAAFW7998=")</f>
        <v>#VALUE!</v>
      </c>
      <c r="HQ131" t="e">
        <f>AND('BBP complete'!S1085,"AAAAAFW79+A=")</f>
        <v>#VALUE!</v>
      </c>
      <c r="HR131" t="e">
        <f>AND('BBP complete'!Q1086,"AAAAAFW79+E=")</f>
        <v>#VALUE!</v>
      </c>
      <c r="HS131" t="e">
        <f>AND('BBP complete'!R1086,"AAAAAFW79+I=")</f>
        <v>#VALUE!</v>
      </c>
      <c r="HT131" t="e">
        <f>AND('BBP complete'!S1086,"AAAAAFW79+M=")</f>
        <v>#VALUE!</v>
      </c>
      <c r="HU131" t="e">
        <f>AND('BBP complete'!Q1087,"AAAAAFW79+Q=")</f>
        <v>#VALUE!</v>
      </c>
      <c r="HV131" t="e">
        <f>AND('BBP complete'!R1087,"AAAAAFW79+U=")</f>
        <v>#VALUE!</v>
      </c>
      <c r="HW131" t="e">
        <f>AND('BBP complete'!S1087,"AAAAAFW79+Y=")</f>
        <v>#VALUE!</v>
      </c>
      <c r="HX131" t="e">
        <f>AND('BBP complete'!Q1088,"AAAAAFW79+c=")</f>
        <v>#VALUE!</v>
      </c>
      <c r="HY131" t="e">
        <f>AND('BBP complete'!R1088,"AAAAAFW79+g=")</f>
        <v>#VALUE!</v>
      </c>
      <c r="HZ131" t="e">
        <f>AND('BBP complete'!S1088,"AAAAAFW79+k=")</f>
        <v>#VALUE!</v>
      </c>
      <c r="IA131" t="e">
        <f>AND('BBP complete'!B1080,"AAAAAFW79+o=")</f>
        <v>#VALUE!</v>
      </c>
      <c r="IB131" t="e">
        <f>AND('BBP complete'!C1080,"AAAAAFW79+s=")</f>
        <v>#VALUE!</v>
      </c>
      <c r="IC131" t="e">
        <f>AND('BBP complete'!Q1089,"AAAAAFW79+w=")</f>
        <v>#VALUE!</v>
      </c>
      <c r="ID131" t="e">
        <f>AND('BBP complete'!R1089,"AAAAAFW79+0=")</f>
        <v>#VALUE!</v>
      </c>
      <c r="IE131" t="e">
        <f>AND('BBP complete'!S1089,"AAAAAFW79+4=")</f>
        <v>#VALUE!</v>
      </c>
      <c r="IF131" t="e">
        <f>AND('BBP complete'!Q1090,"AAAAAFW79+8=")</f>
        <v>#VALUE!</v>
      </c>
      <c r="IG131" t="e">
        <f>AND('BBP complete'!R1090,"AAAAAFW79/A=")</f>
        <v>#VALUE!</v>
      </c>
      <c r="IH131" t="e">
        <f>AND('BBP complete'!S1090,"AAAAAFW79/E=")</f>
        <v>#VALUE!</v>
      </c>
      <c r="II131" t="e">
        <f>AND('BBP complete'!Q1091,"AAAAAFW79/I=")</f>
        <v>#VALUE!</v>
      </c>
      <c r="IJ131" t="e">
        <f>AND('BBP complete'!R1091,"AAAAAFW79/M=")</f>
        <v>#VALUE!</v>
      </c>
      <c r="IK131" t="e">
        <f>AND('BBP complete'!S1091,"AAAAAFW79/Q=")</f>
        <v>#VALUE!</v>
      </c>
      <c r="IL131" t="e">
        <f>AND('BBP complete'!Q1092,"AAAAAFW79/U=")</f>
        <v>#VALUE!</v>
      </c>
      <c r="IM131" t="e">
        <f>AND('BBP complete'!R1092,"AAAAAFW79/Y=")</f>
        <v>#VALUE!</v>
      </c>
      <c r="IN131" t="e">
        <f>AND('BBP complete'!S1092,"AAAAAFW79/c=")</f>
        <v>#VALUE!</v>
      </c>
      <c r="IO131" t="e">
        <f>AND('BBP complete'!Q1093,"AAAAAFW79/g=")</f>
        <v>#VALUE!</v>
      </c>
      <c r="IP131" t="e">
        <f>AND('BBP complete'!R1093,"AAAAAFW79/k=")</f>
        <v>#VALUE!</v>
      </c>
      <c r="IQ131" t="e">
        <f>AND('BBP complete'!S1093,"AAAAAFW79/o=")</f>
        <v>#VALUE!</v>
      </c>
      <c r="IR131" t="e">
        <f>AND('BBP complete'!Q1094,"AAAAAFW79/s=")</f>
        <v>#VALUE!</v>
      </c>
      <c r="IS131" t="e">
        <f>AND('BBP complete'!R1094,"AAAAAFW79/w=")</f>
        <v>#VALUE!</v>
      </c>
      <c r="IT131" t="e">
        <f>AND('BBP complete'!S1094,"AAAAAFW79/0=")</f>
        <v>#VALUE!</v>
      </c>
      <c r="IU131" t="e">
        <f>AND('BBP complete'!Q1095,"AAAAAFW79/4=")</f>
        <v>#VALUE!</v>
      </c>
      <c r="IV131" t="e">
        <f>AND('BBP complete'!R1095,"AAAAAFW79/8=")</f>
        <v>#VALUE!</v>
      </c>
    </row>
    <row r="132" spans="1:256" ht="15" customHeight="1" x14ac:dyDescent="0.25">
      <c r="A132" t="e">
        <f>AND('BBP complete'!S1095,"AAAAAGP+/wA=")</f>
        <v>#VALUE!</v>
      </c>
      <c r="B132" t="e">
        <f>AND('BBP complete'!Q1096,"AAAAAGP+/wE=")</f>
        <v>#VALUE!</v>
      </c>
      <c r="C132" t="e">
        <f>AND('BBP complete'!R1096,"AAAAAGP+/wI=")</f>
        <v>#VALUE!</v>
      </c>
      <c r="D132" t="e">
        <f>AND('BBP complete'!S1096,"AAAAAGP+/wM=")</f>
        <v>#VALUE!</v>
      </c>
      <c r="E132" t="e">
        <f>AND('BBP complete'!B1088,"AAAAAGP+/wQ=")</f>
        <v>#VALUE!</v>
      </c>
      <c r="F132" t="e">
        <f>AND('BBP complete'!C1088,"AAAAAGP+/wU=")</f>
        <v>#VALUE!</v>
      </c>
      <c r="G132" t="e">
        <f>AND('BBP complete'!Q1097,"AAAAAGP+/wY=")</f>
        <v>#VALUE!</v>
      </c>
      <c r="H132" t="e">
        <f>AND('BBP complete'!R1097,"AAAAAGP+/wc=")</f>
        <v>#VALUE!</v>
      </c>
      <c r="I132" t="e">
        <f>AND('BBP complete'!S1097,"AAAAAGP+/wg=")</f>
        <v>#VALUE!</v>
      </c>
      <c r="J132" t="e">
        <f>AND('BBP complete'!Q1098,"AAAAAGP+/wk=")</f>
        <v>#VALUE!</v>
      </c>
      <c r="K132" t="e">
        <f>AND('BBP complete'!R1098,"AAAAAGP+/wo=")</f>
        <v>#VALUE!</v>
      </c>
      <c r="L132" t="e">
        <f>AND('BBP complete'!S1098,"AAAAAGP+/ws=")</f>
        <v>#VALUE!</v>
      </c>
      <c r="M132" t="e">
        <f>AND('BBP complete'!B1090,"AAAAAGP+/ww=")</f>
        <v>#VALUE!</v>
      </c>
      <c r="N132" t="e">
        <f>AND('BBP complete'!C1090,"AAAAAGP+/w0=")</f>
        <v>#VALUE!</v>
      </c>
      <c r="O132" t="e">
        <f>AND('BBP complete'!Q1099,"AAAAAGP+/w4=")</f>
        <v>#VALUE!</v>
      </c>
      <c r="P132" t="e">
        <f>AND('BBP complete'!R1099,"AAAAAGP+/w8=")</f>
        <v>#VALUE!</v>
      </c>
      <c r="Q132" t="e">
        <f>AND('BBP complete'!S1099,"AAAAAGP+/xA=")</f>
        <v>#VALUE!</v>
      </c>
      <c r="R132" t="e">
        <f>AND('BBP complete'!B1091,"AAAAAGP+/xE=")</f>
        <v>#VALUE!</v>
      </c>
      <c r="S132" t="e">
        <f>AND('BBP complete'!C1091,"AAAAAGP+/xI=")</f>
        <v>#VALUE!</v>
      </c>
      <c r="T132" t="e">
        <f>AND('BBP complete'!Q1100,"AAAAAGP+/xM=")</f>
        <v>#VALUE!</v>
      </c>
      <c r="U132" t="e">
        <f>AND('BBP complete'!R1100,"AAAAAGP+/xQ=")</f>
        <v>#VALUE!</v>
      </c>
      <c r="V132" t="e">
        <f>AND('BBP complete'!S1100,"AAAAAGP+/xU=")</f>
        <v>#VALUE!</v>
      </c>
      <c r="W132" t="e">
        <f>AND('BBP complete'!B1093,"AAAAAGP+/xY=")</f>
        <v>#VALUE!</v>
      </c>
      <c r="X132" t="e">
        <f>AND('BBP complete'!C1093,"AAAAAGP+/xc=")</f>
        <v>#VALUE!</v>
      </c>
      <c r="Y132" t="e">
        <f>AND('BBP complete'!Q1101,"AAAAAGP+/xg=")</f>
        <v>#VALUE!</v>
      </c>
      <c r="Z132" t="e">
        <f>AND('BBP complete'!R1101,"AAAAAGP+/xk=")</f>
        <v>#VALUE!</v>
      </c>
      <c r="AA132" t="e">
        <f>AND('BBP complete'!S1101,"AAAAAGP+/xo=")</f>
        <v>#VALUE!</v>
      </c>
      <c r="AB132" t="e">
        <f>AND('BBP complete'!B1094,"AAAAAGP+/xs=")</f>
        <v>#VALUE!</v>
      </c>
      <c r="AC132" t="e">
        <f>AND('BBP complete'!C1094,"AAAAAGP+/xw=")</f>
        <v>#VALUE!</v>
      </c>
      <c r="AD132" t="e">
        <f>AND('BBP complete'!Q1102,"AAAAAGP+/x0=")</f>
        <v>#VALUE!</v>
      </c>
      <c r="AE132" t="e">
        <f>AND('BBP complete'!R1102,"AAAAAGP+/x4=")</f>
        <v>#VALUE!</v>
      </c>
      <c r="AF132" t="e">
        <f>AND('BBP complete'!S1102,"AAAAAGP+/x8=")</f>
        <v>#VALUE!</v>
      </c>
      <c r="AG132" t="e">
        <f>AND('BBP complete'!B1096,"AAAAAGP+/yA=")</f>
        <v>#VALUE!</v>
      </c>
      <c r="AH132" t="e">
        <f>AND('BBP complete'!C1096,"AAAAAGP+/yE=")</f>
        <v>#VALUE!</v>
      </c>
      <c r="AI132" t="e">
        <f>AND('BBP complete'!Q1104,"AAAAAGP+/yI=")</f>
        <v>#VALUE!</v>
      </c>
      <c r="AJ132" t="e">
        <f>AND('BBP complete'!R1104,"AAAAAGP+/yM=")</f>
        <v>#VALUE!</v>
      </c>
      <c r="AK132" t="e">
        <f>AND('BBP complete'!S1104,"AAAAAGP+/yQ=")</f>
        <v>#VALUE!</v>
      </c>
      <c r="AL132" t="e">
        <f>AND('BBP complete'!Q1105,"AAAAAGP+/yU=")</f>
        <v>#VALUE!</v>
      </c>
      <c r="AM132" t="e">
        <f>AND('BBP complete'!R1105,"AAAAAGP+/yY=")</f>
        <v>#VALUE!</v>
      </c>
      <c r="AN132" t="e">
        <f>AND('BBP complete'!S1105,"AAAAAGP+/yc=")</f>
        <v>#VALUE!</v>
      </c>
      <c r="AO132" t="e">
        <f>AND('BBP complete'!B1098,"AAAAAGP+/yg=")</f>
        <v>#VALUE!</v>
      </c>
      <c r="AP132" t="e">
        <f>AND('BBP complete'!C1098,"AAAAAGP+/yk=")</f>
        <v>#VALUE!</v>
      </c>
      <c r="AQ132" t="e">
        <f>AND('BBP complete'!Q1106,"AAAAAGP+/yo=")</f>
        <v>#VALUE!</v>
      </c>
      <c r="AR132" t="e">
        <f>AND('BBP complete'!R1106,"AAAAAGP+/ys=")</f>
        <v>#VALUE!</v>
      </c>
      <c r="AS132" t="e">
        <f>AND('BBP complete'!S1106,"AAAAAGP+/yw=")</f>
        <v>#VALUE!</v>
      </c>
      <c r="AT132" t="e">
        <f>AND('BBP complete'!B1099,"AAAAAGP+/y0=")</f>
        <v>#VALUE!</v>
      </c>
      <c r="AU132" t="e">
        <f>AND('BBP complete'!C1099,"AAAAAGP+/y4=")</f>
        <v>#VALUE!</v>
      </c>
      <c r="AV132" t="e">
        <f>AND('BBP complete'!Q1107,"AAAAAGP+/y8=")</f>
        <v>#VALUE!</v>
      </c>
      <c r="AW132" t="e">
        <f>AND('BBP complete'!R1107,"AAAAAGP+/zA=")</f>
        <v>#VALUE!</v>
      </c>
      <c r="AX132" t="e">
        <f>AND('BBP complete'!S1107,"AAAAAGP+/zE=")</f>
        <v>#VALUE!</v>
      </c>
      <c r="AY132" t="e">
        <f>AND('BBP complete'!Q1108,"AAAAAGP+/zI=")</f>
        <v>#VALUE!</v>
      </c>
      <c r="AZ132" t="e">
        <f>AND('BBP complete'!R1108,"AAAAAGP+/zM=")</f>
        <v>#VALUE!</v>
      </c>
      <c r="BA132" t="e">
        <f>AND('BBP complete'!S1108,"AAAAAGP+/zQ=")</f>
        <v>#VALUE!</v>
      </c>
      <c r="BB132" t="e">
        <f>AND('BBP complete'!Q1109,"AAAAAGP+/zU=")</f>
        <v>#VALUE!</v>
      </c>
      <c r="BC132" t="e">
        <f>AND('BBP complete'!R1109,"AAAAAGP+/zY=")</f>
        <v>#VALUE!</v>
      </c>
      <c r="BD132" t="e">
        <f>AND('BBP complete'!S1109,"AAAAAGP+/zc=")</f>
        <v>#VALUE!</v>
      </c>
      <c r="BE132" t="e">
        <f>AND('BBP complete'!Q1110,"AAAAAGP+/zg=")</f>
        <v>#VALUE!</v>
      </c>
      <c r="BF132" t="e">
        <f>AND('BBP complete'!R1110,"AAAAAGP+/zk=")</f>
        <v>#VALUE!</v>
      </c>
      <c r="BG132" t="e">
        <f>AND('BBP complete'!S1110,"AAAAAGP+/zo=")</f>
        <v>#VALUE!</v>
      </c>
      <c r="BH132" t="e">
        <f>AND('BBP complete'!Q1111,"AAAAAGP+/zs=")</f>
        <v>#VALUE!</v>
      </c>
      <c r="BI132" t="e">
        <f>AND('BBP complete'!R1111,"AAAAAGP+/zw=")</f>
        <v>#VALUE!</v>
      </c>
      <c r="BJ132" t="e">
        <f>AND('BBP complete'!S1111,"AAAAAGP+/z0=")</f>
        <v>#VALUE!</v>
      </c>
      <c r="BK132" s="60" t="e">
        <v>#VALUE!</v>
      </c>
      <c r="BL132" t="e">
        <f>AND('BBP complete'!A1104,"AAAAAGP+/z8=")</f>
        <v>#VALUE!</v>
      </c>
      <c r="BM132" t="e">
        <f>AND('BBP complete'!B1104,"AAAAAGP+/0A=")</f>
        <v>#VALUE!</v>
      </c>
      <c r="BN132" t="e">
        <f>AND('BBP complete'!C1104,"AAAAAGP+/0E=")</f>
        <v>#VALUE!</v>
      </c>
      <c r="BO132" t="e">
        <f>AND('BBP complete'!#REF!,"AAAAAGP+/0I=")</f>
        <v>#REF!</v>
      </c>
      <c r="BP132" t="e">
        <f>AND('BBP complete'!#REF!,"AAAAAGP+/0M=")</f>
        <v>#REF!</v>
      </c>
      <c r="BQ132" t="e">
        <f>AND('BBP complete'!#REF!,"AAAAAGP+/0Q=")</f>
        <v>#REF!</v>
      </c>
      <c r="BR132" t="e">
        <f>AND('BBP complete'!E1101,"AAAAAGP+/0U=")</f>
        <v>#VALUE!</v>
      </c>
      <c r="BS132" t="e">
        <f>AND('BBP complete'!#REF!,"AAAAAGP+/0Y=")</f>
        <v>#REF!</v>
      </c>
      <c r="BT132" t="e">
        <f>AND('BBP complete'!K1098,"AAAAAGP+/0c=")</f>
        <v>#VALUE!</v>
      </c>
      <c r="BU132" t="e">
        <f>AND('BBP complete'!L1100,"AAAAAGP+/0g=")</f>
        <v>#VALUE!</v>
      </c>
      <c r="BV132" t="e">
        <f>AND('BBP complete'!D1101,"AAAAAGP+/0k=")</f>
        <v>#VALUE!</v>
      </c>
      <c r="BW132" t="e">
        <f>AND('BBP complete'!F1101,"AAAAAGP+/0o=")</f>
        <v>#VALUE!</v>
      </c>
      <c r="BX132" t="e">
        <f>AND('BBP complete'!G1101,"AAAAAGP+/0s=")</f>
        <v>#VALUE!</v>
      </c>
      <c r="BY132" t="e">
        <f>AND('BBP complete'!H1101,"AAAAAGP+/0w=")</f>
        <v>#VALUE!</v>
      </c>
      <c r="BZ132" t="e">
        <f>AND('BBP complete'!I1101,"AAAAAGP+/00=")</f>
        <v>#VALUE!</v>
      </c>
      <c r="CA132" t="e">
        <f>AND('BBP complete'!Q1112,"AAAAAGP+/04=")</f>
        <v>#VALUE!</v>
      </c>
      <c r="CB132" t="e">
        <f>AND('BBP complete'!R1112,"AAAAAGP+/08=")</f>
        <v>#VALUE!</v>
      </c>
      <c r="CC132" t="e">
        <f>AND('BBP complete'!S1112,"AAAAAGP+/1A=")</f>
        <v>#VALUE!</v>
      </c>
      <c r="CD132" t="e">
        <f>AND('BBP complete'!Q1113,"AAAAAGP+/1E=")</f>
        <v>#VALUE!</v>
      </c>
      <c r="CE132" t="e">
        <f>AND('BBP complete'!R1113,"AAAAAGP+/1I=")</f>
        <v>#VALUE!</v>
      </c>
      <c r="CF132" t="e">
        <f>AND('BBP complete'!S1113,"AAAAAGP+/1M=")</f>
        <v>#VALUE!</v>
      </c>
      <c r="CG132" t="e">
        <f>AND('BBP complete'!Q1114,"AAAAAGP+/1Q=")</f>
        <v>#VALUE!</v>
      </c>
      <c r="CH132" t="e">
        <f>AND('BBP complete'!R1114,"AAAAAGP+/1U=")</f>
        <v>#VALUE!</v>
      </c>
      <c r="CI132" t="e">
        <f>AND('BBP complete'!S1114,"AAAAAGP+/1Y=")</f>
        <v>#VALUE!</v>
      </c>
      <c r="CJ132" t="e">
        <f>AND('BBP complete'!Q1115,"AAAAAGP+/1c=")</f>
        <v>#VALUE!</v>
      </c>
      <c r="CK132" t="e">
        <f>AND('BBP complete'!R1115,"AAAAAGP+/1g=")</f>
        <v>#VALUE!</v>
      </c>
      <c r="CL132" t="e">
        <f>AND('BBP complete'!S1115,"AAAAAGP+/1k=")</f>
        <v>#VALUE!</v>
      </c>
      <c r="CM132" t="e">
        <f>AND('BBP complete'!Q1116,"AAAAAGP+/1o=")</f>
        <v>#VALUE!</v>
      </c>
      <c r="CN132" t="e">
        <f>AND('BBP complete'!R1116,"AAAAAGP+/1s=")</f>
        <v>#VALUE!</v>
      </c>
      <c r="CO132" t="e">
        <f>AND('BBP complete'!S1116,"AAAAAGP+/1w=")</f>
        <v>#VALUE!</v>
      </c>
      <c r="CP132" t="e">
        <f>AND('BBP complete'!B1109,"AAAAAGP+/10=")</f>
        <v>#VALUE!</v>
      </c>
      <c r="CQ132" t="e">
        <f>AND('BBP complete'!C1109,"AAAAAGP+/14=")</f>
        <v>#VALUE!</v>
      </c>
      <c r="CR132" t="e">
        <f>AND('BBP complete'!Q1117,"AAAAAGP+/18=")</f>
        <v>#VALUE!</v>
      </c>
      <c r="CS132" t="e">
        <f>AND('BBP complete'!R1117,"AAAAAGP+/2A=")</f>
        <v>#VALUE!</v>
      </c>
      <c r="CT132" t="e">
        <f>AND('BBP complete'!S1117,"AAAAAGP+/2E=")</f>
        <v>#VALUE!</v>
      </c>
      <c r="CU132" t="e">
        <f>AND('BBP complete'!B1110,"AAAAAGP+/2I=")</f>
        <v>#VALUE!</v>
      </c>
      <c r="CV132" t="e">
        <f>AND('BBP complete'!C1110,"AAAAAGP+/2M=")</f>
        <v>#VALUE!</v>
      </c>
      <c r="CW132" t="e">
        <f>AND('BBP complete'!Q1118,"AAAAAGP+/2Q=")</f>
        <v>#VALUE!</v>
      </c>
      <c r="CX132" t="e">
        <f>AND('BBP complete'!R1118,"AAAAAGP+/2U=")</f>
        <v>#VALUE!</v>
      </c>
      <c r="CY132" t="e">
        <f>AND('BBP complete'!S1118,"AAAAAGP+/2Y=")</f>
        <v>#VALUE!</v>
      </c>
      <c r="CZ132" t="e">
        <f>AND('BBP complete'!B1111,"AAAAAGP+/2c=")</f>
        <v>#VALUE!</v>
      </c>
      <c r="DA132" t="e">
        <f>AND('BBP complete'!C1111,"AAAAAGP+/2g=")</f>
        <v>#VALUE!</v>
      </c>
      <c r="DB132" t="e">
        <f>AND('BBP complete'!Q1121,"AAAAAGP+/2k=")</f>
        <v>#VALUE!</v>
      </c>
      <c r="DC132" t="e">
        <f>AND('BBP complete'!R1121,"AAAAAGP+/2o=")</f>
        <v>#VALUE!</v>
      </c>
      <c r="DD132" t="e">
        <f>AND('BBP complete'!S1121,"AAAAAGP+/2s=")</f>
        <v>#VALUE!</v>
      </c>
      <c r="DE132" t="e">
        <f>AND('BBP complete'!B1112,"AAAAAGP+/2w=")</f>
        <v>#VALUE!</v>
      </c>
      <c r="DF132" t="e">
        <f>AND('BBP complete'!C1112,"AAAAAGP+/20=")</f>
        <v>#VALUE!</v>
      </c>
      <c r="DG132" t="e">
        <f>AND('BBP complete'!Q1122,"AAAAAGP+/24=")</f>
        <v>#VALUE!</v>
      </c>
      <c r="DH132" t="e">
        <f>AND('BBP complete'!R1122,"AAAAAGP+/28=")</f>
        <v>#VALUE!</v>
      </c>
      <c r="DI132" t="e">
        <f>AND('BBP complete'!S1122,"AAAAAGP+/3A=")</f>
        <v>#VALUE!</v>
      </c>
      <c r="DJ132" t="e">
        <f>AND('BBP complete'!B1113,"AAAAAGP+/3E=")</f>
        <v>#VALUE!</v>
      </c>
      <c r="DK132" t="e">
        <f>AND('BBP complete'!C1113,"AAAAAGP+/3I=")</f>
        <v>#VALUE!</v>
      </c>
      <c r="DL132" t="e">
        <f>AND('BBP complete'!Q1123,"AAAAAGP+/3M=")</f>
        <v>#VALUE!</v>
      </c>
      <c r="DM132" t="e">
        <f>AND('BBP complete'!R1123,"AAAAAGP+/3Q=")</f>
        <v>#VALUE!</v>
      </c>
      <c r="DN132" t="e">
        <f>AND('BBP complete'!S1123,"AAAAAGP+/3U=")</f>
        <v>#VALUE!</v>
      </c>
      <c r="DO132" t="e">
        <f>AND('BBP complete'!Q1124,"AAAAAGP+/3Y=")</f>
        <v>#VALUE!</v>
      </c>
      <c r="DP132" t="e">
        <f>AND('BBP complete'!R1124,"AAAAAGP+/3c=")</f>
        <v>#VALUE!</v>
      </c>
      <c r="DQ132" t="e">
        <f>AND('BBP complete'!S1124,"AAAAAGP+/3g=")</f>
        <v>#VALUE!</v>
      </c>
      <c r="DR132" t="e">
        <f>AND('BBP complete'!B1115,"AAAAAGP+/3k=")</f>
        <v>#VALUE!</v>
      </c>
      <c r="DS132" t="e">
        <f>AND('BBP complete'!A1115,"AAAAAGP+/3o=")</f>
        <v>#VALUE!</v>
      </c>
      <c r="DT132" t="e">
        <f>AND('BBP complete'!Q1125,"AAAAAGP+/3s=")</f>
        <v>#VALUE!</v>
      </c>
      <c r="DU132" t="e">
        <f>AND('BBP complete'!R1125,"AAAAAGP+/3w=")</f>
        <v>#VALUE!</v>
      </c>
      <c r="DV132" t="e">
        <f>AND('BBP complete'!S1125,"AAAAAGP+/30=")</f>
        <v>#VALUE!</v>
      </c>
      <c r="DW132" s="60" t="e">
        <v>#VALUE!</v>
      </c>
      <c r="DX132" t="e">
        <f>AND('BBP complete'!#REF!,"AAAAAGP+/38=")</f>
        <v>#REF!</v>
      </c>
      <c r="DY132" t="e">
        <f>AND('BBP complete'!B1116,"AAAAAGP+/4A=")</f>
        <v>#VALUE!</v>
      </c>
      <c r="DZ132" t="e">
        <f>AND('BBP complete'!A1116,"AAAAAGP+/4E=")</f>
        <v>#VALUE!</v>
      </c>
      <c r="EA132" t="e">
        <f>AND('BBP complete'!#REF!,"AAAAAGP+/4I=")</f>
        <v>#REF!</v>
      </c>
      <c r="EB132" t="e">
        <f>AND('BBP complete'!#REF!,"AAAAAGP+/4M=")</f>
        <v>#REF!</v>
      </c>
      <c r="EC132" t="e">
        <f>AND('BBP complete'!#REF!,"AAAAAGP+/4Q=")</f>
        <v>#REF!</v>
      </c>
      <c r="ED132" t="e">
        <f>AND('BBP complete'!E1113,"AAAAAGP+/4U=")</f>
        <v>#VALUE!</v>
      </c>
      <c r="EE132" t="e">
        <f>AND('BBP complete'!#REF!,"AAAAAGP+/4Y=")</f>
        <v>#REF!</v>
      </c>
      <c r="EF132" t="e">
        <f>AND('BBP complete'!K1110,"AAAAAGP+/4c=")</f>
        <v>#VALUE!</v>
      </c>
      <c r="EG132" t="e">
        <f>AND('BBP complete'!L1112,"AAAAAGP+/4g=")</f>
        <v>#VALUE!</v>
      </c>
      <c r="EH132" t="e">
        <f>AND('BBP complete'!D1113,"AAAAAGP+/4k=")</f>
        <v>#VALUE!</v>
      </c>
      <c r="EI132" t="e">
        <f>AND('BBP complete'!F1113,"AAAAAGP+/4o=")</f>
        <v>#VALUE!</v>
      </c>
      <c r="EJ132" t="e">
        <f>AND('BBP complete'!G1113,"AAAAAGP+/4s=")</f>
        <v>#VALUE!</v>
      </c>
      <c r="EK132" t="e">
        <f>AND('BBP complete'!H1113,"AAAAAGP+/4w=")</f>
        <v>#VALUE!</v>
      </c>
      <c r="EL132" t="e">
        <f>AND('BBP complete'!I1113,"AAAAAGP+/40=")</f>
        <v>#VALUE!</v>
      </c>
      <c r="EM132" t="e">
        <f>AND('BBP complete'!Q1126,"AAAAAGP+/44=")</f>
        <v>#VALUE!</v>
      </c>
      <c r="EN132" t="e">
        <f>AND('BBP complete'!R1126,"AAAAAGP+/48=")</f>
        <v>#VALUE!</v>
      </c>
      <c r="EO132" t="e">
        <f>AND('BBP complete'!S1126,"AAAAAGP+/5A=")</f>
        <v>#VALUE!</v>
      </c>
      <c r="EP132" t="e">
        <f>AND('BBP complete'!Q1127,"AAAAAGP+/5E=")</f>
        <v>#VALUE!</v>
      </c>
      <c r="EQ132" t="e">
        <f>AND('BBP complete'!R1127,"AAAAAGP+/5I=")</f>
        <v>#VALUE!</v>
      </c>
      <c r="ER132" t="e">
        <f>AND('BBP complete'!S1127,"AAAAAGP+/5M=")</f>
        <v>#VALUE!</v>
      </c>
      <c r="ES132" t="e">
        <f>AND('BBP complete'!Q1128,"AAAAAGP+/5Q=")</f>
        <v>#VALUE!</v>
      </c>
      <c r="ET132" t="e">
        <f>AND('BBP complete'!R1128,"AAAAAGP+/5U=")</f>
        <v>#VALUE!</v>
      </c>
      <c r="EU132" t="e">
        <f>AND('BBP complete'!S1128,"AAAAAGP+/5Y=")</f>
        <v>#VALUE!</v>
      </c>
      <c r="EV132" t="e">
        <f>AND('BBP complete'!Q1129,"AAAAAGP+/5c=")</f>
        <v>#VALUE!</v>
      </c>
      <c r="EW132" t="e">
        <f>AND('BBP complete'!R1129,"AAAAAGP+/5g=")</f>
        <v>#VALUE!</v>
      </c>
      <c r="EX132" t="e">
        <f>AND('BBP complete'!S1129,"AAAAAGP+/5k=")</f>
        <v>#VALUE!</v>
      </c>
      <c r="EY132" t="e">
        <f>AND('BBP complete'!#REF!,"AAAAAGP+/5o=")</f>
        <v>#REF!</v>
      </c>
      <c r="EZ132" t="e">
        <f>AND('BBP complete'!C1120,"AAAAAGP+/5s=")</f>
        <v>#VALUE!</v>
      </c>
      <c r="FA132" t="e">
        <f>AND('BBP complete'!Q1130,"AAAAAGP+/5w=")</f>
        <v>#VALUE!</v>
      </c>
      <c r="FB132" t="e">
        <f>AND('BBP complete'!R1130,"AAAAAGP+/50=")</f>
        <v>#VALUE!</v>
      </c>
      <c r="FC132" t="e">
        <f>AND('BBP complete'!S1130,"AAAAAGP+/54=")</f>
        <v>#VALUE!</v>
      </c>
      <c r="FD132" t="e">
        <f>AND('BBP complete'!#REF!,"AAAAAGP+/58=")</f>
        <v>#REF!</v>
      </c>
      <c r="FE132" t="e">
        <f>AND('BBP complete'!#REF!,"AAAAAGP+/6A=")</f>
        <v>#REF!</v>
      </c>
      <c r="FF132" t="e">
        <f>AND('BBP complete'!Q1131,"AAAAAGP+/6E=")</f>
        <v>#VALUE!</v>
      </c>
      <c r="FG132" t="e">
        <f>AND('BBP complete'!R1131,"AAAAAGP+/6I=")</f>
        <v>#VALUE!</v>
      </c>
      <c r="FH132" t="e">
        <f>AND('BBP complete'!S1131,"AAAAAGP+/6M=")</f>
        <v>#VALUE!</v>
      </c>
      <c r="FI132" t="e">
        <f>AND('BBP complete'!F1121,"AAAAAGP+/6Q=")</f>
        <v>#VALUE!</v>
      </c>
      <c r="FJ132" t="e">
        <f>AND('BBP complete'!G1121,"AAAAAGP+/6U=")</f>
        <v>#VALUE!</v>
      </c>
      <c r="FK132" t="e">
        <f>AND('BBP complete'!Q1132,"AAAAAGP+/6Y=")</f>
        <v>#VALUE!</v>
      </c>
      <c r="FL132" t="e">
        <f>AND('BBP complete'!R1132,"AAAAAGP+/6c=")</f>
        <v>#VALUE!</v>
      </c>
      <c r="FM132" t="e">
        <f>AND('BBP complete'!S1132,"AAAAAGP+/6g=")</f>
        <v>#VALUE!</v>
      </c>
      <c r="FN132" t="e">
        <f>AND('BBP complete'!#REF!,"AAAAAGP+/6k=")</f>
        <v>#REF!</v>
      </c>
      <c r="FO132" t="e">
        <f>AND('BBP complete'!#REF!,"AAAAAGP+/6o=")</f>
        <v>#REF!</v>
      </c>
      <c r="FP132" t="e">
        <f>AND('BBP complete'!#REF!,"AAAAAGP+/6s=")</f>
        <v>#REF!</v>
      </c>
      <c r="FQ132" t="e">
        <f>AND('BBP complete'!Q1133,"AAAAAGP+/6w=")</f>
        <v>#VALUE!</v>
      </c>
      <c r="FR132" t="e">
        <f>AND('BBP complete'!R1133,"AAAAAGP+/60=")</f>
        <v>#VALUE!</v>
      </c>
      <c r="FS132" t="e">
        <f>AND('BBP complete'!S1133,"AAAAAGP+/64=")</f>
        <v>#VALUE!</v>
      </c>
      <c r="FT132" t="e">
        <f>AND('BBP complete'!F1124,"AAAAAGP+/68=")</f>
        <v>#VALUE!</v>
      </c>
      <c r="FU132" t="e">
        <f>AND('BBP complete'!G1124,"AAAAAGP+/7A=")</f>
        <v>#VALUE!</v>
      </c>
      <c r="FV132" t="e">
        <f>AND('BBP complete'!Q1134,"AAAAAGP+/7E=")</f>
        <v>#VALUE!</v>
      </c>
      <c r="FW132" t="e">
        <f>AND('BBP complete'!R1134,"AAAAAGP+/7I=")</f>
        <v>#VALUE!</v>
      </c>
      <c r="FX132" t="e">
        <f>AND('BBP complete'!S1134,"AAAAAGP+/7M=")</f>
        <v>#VALUE!</v>
      </c>
      <c r="FY132" t="e">
        <f>AND('BBP complete'!#REF!,"AAAAAGP+/7Q=")</f>
        <v>#REF!</v>
      </c>
      <c r="FZ132" t="e">
        <f>AND('BBP complete'!#REF!,"AAAAAGP+/7U=")</f>
        <v>#REF!</v>
      </c>
      <c r="GA132" t="e">
        <f>AND('BBP complete'!Q1135,"AAAAAGP+/7Y=")</f>
        <v>#VALUE!</v>
      </c>
      <c r="GB132" t="e">
        <f>AND('BBP complete'!R1135,"AAAAAGP+/7c=")</f>
        <v>#VALUE!</v>
      </c>
      <c r="GC132" t="e">
        <f>AND('BBP complete'!S1135,"AAAAAGP+/7g=")</f>
        <v>#VALUE!</v>
      </c>
      <c r="GD132" t="e">
        <f>AND('BBP complete'!F1126,"AAAAAGP+/7k=")</f>
        <v>#VALUE!</v>
      </c>
      <c r="GE132" t="e">
        <f>AND('BBP complete'!G1126,"AAAAAGP+/7o=")</f>
        <v>#VALUE!</v>
      </c>
      <c r="GF132" t="e">
        <f>AND('BBP complete'!Q1136,"AAAAAGP+/7s=")</f>
        <v>#VALUE!</v>
      </c>
      <c r="GG132" t="e">
        <f>AND('BBP complete'!R1136,"AAAAAGP+/7w=")</f>
        <v>#VALUE!</v>
      </c>
      <c r="GH132" t="e">
        <f>AND('BBP complete'!S1136,"AAAAAGP+/70=")</f>
        <v>#VALUE!</v>
      </c>
      <c r="GI132" t="e">
        <f>AND('BBP complete'!F1127,"AAAAAGP+/74=")</f>
        <v>#VALUE!</v>
      </c>
      <c r="GJ132" t="e">
        <f>AND('BBP complete'!G1127,"AAAAAGP+/78=")</f>
        <v>#VALUE!</v>
      </c>
      <c r="GK132" t="e">
        <f>AND('BBP complete'!Q1137,"AAAAAGP+/8A=")</f>
        <v>#VALUE!</v>
      </c>
      <c r="GL132" t="e">
        <f>AND('BBP complete'!R1137,"AAAAAGP+/8E=")</f>
        <v>#VALUE!</v>
      </c>
      <c r="GM132" t="e">
        <f>AND('BBP complete'!S1137,"AAAAAGP+/8I=")</f>
        <v>#VALUE!</v>
      </c>
      <c r="GN132" t="e">
        <f>AND('BBP complete'!F1128,"AAAAAGP+/8M=")</f>
        <v>#VALUE!</v>
      </c>
      <c r="GO132" t="e">
        <f>AND('BBP complete'!G1128,"AAAAAGP+/8Q=")</f>
        <v>#VALUE!</v>
      </c>
      <c r="GP132" t="e">
        <f>AND('BBP complete'!Q1138,"AAAAAGP+/8U=")</f>
        <v>#VALUE!</v>
      </c>
      <c r="GQ132" t="e">
        <f>AND('BBP complete'!R1138,"AAAAAGP+/8Y=")</f>
        <v>#VALUE!</v>
      </c>
      <c r="GR132" t="e">
        <f>AND('BBP complete'!S1138,"AAAAAGP+/8c=")</f>
        <v>#VALUE!</v>
      </c>
      <c r="GS132" t="e">
        <f>AND('BBP complete'!F1129,"AAAAAGP+/8g=")</f>
        <v>#VALUE!</v>
      </c>
      <c r="GT132" t="e">
        <f>AND('BBP complete'!G1129,"AAAAAGP+/8k=")</f>
        <v>#VALUE!</v>
      </c>
      <c r="GU132" t="e">
        <f>AND('BBP complete'!#REF!,"AAAAAGP+/8o=")</f>
        <v>#REF!</v>
      </c>
      <c r="GV132" t="e">
        <f>AND('BBP complete'!R1139,"AAAAAGP+/8s=")</f>
        <v>#VALUE!</v>
      </c>
      <c r="GW132" t="e">
        <f>AND('BBP complete'!S1139,"AAAAAGP+/8w=")</f>
        <v>#VALUE!</v>
      </c>
      <c r="GX132" t="e">
        <f>AND('BBP complete'!F1130,"AAAAAGP+/80=")</f>
        <v>#VALUE!</v>
      </c>
      <c r="GY132" t="e">
        <f>AND('BBP complete'!G1130,"AAAAAGP+/84=")</f>
        <v>#VALUE!</v>
      </c>
      <c r="GZ132" t="e">
        <f>AND('BBP complete'!#REF!,"AAAAAGP+/88=")</f>
        <v>#REF!</v>
      </c>
      <c r="HA132" t="e">
        <f>AND('BBP complete'!R1140,"AAAAAGP+/9A=")</f>
        <v>#VALUE!</v>
      </c>
      <c r="HB132" t="e">
        <f>AND('BBP complete'!S1140,"AAAAAGP+/9E=")</f>
        <v>#VALUE!</v>
      </c>
      <c r="HC132" t="e">
        <f>AND('BBP complete'!F1131,"AAAAAGP+/9I=")</f>
        <v>#VALUE!</v>
      </c>
      <c r="HD132" t="e">
        <f>AND('BBP complete'!G1131,"AAAAAGP+/9M=")</f>
        <v>#VALUE!</v>
      </c>
      <c r="HE132" t="e">
        <f>AND('BBP complete'!#REF!,"AAAAAGP+/9Q=")</f>
        <v>#REF!</v>
      </c>
      <c r="HF132" t="e">
        <f>AND('BBP complete'!R1141,"AAAAAGP+/9U=")</f>
        <v>#VALUE!</v>
      </c>
      <c r="HG132" t="e">
        <f>AND('BBP complete'!S1141,"AAAAAGP+/9Y=")</f>
        <v>#VALUE!</v>
      </c>
      <c r="HH132" t="e">
        <f>AND('BBP complete'!F1132,"AAAAAGP+/9c=")</f>
        <v>#VALUE!</v>
      </c>
      <c r="HI132" t="e">
        <f>AND('BBP complete'!G1132,"AAAAAGP+/9g=")</f>
        <v>#VALUE!</v>
      </c>
      <c r="HJ132" t="e">
        <f>AND('BBP complete'!#REF!,"AAAAAGP+/9k=")</f>
        <v>#REF!</v>
      </c>
      <c r="HK132" t="e">
        <f>AND('BBP complete'!R1142,"AAAAAGP+/9o=")</f>
        <v>#VALUE!</v>
      </c>
      <c r="HL132" t="e">
        <f>AND('BBP complete'!S1142,"AAAAAGP+/9s=")</f>
        <v>#VALUE!</v>
      </c>
      <c r="HM132" t="e">
        <f>AND('BBP complete'!F1133,"AAAAAGP+/9w=")</f>
        <v>#VALUE!</v>
      </c>
      <c r="HN132" t="e">
        <f>AND('BBP complete'!G1133,"AAAAAGP+/90=")</f>
        <v>#VALUE!</v>
      </c>
      <c r="HO132" t="e">
        <f>AND('BBP complete'!#REF!,"AAAAAGP+/94=")</f>
        <v>#REF!</v>
      </c>
      <c r="HP132" t="e">
        <f>AND('BBP complete'!R1143,"AAAAAGP+/98=")</f>
        <v>#VALUE!</v>
      </c>
      <c r="HQ132" t="e">
        <f>AND('BBP complete'!S1143,"AAAAAGP+/+A=")</f>
        <v>#VALUE!</v>
      </c>
      <c r="HR132" t="e">
        <f>AND('BBP complete'!F1134,"AAAAAGP+/+E=")</f>
        <v>#VALUE!</v>
      </c>
      <c r="HS132" t="e">
        <f>AND('BBP complete'!G1134,"AAAAAGP+/+I=")</f>
        <v>#VALUE!</v>
      </c>
      <c r="HT132" t="e">
        <f>AND('BBP complete'!#REF!,"AAAAAGP+/+M=")</f>
        <v>#REF!</v>
      </c>
      <c r="HU132" t="e">
        <f>AND('BBP complete'!R1144,"AAAAAGP+/+Q=")</f>
        <v>#VALUE!</v>
      </c>
      <c r="HV132" t="e">
        <f>AND('BBP complete'!S1144,"AAAAAGP+/+U=")</f>
        <v>#VALUE!</v>
      </c>
      <c r="HW132" t="e">
        <f>AND('BBP complete'!F1135,"AAAAAGP+/+Y=")</f>
        <v>#VALUE!</v>
      </c>
      <c r="HX132" t="e">
        <f>AND('BBP complete'!G1135,"AAAAAGP+/+c=")</f>
        <v>#VALUE!</v>
      </c>
      <c r="HY132" t="e">
        <f>AND('BBP complete'!#REF!,"AAAAAGP+/+g=")</f>
        <v>#REF!</v>
      </c>
      <c r="HZ132" t="e">
        <f>AND('BBP complete'!R1145,"AAAAAGP+/+k=")</f>
        <v>#VALUE!</v>
      </c>
      <c r="IA132" t="e">
        <f>AND('BBP complete'!S1145,"AAAAAGP+/+o=")</f>
        <v>#VALUE!</v>
      </c>
      <c r="IB132" t="e">
        <f>AND('BBP complete'!F1136,"AAAAAGP+/+s=")</f>
        <v>#VALUE!</v>
      </c>
      <c r="IC132" t="e">
        <f>AND('BBP complete'!G1136,"AAAAAGP+/+w=")</f>
        <v>#VALUE!</v>
      </c>
      <c r="ID132" t="e">
        <f>AND('BBP complete'!#REF!,"AAAAAGP+/+0=")</f>
        <v>#REF!</v>
      </c>
      <c r="IE132" t="e">
        <f>AND('BBP complete'!R1146,"AAAAAGP+/+4=")</f>
        <v>#VALUE!</v>
      </c>
      <c r="IF132" t="e">
        <f>AND('BBP complete'!S1146,"AAAAAGP+/+8=")</f>
        <v>#VALUE!</v>
      </c>
      <c r="IG132" t="e">
        <f>AND('BBP complete'!F1137,"AAAAAGP+//A=")</f>
        <v>#VALUE!</v>
      </c>
      <c r="IH132" t="e">
        <f>AND('BBP complete'!G1137,"AAAAAGP+//E=")</f>
        <v>#VALUE!</v>
      </c>
      <c r="II132" t="e">
        <f>AND('BBP complete'!#REF!,"AAAAAGP+//I=")</f>
        <v>#REF!</v>
      </c>
      <c r="IJ132" t="e">
        <f>AND('BBP complete'!R1147,"AAAAAGP+//M=")</f>
        <v>#VALUE!</v>
      </c>
      <c r="IK132" t="e">
        <f>AND('BBP complete'!S1147,"AAAAAGP+//Q=")</f>
        <v>#VALUE!</v>
      </c>
      <c r="IL132" t="e">
        <f>AND('BBP complete'!F1138,"AAAAAGP+//U=")</f>
        <v>#VALUE!</v>
      </c>
      <c r="IM132" t="e">
        <f>AND('BBP complete'!G1138,"AAAAAGP+//Y=")</f>
        <v>#VALUE!</v>
      </c>
      <c r="IN132" t="e">
        <f>AND('BBP complete'!#REF!,"AAAAAGP+//c=")</f>
        <v>#REF!</v>
      </c>
      <c r="IO132" t="e">
        <f>AND('BBP complete'!R1148,"AAAAAGP+//g=")</f>
        <v>#VALUE!</v>
      </c>
      <c r="IP132" t="e">
        <f>AND('BBP complete'!S1148,"AAAAAGP+//k=")</f>
        <v>#VALUE!</v>
      </c>
      <c r="IQ132" t="e">
        <f>AND('BBP complete'!F1139,"AAAAAGP+//o=")</f>
        <v>#VALUE!</v>
      </c>
      <c r="IR132" t="e">
        <f>AND('BBP complete'!G1139,"AAAAAGP+//s=")</f>
        <v>#VALUE!</v>
      </c>
      <c r="IS132" t="e">
        <f>AND('BBP complete'!#REF!,"AAAAAGP+//w=")</f>
        <v>#REF!</v>
      </c>
      <c r="IT132" t="e">
        <f>AND('BBP complete'!R1149,"AAAAAGP+//0=")</f>
        <v>#VALUE!</v>
      </c>
      <c r="IU132" t="e">
        <f>AND('BBP complete'!S1149,"AAAAAGP+//4=")</f>
        <v>#VALUE!</v>
      </c>
      <c r="IV132" t="e">
        <f>AND('BBP complete'!F1140,"AAAAAGP+//8=")</f>
        <v>#VALUE!</v>
      </c>
    </row>
    <row r="133" spans="1:256" ht="15" customHeight="1" x14ac:dyDescent="0.25">
      <c r="A133" t="e">
        <f>AND('BBP complete'!G1140,"AAAAAGOntwA=")</f>
        <v>#VALUE!</v>
      </c>
      <c r="B133" t="e">
        <f>AND('BBP complete'!#REF!,"AAAAAGOntwE=")</f>
        <v>#REF!</v>
      </c>
      <c r="C133" t="e">
        <f>AND('BBP complete'!R1150,"AAAAAGOntwI=")</f>
        <v>#VALUE!</v>
      </c>
      <c r="D133" t="e">
        <f>AND('BBP complete'!S1150,"AAAAAGOntwM=")</f>
        <v>#VALUE!</v>
      </c>
      <c r="E133" t="e">
        <f>AND('BBP complete'!F1141,"AAAAAGOntwQ=")</f>
        <v>#VALUE!</v>
      </c>
      <c r="F133" t="e">
        <f>AND('BBP complete'!G1141,"AAAAAGOntwU=")</f>
        <v>#VALUE!</v>
      </c>
      <c r="G133" t="e">
        <f>AND('BBP complete'!#REF!,"AAAAAGOntwY=")</f>
        <v>#REF!</v>
      </c>
      <c r="H133" t="e">
        <f>AND('BBP complete'!R1151,"AAAAAGOntwc=")</f>
        <v>#VALUE!</v>
      </c>
      <c r="I133" t="e">
        <f>AND('BBP complete'!S1151,"AAAAAGOntwg=")</f>
        <v>#VALUE!</v>
      </c>
      <c r="J133" t="e">
        <f>AND('BBP complete'!F1142,"AAAAAGOntwk=")</f>
        <v>#VALUE!</v>
      </c>
      <c r="K133" t="e">
        <f>AND('BBP complete'!G1142,"AAAAAGOntwo=")</f>
        <v>#VALUE!</v>
      </c>
      <c r="L133" t="e">
        <f>AND('BBP complete'!#REF!,"AAAAAGOntws=")</f>
        <v>#REF!</v>
      </c>
      <c r="M133" t="e">
        <f>AND('BBP complete'!R1152,"AAAAAGOntww=")</f>
        <v>#VALUE!</v>
      </c>
      <c r="N133" t="e">
        <f>AND('BBP complete'!S1152,"AAAAAGOntw0=")</f>
        <v>#VALUE!</v>
      </c>
      <c r="O133" t="e">
        <f>AND('BBP complete'!F1143,"AAAAAGOntw4=")</f>
        <v>#VALUE!</v>
      </c>
      <c r="P133" t="e">
        <f>AND('BBP complete'!G1143,"AAAAAGOntw8=")</f>
        <v>#VALUE!</v>
      </c>
      <c r="Q133" t="e">
        <f>AND('BBP complete'!#REF!,"AAAAAGOntxA=")</f>
        <v>#REF!</v>
      </c>
      <c r="R133" t="e">
        <f>AND('BBP complete'!R1153,"AAAAAGOntxE=")</f>
        <v>#VALUE!</v>
      </c>
      <c r="S133" t="e">
        <f>AND('BBP complete'!S1153,"AAAAAGOntxI=")</f>
        <v>#VALUE!</v>
      </c>
      <c r="T133" t="e">
        <f>AND('BBP complete'!F1144,"AAAAAGOntxM=")</f>
        <v>#VALUE!</v>
      </c>
      <c r="U133" t="e">
        <f>AND('BBP complete'!G1144,"AAAAAGOntxQ=")</f>
        <v>#VALUE!</v>
      </c>
      <c r="V133" t="e">
        <f>AND('BBP complete'!#REF!,"AAAAAGOntxU=")</f>
        <v>#REF!</v>
      </c>
      <c r="W133" t="e">
        <f>AND('BBP complete'!R1154,"AAAAAGOntxY=")</f>
        <v>#VALUE!</v>
      </c>
      <c r="X133" t="e">
        <f>AND('BBP complete'!S1154,"AAAAAGOntxc=")</f>
        <v>#VALUE!</v>
      </c>
      <c r="Y133" t="e">
        <f>AND('BBP complete'!F1145,"AAAAAGOntxg=")</f>
        <v>#VALUE!</v>
      </c>
      <c r="Z133" t="e">
        <f>AND('BBP complete'!G1145,"AAAAAGOntxk=")</f>
        <v>#VALUE!</v>
      </c>
      <c r="AA133" t="e">
        <f>AND('BBP complete'!#REF!,"AAAAAGOntxo=")</f>
        <v>#REF!</v>
      </c>
      <c r="AB133" t="e">
        <f>AND('BBP complete'!R1155,"AAAAAGOntxs=")</f>
        <v>#VALUE!</v>
      </c>
      <c r="AC133" t="e">
        <f>AND('BBP complete'!S1155,"AAAAAGOntxw=")</f>
        <v>#VALUE!</v>
      </c>
      <c r="AD133" t="e">
        <f>AND('BBP complete'!F1146,"AAAAAGOntx0=")</f>
        <v>#VALUE!</v>
      </c>
      <c r="AE133" t="e">
        <f>AND('BBP complete'!G1146,"AAAAAGOntx4=")</f>
        <v>#VALUE!</v>
      </c>
      <c r="AF133" t="e">
        <f>AND('BBP complete'!#REF!,"AAAAAGOntx8=")</f>
        <v>#REF!</v>
      </c>
      <c r="AG133" t="e">
        <f>AND('BBP complete'!R1156,"AAAAAGOntyA=")</f>
        <v>#VALUE!</v>
      </c>
      <c r="AH133" t="e">
        <f>AND('BBP complete'!S1156,"AAAAAGOntyE=")</f>
        <v>#VALUE!</v>
      </c>
      <c r="AI133" t="e">
        <f>AND('BBP complete'!F1147,"AAAAAGOntyI=")</f>
        <v>#VALUE!</v>
      </c>
      <c r="AJ133" t="e">
        <f>AND('BBP complete'!G1147,"AAAAAGOntyM=")</f>
        <v>#VALUE!</v>
      </c>
      <c r="AK133" t="e">
        <f>AND('BBP complete'!#REF!,"AAAAAGOntyQ=")</f>
        <v>#REF!</v>
      </c>
      <c r="AL133" t="e">
        <f>AND('BBP complete'!R1157,"AAAAAGOntyU=")</f>
        <v>#VALUE!</v>
      </c>
      <c r="AM133" t="e">
        <f>AND('BBP complete'!S1157,"AAAAAGOntyY=")</f>
        <v>#VALUE!</v>
      </c>
      <c r="AN133" t="e">
        <f>AND('BBP complete'!F1148,"AAAAAGOntyc=")</f>
        <v>#VALUE!</v>
      </c>
      <c r="AO133" t="e">
        <f>AND('BBP complete'!G1148,"AAAAAGOntyg=")</f>
        <v>#VALUE!</v>
      </c>
      <c r="AP133" t="e">
        <f>AND('BBP complete'!#REF!,"AAAAAGOntyk=")</f>
        <v>#REF!</v>
      </c>
      <c r="AQ133" t="e">
        <f>AND('BBP complete'!R1158,"AAAAAGOntyo=")</f>
        <v>#VALUE!</v>
      </c>
      <c r="AR133" t="e">
        <f>AND('BBP complete'!S1158,"AAAAAGOntys=")</f>
        <v>#VALUE!</v>
      </c>
      <c r="AS133" t="e">
        <f>AND('BBP complete'!F1149,"AAAAAGOntyw=")</f>
        <v>#VALUE!</v>
      </c>
      <c r="AT133" t="e">
        <f>AND('BBP complete'!G1149,"AAAAAGOnty0=")</f>
        <v>#VALUE!</v>
      </c>
      <c r="AU133" t="e">
        <f>AND('BBP complete'!#REF!,"AAAAAGOnty4=")</f>
        <v>#REF!</v>
      </c>
      <c r="AV133" t="e">
        <f>AND('BBP complete'!R1159,"AAAAAGOnty8=")</f>
        <v>#VALUE!</v>
      </c>
      <c r="AW133" t="e">
        <f>AND('BBP complete'!S1159,"AAAAAGOntzA=")</f>
        <v>#VALUE!</v>
      </c>
      <c r="AX133" t="e">
        <f>AND('BBP complete'!F1150,"AAAAAGOntzE=")</f>
        <v>#VALUE!</v>
      </c>
      <c r="AY133" t="e">
        <f>AND('BBP complete'!G1150,"AAAAAGOntzI=")</f>
        <v>#VALUE!</v>
      </c>
      <c r="AZ133" t="e">
        <f>AND('BBP complete'!#REF!,"AAAAAGOntzM=")</f>
        <v>#REF!</v>
      </c>
      <c r="BA133" t="e">
        <f>AND('BBP complete'!R1160,"AAAAAGOntzQ=")</f>
        <v>#VALUE!</v>
      </c>
      <c r="BB133" t="e">
        <f>AND('BBP complete'!S1160,"AAAAAGOntzU=")</f>
        <v>#VALUE!</v>
      </c>
      <c r="BC133" t="e">
        <f>AND('BBP complete'!F1151,"AAAAAGOntzY=")</f>
        <v>#VALUE!</v>
      </c>
      <c r="BD133" t="e">
        <f>AND('BBP complete'!G1151,"AAAAAGOntzc=")</f>
        <v>#VALUE!</v>
      </c>
      <c r="BE133" t="e">
        <f>AND('BBP complete'!#REF!,"AAAAAGOntzg=")</f>
        <v>#REF!</v>
      </c>
      <c r="BF133" t="e">
        <f>AND('BBP complete'!R1161,"AAAAAGOntzk=")</f>
        <v>#VALUE!</v>
      </c>
      <c r="BG133" t="e">
        <f>AND('BBP complete'!S1161,"AAAAAGOntzo=")</f>
        <v>#VALUE!</v>
      </c>
      <c r="BH133" t="e">
        <f>AND('BBP complete'!F1152,"AAAAAGOntzs=")</f>
        <v>#VALUE!</v>
      </c>
      <c r="BI133" t="e">
        <f>AND('BBP complete'!G1152,"AAAAAGOntzw=")</f>
        <v>#VALUE!</v>
      </c>
      <c r="BJ133" t="e">
        <f>AND('BBP complete'!#REF!,"AAAAAGOntz0=")</f>
        <v>#REF!</v>
      </c>
      <c r="BK133" t="e">
        <f>AND('BBP complete'!R1162,"AAAAAGOntz4=")</f>
        <v>#VALUE!</v>
      </c>
      <c r="BL133" t="e">
        <f>AND('BBP complete'!S1162,"AAAAAGOntz8=")</f>
        <v>#VALUE!</v>
      </c>
      <c r="BM133" t="e">
        <f>AND('BBP complete'!F1153,"AAAAAGOnt0A=")</f>
        <v>#VALUE!</v>
      </c>
      <c r="BN133" t="e">
        <f>AND('BBP complete'!G1153,"AAAAAGOnt0E=")</f>
        <v>#VALUE!</v>
      </c>
      <c r="BO133" t="e">
        <f>AND('BBP complete'!#REF!,"AAAAAGOnt0I=")</f>
        <v>#REF!</v>
      </c>
      <c r="BP133" t="e">
        <f>AND('BBP complete'!R1163,"AAAAAGOnt0M=")</f>
        <v>#VALUE!</v>
      </c>
      <c r="BQ133" t="e">
        <f>AND('BBP complete'!S1163,"AAAAAGOnt0Q=")</f>
        <v>#VALUE!</v>
      </c>
      <c r="BR133" t="e">
        <f>AND('BBP complete'!F1154,"AAAAAGOnt0U=")</f>
        <v>#VALUE!</v>
      </c>
      <c r="BS133" t="e">
        <f>AND('BBP complete'!G1154,"AAAAAGOnt0Y=")</f>
        <v>#VALUE!</v>
      </c>
      <c r="BT133" t="e">
        <f>AND('BBP complete'!#REF!,"AAAAAGOnt0c=")</f>
        <v>#REF!</v>
      </c>
      <c r="BU133" t="e">
        <f>AND('BBP complete'!R1164,"AAAAAGOnt0g=")</f>
        <v>#VALUE!</v>
      </c>
      <c r="BV133" t="e">
        <f>AND('BBP complete'!S1164,"AAAAAGOnt0k=")</f>
        <v>#VALUE!</v>
      </c>
      <c r="BW133" t="e">
        <f>AND('BBP complete'!F1155,"AAAAAGOnt0o=")</f>
        <v>#VALUE!</v>
      </c>
      <c r="BX133" t="e">
        <f>AND('BBP complete'!G1155,"AAAAAGOnt0s=")</f>
        <v>#VALUE!</v>
      </c>
      <c r="BY133" t="e">
        <f>AND('BBP complete'!#REF!,"AAAAAGOnt0w=")</f>
        <v>#REF!</v>
      </c>
      <c r="BZ133" t="e">
        <f>AND('BBP complete'!R1165,"AAAAAGOnt00=")</f>
        <v>#VALUE!</v>
      </c>
      <c r="CA133" t="e">
        <f>AND('BBP complete'!S1165,"AAAAAGOnt04=")</f>
        <v>#VALUE!</v>
      </c>
      <c r="CB133" t="e">
        <f>AND('BBP complete'!F1156,"AAAAAGOnt08=")</f>
        <v>#VALUE!</v>
      </c>
      <c r="CC133" t="e">
        <f>AND('BBP complete'!G1156,"AAAAAGOnt1A=")</f>
        <v>#VALUE!</v>
      </c>
      <c r="CD133" t="e">
        <f>AND('BBP complete'!#REF!,"AAAAAGOnt1E=")</f>
        <v>#REF!</v>
      </c>
      <c r="CE133" t="e">
        <f>AND('BBP complete'!R1166,"AAAAAGOnt1I=")</f>
        <v>#VALUE!</v>
      </c>
      <c r="CF133" t="e">
        <f>AND('BBP complete'!S1166,"AAAAAGOnt1M=")</f>
        <v>#VALUE!</v>
      </c>
      <c r="CG133" t="e">
        <f>AND('BBP complete'!F1157,"AAAAAGOnt1Q=")</f>
        <v>#VALUE!</v>
      </c>
      <c r="CH133" t="e">
        <f>AND('BBP complete'!G1157,"AAAAAGOnt1U=")</f>
        <v>#VALUE!</v>
      </c>
      <c r="CI133" t="e">
        <f>AND('BBP complete'!#REF!,"AAAAAGOnt1Y=")</f>
        <v>#REF!</v>
      </c>
      <c r="CJ133" t="e">
        <f>AND('BBP complete'!R1167,"AAAAAGOnt1c=")</f>
        <v>#VALUE!</v>
      </c>
      <c r="CK133" t="e">
        <f>AND('BBP complete'!S1167,"AAAAAGOnt1g=")</f>
        <v>#VALUE!</v>
      </c>
      <c r="CL133" t="e">
        <f>AND('BBP complete'!F1158,"AAAAAGOnt1k=")</f>
        <v>#VALUE!</v>
      </c>
      <c r="CM133" t="e">
        <f>AND('BBP complete'!G1158,"AAAAAGOnt1o=")</f>
        <v>#VALUE!</v>
      </c>
      <c r="CN133" t="e">
        <f>AND('BBP complete'!#REF!,"AAAAAGOnt1s=")</f>
        <v>#REF!</v>
      </c>
      <c r="CO133" t="e">
        <f>AND('BBP complete'!R1168,"AAAAAGOnt1w=")</f>
        <v>#VALUE!</v>
      </c>
      <c r="CP133" t="e">
        <f>AND('BBP complete'!S1168,"AAAAAGOnt10=")</f>
        <v>#VALUE!</v>
      </c>
      <c r="CQ133" t="e">
        <f>AND('BBP complete'!F1159,"AAAAAGOnt14=")</f>
        <v>#VALUE!</v>
      </c>
      <c r="CR133" t="e">
        <f>AND('BBP complete'!G1159,"AAAAAGOnt18=")</f>
        <v>#VALUE!</v>
      </c>
      <c r="CS133" t="e">
        <f>AND('BBP complete'!#REF!,"AAAAAGOnt2A=")</f>
        <v>#REF!</v>
      </c>
      <c r="CT133" t="e">
        <f>AND('BBP complete'!R1169,"AAAAAGOnt2E=")</f>
        <v>#VALUE!</v>
      </c>
      <c r="CU133" t="e">
        <f>AND('BBP complete'!S1169,"AAAAAGOnt2I=")</f>
        <v>#VALUE!</v>
      </c>
      <c r="CV133" t="e">
        <f>AND('BBP complete'!F1160,"AAAAAGOnt2M=")</f>
        <v>#VALUE!</v>
      </c>
      <c r="CW133" t="e">
        <f>AND('BBP complete'!G1160,"AAAAAGOnt2Q=")</f>
        <v>#VALUE!</v>
      </c>
      <c r="CX133" t="e">
        <f>AND('BBP complete'!#REF!,"AAAAAGOnt2U=")</f>
        <v>#REF!</v>
      </c>
      <c r="CY133" t="e">
        <f>AND('BBP complete'!R1170,"AAAAAGOnt2Y=")</f>
        <v>#VALUE!</v>
      </c>
      <c r="CZ133" t="e">
        <f>AND('BBP complete'!S1170,"AAAAAGOnt2c=")</f>
        <v>#VALUE!</v>
      </c>
      <c r="DA133" t="e">
        <f>AND('BBP complete'!F1161,"AAAAAGOnt2g=")</f>
        <v>#VALUE!</v>
      </c>
      <c r="DB133" t="e">
        <f>AND('BBP complete'!G1161,"AAAAAGOnt2k=")</f>
        <v>#VALUE!</v>
      </c>
      <c r="DC133" t="e">
        <f>AND('BBP complete'!P1317,"AAAAAGOnt2o=")</f>
        <v>#VALUE!</v>
      </c>
      <c r="DD133" t="e">
        <f>AND('BBP complete'!Q1317,"AAAAAGOnt2s=")</f>
        <v>#VALUE!</v>
      </c>
      <c r="DE133" t="e">
        <f>AND('BBP complete'!S1171,"AAAAAGOnt2w=")</f>
        <v>#VALUE!</v>
      </c>
      <c r="DF133" t="e">
        <f>AND('BBP complete'!F1162,"AAAAAGOnt20=")</f>
        <v>#VALUE!</v>
      </c>
      <c r="DG133" t="e">
        <f>AND('BBP complete'!G1162,"AAAAAGOnt24=")</f>
        <v>#VALUE!</v>
      </c>
      <c r="DH133" t="e">
        <f>AND('BBP complete'!P1318,"AAAAAGOnt28=")</f>
        <v>#VALUE!</v>
      </c>
      <c r="DI133" t="e">
        <f>AND('BBP complete'!Q1318,"AAAAAGOnt3A=")</f>
        <v>#VALUE!</v>
      </c>
      <c r="DJ133" t="e">
        <f>AND('BBP complete'!S1172,"AAAAAGOnt3E=")</f>
        <v>#VALUE!</v>
      </c>
      <c r="DK133" t="e">
        <f>AND('BBP complete'!F1163,"AAAAAGOnt3I=")</f>
        <v>#VALUE!</v>
      </c>
      <c r="DL133" t="e">
        <f>AND('BBP complete'!G1163,"AAAAAGOnt3M=")</f>
        <v>#VALUE!</v>
      </c>
      <c r="DM133" t="e">
        <f>AND('BBP complete'!P1319,"AAAAAGOnt3Q=")</f>
        <v>#VALUE!</v>
      </c>
      <c r="DN133" t="e">
        <f>AND('BBP complete'!Q1319,"AAAAAGOnt3U=")</f>
        <v>#VALUE!</v>
      </c>
      <c r="DO133" t="e">
        <f>AND('BBP complete'!S1173,"AAAAAGOnt3Y=")</f>
        <v>#VALUE!</v>
      </c>
      <c r="DP133" t="e">
        <f>AND('BBP complete'!F1164,"AAAAAGOnt3c=")</f>
        <v>#VALUE!</v>
      </c>
      <c r="DQ133" t="e">
        <f>AND('BBP complete'!G1164,"AAAAAGOnt3g=")</f>
        <v>#VALUE!</v>
      </c>
      <c r="DR133" t="e">
        <f>AND('BBP complete'!P1320,"AAAAAGOnt3k=")</f>
        <v>#VALUE!</v>
      </c>
      <c r="DS133" t="e">
        <f>AND('BBP complete'!Q1320,"AAAAAGOnt3o=")</f>
        <v>#VALUE!</v>
      </c>
      <c r="DT133" t="e">
        <f>AND('BBP complete'!S1174,"AAAAAGOnt3s=")</f>
        <v>#VALUE!</v>
      </c>
      <c r="DU133" t="e">
        <f>AND('BBP complete'!F1165,"AAAAAGOnt3w=")</f>
        <v>#VALUE!</v>
      </c>
      <c r="DV133" t="e">
        <f>AND('BBP complete'!G1165,"AAAAAGOnt30=")</f>
        <v>#VALUE!</v>
      </c>
      <c r="DW133" t="e">
        <f>AND('BBP complete'!#REF!,"AAAAAGOnt34=")</f>
        <v>#REF!</v>
      </c>
      <c r="DX133" t="e">
        <f>AND('BBP complete'!#REF!,"AAAAAGOnt38=")</f>
        <v>#REF!</v>
      </c>
      <c r="DY133" t="e">
        <f>AND('BBP complete'!S1175,"AAAAAGOnt4A=")</f>
        <v>#VALUE!</v>
      </c>
      <c r="DZ133" t="e">
        <f>AND('BBP complete'!F1166,"AAAAAGOnt4E=")</f>
        <v>#VALUE!</v>
      </c>
      <c r="EA133" t="e">
        <f>AND('BBP complete'!G1166,"AAAAAGOnt4I=")</f>
        <v>#VALUE!</v>
      </c>
      <c r="EB133" t="e">
        <f>AND('BBP complete'!#REF!,"AAAAAGOnt4M=")</f>
        <v>#REF!</v>
      </c>
      <c r="EC133" t="e">
        <f>AND('BBP complete'!#REF!,"AAAAAGOnt4Q=")</f>
        <v>#REF!</v>
      </c>
      <c r="ED133" t="e">
        <f>AND('BBP complete'!S1176,"AAAAAGOnt4U=")</f>
        <v>#VALUE!</v>
      </c>
      <c r="EE133" t="e">
        <f>AND('BBP complete'!F1167,"AAAAAGOnt4Y=")</f>
        <v>#VALUE!</v>
      </c>
      <c r="EF133" t="e">
        <f>AND('BBP complete'!G1167,"AAAAAGOnt4c=")</f>
        <v>#VALUE!</v>
      </c>
      <c r="EG133" t="e">
        <f>AND('BBP complete'!P1321,"AAAAAGOnt4g=")</f>
        <v>#VALUE!</v>
      </c>
      <c r="EH133" t="e">
        <f>AND('BBP complete'!Q1321,"AAAAAGOnt4k=")</f>
        <v>#VALUE!</v>
      </c>
      <c r="EI133" t="e">
        <f>AND('BBP complete'!S1177,"AAAAAGOnt4o=")</f>
        <v>#VALUE!</v>
      </c>
      <c r="EJ133" t="e">
        <f>AND('BBP complete'!F1168,"AAAAAGOnt4s=")</f>
        <v>#VALUE!</v>
      </c>
      <c r="EK133" t="e">
        <f>AND('BBP complete'!G1168,"AAAAAGOnt4w=")</f>
        <v>#VALUE!</v>
      </c>
      <c r="EL133" t="e">
        <f>AND('BBP complete'!P1322,"AAAAAGOnt40=")</f>
        <v>#VALUE!</v>
      </c>
      <c r="EM133" t="e">
        <f>AND('BBP complete'!Q1322,"AAAAAGOnt44=")</f>
        <v>#VALUE!</v>
      </c>
      <c r="EN133" t="e">
        <f>AND('BBP complete'!S1178,"AAAAAGOnt48=")</f>
        <v>#VALUE!</v>
      </c>
      <c r="EO133" t="e">
        <f>AND('BBP complete'!F1170,"AAAAAGOnt5A=")</f>
        <v>#VALUE!</v>
      </c>
      <c r="EP133" t="e">
        <f>AND('BBP complete'!G1170,"AAAAAGOnt5E=")</f>
        <v>#VALUE!</v>
      </c>
      <c r="EQ133" t="e">
        <f>AND('BBP complete'!P1323,"AAAAAGOnt5I=")</f>
        <v>#VALUE!</v>
      </c>
      <c r="ER133" t="e">
        <f>AND('BBP complete'!Q1323,"AAAAAGOnt5M=")</f>
        <v>#VALUE!</v>
      </c>
      <c r="ES133" t="e">
        <f>AND('BBP complete'!S1179,"AAAAAGOnt5Q=")</f>
        <v>#VALUE!</v>
      </c>
      <c r="ET133" t="e">
        <f>AND('BBP complete'!F1171,"AAAAAGOnt5U=")</f>
        <v>#VALUE!</v>
      </c>
      <c r="EU133" t="e">
        <f>AND('BBP complete'!G1171,"AAAAAGOnt5Y=")</f>
        <v>#VALUE!</v>
      </c>
      <c r="EV133" t="e">
        <f>AND('BBP complete'!P1324,"AAAAAGOnt5c=")</f>
        <v>#VALUE!</v>
      </c>
      <c r="EW133" t="e">
        <f>AND('BBP complete'!Q1324,"AAAAAGOnt5g=")</f>
        <v>#VALUE!</v>
      </c>
      <c r="EX133" t="e">
        <f>AND('BBP complete'!S1180,"AAAAAGOnt5k=")</f>
        <v>#VALUE!</v>
      </c>
      <c r="EY133" t="e">
        <f>AND('BBP complete'!F1172,"AAAAAGOnt5o=")</f>
        <v>#VALUE!</v>
      </c>
      <c r="EZ133" t="e">
        <f>AND('BBP complete'!G1172,"AAAAAGOnt5s=")</f>
        <v>#VALUE!</v>
      </c>
      <c r="FA133" t="e">
        <f>AND('BBP complete'!P1325,"AAAAAGOnt5w=")</f>
        <v>#VALUE!</v>
      </c>
      <c r="FB133" t="e">
        <f>AND('BBP complete'!Q1325,"AAAAAGOnt50=")</f>
        <v>#VALUE!</v>
      </c>
      <c r="FC133" t="e">
        <f>AND('BBP complete'!S1181,"AAAAAGOnt54=")</f>
        <v>#VALUE!</v>
      </c>
      <c r="FD133" t="e">
        <f>AND('BBP complete'!F1173,"AAAAAGOnt58=")</f>
        <v>#VALUE!</v>
      </c>
      <c r="FE133" t="e">
        <f>AND('BBP complete'!G1173,"AAAAAGOnt6A=")</f>
        <v>#VALUE!</v>
      </c>
      <c r="FF133" t="e">
        <f>AND('BBP complete'!P1327,"AAAAAGOnt6E=")</f>
        <v>#VALUE!</v>
      </c>
      <c r="FG133" t="e">
        <f>AND('BBP complete'!Q1327,"AAAAAGOnt6I=")</f>
        <v>#VALUE!</v>
      </c>
      <c r="FH133" t="e">
        <f>AND('BBP complete'!S1183,"AAAAAGOnt6M=")</f>
        <v>#VALUE!</v>
      </c>
      <c r="FI133" t="e">
        <f>AND('BBP complete'!F1174,"AAAAAGOnt6Q=")</f>
        <v>#VALUE!</v>
      </c>
      <c r="FJ133" t="e">
        <f>AND('BBP complete'!G1174,"AAAAAGOnt6U=")</f>
        <v>#VALUE!</v>
      </c>
      <c r="FK133" t="e">
        <f>AND('BBP complete'!P1328,"AAAAAGOnt6Y=")</f>
        <v>#VALUE!</v>
      </c>
      <c r="FL133" t="e">
        <f>AND('BBP complete'!Q1328,"AAAAAGOnt6c=")</f>
        <v>#VALUE!</v>
      </c>
      <c r="FM133" t="e">
        <f>AND('BBP complete'!S1317,"AAAAAGOnt6g=")</f>
        <v>#VALUE!</v>
      </c>
      <c r="FN133" t="e">
        <f>AND('BBP complete'!F1175,"AAAAAGOnt6k=")</f>
        <v>#VALUE!</v>
      </c>
      <c r="FO133" t="e">
        <f>AND('BBP complete'!G1175,"AAAAAGOnt6o=")</f>
        <v>#VALUE!</v>
      </c>
      <c r="FP133" t="e">
        <f>AND('BBP complete'!P1329,"AAAAAGOnt6s=")</f>
        <v>#VALUE!</v>
      </c>
      <c r="FQ133" t="e">
        <f>AND('BBP complete'!Q1329,"AAAAAGOnt6w=")</f>
        <v>#VALUE!</v>
      </c>
      <c r="FR133" t="e">
        <f>AND('BBP complete'!S1318,"AAAAAGOnt60=")</f>
        <v>#VALUE!</v>
      </c>
      <c r="FS133" t="e">
        <f>AND('BBP complete'!F1176,"AAAAAGOnt64=")</f>
        <v>#VALUE!</v>
      </c>
      <c r="FT133" t="e">
        <f>AND('BBP complete'!G1176,"AAAAAGOnt68=")</f>
        <v>#VALUE!</v>
      </c>
      <c r="FU133" t="e">
        <f>AND('BBP complete'!P1330,"AAAAAGOnt7A=")</f>
        <v>#VALUE!</v>
      </c>
      <c r="FV133" t="e">
        <f>AND('BBP complete'!Q1330,"AAAAAGOnt7E=")</f>
        <v>#VALUE!</v>
      </c>
      <c r="FW133" t="e">
        <f>AND('BBP complete'!S1319,"AAAAAGOnt7I=")</f>
        <v>#VALUE!</v>
      </c>
      <c r="FX133" t="e">
        <f>AND('BBP complete'!F1177,"AAAAAGOnt7M=")</f>
        <v>#VALUE!</v>
      </c>
      <c r="FY133" t="e">
        <f>AND('BBP complete'!G1177,"AAAAAGOnt7Q=")</f>
        <v>#VALUE!</v>
      </c>
      <c r="FZ133" t="e">
        <f>AND('BBP complete'!P1331,"AAAAAGOnt7U=")</f>
        <v>#VALUE!</v>
      </c>
      <c r="GA133" t="e">
        <f>AND('BBP complete'!Q1331,"AAAAAGOnt7Y=")</f>
        <v>#VALUE!</v>
      </c>
      <c r="GB133" t="e">
        <f>AND('BBP complete'!S1320,"AAAAAGOnt7c=")</f>
        <v>#VALUE!</v>
      </c>
      <c r="GC133" t="e">
        <f>AND('BBP complete'!F1178,"AAAAAGOnt7g=")</f>
        <v>#VALUE!</v>
      </c>
      <c r="GD133" t="e">
        <f>AND('BBP complete'!G1178,"AAAAAGOnt7k=")</f>
        <v>#VALUE!</v>
      </c>
      <c r="GE133" t="e">
        <f>AND('BBP complete'!P1332,"AAAAAGOnt7o=")</f>
        <v>#VALUE!</v>
      </c>
      <c r="GF133" t="e">
        <f>AND('BBP complete'!Q1332,"AAAAAGOnt7s=")</f>
        <v>#VALUE!</v>
      </c>
      <c r="GG133" t="e">
        <f>AND('BBP complete'!S1321,"AAAAAGOnt7w=")</f>
        <v>#VALUE!</v>
      </c>
      <c r="GH133" t="e">
        <f>AND('BBP complete'!F1179,"AAAAAGOnt70=")</f>
        <v>#VALUE!</v>
      </c>
      <c r="GI133" t="e">
        <f>AND('BBP complete'!G1179,"AAAAAGOnt74=")</f>
        <v>#VALUE!</v>
      </c>
      <c r="GJ133" t="e">
        <f>AND('BBP complete'!P1333,"AAAAAGOnt78=")</f>
        <v>#VALUE!</v>
      </c>
      <c r="GK133" t="e">
        <f>AND('BBP complete'!Q1333,"AAAAAGOnt8A=")</f>
        <v>#VALUE!</v>
      </c>
      <c r="GL133" t="e">
        <f>AND('BBP complete'!S1322,"AAAAAGOnt8E=")</f>
        <v>#VALUE!</v>
      </c>
      <c r="GM133" t="e">
        <f>AND('BBP complete'!F1180,"AAAAAGOnt8I=")</f>
        <v>#VALUE!</v>
      </c>
      <c r="GN133" t="e">
        <f>AND('BBP complete'!G1180,"AAAAAGOnt8M=")</f>
        <v>#VALUE!</v>
      </c>
      <c r="GO133" t="e">
        <f>AND('BBP complete'!P1334,"AAAAAGOnt8Q=")</f>
        <v>#VALUE!</v>
      </c>
      <c r="GP133" t="e">
        <f>AND('BBP complete'!Q1334,"AAAAAGOnt8U=")</f>
        <v>#VALUE!</v>
      </c>
      <c r="GQ133" t="e">
        <f>AND('BBP complete'!S1323,"AAAAAGOnt8Y=")</f>
        <v>#VALUE!</v>
      </c>
      <c r="GR133" t="e">
        <f>AND('BBP complete'!F1181,"AAAAAGOnt8c=")</f>
        <v>#VALUE!</v>
      </c>
      <c r="GS133" t="e">
        <f>AND('BBP complete'!G1181,"AAAAAGOnt8g=")</f>
        <v>#VALUE!</v>
      </c>
      <c r="GT133" t="e">
        <f>AND('BBP complete'!P1335,"AAAAAGOnt8k=")</f>
        <v>#VALUE!</v>
      </c>
      <c r="GU133" t="e">
        <f>AND('BBP complete'!Q1335,"AAAAAGOnt8o=")</f>
        <v>#VALUE!</v>
      </c>
      <c r="GV133" t="e">
        <f>AND('BBP complete'!S1324,"AAAAAGOnt8s=")</f>
        <v>#VALUE!</v>
      </c>
      <c r="GW133" t="e">
        <f>AND('BBP complete'!F1182,"AAAAAGOnt8w=")</f>
        <v>#VALUE!</v>
      </c>
      <c r="GX133" t="e">
        <f>AND('BBP complete'!G1182,"AAAAAGOnt80=")</f>
        <v>#VALUE!</v>
      </c>
      <c r="GY133" t="e">
        <f>AND('BBP complete'!P1336,"AAAAAGOnt84=")</f>
        <v>#VALUE!</v>
      </c>
      <c r="GZ133" t="e">
        <f>AND('BBP complete'!Q1336,"AAAAAGOnt88=")</f>
        <v>#VALUE!</v>
      </c>
      <c r="HA133" t="e">
        <f>AND('BBP complete'!S1325,"AAAAAGOnt9A=")</f>
        <v>#VALUE!</v>
      </c>
      <c r="HB133" t="e">
        <f>AND('BBP complete'!F1183,"AAAAAGOnt9E=")</f>
        <v>#VALUE!</v>
      </c>
      <c r="HC133" t="e">
        <f>AND('BBP complete'!G1183,"AAAAAGOnt9I=")</f>
        <v>#VALUE!</v>
      </c>
      <c r="HD133" t="e">
        <f>AND('BBP complete'!P1337,"AAAAAGOnt9M=")</f>
        <v>#VALUE!</v>
      </c>
      <c r="HE133" t="e">
        <f>AND('BBP complete'!Q1337,"AAAAAGOnt9Q=")</f>
        <v>#VALUE!</v>
      </c>
      <c r="HF133" t="e">
        <f>AND('BBP complete'!S1326,"AAAAAGOnt9U=")</f>
        <v>#VALUE!</v>
      </c>
      <c r="HG133" t="e">
        <f>AND('BBP complete'!F1184,"AAAAAGOnt9Y=")</f>
        <v>#VALUE!</v>
      </c>
      <c r="HH133" t="e">
        <f>AND('BBP complete'!G1184,"AAAAAGOnt9c=")</f>
        <v>#VALUE!</v>
      </c>
      <c r="HI133" t="e">
        <f>AND('BBP complete'!P1338,"AAAAAGOnt9g=")</f>
        <v>#VALUE!</v>
      </c>
      <c r="HJ133" t="e">
        <f>AND('BBP complete'!Q1338,"AAAAAGOnt9k=")</f>
        <v>#VALUE!</v>
      </c>
      <c r="HK133" t="e">
        <f>AND('BBP complete'!S1327,"AAAAAGOnt9o=")</f>
        <v>#VALUE!</v>
      </c>
      <c r="HL133" t="e">
        <f>AND('BBP complete'!F1185,"AAAAAGOnt9s=")</f>
        <v>#VALUE!</v>
      </c>
      <c r="HM133" t="e">
        <f>AND('BBP complete'!G1185,"AAAAAGOnt9w=")</f>
        <v>#VALUE!</v>
      </c>
      <c r="HN133" t="e">
        <f>AND('BBP complete'!P1339,"AAAAAGOnt90=")</f>
        <v>#VALUE!</v>
      </c>
      <c r="HO133" t="e">
        <f>AND('BBP complete'!Q1339,"AAAAAGOnt94=")</f>
        <v>#VALUE!</v>
      </c>
      <c r="HP133" t="e">
        <f>AND('BBP complete'!S1328,"AAAAAGOnt98=")</f>
        <v>#VALUE!</v>
      </c>
      <c r="HQ133" t="e">
        <f>AND('BBP complete'!F1186,"AAAAAGOnt+A=")</f>
        <v>#VALUE!</v>
      </c>
      <c r="HR133" t="e">
        <f>AND('BBP complete'!G1186,"AAAAAGOnt+E=")</f>
        <v>#VALUE!</v>
      </c>
      <c r="HS133" t="e">
        <f>AND('BBP complete'!P1340,"AAAAAGOnt+I=")</f>
        <v>#VALUE!</v>
      </c>
      <c r="HT133" t="e">
        <f>AND('BBP complete'!Q1340,"AAAAAGOnt+M=")</f>
        <v>#VALUE!</v>
      </c>
      <c r="HU133" t="e">
        <f>AND('BBP complete'!S1329,"AAAAAGOnt+Q=")</f>
        <v>#VALUE!</v>
      </c>
      <c r="HV133" t="e">
        <f>AND('BBP complete'!F1187,"AAAAAGOnt+U=")</f>
        <v>#VALUE!</v>
      </c>
      <c r="HW133" t="e">
        <f>AND('BBP complete'!G1187,"AAAAAGOnt+Y=")</f>
        <v>#VALUE!</v>
      </c>
      <c r="HX133" t="e">
        <f>AND('BBP complete'!P1341,"AAAAAGOnt+c=")</f>
        <v>#VALUE!</v>
      </c>
      <c r="HY133" t="e">
        <f>AND('BBP complete'!Q1341,"AAAAAGOnt+g=")</f>
        <v>#VALUE!</v>
      </c>
      <c r="HZ133" t="e">
        <f>AND('BBP complete'!S1330,"AAAAAGOnt+k=")</f>
        <v>#VALUE!</v>
      </c>
      <c r="IA133" t="e">
        <f>AND('BBP complete'!F1188,"AAAAAGOnt+o=")</f>
        <v>#VALUE!</v>
      </c>
      <c r="IB133" t="e">
        <f>AND('BBP complete'!G1188,"AAAAAGOnt+s=")</f>
        <v>#VALUE!</v>
      </c>
      <c r="IC133" t="e">
        <f>AND('BBP complete'!P1342,"AAAAAGOnt+w=")</f>
        <v>#VALUE!</v>
      </c>
      <c r="ID133" t="e">
        <f>AND('BBP complete'!Q1342,"AAAAAGOnt+0=")</f>
        <v>#VALUE!</v>
      </c>
      <c r="IE133" t="e">
        <f>AND('BBP complete'!S1331,"AAAAAGOnt+4=")</f>
        <v>#VALUE!</v>
      </c>
      <c r="IF133" t="e">
        <f>AND('BBP complete'!F1189,"AAAAAGOnt+8=")</f>
        <v>#VALUE!</v>
      </c>
      <c r="IG133" t="e">
        <f>AND('BBP complete'!G1189,"AAAAAGOnt/A=")</f>
        <v>#VALUE!</v>
      </c>
      <c r="IH133" t="e">
        <f>AND('BBP complete'!P1343,"AAAAAGOnt/E=")</f>
        <v>#VALUE!</v>
      </c>
      <c r="II133" t="e">
        <f>AND('BBP complete'!Q1343,"AAAAAGOnt/I=")</f>
        <v>#VALUE!</v>
      </c>
      <c r="IJ133" t="e">
        <f>AND('BBP complete'!S1332,"AAAAAGOnt/M=")</f>
        <v>#VALUE!</v>
      </c>
      <c r="IK133" t="e">
        <f>AND('BBP complete'!F1190,"AAAAAGOnt/Q=")</f>
        <v>#VALUE!</v>
      </c>
      <c r="IL133" t="e">
        <f>AND('BBP complete'!G1190,"AAAAAGOnt/U=")</f>
        <v>#VALUE!</v>
      </c>
      <c r="IM133" t="e">
        <f>AND('BBP complete'!P1344,"AAAAAGOnt/Y=")</f>
        <v>#VALUE!</v>
      </c>
      <c r="IN133" t="e">
        <f>AND('BBP complete'!Q1344,"AAAAAGOnt/c=")</f>
        <v>#VALUE!</v>
      </c>
      <c r="IO133" t="e">
        <f>AND('BBP complete'!S1333,"AAAAAGOnt/g=")</f>
        <v>#VALUE!</v>
      </c>
      <c r="IP133" t="e">
        <f>AND('BBP complete'!F1191,"AAAAAGOnt/k=")</f>
        <v>#VALUE!</v>
      </c>
      <c r="IQ133" t="e">
        <f>AND('BBP complete'!G1191,"AAAAAGOnt/o=")</f>
        <v>#VALUE!</v>
      </c>
      <c r="IR133" t="e">
        <f>AND('BBP complete'!P1345,"AAAAAGOnt/s=")</f>
        <v>#VALUE!</v>
      </c>
      <c r="IS133" t="e">
        <f>AND('BBP complete'!Q1345,"AAAAAGOnt/w=")</f>
        <v>#VALUE!</v>
      </c>
      <c r="IT133" t="e">
        <f>AND('BBP complete'!S1334,"AAAAAGOnt/0=")</f>
        <v>#VALUE!</v>
      </c>
      <c r="IU133" t="e">
        <f>AND('BBP complete'!F1192,"AAAAAGOnt/4=")</f>
        <v>#VALUE!</v>
      </c>
      <c r="IV133" t="e">
        <f>AND('BBP complete'!G1192,"AAAAAGOnt/8=")</f>
        <v>#VALUE!</v>
      </c>
    </row>
    <row r="134" spans="1:256" ht="15" customHeight="1" x14ac:dyDescent="0.25">
      <c r="A134" t="e">
        <f>AND('BBP complete'!P1346,"AAAAAFd87wA=")</f>
        <v>#VALUE!</v>
      </c>
      <c r="B134" t="e">
        <f>AND('BBP complete'!Q1346,"AAAAAFd87wE=")</f>
        <v>#VALUE!</v>
      </c>
      <c r="C134" t="e">
        <f>AND('BBP complete'!S1335,"AAAAAFd87wI=")</f>
        <v>#VALUE!</v>
      </c>
      <c r="D134" t="e">
        <f>AND('BBP complete'!F1193,"AAAAAFd87wM=")</f>
        <v>#VALUE!</v>
      </c>
      <c r="E134" t="e">
        <f>AND('BBP complete'!G1193,"AAAAAFd87wQ=")</f>
        <v>#VALUE!</v>
      </c>
      <c r="F134" t="e">
        <f>AND('BBP complete'!P1347,"AAAAAFd87wU=")</f>
        <v>#VALUE!</v>
      </c>
      <c r="G134" t="e">
        <f>AND('BBP complete'!Q1347,"AAAAAFd87wY=")</f>
        <v>#VALUE!</v>
      </c>
      <c r="H134" t="e">
        <f>AND('BBP complete'!S1336,"AAAAAFd87wc=")</f>
        <v>#VALUE!</v>
      </c>
      <c r="I134" t="e">
        <f>AND('BBP complete'!F1194,"AAAAAFd87wg=")</f>
        <v>#VALUE!</v>
      </c>
      <c r="J134" t="e">
        <f>AND('BBP complete'!G1194,"AAAAAFd87wk=")</f>
        <v>#VALUE!</v>
      </c>
      <c r="K134" t="e">
        <f>AND('BBP complete'!P1348,"AAAAAFd87wo=")</f>
        <v>#VALUE!</v>
      </c>
      <c r="L134" t="e">
        <f>AND('BBP complete'!Q1348,"AAAAAFd87ws=")</f>
        <v>#VALUE!</v>
      </c>
      <c r="M134" t="e">
        <f>AND('BBP complete'!S1337,"AAAAAFd87ww=")</f>
        <v>#VALUE!</v>
      </c>
      <c r="N134" t="e">
        <f>AND('BBP complete'!F1195,"AAAAAFd87w0=")</f>
        <v>#VALUE!</v>
      </c>
      <c r="O134" t="e">
        <f>AND('BBP complete'!G1195,"AAAAAFd87w4=")</f>
        <v>#VALUE!</v>
      </c>
      <c r="P134" t="e">
        <f>AND('BBP complete'!P1349,"AAAAAFd87w8=")</f>
        <v>#VALUE!</v>
      </c>
      <c r="Q134" t="e">
        <f>AND('BBP complete'!Q1349,"AAAAAFd87xA=")</f>
        <v>#VALUE!</v>
      </c>
      <c r="R134" t="e">
        <f>AND('BBP complete'!S1338,"AAAAAFd87xE=")</f>
        <v>#VALUE!</v>
      </c>
      <c r="S134" t="e">
        <f>AND('BBP complete'!F1196,"AAAAAFd87xI=")</f>
        <v>#VALUE!</v>
      </c>
      <c r="T134" t="e">
        <f>AND('BBP complete'!G1196,"AAAAAFd87xM=")</f>
        <v>#VALUE!</v>
      </c>
      <c r="U134" t="e">
        <f>AND('BBP complete'!P1350,"AAAAAFd87xQ=")</f>
        <v>#VALUE!</v>
      </c>
      <c r="V134" t="e">
        <f>AND('BBP complete'!Q1350,"AAAAAFd87xU=")</f>
        <v>#VALUE!</v>
      </c>
      <c r="W134" t="e">
        <f>AND('BBP complete'!S1339,"AAAAAFd87xY=")</f>
        <v>#VALUE!</v>
      </c>
      <c r="X134" t="e">
        <f>AND('BBP complete'!F1197,"AAAAAFd87xc=")</f>
        <v>#VALUE!</v>
      </c>
      <c r="Y134" t="e">
        <f>AND('BBP complete'!G1197,"AAAAAFd87xg=")</f>
        <v>#VALUE!</v>
      </c>
      <c r="Z134" t="e">
        <f>AND('BBP complete'!P1351,"AAAAAFd87xk=")</f>
        <v>#VALUE!</v>
      </c>
      <c r="AA134" t="e">
        <f>AND('BBP complete'!Q1351,"AAAAAFd87xo=")</f>
        <v>#VALUE!</v>
      </c>
      <c r="AB134" t="e">
        <f>AND('BBP complete'!S1340,"AAAAAFd87xs=")</f>
        <v>#VALUE!</v>
      </c>
      <c r="AC134" t="e">
        <f>AND('BBP complete'!F1198,"AAAAAFd87xw=")</f>
        <v>#VALUE!</v>
      </c>
      <c r="AD134" t="e">
        <f>AND('BBP complete'!G1198,"AAAAAFd87x0=")</f>
        <v>#VALUE!</v>
      </c>
      <c r="AE134" t="e">
        <f>AND('BBP complete'!P1352,"AAAAAFd87x4=")</f>
        <v>#VALUE!</v>
      </c>
      <c r="AF134" t="e">
        <f>AND('BBP complete'!Q1352,"AAAAAFd87x8=")</f>
        <v>#VALUE!</v>
      </c>
      <c r="AG134" t="e">
        <f>AND('BBP complete'!S1341,"AAAAAFd87yA=")</f>
        <v>#VALUE!</v>
      </c>
      <c r="AH134" t="e">
        <f>AND('BBP complete'!F1199,"AAAAAFd87yE=")</f>
        <v>#VALUE!</v>
      </c>
      <c r="AI134" t="e">
        <f>AND('BBP complete'!G1199,"AAAAAFd87yI=")</f>
        <v>#VALUE!</v>
      </c>
      <c r="AJ134" t="e">
        <f>AND('BBP complete'!P1353,"AAAAAFd87yM=")</f>
        <v>#VALUE!</v>
      </c>
      <c r="AK134" t="e">
        <f>AND('BBP complete'!Q1353,"AAAAAFd87yQ=")</f>
        <v>#VALUE!</v>
      </c>
      <c r="AL134" t="e">
        <f>AND('BBP complete'!S1342,"AAAAAFd87yU=")</f>
        <v>#VALUE!</v>
      </c>
      <c r="AM134" t="e">
        <f>AND('BBP complete'!F1200,"AAAAAFd87yY=")</f>
        <v>#VALUE!</v>
      </c>
      <c r="AN134" t="e">
        <f>AND('BBP complete'!G1200,"AAAAAFd87yc=")</f>
        <v>#VALUE!</v>
      </c>
      <c r="AO134" t="e">
        <f>AND('BBP complete'!P1354,"AAAAAFd87yg=")</f>
        <v>#VALUE!</v>
      </c>
      <c r="AP134" t="e">
        <f>AND('BBP complete'!Q1354,"AAAAAFd87yk=")</f>
        <v>#VALUE!</v>
      </c>
      <c r="AQ134" t="e">
        <f>AND('BBP complete'!S1343,"AAAAAFd87yo=")</f>
        <v>#VALUE!</v>
      </c>
      <c r="AR134" t="e">
        <f>AND('BBP complete'!F1201,"AAAAAFd87ys=")</f>
        <v>#VALUE!</v>
      </c>
      <c r="AS134" t="e">
        <f>AND('BBP complete'!G1201,"AAAAAFd87yw=")</f>
        <v>#VALUE!</v>
      </c>
      <c r="AT134" t="e">
        <f>AND('BBP complete'!P1355,"AAAAAFd87y0=")</f>
        <v>#VALUE!</v>
      </c>
      <c r="AU134" t="e">
        <f>AND('BBP complete'!Q1355,"AAAAAFd87y4=")</f>
        <v>#VALUE!</v>
      </c>
      <c r="AV134" t="e">
        <f>AND('BBP complete'!S1344,"AAAAAFd87y8=")</f>
        <v>#VALUE!</v>
      </c>
      <c r="AW134" t="e">
        <f>AND('BBP complete'!F1202,"AAAAAFd87zA=")</f>
        <v>#VALUE!</v>
      </c>
      <c r="AX134" t="e">
        <f>AND('BBP complete'!G1202,"AAAAAFd87zE=")</f>
        <v>#VALUE!</v>
      </c>
      <c r="AY134" t="e">
        <f>AND('BBP complete'!P1356,"AAAAAFd87zI=")</f>
        <v>#VALUE!</v>
      </c>
      <c r="AZ134" t="e">
        <f>AND('BBP complete'!Q1356,"AAAAAFd87zM=")</f>
        <v>#VALUE!</v>
      </c>
      <c r="BA134" t="e">
        <f>AND('BBP complete'!S1345,"AAAAAFd87zQ=")</f>
        <v>#VALUE!</v>
      </c>
      <c r="BB134" t="e">
        <f>AND('BBP complete'!F1203,"AAAAAFd87zU=")</f>
        <v>#VALUE!</v>
      </c>
      <c r="BC134" t="e">
        <f>AND('BBP complete'!G1203,"AAAAAFd87zY=")</f>
        <v>#VALUE!</v>
      </c>
      <c r="BD134" t="e">
        <f>AND('BBP complete'!P1357,"AAAAAFd87zc=")</f>
        <v>#VALUE!</v>
      </c>
      <c r="BE134" t="e">
        <f>AND('BBP complete'!Q1357,"AAAAAFd87zg=")</f>
        <v>#VALUE!</v>
      </c>
      <c r="BF134" t="e">
        <f>AND('BBP complete'!S1346,"AAAAAFd87zk=")</f>
        <v>#VALUE!</v>
      </c>
      <c r="BG134" t="e">
        <f>AND('BBP complete'!F1204,"AAAAAFd87zo=")</f>
        <v>#VALUE!</v>
      </c>
      <c r="BH134" t="e">
        <f>AND('BBP complete'!G1204,"AAAAAFd87zs=")</f>
        <v>#VALUE!</v>
      </c>
      <c r="BI134" t="e">
        <f>AND('BBP complete'!P1358,"AAAAAFd87zw=")</f>
        <v>#VALUE!</v>
      </c>
      <c r="BJ134" t="e">
        <f>AND('BBP complete'!Q1358,"AAAAAFd87z0=")</f>
        <v>#VALUE!</v>
      </c>
      <c r="BK134" t="e">
        <f>AND('BBP complete'!S1347,"AAAAAFd87z4=")</f>
        <v>#VALUE!</v>
      </c>
      <c r="BL134" t="e">
        <f>AND('BBP complete'!F1205,"AAAAAFd87z8=")</f>
        <v>#VALUE!</v>
      </c>
      <c r="BM134" t="e">
        <f>AND('BBP complete'!G1205,"AAAAAFd870A=")</f>
        <v>#VALUE!</v>
      </c>
      <c r="BN134" t="e">
        <f>AND('BBP complete'!P1359,"AAAAAFd870E=")</f>
        <v>#VALUE!</v>
      </c>
      <c r="BO134" t="e">
        <f>AND('BBP complete'!Q1359,"AAAAAFd870I=")</f>
        <v>#VALUE!</v>
      </c>
      <c r="BP134" t="e">
        <f>AND('BBP complete'!S1348,"AAAAAFd870M=")</f>
        <v>#VALUE!</v>
      </c>
      <c r="BQ134" t="e">
        <f>AND('BBP complete'!F1206,"AAAAAFd870Q=")</f>
        <v>#VALUE!</v>
      </c>
      <c r="BR134" t="e">
        <f>AND('BBP complete'!G1206,"AAAAAFd870U=")</f>
        <v>#VALUE!</v>
      </c>
      <c r="BS134" t="e">
        <f>AND('BBP complete'!P1360,"AAAAAFd870Y=")</f>
        <v>#VALUE!</v>
      </c>
      <c r="BT134" t="e">
        <f>AND('BBP complete'!Q1360,"AAAAAFd870c=")</f>
        <v>#VALUE!</v>
      </c>
      <c r="BU134" t="e">
        <f>AND('BBP complete'!S1349,"AAAAAFd870g=")</f>
        <v>#VALUE!</v>
      </c>
      <c r="BV134" t="e">
        <f>AND('BBP complete'!F1207,"AAAAAFd870k=")</f>
        <v>#VALUE!</v>
      </c>
      <c r="BW134" t="e">
        <f>AND('BBP complete'!G1207,"AAAAAFd870o=")</f>
        <v>#VALUE!</v>
      </c>
      <c r="BX134" t="e">
        <f>AND('BBP complete'!P1361,"AAAAAFd870s=")</f>
        <v>#VALUE!</v>
      </c>
      <c r="BY134" t="e">
        <f>AND('BBP complete'!Q1361,"AAAAAFd870w=")</f>
        <v>#VALUE!</v>
      </c>
      <c r="BZ134" t="e">
        <f>AND('BBP complete'!S1350,"AAAAAFd8700=")</f>
        <v>#VALUE!</v>
      </c>
      <c r="CA134" t="e">
        <f>AND('BBP complete'!F1208,"AAAAAFd8704=")</f>
        <v>#VALUE!</v>
      </c>
      <c r="CB134" t="e">
        <f>AND('BBP complete'!G1208,"AAAAAFd8708=")</f>
        <v>#VALUE!</v>
      </c>
      <c r="CC134" t="e">
        <f>AND('BBP complete'!P1362,"AAAAAFd871A=")</f>
        <v>#VALUE!</v>
      </c>
      <c r="CD134" t="e">
        <f>AND('BBP complete'!Q1362,"AAAAAFd871E=")</f>
        <v>#VALUE!</v>
      </c>
      <c r="CE134" t="e">
        <f>AND('BBP complete'!S1351,"AAAAAFd871I=")</f>
        <v>#VALUE!</v>
      </c>
      <c r="CF134" t="e">
        <f>AND('BBP complete'!F1209,"AAAAAFd871M=")</f>
        <v>#VALUE!</v>
      </c>
      <c r="CG134" t="e">
        <f>AND('BBP complete'!G1209,"AAAAAFd871Q=")</f>
        <v>#VALUE!</v>
      </c>
      <c r="CH134" t="e">
        <f>AND('BBP complete'!P1363,"AAAAAFd871U=")</f>
        <v>#VALUE!</v>
      </c>
      <c r="CI134" t="e">
        <f>AND('BBP complete'!Q1363,"AAAAAFd871Y=")</f>
        <v>#VALUE!</v>
      </c>
      <c r="CJ134" t="e">
        <f>AND('BBP complete'!S1352,"AAAAAFd871c=")</f>
        <v>#VALUE!</v>
      </c>
      <c r="CK134" t="e">
        <f>AND('BBP complete'!F1210,"AAAAAFd871g=")</f>
        <v>#VALUE!</v>
      </c>
      <c r="CL134" t="e">
        <f>AND('BBP complete'!G1210,"AAAAAFd871k=")</f>
        <v>#VALUE!</v>
      </c>
      <c r="CM134" t="e">
        <f>AND('BBP complete'!P1364,"AAAAAFd871o=")</f>
        <v>#VALUE!</v>
      </c>
      <c r="CN134" t="e">
        <f>AND('BBP complete'!Q1364,"AAAAAFd871s=")</f>
        <v>#VALUE!</v>
      </c>
      <c r="CO134" t="e">
        <f>AND('BBP complete'!S1353,"AAAAAFd871w=")</f>
        <v>#VALUE!</v>
      </c>
      <c r="CP134" t="e">
        <f>AND('BBP complete'!F1211,"AAAAAFd8710=")</f>
        <v>#VALUE!</v>
      </c>
      <c r="CQ134" t="e">
        <f>AND('BBP complete'!G1211,"AAAAAFd8714=")</f>
        <v>#VALUE!</v>
      </c>
      <c r="CR134" t="e">
        <f>AND('BBP complete'!P1365,"AAAAAFd8718=")</f>
        <v>#VALUE!</v>
      </c>
      <c r="CS134" t="e">
        <f>AND('BBP complete'!Q1365,"AAAAAFd872A=")</f>
        <v>#VALUE!</v>
      </c>
      <c r="CT134" t="e">
        <f>AND('BBP complete'!S1354,"AAAAAFd872E=")</f>
        <v>#VALUE!</v>
      </c>
      <c r="CU134" t="e">
        <f>AND('BBP complete'!F1212,"AAAAAFd872I=")</f>
        <v>#VALUE!</v>
      </c>
      <c r="CV134" t="e">
        <f>AND('BBP complete'!G1212,"AAAAAFd872M=")</f>
        <v>#VALUE!</v>
      </c>
      <c r="CW134" t="e">
        <f>AND('BBP complete'!P1366,"AAAAAFd872Q=")</f>
        <v>#VALUE!</v>
      </c>
      <c r="CX134" t="e">
        <f>AND('BBP complete'!Q1366,"AAAAAFd872U=")</f>
        <v>#VALUE!</v>
      </c>
      <c r="CY134" t="e">
        <f>AND('BBP complete'!S1355,"AAAAAFd872Y=")</f>
        <v>#VALUE!</v>
      </c>
      <c r="CZ134" t="e">
        <f>AND('BBP complete'!F1213,"AAAAAFd872c=")</f>
        <v>#VALUE!</v>
      </c>
      <c r="DA134" t="e">
        <f>AND('BBP complete'!G1213,"AAAAAFd872g=")</f>
        <v>#VALUE!</v>
      </c>
      <c r="DB134" t="e">
        <f>AND('BBP complete'!P1367,"AAAAAFd872k=")</f>
        <v>#VALUE!</v>
      </c>
      <c r="DC134" t="e">
        <f>AND('BBP complete'!Q1367,"AAAAAFd872o=")</f>
        <v>#VALUE!</v>
      </c>
      <c r="DD134" t="e">
        <f>AND('BBP complete'!S1356,"AAAAAFd872s=")</f>
        <v>#VALUE!</v>
      </c>
      <c r="DE134" t="e">
        <f>AND('BBP complete'!F1214,"AAAAAFd872w=")</f>
        <v>#VALUE!</v>
      </c>
      <c r="DF134" t="e">
        <f>AND('BBP complete'!G1214,"AAAAAFd8720=")</f>
        <v>#VALUE!</v>
      </c>
      <c r="DG134" t="e">
        <f>AND('BBP complete'!P1368,"AAAAAFd8724=")</f>
        <v>#VALUE!</v>
      </c>
      <c r="DH134" t="e">
        <f>AND('BBP complete'!Q1368,"AAAAAFd8728=")</f>
        <v>#VALUE!</v>
      </c>
      <c r="DI134" t="e">
        <f>AND('BBP complete'!S1357,"AAAAAFd873A=")</f>
        <v>#VALUE!</v>
      </c>
      <c r="DJ134" t="e">
        <f>AND('BBP complete'!F1215,"AAAAAFd873E=")</f>
        <v>#VALUE!</v>
      </c>
      <c r="DK134" t="e">
        <f>AND('BBP complete'!G1215,"AAAAAFd873I=")</f>
        <v>#VALUE!</v>
      </c>
      <c r="DL134" t="e">
        <f>AND('BBP complete'!P1369,"AAAAAFd873M=")</f>
        <v>#VALUE!</v>
      </c>
      <c r="DM134" t="e">
        <f>AND('BBP complete'!Q1369,"AAAAAFd873Q=")</f>
        <v>#VALUE!</v>
      </c>
      <c r="DN134" t="e">
        <f>AND('BBP complete'!S1358,"AAAAAFd873U=")</f>
        <v>#VALUE!</v>
      </c>
      <c r="DO134" t="e">
        <f>AND('BBP complete'!F1216,"AAAAAFd873Y=")</f>
        <v>#VALUE!</v>
      </c>
      <c r="DP134" t="e">
        <f>AND('BBP complete'!G1216,"AAAAAFd873c=")</f>
        <v>#VALUE!</v>
      </c>
      <c r="DQ134" t="e">
        <f>AND('BBP complete'!P1370,"AAAAAFd873g=")</f>
        <v>#VALUE!</v>
      </c>
      <c r="DR134" t="e">
        <f>AND('BBP complete'!Q1370,"AAAAAFd873k=")</f>
        <v>#VALUE!</v>
      </c>
      <c r="DS134" t="e">
        <f>AND('BBP complete'!S1359,"AAAAAFd873o=")</f>
        <v>#VALUE!</v>
      </c>
      <c r="DT134" t="e">
        <f>AND('BBP complete'!F1217,"AAAAAFd873s=")</f>
        <v>#VALUE!</v>
      </c>
      <c r="DU134" t="e">
        <f>AND('BBP complete'!G1217,"AAAAAFd873w=")</f>
        <v>#VALUE!</v>
      </c>
      <c r="DV134" t="e">
        <f>AND('BBP complete'!P1371,"AAAAAFd8730=")</f>
        <v>#VALUE!</v>
      </c>
      <c r="DW134" t="e">
        <f>AND('BBP complete'!Q1371,"AAAAAFd8734=")</f>
        <v>#VALUE!</v>
      </c>
      <c r="DX134" t="e">
        <f>AND('BBP complete'!S1360,"AAAAAFd8738=")</f>
        <v>#VALUE!</v>
      </c>
      <c r="DY134" t="e">
        <f>AND('BBP complete'!F1218,"AAAAAFd874A=")</f>
        <v>#VALUE!</v>
      </c>
      <c r="DZ134" t="e">
        <f>AND('BBP complete'!G1218,"AAAAAFd874E=")</f>
        <v>#VALUE!</v>
      </c>
      <c r="EA134" t="e">
        <f>AND('BBP complete'!P1372,"AAAAAFd874I=")</f>
        <v>#VALUE!</v>
      </c>
      <c r="EB134" t="e">
        <f>AND('BBP complete'!Q1372,"AAAAAFd874M=")</f>
        <v>#VALUE!</v>
      </c>
      <c r="EC134" t="e">
        <f>AND('BBP complete'!S1361,"AAAAAFd874Q=")</f>
        <v>#VALUE!</v>
      </c>
      <c r="ED134" t="e">
        <f>AND('BBP complete'!F1219,"AAAAAFd874U=")</f>
        <v>#VALUE!</v>
      </c>
      <c r="EE134" t="e">
        <f>AND('BBP complete'!G1219,"AAAAAFd874Y=")</f>
        <v>#VALUE!</v>
      </c>
      <c r="EF134" t="e">
        <f>AND('BBP complete'!P1373,"AAAAAFd874c=")</f>
        <v>#VALUE!</v>
      </c>
      <c r="EG134" t="e">
        <f>AND('BBP complete'!Q1373,"AAAAAFd874g=")</f>
        <v>#VALUE!</v>
      </c>
      <c r="EH134" t="e">
        <f>AND('BBP complete'!S1362,"AAAAAFd874k=")</f>
        <v>#VALUE!</v>
      </c>
      <c r="EI134" t="e">
        <f>AND('BBP complete'!F1220,"AAAAAFd874o=")</f>
        <v>#VALUE!</v>
      </c>
      <c r="EJ134" t="e">
        <f>AND('BBP complete'!G1220,"AAAAAFd874s=")</f>
        <v>#VALUE!</v>
      </c>
      <c r="EK134" t="e">
        <f>AND('BBP complete'!P1374,"AAAAAFd874w=")</f>
        <v>#VALUE!</v>
      </c>
      <c r="EL134" t="e">
        <f>AND('BBP complete'!Q1374,"AAAAAFd8740=")</f>
        <v>#VALUE!</v>
      </c>
      <c r="EM134" t="e">
        <f>AND('BBP complete'!S1363,"AAAAAFd8744=")</f>
        <v>#VALUE!</v>
      </c>
      <c r="EN134" t="e">
        <f>AND('BBP complete'!F1221,"AAAAAFd8748=")</f>
        <v>#VALUE!</v>
      </c>
      <c r="EO134" t="e">
        <f>AND('BBP complete'!G1221,"AAAAAFd875A=")</f>
        <v>#VALUE!</v>
      </c>
      <c r="EP134" t="e">
        <f>AND('BBP complete'!P1375,"AAAAAFd875E=")</f>
        <v>#VALUE!</v>
      </c>
      <c r="EQ134" t="e">
        <f>AND('BBP complete'!Q1375,"AAAAAFd875I=")</f>
        <v>#VALUE!</v>
      </c>
      <c r="ER134" t="e">
        <f>AND('BBP complete'!S1364,"AAAAAFd875M=")</f>
        <v>#VALUE!</v>
      </c>
      <c r="ES134" t="e">
        <f>AND('BBP complete'!F1222,"AAAAAFd875Q=")</f>
        <v>#VALUE!</v>
      </c>
      <c r="ET134" t="e">
        <f>AND('BBP complete'!G1222,"AAAAAFd875U=")</f>
        <v>#VALUE!</v>
      </c>
      <c r="EU134" t="e">
        <f>AND('BBP complete'!P1376,"AAAAAFd875Y=")</f>
        <v>#VALUE!</v>
      </c>
      <c r="EV134" t="e">
        <f>AND('BBP complete'!Q1376,"AAAAAFd875c=")</f>
        <v>#VALUE!</v>
      </c>
      <c r="EW134" t="e">
        <f>AND('BBP complete'!S1365,"AAAAAFd875g=")</f>
        <v>#VALUE!</v>
      </c>
      <c r="EX134" t="e">
        <f>AND('BBP complete'!F1223,"AAAAAFd875k=")</f>
        <v>#VALUE!</v>
      </c>
      <c r="EY134" t="e">
        <f>AND('BBP complete'!G1223,"AAAAAFd875o=")</f>
        <v>#VALUE!</v>
      </c>
      <c r="EZ134" t="e">
        <f>AND('BBP complete'!P1377,"AAAAAFd875s=")</f>
        <v>#VALUE!</v>
      </c>
      <c r="FA134" t="e">
        <f>AND('BBP complete'!Q1377,"AAAAAFd875w=")</f>
        <v>#VALUE!</v>
      </c>
      <c r="FB134" t="e">
        <f>AND('BBP complete'!S1366,"AAAAAFd8750=")</f>
        <v>#VALUE!</v>
      </c>
      <c r="FC134" t="e">
        <f>AND('BBP complete'!F1224,"AAAAAFd8754=")</f>
        <v>#VALUE!</v>
      </c>
      <c r="FD134" t="e">
        <f>AND('BBP complete'!G1224,"AAAAAFd8758=")</f>
        <v>#VALUE!</v>
      </c>
      <c r="FE134" t="e">
        <f>AND('BBP complete'!P1378,"AAAAAFd876A=")</f>
        <v>#VALUE!</v>
      </c>
      <c r="FF134" t="e">
        <f>AND('BBP complete'!Q1378,"AAAAAFd876E=")</f>
        <v>#VALUE!</v>
      </c>
      <c r="FG134" t="e">
        <f>AND('BBP complete'!S1367,"AAAAAFd876I=")</f>
        <v>#VALUE!</v>
      </c>
      <c r="FH134" t="e">
        <f>AND('BBP complete'!F1225,"AAAAAFd876M=")</f>
        <v>#VALUE!</v>
      </c>
      <c r="FI134" t="e">
        <f>AND('BBP complete'!G1225,"AAAAAFd876Q=")</f>
        <v>#VALUE!</v>
      </c>
      <c r="FJ134" t="e">
        <f>AND('BBP complete'!P1379,"AAAAAFd876U=")</f>
        <v>#VALUE!</v>
      </c>
      <c r="FK134" t="e">
        <f>AND('BBP complete'!Q1379,"AAAAAFd876Y=")</f>
        <v>#VALUE!</v>
      </c>
      <c r="FL134" t="e">
        <f>AND('BBP complete'!S1368,"AAAAAFd876c=")</f>
        <v>#VALUE!</v>
      </c>
      <c r="FM134" t="e">
        <f>AND('BBP complete'!P1380,"AAAAAFd876g=")</f>
        <v>#VALUE!</v>
      </c>
      <c r="FN134" t="e">
        <f>AND('BBP complete'!Q1380,"AAAAAFd876k=")</f>
        <v>#VALUE!</v>
      </c>
      <c r="FO134" t="e">
        <f>AND('BBP complete'!S1369,"AAAAAFd876o=")</f>
        <v>#VALUE!</v>
      </c>
      <c r="FP134" t="e">
        <f>AND('BBP complete'!P1381,"AAAAAFd876s=")</f>
        <v>#VALUE!</v>
      </c>
      <c r="FQ134" t="e">
        <f>AND('BBP complete'!Q1381,"AAAAAFd876w=")</f>
        <v>#VALUE!</v>
      </c>
      <c r="FR134" t="e">
        <f>AND('BBP complete'!S1370,"AAAAAFd8760=")</f>
        <v>#VALUE!</v>
      </c>
      <c r="FS134" t="e">
        <f>AND('BBP complete'!P1382,"AAAAAFd8764=")</f>
        <v>#VALUE!</v>
      </c>
      <c r="FT134" t="e">
        <f>AND('BBP complete'!Q1382,"AAAAAFd8768=")</f>
        <v>#VALUE!</v>
      </c>
      <c r="FU134" t="e">
        <f>AND('BBP complete'!S1371,"AAAAAFd877A=")</f>
        <v>#VALUE!</v>
      </c>
      <c r="FV134" t="e">
        <f>AND('BBP complete'!P1383,"AAAAAFd877E=")</f>
        <v>#VALUE!</v>
      </c>
      <c r="FW134" t="e">
        <f>AND('BBP complete'!Q1383,"AAAAAFd877I=")</f>
        <v>#VALUE!</v>
      </c>
      <c r="FX134" t="e">
        <f>AND('BBP complete'!S1372,"AAAAAFd877M=")</f>
        <v>#VALUE!</v>
      </c>
      <c r="FY134" t="e">
        <f>AND('BBP complete'!P1384,"AAAAAFd877Q=")</f>
        <v>#VALUE!</v>
      </c>
      <c r="FZ134" t="e">
        <f>AND('BBP complete'!Q1384,"AAAAAFd877U=")</f>
        <v>#VALUE!</v>
      </c>
      <c r="GA134" t="e">
        <f>AND('BBP complete'!S1373,"AAAAAFd877Y=")</f>
        <v>#VALUE!</v>
      </c>
      <c r="GB134" t="e">
        <f>AND('BBP complete'!P1385,"AAAAAFd877c=")</f>
        <v>#VALUE!</v>
      </c>
      <c r="GC134" t="e">
        <f>AND('BBP complete'!Q1385,"AAAAAFd877g=")</f>
        <v>#VALUE!</v>
      </c>
      <c r="GD134" t="e">
        <f>AND('BBP complete'!S1374,"AAAAAFd877k=")</f>
        <v>#VALUE!</v>
      </c>
      <c r="GE134" t="e">
        <f>AND('BBP complete'!P1386,"AAAAAFd877o=")</f>
        <v>#VALUE!</v>
      </c>
      <c r="GF134" t="e">
        <f>AND('BBP complete'!Q1386,"AAAAAFd877s=")</f>
        <v>#VALUE!</v>
      </c>
      <c r="GG134" t="e">
        <f>AND('BBP complete'!S1375,"AAAAAFd877w=")</f>
        <v>#VALUE!</v>
      </c>
      <c r="GH134" t="e">
        <f>AND('BBP complete'!P1387,"AAAAAFd8770=")</f>
        <v>#VALUE!</v>
      </c>
      <c r="GI134" t="e">
        <f>AND('BBP complete'!Q1387,"AAAAAFd8774=")</f>
        <v>#VALUE!</v>
      </c>
      <c r="GJ134" t="e">
        <f>AND('BBP complete'!S1376,"AAAAAFd8778=")</f>
        <v>#VALUE!</v>
      </c>
      <c r="GK134" t="e">
        <f>AND('BBP complete'!P1388,"AAAAAFd878A=")</f>
        <v>#VALUE!</v>
      </c>
      <c r="GL134" t="e">
        <f>AND('BBP complete'!Q1388,"AAAAAFd878E=")</f>
        <v>#VALUE!</v>
      </c>
      <c r="GM134" t="e">
        <f>AND('BBP complete'!S1377,"AAAAAFd878I=")</f>
        <v>#VALUE!</v>
      </c>
      <c r="GN134" t="e">
        <f>AND('BBP complete'!P1389,"AAAAAFd878M=")</f>
        <v>#VALUE!</v>
      </c>
      <c r="GO134" t="e">
        <f>AND('BBP complete'!Q1389,"AAAAAFd878Q=")</f>
        <v>#VALUE!</v>
      </c>
      <c r="GP134" t="e">
        <f>AND('BBP complete'!S1378,"AAAAAFd878U=")</f>
        <v>#VALUE!</v>
      </c>
      <c r="GQ134" t="e">
        <f>AND('BBP complete'!P1390,"AAAAAFd878Y=")</f>
        <v>#VALUE!</v>
      </c>
      <c r="GR134" t="e">
        <f>AND('BBP complete'!Q1390,"AAAAAFd878c=")</f>
        <v>#VALUE!</v>
      </c>
      <c r="GS134" t="e">
        <f>AND('BBP complete'!S1379,"AAAAAFd878g=")</f>
        <v>#VALUE!</v>
      </c>
      <c r="GT134" t="e">
        <f>AND('BBP complete'!P1440,"AAAAAFd878k=")</f>
        <v>#VALUE!</v>
      </c>
      <c r="GU134" t="e">
        <f>AND('BBP complete'!Q1440,"AAAAAFd878o=")</f>
        <v>#VALUE!</v>
      </c>
      <c r="GV134" t="e">
        <f>AND('BBP complete'!S1380,"AAAAAFd878s=")</f>
        <v>#VALUE!</v>
      </c>
      <c r="GW134" t="e">
        <f>AND('BBP complete'!P1441,"AAAAAFd878w=")</f>
        <v>#VALUE!</v>
      </c>
      <c r="GX134" t="e">
        <f>AND('BBP complete'!Q1441,"AAAAAFd8780=")</f>
        <v>#VALUE!</v>
      </c>
      <c r="GY134" t="e">
        <f>AND('BBP complete'!S1381,"AAAAAFd8784=")</f>
        <v>#VALUE!</v>
      </c>
      <c r="GZ134" t="e">
        <f>AND('BBP complete'!P1442,"AAAAAFd8788=")</f>
        <v>#VALUE!</v>
      </c>
      <c r="HA134" t="e">
        <f>AND('BBP complete'!Q1442,"AAAAAFd879A=")</f>
        <v>#VALUE!</v>
      </c>
      <c r="HB134" t="e">
        <f>AND('BBP complete'!S1382,"AAAAAFd879E=")</f>
        <v>#VALUE!</v>
      </c>
      <c r="HC134" t="e">
        <f>AND('BBP complete'!P1443,"AAAAAFd879I=")</f>
        <v>#VALUE!</v>
      </c>
      <c r="HD134" t="e">
        <f>AND('BBP complete'!Q1443,"AAAAAFd879M=")</f>
        <v>#VALUE!</v>
      </c>
      <c r="HE134" t="e">
        <f>AND('BBP complete'!S1383,"AAAAAFd879Q=")</f>
        <v>#VALUE!</v>
      </c>
      <c r="HF134" t="e">
        <f>AND('BBP complete'!P1444,"AAAAAFd879U=")</f>
        <v>#VALUE!</v>
      </c>
      <c r="HG134" t="e">
        <f>AND('BBP complete'!Q1444,"AAAAAFd879Y=")</f>
        <v>#VALUE!</v>
      </c>
      <c r="HH134" t="e">
        <f>AND('BBP complete'!S1384,"AAAAAFd879c=")</f>
        <v>#VALUE!</v>
      </c>
      <c r="HI134" t="e">
        <f>AND('BBP complete'!P1445,"AAAAAFd879g=")</f>
        <v>#VALUE!</v>
      </c>
      <c r="HJ134" t="e">
        <f>AND('BBP complete'!Q1445,"AAAAAFd879k=")</f>
        <v>#VALUE!</v>
      </c>
      <c r="HK134" t="e">
        <f>AND('BBP complete'!S1385,"AAAAAFd879o=")</f>
        <v>#VALUE!</v>
      </c>
      <c r="HL134" t="e">
        <f>AND('BBP complete'!P1446,"AAAAAFd879s=")</f>
        <v>#VALUE!</v>
      </c>
      <c r="HM134" t="e">
        <f>AND('BBP complete'!Q1446,"AAAAAFd879w=")</f>
        <v>#VALUE!</v>
      </c>
      <c r="HN134" t="e">
        <f>AND('BBP complete'!S1386,"AAAAAFd8790=")</f>
        <v>#VALUE!</v>
      </c>
      <c r="HO134" t="e">
        <f>AND('BBP complete'!P1447,"AAAAAFd8794=")</f>
        <v>#VALUE!</v>
      </c>
      <c r="HP134" t="e">
        <f>AND('BBP complete'!Q1447,"AAAAAFd8798=")</f>
        <v>#VALUE!</v>
      </c>
      <c r="HQ134" t="e">
        <f>AND('BBP complete'!S1387,"AAAAAFd87+A=")</f>
        <v>#VALUE!</v>
      </c>
      <c r="HR134" t="e">
        <f>AND('BBP complete'!P1448,"AAAAAFd87+E=")</f>
        <v>#VALUE!</v>
      </c>
      <c r="HS134" t="e">
        <f>AND('BBP complete'!Q1448,"AAAAAFd87+I=")</f>
        <v>#VALUE!</v>
      </c>
      <c r="HT134" t="e">
        <f>AND('BBP complete'!S1388,"AAAAAFd87+M=")</f>
        <v>#VALUE!</v>
      </c>
      <c r="HU134" t="e">
        <f>AND('BBP complete'!P1449,"AAAAAFd87+Q=")</f>
        <v>#VALUE!</v>
      </c>
      <c r="HV134" t="e">
        <f>AND('BBP complete'!Q1449,"AAAAAFd87+U=")</f>
        <v>#VALUE!</v>
      </c>
      <c r="HW134" t="e">
        <f>AND('BBP complete'!S1389,"AAAAAFd87+Y=")</f>
        <v>#VALUE!</v>
      </c>
      <c r="HX134" t="e">
        <f>AND('BBP complete'!#REF!,"AAAAAFd87+c=")</f>
        <v>#REF!</v>
      </c>
      <c r="HY134" t="e">
        <f>AND('BBP complete'!R1390,"AAAAAFd87+g=")</f>
        <v>#VALUE!</v>
      </c>
      <c r="HZ134" t="e">
        <f>AND('BBP complete'!S1390,"AAAAAFd87+k=")</f>
        <v>#VALUE!</v>
      </c>
      <c r="IA134" t="e">
        <f>AND('BBP complete'!#REF!,"AAAAAFd87+o=")</f>
        <v>#REF!</v>
      </c>
      <c r="IB134" t="e">
        <f>AND('BBP complete'!R1440,"AAAAAFd87+s=")</f>
        <v>#VALUE!</v>
      </c>
      <c r="IC134" t="e">
        <f>AND('BBP complete'!S1440,"AAAAAFd87+w=")</f>
        <v>#VALUE!</v>
      </c>
      <c r="ID134" t="e">
        <f>AND('BBP complete'!#REF!,"AAAAAFd87+0=")</f>
        <v>#REF!</v>
      </c>
      <c r="IE134" t="e">
        <f>AND('BBP complete'!R1441,"AAAAAFd87+4=")</f>
        <v>#VALUE!</v>
      </c>
      <c r="IF134" t="e">
        <f>AND('BBP complete'!S1441,"AAAAAFd87+8=")</f>
        <v>#VALUE!</v>
      </c>
      <c r="IG134" t="e">
        <f>AND('BBP complete'!#REF!,"AAAAAFd87/A=")</f>
        <v>#REF!</v>
      </c>
      <c r="IH134" t="e">
        <f>AND('BBP complete'!R1442,"AAAAAFd87/E=")</f>
        <v>#VALUE!</v>
      </c>
      <c r="II134" t="e">
        <f>AND('BBP complete'!S1442,"AAAAAFd87/I=")</f>
        <v>#VALUE!</v>
      </c>
      <c r="IJ134" t="e">
        <f>AND('BBP complete'!#REF!,"AAAAAFd87/M=")</f>
        <v>#REF!</v>
      </c>
      <c r="IK134" t="e">
        <f>AND('BBP complete'!R1443,"AAAAAFd87/Q=")</f>
        <v>#VALUE!</v>
      </c>
      <c r="IL134" t="e">
        <f>AND('BBP complete'!S1443,"AAAAAFd87/U=")</f>
        <v>#VALUE!</v>
      </c>
      <c r="IM134" t="e">
        <f>AND('BBP complete'!#REF!,"AAAAAFd87/Y=")</f>
        <v>#REF!</v>
      </c>
      <c r="IN134" t="e">
        <f>AND('BBP complete'!R1444,"AAAAAFd87/c=")</f>
        <v>#VALUE!</v>
      </c>
      <c r="IO134" t="e">
        <f>AND('BBP complete'!S1444,"AAAAAFd87/g=")</f>
        <v>#VALUE!</v>
      </c>
      <c r="IP134" t="e">
        <f>AND('BBP complete'!#REF!,"AAAAAFd87/k=")</f>
        <v>#REF!</v>
      </c>
      <c r="IQ134" t="e">
        <f>AND('BBP complete'!R1445,"AAAAAFd87/o=")</f>
        <v>#VALUE!</v>
      </c>
      <c r="IR134" t="e">
        <f>AND('BBP complete'!S1445,"AAAAAFd87/s=")</f>
        <v>#VALUE!</v>
      </c>
      <c r="IS134" t="e">
        <f>AND('BBP complete'!#REF!,"AAAAAFd87/w=")</f>
        <v>#REF!</v>
      </c>
      <c r="IT134" t="e">
        <f>AND('BBP complete'!R1446,"AAAAAFd87/0=")</f>
        <v>#VALUE!</v>
      </c>
      <c r="IU134" t="e">
        <f>AND('BBP complete'!S1446,"AAAAAFd87/4=")</f>
        <v>#VALUE!</v>
      </c>
      <c r="IV134" t="e">
        <f>AND('BBP complete'!#REF!,"AAAAAFd87/8=")</f>
        <v>#REF!</v>
      </c>
    </row>
    <row r="135" spans="1:256" ht="15" customHeight="1" x14ac:dyDescent="0.25">
      <c r="A135" t="e">
        <f>AND('BBP complete'!R1447,"AAAAAG6X5gA=")</f>
        <v>#VALUE!</v>
      </c>
      <c r="B135" t="e">
        <f>AND('BBP complete'!S1447,"AAAAAG6X5gE=")</f>
        <v>#VALUE!</v>
      </c>
      <c r="C135" t="e">
        <f>AND('BBP complete'!#REF!,"AAAAAG6X5gI=")</f>
        <v>#REF!</v>
      </c>
      <c r="D135" t="e">
        <f>AND('BBP complete'!R1448,"AAAAAG6X5gM=")</f>
        <v>#VALUE!</v>
      </c>
      <c r="E135" t="e">
        <f>AND('BBP complete'!S1448,"AAAAAG6X5gQ=")</f>
        <v>#VALUE!</v>
      </c>
      <c r="F135" t="e">
        <f>AND('BBP complete'!#REF!,"AAAAAG6X5gU=")</f>
        <v>#REF!</v>
      </c>
      <c r="G135" t="e">
        <f>AND('BBP complete'!R1449,"AAAAAG6X5gY=")</f>
        <v>#VALUE!</v>
      </c>
      <c r="H135" t="e">
        <f>AND('BBP complete'!S1449,"AAAAAG6X5gc=")</f>
        <v>#VALUE!</v>
      </c>
      <c r="I135" t="e">
        <f>AND('BBP complete'!Q1268,"AAAAAG6X5gg=")</f>
        <v>#VALUE!</v>
      </c>
      <c r="J135" t="e">
        <f>AND('BBP complete'!R1268,"AAAAAG6X5gk=")</f>
        <v>#VALUE!</v>
      </c>
      <c r="K135" t="e">
        <f>AND('BBP complete'!S1268,"AAAAAG6X5go=")</f>
        <v>#VALUE!</v>
      </c>
      <c r="L135" t="e">
        <f>AND('BBP complete'!Q1269,"AAAAAG6X5gs=")</f>
        <v>#VALUE!</v>
      </c>
      <c r="M135" t="e">
        <f>AND('BBP complete'!R1269,"AAAAAG6X5gw=")</f>
        <v>#VALUE!</v>
      </c>
      <c r="N135" t="e">
        <f>AND('BBP complete'!S1269,"AAAAAG6X5g0=")</f>
        <v>#VALUE!</v>
      </c>
      <c r="O135" t="e">
        <f>AND('BBP complete'!Q1270,"AAAAAG6X5g4=")</f>
        <v>#VALUE!</v>
      </c>
      <c r="P135" t="e">
        <f>AND('BBP complete'!R1270,"AAAAAG6X5g8=")</f>
        <v>#VALUE!</v>
      </c>
      <c r="Q135" t="e">
        <f>AND('BBP complete'!S1270,"AAAAAG6X5hA=")</f>
        <v>#VALUE!</v>
      </c>
      <c r="R135" t="e">
        <f>AND('BBP complete'!Q1271,"AAAAAG6X5hE=")</f>
        <v>#VALUE!</v>
      </c>
      <c r="S135" t="e">
        <f>AND('BBP complete'!R1271,"AAAAAG6X5hI=")</f>
        <v>#VALUE!</v>
      </c>
      <c r="T135" t="e">
        <f>AND('BBP complete'!S1271,"AAAAAG6X5hM=")</f>
        <v>#VALUE!</v>
      </c>
      <c r="U135" t="e">
        <f>AND('BBP complete'!Q1272,"AAAAAG6X5hQ=")</f>
        <v>#VALUE!</v>
      </c>
      <c r="V135" t="e">
        <f>AND('BBP complete'!R1272,"AAAAAG6X5hU=")</f>
        <v>#VALUE!</v>
      </c>
      <c r="W135" t="e">
        <f>AND('BBP complete'!S1272,"AAAAAG6X5hY=")</f>
        <v>#VALUE!</v>
      </c>
      <c r="X135" t="e">
        <f>AND('BBP complete'!Q1273,"AAAAAG6X5hc=")</f>
        <v>#VALUE!</v>
      </c>
      <c r="Y135" t="e">
        <f>AND('BBP complete'!R1273,"AAAAAG6X5hg=")</f>
        <v>#VALUE!</v>
      </c>
      <c r="Z135" t="e">
        <f>AND('BBP complete'!S1273,"AAAAAG6X5hk=")</f>
        <v>#VALUE!</v>
      </c>
      <c r="AA135" t="e">
        <f>AND('BBP complete'!Q1274,"AAAAAG6X5ho=")</f>
        <v>#VALUE!</v>
      </c>
      <c r="AB135" t="e">
        <f>AND('BBP complete'!R1274,"AAAAAG6X5hs=")</f>
        <v>#VALUE!</v>
      </c>
      <c r="AC135" t="e">
        <f>AND('BBP complete'!S1274,"AAAAAG6X5hw=")</f>
        <v>#VALUE!</v>
      </c>
      <c r="AD135" t="e">
        <f>AND('BBP complete'!Q1275,"AAAAAG6X5h0=")</f>
        <v>#VALUE!</v>
      </c>
      <c r="AE135" t="e">
        <f>AND('BBP complete'!R1275,"AAAAAG6X5h4=")</f>
        <v>#VALUE!</v>
      </c>
      <c r="AF135" t="e">
        <f>AND('BBP complete'!S1275,"AAAAAG6X5h8=")</f>
        <v>#VALUE!</v>
      </c>
      <c r="AG135" t="e">
        <f>AND('BBP complete'!Q1276,"AAAAAG6X5iA=")</f>
        <v>#VALUE!</v>
      </c>
      <c r="AH135" t="e">
        <f>AND('BBP complete'!R1276,"AAAAAG6X5iE=")</f>
        <v>#VALUE!</v>
      </c>
      <c r="AI135" t="e">
        <f>AND('BBP complete'!S1276,"AAAAAG6X5iI=")</f>
        <v>#VALUE!</v>
      </c>
      <c r="AJ135" t="e">
        <f>AND('BBP complete'!Q1277,"AAAAAG6X5iM=")</f>
        <v>#VALUE!</v>
      </c>
      <c r="AK135" t="e">
        <f>AND('BBP complete'!R1277,"AAAAAG6X5iQ=")</f>
        <v>#VALUE!</v>
      </c>
      <c r="AL135" t="e">
        <f>AND('BBP complete'!S1277,"AAAAAG6X5iU=")</f>
        <v>#VALUE!</v>
      </c>
      <c r="AM135" t="e">
        <f>AND('BBP complete'!Q1278,"AAAAAG6X5iY=")</f>
        <v>#VALUE!</v>
      </c>
      <c r="AN135" t="e">
        <f>AND('BBP complete'!R1278,"AAAAAG6X5ic=")</f>
        <v>#VALUE!</v>
      </c>
      <c r="AO135" t="e">
        <f>AND('BBP complete'!S1278,"AAAAAG6X5ig=")</f>
        <v>#VALUE!</v>
      </c>
      <c r="AP135" t="e">
        <f>AND('BBP complete'!Q1279,"AAAAAG6X5ik=")</f>
        <v>#VALUE!</v>
      </c>
      <c r="AQ135" t="e">
        <f>AND('BBP complete'!R1279,"AAAAAG6X5io=")</f>
        <v>#VALUE!</v>
      </c>
      <c r="AR135" t="e">
        <f>AND('BBP complete'!S1279,"AAAAAG6X5is=")</f>
        <v>#VALUE!</v>
      </c>
      <c r="AS135" t="e">
        <f>AND('BBP complete'!Q1280,"AAAAAG6X5iw=")</f>
        <v>#VALUE!</v>
      </c>
      <c r="AT135" t="e">
        <f>AND('BBP complete'!R1280,"AAAAAG6X5i0=")</f>
        <v>#VALUE!</v>
      </c>
      <c r="AU135" t="e">
        <f>AND('BBP complete'!S1280,"AAAAAG6X5i4=")</f>
        <v>#VALUE!</v>
      </c>
      <c r="AV135" t="e">
        <f>AND('BBP complete'!Q1281,"AAAAAG6X5i8=")</f>
        <v>#VALUE!</v>
      </c>
      <c r="AW135" t="e">
        <f>AND('BBP complete'!R1281,"AAAAAG6X5jA=")</f>
        <v>#VALUE!</v>
      </c>
      <c r="AX135" t="e">
        <f>AND('BBP complete'!S1281,"AAAAAG6X5jE=")</f>
        <v>#VALUE!</v>
      </c>
      <c r="AY135" t="e">
        <f>AND('BBP complete'!Q1282,"AAAAAG6X5jI=")</f>
        <v>#VALUE!</v>
      </c>
      <c r="AZ135" t="e">
        <f>AND('BBP complete'!R1282,"AAAAAG6X5jM=")</f>
        <v>#VALUE!</v>
      </c>
      <c r="BA135" t="e">
        <f>AND('BBP complete'!S1282,"AAAAAG6X5jQ=")</f>
        <v>#VALUE!</v>
      </c>
      <c r="BB135" t="e">
        <f>AND('BBP complete'!Q1283,"AAAAAG6X5jU=")</f>
        <v>#VALUE!</v>
      </c>
      <c r="BC135" t="e">
        <f>AND('BBP complete'!R1283,"AAAAAG6X5jY=")</f>
        <v>#VALUE!</v>
      </c>
      <c r="BD135" t="e">
        <f>AND('BBP complete'!S1283,"AAAAAG6X5jc=")</f>
        <v>#VALUE!</v>
      </c>
      <c r="BE135" t="e">
        <f>AND('BBP complete'!Q1284,"AAAAAG6X5jg=")</f>
        <v>#VALUE!</v>
      </c>
      <c r="BF135" t="e">
        <f>AND('BBP complete'!R1284,"AAAAAG6X5jk=")</f>
        <v>#VALUE!</v>
      </c>
      <c r="BG135" t="e">
        <f>AND('BBP complete'!S1284,"AAAAAG6X5jo=")</f>
        <v>#VALUE!</v>
      </c>
      <c r="BH135" t="e">
        <f>AND('BBP complete'!Q1285,"AAAAAG6X5js=")</f>
        <v>#VALUE!</v>
      </c>
      <c r="BI135" t="e">
        <f>AND('BBP complete'!R1285,"AAAAAG6X5jw=")</f>
        <v>#VALUE!</v>
      </c>
      <c r="BJ135" t="e">
        <f>AND('BBP complete'!S1285,"AAAAAG6X5j0=")</f>
        <v>#VALUE!</v>
      </c>
      <c r="BK135" t="e">
        <f>AND('BBP complete'!Q1286,"AAAAAG6X5j4=")</f>
        <v>#VALUE!</v>
      </c>
      <c r="BL135" t="e">
        <f>AND('BBP complete'!R1286,"AAAAAG6X5j8=")</f>
        <v>#VALUE!</v>
      </c>
      <c r="BM135" t="e">
        <f>AND('BBP complete'!S1286,"AAAAAG6X5kA=")</f>
        <v>#VALUE!</v>
      </c>
      <c r="BN135" t="e">
        <f>AND('BBP complete'!Q1287,"AAAAAG6X5kE=")</f>
        <v>#VALUE!</v>
      </c>
      <c r="BO135" t="e">
        <f>AND('BBP complete'!R1287,"AAAAAG6X5kI=")</f>
        <v>#VALUE!</v>
      </c>
      <c r="BP135" t="e">
        <f>AND('BBP complete'!S1287,"AAAAAG6X5kM=")</f>
        <v>#VALUE!</v>
      </c>
      <c r="BQ135" t="e">
        <f>AND('BBP complete'!Q1288,"AAAAAG6X5kQ=")</f>
        <v>#VALUE!</v>
      </c>
      <c r="BR135" t="e">
        <f>AND('BBP complete'!R1288,"AAAAAG6X5kU=")</f>
        <v>#VALUE!</v>
      </c>
      <c r="BS135" t="e">
        <f>AND('BBP complete'!S1288,"AAAAAG6X5kY=")</f>
        <v>#VALUE!</v>
      </c>
      <c r="BT135" t="e">
        <f>AND('BBP complete'!Q1289,"AAAAAG6X5kc=")</f>
        <v>#VALUE!</v>
      </c>
      <c r="BU135" t="e">
        <f>AND('BBP complete'!R1289,"AAAAAG6X5kg=")</f>
        <v>#VALUE!</v>
      </c>
      <c r="BV135" t="e">
        <f>AND('BBP complete'!S1289,"AAAAAG6X5kk=")</f>
        <v>#VALUE!</v>
      </c>
      <c r="BW135" t="e">
        <f>AND('BBP complete'!Q1290,"AAAAAG6X5ko=")</f>
        <v>#VALUE!</v>
      </c>
      <c r="BX135" t="e">
        <f>AND('BBP complete'!R1290,"AAAAAG6X5ks=")</f>
        <v>#VALUE!</v>
      </c>
      <c r="BY135" t="e">
        <f>AND('BBP complete'!S1290,"AAAAAG6X5kw=")</f>
        <v>#VALUE!</v>
      </c>
      <c r="BZ135" t="e">
        <f>AND('BBP complete'!Q1291,"AAAAAG6X5k0=")</f>
        <v>#VALUE!</v>
      </c>
      <c r="CA135" t="e">
        <f>AND('BBP complete'!R1291,"AAAAAG6X5k4=")</f>
        <v>#VALUE!</v>
      </c>
      <c r="CB135" t="e">
        <f>AND('BBP complete'!S1291,"AAAAAG6X5k8=")</f>
        <v>#VALUE!</v>
      </c>
      <c r="CC135" t="e">
        <f>AND('BBP complete'!Q1292,"AAAAAG6X5lA=")</f>
        <v>#VALUE!</v>
      </c>
      <c r="CD135" t="e">
        <f>AND('BBP complete'!R1292,"AAAAAG6X5lE=")</f>
        <v>#VALUE!</v>
      </c>
      <c r="CE135" t="e">
        <f>AND('BBP complete'!S1292,"AAAAAG6X5lI=")</f>
        <v>#VALUE!</v>
      </c>
      <c r="CF135" t="e">
        <f>AND('BBP complete'!Q1293,"AAAAAG6X5lM=")</f>
        <v>#VALUE!</v>
      </c>
      <c r="CG135" t="e">
        <f>AND('BBP complete'!R1293,"AAAAAG6X5lQ=")</f>
        <v>#VALUE!</v>
      </c>
      <c r="CH135" t="e">
        <f>AND('BBP complete'!S1293,"AAAAAG6X5lU=")</f>
        <v>#VALUE!</v>
      </c>
      <c r="CI135" t="e">
        <f>AND('BBP complete'!Q1294,"AAAAAG6X5lY=")</f>
        <v>#VALUE!</v>
      </c>
      <c r="CJ135" t="e">
        <f>AND('BBP complete'!R1294,"AAAAAG6X5lc=")</f>
        <v>#VALUE!</v>
      </c>
      <c r="CK135" t="e">
        <f>AND('BBP complete'!S1294,"AAAAAG6X5lg=")</f>
        <v>#VALUE!</v>
      </c>
      <c r="CL135" t="e">
        <f>AND('BBP complete'!Q1295,"AAAAAG6X5lk=")</f>
        <v>#VALUE!</v>
      </c>
      <c r="CM135" t="e">
        <f>AND('BBP complete'!R1295,"AAAAAG6X5lo=")</f>
        <v>#VALUE!</v>
      </c>
      <c r="CN135" t="e">
        <f>AND('BBP complete'!S1295,"AAAAAG6X5ls=")</f>
        <v>#VALUE!</v>
      </c>
      <c r="CO135" t="e">
        <f>AND('BBP complete'!Q1296,"AAAAAG6X5lw=")</f>
        <v>#VALUE!</v>
      </c>
      <c r="CP135" t="e">
        <f>AND('BBP complete'!R1296,"AAAAAG6X5l0=")</f>
        <v>#VALUE!</v>
      </c>
      <c r="CQ135" t="e">
        <f>AND('BBP complete'!S1296,"AAAAAG6X5l4=")</f>
        <v>#VALUE!</v>
      </c>
      <c r="CR135" t="e">
        <f>AND('BBP complete'!Q1297,"AAAAAG6X5l8=")</f>
        <v>#VALUE!</v>
      </c>
      <c r="CS135" t="e">
        <f>AND('BBP complete'!R1297,"AAAAAG6X5mA=")</f>
        <v>#VALUE!</v>
      </c>
      <c r="CT135" t="e">
        <f>AND('BBP complete'!S1297,"AAAAAG6X5mE=")</f>
        <v>#VALUE!</v>
      </c>
      <c r="CU135" t="e">
        <f>AND('BBP complete'!Q1298,"AAAAAG6X5mI=")</f>
        <v>#VALUE!</v>
      </c>
      <c r="CV135" t="e">
        <f>AND('BBP complete'!R1298,"AAAAAG6X5mM=")</f>
        <v>#VALUE!</v>
      </c>
      <c r="CW135" t="e">
        <f>AND('BBP complete'!S1298,"AAAAAG6X5mQ=")</f>
        <v>#VALUE!</v>
      </c>
      <c r="CX135" t="e">
        <f>AND('BBP complete'!Q1299,"AAAAAG6X5mU=")</f>
        <v>#VALUE!</v>
      </c>
      <c r="CY135" t="e">
        <f>AND('BBP complete'!R1299,"AAAAAG6X5mY=")</f>
        <v>#VALUE!</v>
      </c>
      <c r="CZ135" t="e">
        <f>AND('BBP complete'!S1299,"AAAAAG6X5mc=")</f>
        <v>#VALUE!</v>
      </c>
      <c r="DA135" t="e">
        <f>AND('BBP complete'!Q1300,"AAAAAG6X5mg=")</f>
        <v>#VALUE!</v>
      </c>
      <c r="DB135" t="e">
        <f>AND('BBP complete'!R1300,"AAAAAG6X5mk=")</f>
        <v>#VALUE!</v>
      </c>
      <c r="DC135" t="e">
        <f>AND('BBP complete'!S1300,"AAAAAG6X5mo=")</f>
        <v>#VALUE!</v>
      </c>
      <c r="DD135" t="e">
        <f>AND('BBP complete'!Q1301,"AAAAAG6X5ms=")</f>
        <v>#VALUE!</v>
      </c>
      <c r="DE135" t="e">
        <f>AND('BBP complete'!R1301,"AAAAAG6X5mw=")</f>
        <v>#VALUE!</v>
      </c>
      <c r="DF135" t="e">
        <f>AND('BBP complete'!S1301,"AAAAAG6X5m0=")</f>
        <v>#VALUE!</v>
      </c>
      <c r="DG135" t="e">
        <f>AND('BBP complete'!Q1302,"AAAAAG6X5m4=")</f>
        <v>#VALUE!</v>
      </c>
      <c r="DH135" t="e">
        <f>AND('BBP complete'!R1302,"AAAAAG6X5m8=")</f>
        <v>#VALUE!</v>
      </c>
      <c r="DI135" t="e">
        <f>AND('BBP complete'!S1302,"AAAAAG6X5nA=")</f>
        <v>#VALUE!</v>
      </c>
      <c r="DJ135" t="e">
        <f>AND('BBP complete'!Q1303,"AAAAAG6X5nE=")</f>
        <v>#VALUE!</v>
      </c>
      <c r="DK135" t="e">
        <f>AND('BBP complete'!R1303,"AAAAAG6X5nI=")</f>
        <v>#VALUE!</v>
      </c>
      <c r="DL135" t="e">
        <f>AND('BBP complete'!S1303,"AAAAAG6X5nM=")</f>
        <v>#VALUE!</v>
      </c>
      <c r="DM135" t="e">
        <f>AND('BBP complete'!Q1304,"AAAAAG6X5nQ=")</f>
        <v>#VALUE!</v>
      </c>
      <c r="DN135" t="e">
        <f>AND('BBP complete'!R1304,"AAAAAG6X5nU=")</f>
        <v>#VALUE!</v>
      </c>
      <c r="DO135" t="e">
        <f>AND('BBP complete'!S1304,"AAAAAG6X5nY=")</f>
        <v>#VALUE!</v>
      </c>
      <c r="DP135" t="e">
        <f>AND('BBP complete'!Q1305,"AAAAAG6X5nc=")</f>
        <v>#VALUE!</v>
      </c>
      <c r="DQ135" t="e">
        <f>AND('BBP complete'!R1305,"AAAAAG6X5ng=")</f>
        <v>#VALUE!</v>
      </c>
      <c r="DR135" t="e">
        <f>AND('BBP complete'!S1305,"AAAAAG6X5nk=")</f>
        <v>#VALUE!</v>
      </c>
      <c r="DS135" t="e">
        <f>AND('BBP complete'!Q1306,"AAAAAG6X5no=")</f>
        <v>#VALUE!</v>
      </c>
      <c r="DT135" t="e">
        <f>AND('BBP complete'!R1306,"AAAAAG6X5ns=")</f>
        <v>#VALUE!</v>
      </c>
      <c r="DU135" t="e">
        <f>AND('BBP complete'!S1306,"AAAAAG6X5nw=")</f>
        <v>#VALUE!</v>
      </c>
      <c r="DV135" t="e">
        <f>AND('BBP complete'!Q1307,"AAAAAG6X5n0=")</f>
        <v>#VALUE!</v>
      </c>
      <c r="DW135" t="e">
        <f>AND('BBP complete'!R1307,"AAAAAG6X5n4=")</f>
        <v>#VALUE!</v>
      </c>
      <c r="DX135" t="e">
        <f>AND('BBP complete'!S1307,"AAAAAG6X5n8=")</f>
        <v>#VALUE!</v>
      </c>
      <c r="DY135" t="e">
        <f>AND('BBP complete'!Q1308,"AAAAAG6X5oA=")</f>
        <v>#VALUE!</v>
      </c>
      <c r="DZ135" t="e">
        <f>AND('BBP complete'!R1308,"AAAAAG6X5oE=")</f>
        <v>#VALUE!</v>
      </c>
      <c r="EA135" t="e">
        <f>AND('BBP complete'!S1308,"AAAAAG6X5oI=")</f>
        <v>#VALUE!</v>
      </c>
      <c r="EB135" t="e">
        <f>AND('BBP complete'!Q1309,"AAAAAG6X5oM=")</f>
        <v>#VALUE!</v>
      </c>
      <c r="EC135" t="e">
        <f>AND('BBP complete'!R1309,"AAAAAG6X5oQ=")</f>
        <v>#VALUE!</v>
      </c>
      <c r="ED135" t="e">
        <f>AND('BBP complete'!S1309,"AAAAAG6X5oU=")</f>
        <v>#VALUE!</v>
      </c>
      <c r="EE135" t="e">
        <f>AND('BBP complete'!Q1310,"AAAAAG6X5oY=")</f>
        <v>#VALUE!</v>
      </c>
      <c r="EF135" t="e">
        <f>AND('BBP complete'!R1310,"AAAAAG6X5oc=")</f>
        <v>#VALUE!</v>
      </c>
      <c r="EG135" t="e">
        <f>AND('BBP complete'!S1310,"AAAAAG6X5og=")</f>
        <v>#VALUE!</v>
      </c>
      <c r="EH135" t="e">
        <f>AND('BBP complete'!Q1311,"AAAAAG6X5ok=")</f>
        <v>#VALUE!</v>
      </c>
      <c r="EI135" t="e">
        <f>AND('BBP complete'!R1311,"AAAAAG6X5oo=")</f>
        <v>#VALUE!</v>
      </c>
      <c r="EJ135" t="e">
        <f>AND('BBP complete'!S1311,"AAAAAG6X5os=")</f>
        <v>#VALUE!</v>
      </c>
      <c r="EK135" t="e">
        <f>AND('BBP complete'!Q1312,"AAAAAG6X5ow=")</f>
        <v>#VALUE!</v>
      </c>
      <c r="EL135" t="e">
        <f>AND('BBP complete'!R1312,"AAAAAG6X5o0=")</f>
        <v>#VALUE!</v>
      </c>
      <c r="EM135" t="e">
        <f>AND('BBP complete'!S1312,"AAAAAG6X5o4=")</f>
        <v>#VALUE!</v>
      </c>
      <c r="EN135" t="e">
        <f>AND('BBP complete'!Q1313,"AAAAAG6X5o8=")</f>
        <v>#VALUE!</v>
      </c>
      <c r="EO135" t="e">
        <f>AND('BBP complete'!R1313,"AAAAAG6X5pA=")</f>
        <v>#VALUE!</v>
      </c>
      <c r="EP135" t="e">
        <f>AND('BBP complete'!S1313,"AAAAAG6X5pE=")</f>
        <v>#VALUE!</v>
      </c>
      <c r="EQ135" t="e">
        <f>AND('BBP complete'!Q1314,"AAAAAG6X5pI=")</f>
        <v>#VALUE!</v>
      </c>
      <c r="ER135" t="e">
        <f>AND('BBP complete'!R1314,"AAAAAG6X5pM=")</f>
        <v>#VALUE!</v>
      </c>
      <c r="ES135" t="e">
        <f>AND('BBP complete'!S1314,"AAAAAG6X5pQ=")</f>
        <v>#VALUE!</v>
      </c>
      <c r="ET135" t="e">
        <f>AND('BBP complete'!Q1315,"AAAAAG6X5pU=")</f>
        <v>#VALUE!</v>
      </c>
      <c r="EU135" t="e">
        <f>AND('BBP complete'!R1315,"AAAAAG6X5pY=")</f>
        <v>#VALUE!</v>
      </c>
      <c r="EV135" t="e">
        <f>AND('BBP complete'!S1315,"AAAAAG6X5pc=")</f>
        <v>#VALUE!</v>
      </c>
      <c r="EW135" t="e">
        <f>AND('BBP complete'!Q1316,"AAAAAG6X5pg=")</f>
        <v>#VALUE!</v>
      </c>
      <c r="EX135" t="e">
        <f>AND('BBP complete'!R1316,"AAAAAG6X5pk=")</f>
        <v>#VALUE!</v>
      </c>
      <c r="EY135" t="e">
        <f>AND('BBP complete'!S1316,"AAAAAG6X5po=")</f>
        <v>#VALUE!</v>
      </c>
      <c r="EZ135" t="e">
        <f>AND('BBP complete'!#REF!,"AAAAAG6X5ps=")</f>
        <v>#REF!</v>
      </c>
      <c r="FA135" t="e">
        <f>AND('BBP complete'!#REF!,"AAAAAG6X5pw=")</f>
        <v>#REF!</v>
      </c>
      <c r="FB135" t="e">
        <f>AND('BBP complete'!#REF!,"AAAAAG6X5p0=")</f>
        <v>#REF!</v>
      </c>
      <c r="FC135" t="e">
        <f>AND('BBP complete'!#REF!,"AAAAAG6X5p4=")</f>
        <v>#REF!</v>
      </c>
      <c r="FD135" t="e">
        <f>AND('BBP complete'!#REF!,"AAAAAG6X5p8=")</f>
        <v>#REF!</v>
      </c>
      <c r="FE135" t="e">
        <f>AND('BBP complete'!#REF!,"AAAAAG6X5qA=")</f>
        <v>#REF!</v>
      </c>
      <c r="FF135" t="e">
        <f>AND('BBP complete'!#REF!,"AAAAAG6X5qE=")</f>
        <v>#REF!</v>
      </c>
      <c r="FG135" t="e">
        <f>AND('BBP complete'!#REF!,"AAAAAG6X5qI=")</f>
        <v>#REF!</v>
      </c>
      <c r="FH135" t="e">
        <f>AND('BBP complete'!#REF!,"AAAAAG6X5qM=")</f>
        <v>#REF!</v>
      </c>
      <c r="FI135" t="e">
        <f>AND('BBP complete'!#REF!,"AAAAAG6X5qQ=")</f>
        <v>#REF!</v>
      </c>
      <c r="FJ135" t="e">
        <f>AND('BBP complete'!#REF!,"AAAAAG6X5qU=")</f>
        <v>#REF!</v>
      </c>
      <c r="FK135" t="e">
        <f>AND('BBP complete'!#REF!,"AAAAAG6X5qY=")</f>
        <v>#REF!</v>
      </c>
      <c r="FL135" t="e">
        <f>AND('BBP complete'!#REF!,"AAAAAG6X5qc=")</f>
        <v>#REF!</v>
      </c>
      <c r="FM135" t="e">
        <f>AND('BBP complete'!#REF!,"AAAAAG6X5qg=")</f>
        <v>#REF!</v>
      </c>
      <c r="FN135" t="e">
        <f>AND('BBP complete'!#REF!,"AAAAAG6X5qk=")</f>
        <v>#REF!</v>
      </c>
      <c r="FO135" t="e">
        <f>AND('BBP complete'!#REF!,"AAAAAG6X5qo=")</f>
        <v>#REF!</v>
      </c>
      <c r="FP135" t="e">
        <f>AND('BBP complete'!#REF!,"AAAAAG6X5qs=")</f>
        <v>#REF!</v>
      </c>
      <c r="FQ135" t="e">
        <f>AND('BBP complete'!#REF!,"AAAAAG6X5qw=")</f>
        <v>#REF!</v>
      </c>
      <c r="FR135" t="e">
        <f>AND('BBP complete'!#REF!,"AAAAAG6X5q0=")</f>
        <v>#REF!</v>
      </c>
      <c r="FS135" t="e">
        <f>AND('BBP complete'!#REF!,"AAAAAG6X5q4=")</f>
        <v>#REF!</v>
      </c>
      <c r="FT135" t="e">
        <f>AND('BBP complete'!#REF!,"AAAAAG6X5q8=")</f>
        <v>#REF!</v>
      </c>
      <c r="FU135" t="e">
        <f>AND('BBP complete'!#REF!,"AAAAAG6X5rA=")</f>
        <v>#REF!</v>
      </c>
      <c r="FV135" t="e">
        <f>AND('BBP complete'!#REF!,"AAAAAG6X5rE=")</f>
        <v>#REF!</v>
      </c>
      <c r="FW135" t="e">
        <f>AND('BBP complete'!#REF!,"AAAAAG6X5rI=")</f>
        <v>#REF!</v>
      </c>
      <c r="FX135" t="e">
        <f>AND('BBP complete'!#REF!,"AAAAAG6X5rM=")</f>
        <v>#REF!</v>
      </c>
      <c r="FY135" t="e">
        <f>AND('BBP complete'!#REF!,"AAAAAG6X5rQ=")</f>
        <v>#REF!</v>
      </c>
      <c r="FZ135" t="e">
        <f>AND('BBP complete'!#REF!,"AAAAAG6X5rU=")</f>
        <v>#REF!</v>
      </c>
      <c r="GA135" t="e">
        <f>AND('BBP complete'!#REF!,"AAAAAG6X5rY=")</f>
        <v>#REF!</v>
      </c>
      <c r="GB135" t="e">
        <f>AND('BBP complete'!#REF!,"AAAAAG6X5rc=")</f>
        <v>#REF!</v>
      </c>
      <c r="GC135" t="e">
        <f>AND('BBP complete'!#REF!,"AAAAAG6X5rg=")</f>
        <v>#REF!</v>
      </c>
      <c r="GD135" t="e">
        <f>AND('BBP complete'!#REF!,"AAAAAG6X5rk=")</f>
        <v>#REF!</v>
      </c>
      <c r="GE135" t="e">
        <f>AND('BBP complete'!#REF!,"AAAAAG6X5ro=")</f>
        <v>#REF!</v>
      </c>
      <c r="GF135" t="e">
        <f>AND('BBP complete'!#REF!,"AAAAAG6X5rs=")</f>
        <v>#REF!</v>
      </c>
      <c r="GG135" t="e">
        <f>AND('BBP complete'!#REF!,"AAAAAG6X5rw=")</f>
        <v>#REF!</v>
      </c>
      <c r="GH135" t="e">
        <f>AND('BBP complete'!#REF!,"AAAAAG6X5r0=")</f>
        <v>#REF!</v>
      </c>
      <c r="GI135" t="e">
        <f>AND('BBP complete'!#REF!,"AAAAAG6X5r4=")</f>
        <v>#REF!</v>
      </c>
      <c r="GJ135" t="e">
        <f>AND('BBP complete'!#REF!,"AAAAAG6X5r8=")</f>
        <v>#REF!</v>
      </c>
      <c r="GK135" t="e">
        <f>AND('BBP complete'!#REF!,"AAAAAG6X5sA=")</f>
        <v>#REF!</v>
      </c>
      <c r="GL135" t="e">
        <f>AND('BBP complete'!#REF!,"AAAAAG6X5sE=")</f>
        <v>#REF!</v>
      </c>
      <c r="GM135" t="e">
        <f>AND('BBP complete'!#REF!,"AAAAAG6X5sI=")</f>
        <v>#REF!</v>
      </c>
      <c r="GN135" t="e">
        <f>AND('BBP complete'!#REF!,"AAAAAG6X5sM=")</f>
        <v>#REF!</v>
      </c>
      <c r="GO135" t="e">
        <f>AND('BBP complete'!#REF!,"AAAAAG6X5sQ=")</f>
        <v>#REF!</v>
      </c>
      <c r="GP135" t="e">
        <f>AND('BBP complete'!#REF!,"AAAAAG6X5sU=")</f>
        <v>#REF!</v>
      </c>
      <c r="GQ135" t="e">
        <f>AND('BBP complete'!#REF!,"AAAAAG6X5sY=")</f>
        <v>#REF!</v>
      </c>
      <c r="GR135" t="e">
        <f>AND('BBP complete'!#REF!,"AAAAAG6X5sc=")</f>
        <v>#REF!</v>
      </c>
      <c r="GS135" t="e">
        <f>AND('BBP complete'!#REF!,"AAAAAG6X5sg=")</f>
        <v>#REF!</v>
      </c>
      <c r="GT135" t="e">
        <f>AND('BBP complete'!#REF!,"AAAAAG6X5sk=")</f>
        <v>#REF!</v>
      </c>
      <c r="GU135" t="e">
        <f>AND('BBP complete'!#REF!,"AAAAAG6X5so=")</f>
        <v>#REF!</v>
      </c>
      <c r="GV135" t="e">
        <f>AND('BBP complete'!#REF!,"AAAAAG6X5ss=")</f>
        <v>#REF!</v>
      </c>
      <c r="GW135" t="e">
        <f>AND('BBP complete'!#REF!,"AAAAAG6X5sw=")</f>
        <v>#REF!</v>
      </c>
      <c r="GX135" t="e">
        <f>AND('BBP complete'!#REF!,"AAAAAG6X5s0=")</f>
        <v>#REF!</v>
      </c>
      <c r="GY135" t="e">
        <f>AND('BBP complete'!#REF!,"AAAAAG6X5s4=")</f>
        <v>#REF!</v>
      </c>
      <c r="GZ135" t="e">
        <f>AND('BBP complete'!#REF!,"AAAAAG6X5s8=")</f>
        <v>#REF!</v>
      </c>
      <c r="HA135" t="e">
        <f>AND('BBP complete'!#REF!,"AAAAAG6X5tA=")</f>
        <v>#REF!</v>
      </c>
      <c r="HB135" t="e">
        <f>AND('BBP complete'!#REF!,"AAAAAG6X5tE=")</f>
        <v>#REF!</v>
      </c>
      <c r="HC135" t="e">
        <f>AND('BBP complete'!#REF!,"AAAAAG6X5tI=")</f>
        <v>#REF!</v>
      </c>
      <c r="HD135" t="e">
        <f>AND('BBP complete'!#REF!,"AAAAAG6X5tM=")</f>
        <v>#REF!</v>
      </c>
      <c r="HE135" t="e">
        <f>AND('BBP complete'!#REF!,"AAAAAG6X5tQ=")</f>
        <v>#REF!</v>
      </c>
      <c r="HF135" t="e">
        <f>AND('BBP complete'!#REF!,"AAAAAG6X5tU=")</f>
        <v>#REF!</v>
      </c>
      <c r="HG135" t="e">
        <f>AND('BBP complete'!#REF!,"AAAAAG6X5tY=")</f>
        <v>#REF!</v>
      </c>
      <c r="HH135" t="e">
        <f>AND('BBP complete'!#REF!,"AAAAAG6X5tc=")</f>
        <v>#REF!</v>
      </c>
      <c r="HI135" t="e">
        <f>AND('BBP complete'!#REF!,"AAAAAG6X5tg=")</f>
        <v>#REF!</v>
      </c>
      <c r="HJ135" t="e">
        <f>AND('BBP complete'!#REF!,"AAAAAG6X5tk=")</f>
        <v>#REF!</v>
      </c>
      <c r="HK135" t="e">
        <f>AND('BBP complete'!#REF!,"AAAAAG6X5to=")</f>
        <v>#REF!</v>
      </c>
      <c r="HL135" t="e">
        <f>AND('BBP complete'!#REF!,"AAAAAG6X5ts=")</f>
        <v>#REF!</v>
      </c>
      <c r="HM135" t="e">
        <f>AND('BBP complete'!#REF!,"AAAAAG6X5tw=")</f>
        <v>#REF!</v>
      </c>
      <c r="HN135" t="e">
        <f>AND('BBP complete'!#REF!,"AAAAAG6X5t0=")</f>
        <v>#REF!</v>
      </c>
      <c r="HO135" t="e">
        <f>AND('BBP complete'!#REF!,"AAAAAG6X5t4=")</f>
        <v>#REF!</v>
      </c>
      <c r="HP135" t="e">
        <f>AND('BBP complete'!#REF!,"AAAAAG6X5t8=")</f>
        <v>#REF!</v>
      </c>
      <c r="HQ135" t="e">
        <f>AND('BBP complete'!#REF!,"AAAAAG6X5uA=")</f>
        <v>#REF!</v>
      </c>
      <c r="HR135" t="e">
        <f>AND('BBP complete'!#REF!,"AAAAAG6X5uE=")</f>
        <v>#REF!</v>
      </c>
      <c r="HS135" t="e">
        <f>AND('BBP complete'!#REF!,"AAAAAG6X5uI=")</f>
        <v>#REF!</v>
      </c>
      <c r="HT135" t="e">
        <f>AND('BBP complete'!#REF!,"AAAAAG6X5uM=")</f>
        <v>#REF!</v>
      </c>
      <c r="HU135" t="e">
        <f>AND('BBP complete'!#REF!,"AAAAAG6X5uQ=")</f>
        <v>#REF!</v>
      </c>
      <c r="HV135" t="e">
        <f>AND('BBP complete'!#REF!,"AAAAAG6X5uU=")</f>
        <v>#REF!</v>
      </c>
      <c r="HW135" t="e">
        <f>AND('BBP complete'!#REF!,"AAAAAG6X5uY=")</f>
        <v>#REF!</v>
      </c>
      <c r="HX135" t="e">
        <f>AND('BBP complete'!#REF!,"AAAAAG6X5uc=")</f>
        <v>#REF!</v>
      </c>
      <c r="HY135" t="e">
        <f>AND('BBP complete'!#REF!,"AAAAAG6X5ug=")</f>
        <v>#REF!</v>
      </c>
      <c r="HZ135" t="e">
        <f>AND('BBP complete'!#REF!,"AAAAAG6X5uk=")</f>
        <v>#REF!</v>
      </c>
      <c r="IA135" t="e">
        <f>AND('BBP complete'!#REF!,"AAAAAG6X5uo=")</f>
        <v>#REF!</v>
      </c>
      <c r="IB135" t="e">
        <f>AND('BBP complete'!#REF!,"AAAAAG6X5us=")</f>
        <v>#REF!</v>
      </c>
      <c r="IC135" t="e">
        <f>AND('BBP complete'!#REF!,"AAAAAG6X5uw=")</f>
        <v>#REF!</v>
      </c>
      <c r="ID135" t="e">
        <f>AND('BBP complete'!#REF!,"AAAAAG6X5u0=")</f>
        <v>#REF!</v>
      </c>
      <c r="IE135" t="e">
        <f>AND('BBP complete'!#REF!,"AAAAAG6X5u4=")</f>
        <v>#REF!</v>
      </c>
      <c r="IF135" t="e">
        <f>AND('BBP complete'!#REF!,"AAAAAG6X5u8=")</f>
        <v>#REF!</v>
      </c>
      <c r="IG135" t="e">
        <f>AND('BBP complete'!#REF!,"AAAAAG6X5vA=")</f>
        <v>#REF!</v>
      </c>
      <c r="IH135" t="e">
        <f>AND('BBP complete'!#REF!,"AAAAAG6X5vE=")</f>
        <v>#REF!</v>
      </c>
      <c r="II135" t="e">
        <f>AND('BBP complete'!#REF!,"AAAAAG6X5vI=")</f>
        <v>#REF!</v>
      </c>
      <c r="IJ135" t="e">
        <f>AND('BBP complete'!#REF!,"AAAAAG6X5vM=")</f>
        <v>#REF!</v>
      </c>
      <c r="IK135" t="e">
        <f>AND('BBP complete'!#REF!,"AAAAAG6X5vQ=")</f>
        <v>#REF!</v>
      </c>
      <c r="IL135" t="e">
        <f>AND('BBP complete'!#REF!,"AAAAAG6X5vU=")</f>
        <v>#REF!</v>
      </c>
      <c r="IM135" t="e">
        <f>AND('BBP complete'!#REF!,"AAAAAG6X5vY=")</f>
        <v>#REF!</v>
      </c>
      <c r="IN135" t="e">
        <f>AND('BBP complete'!#REF!,"AAAAAG6X5vc=")</f>
        <v>#REF!</v>
      </c>
      <c r="IO135" t="e">
        <f>AND('BBP complete'!#REF!,"AAAAAG6X5vg=")</f>
        <v>#REF!</v>
      </c>
      <c r="IP135" t="e">
        <f>AND('BBP complete'!#REF!,"AAAAAG6X5vk=")</f>
        <v>#REF!</v>
      </c>
      <c r="IQ135" t="e">
        <f>AND('BBP complete'!#REF!,"AAAAAG6X5vo=")</f>
        <v>#REF!</v>
      </c>
      <c r="IR135" t="e">
        <f>AND('BBP complete'!#REF!,"AAAAAG6X5vs=")</f>
        <v>#REF!</v>
      </c>
      <c r="IS135" t="e">
        <f>AND('BBP complete'!#REF!,"AAAAAG6X5vw=")</f>
        <v>#REF!</v>
      </c>
      <c r="IT135" t="e">
        <f>AND('BBP complete'!#REF!,"AAAAAG6X5v0=")</f>
        <v>#REF!</v>
      </c>
      <c r="IU135" t="e">
        <f>AND('BBP complete'!#REF!,"AAAAAG6X5v4=")</f>
        <v>#REF!</v>
      </c>
      <c r="IV135" t="e">
        <f>AND('BBP complete'!#REF!,"AAAAAG6X5v8=")</f>
        <v>#REF!</v>
      </c>
    </row>
    <row r="136" spans="1:256" ht="15" customHeight="1" x14ac:dyDescent="0.25">
      <c r="A136" t="e">
        <f>AND('BBP complete'!#REF!,"AAAAAH5/7wA=")</f>
        <v>#REF!</v>
      </c>
      <c r="B136" t="e">
        <f>AND('BBP complete'!#REF!,"AAAAAH5/7wE=")</f>
        <v>#REF!</v>
      </c>
      <c r="C136" t="e">
        <f>AND('BBP complete'!#REF!,"AAAAAH5/7wI=")</f>
        <v>#REF!</v>
      </c>
      <c r="D136" t="e">
        <f>AND('BBP complete'!#REF!,"AAAAAH5/7wM=")</f>
        <v>#REF!</v>
      </c>
      <c r="E136" t="e">
        <f>AND('BBP complete'!#REF!,"AAAAAH5/7wQ=")</f>
        <v>#REF!</v>
      </c>
      <c r="F136" t="e">
        <f>AND('BBP complete'!#REF!,"AAAAAH5/7wU=")</f>
        <v>#REF!</v>
      </c>
      <c r="G136" t="e">
        <f>AND('BBP complete'!#REF!,"AAAAAH5/7wY=")</f>
        <v>#REF!</v>
      </c>
      <c r="H136" t="e">
        <f>AND('BBP complete'!#REF!,"AAAAAH5/7wc=")</f>
        <v>#REF!</v>
      </c>
      <c r="I136" t="e">
        <f>AND('BBP complete'!#REF!,"AAAAAH5/7wg=")</f>
        <v>#REF!</v>
      </c>
      <c r="J136" t="e">
        <f>AND('BBP complete'!#REF!,"AAAAAH5/7wk=")</f>
        <v>#REF!</v>
      </c>
      <c r="K136" t="e">
        <f>AND('BBP complete'!#REF!,"AAAAAH5/7wo=")</f>
        <v>#REF!</v>
      </c>
      <c r="L136" t="e">
        <f>AND('BBP complete'!#REF!,"AAAAAH5/7ws=")</f>
        <v>#REF!</v>
      </c>
      <c r="M136" t="e">
        <f>AND('BBP complete'!#REF!,"AAAAAH5/7ww=")</f>
        <v>#REF!</v>
      </c>
      <c r="N136" t="e">
        <f>AND('BBP complete'!#REF!,"AAAAAH5/7w0=")</f>
        <v>#REF!</v>
      </c>
      <c r="O136" t="e">
        <f>AND('BBP complete'!#REF!,"AAAAAH5/7w4=")</f>
        <v>#REF!</v>
      </c>
      <c r="P136" t="e">
        <f>AND('BBP complete'!#REF!,"AAAAAH5/7w8=")</f>
        <v>#REF!</v>
      </c>
      <c r="Q136" t="e">
        <f>AND('BBP complete'!#REF!,"AAAAAH5/7xA=")</f>
        <v>#REF!</v>
      </c>
      <c r="R136" t="e">
        <f>AND('BBP complete'!#REF!,"AAAAAH5/7xE=")</f>
        <v>#REF!</v>
      </c>
      <c r="S136" t="e">
        <f>AND('BBP complete'!#REF!,"AAAAAH5/7xI=")</f>
        <v>#REF!</v>
      </c>
      <c r="T136" t="e">
        <f>AND('BBP complete'!#REF!,"AAAAAH5/7xM=")</f>
        <v>#REF!</v>
      </c>
      <c r="U136" t="e">
        <f>AND('BBP complete'!#REF!,"AAAAAH5/7xQ=")</f>
        <v>#REF!</v>
      </c>
      <c r="V136" t="e">
        <f>AND('BBP complete'!#REF!,"AAAAAH5/7xU=")</f>
        <v>#REF!</v>
      </c>
      <c r="W136" t="e">
        <f>AND('BBP complete'!#REF!,"AAAAAH5/7xY=")</f>
        <v>#REF!</v>
      </c>
      <c r="X136" t="e">
        <f>AND('BBP complete'!#REF!,"AAAAAH5/7xc=")</f>
        <v>#REF!</v>
      </c>
      <c r="Y136" t="e">
        <f>AND('BBP complete'!#REF!,"AAAAAH5/7xg=")</f>
        <v>#REF!</v>
      </c>
      <c r="Z136" t="e">
        <f>AND('BBP complete'!#REF!,"AAAAAH5/7xk=")</f>
        <v>#REF!</v>
      </c>
      <c r="AA136" t="e">
        <f>AND('BBP complete'!#REF!,"AAAAAH5/7xo=")</f>
        <v>#REF!</v>
      </c>
      <c r="AB136" t="e">
        <f>AND('BBP complete'!#REF!,"AAAAAH5/7xs=")</f>
        <v>#REF!</v>
      </c>
      <c r="AC136" t="e">
        <f>AND('BBP complete'!#REF!,"AAAAAH5/7xw=")</f>
        <v>#REF!</v>
      </c>
      <c r="AD136" t="e">
        <f>AND('BBP complete'!#REF!,"AAAAAH5/7x0=")</f>
        <v>#REF!</v>
      </c>
      <c r="AE136" t="e">
        <f>AND('BBP complete'!#REF!,"AAAAAH5/7x4=")</f>
        <v>#REF!</v>
      </c>
      <c r="AF136" t="e">
        <f>AND('BBP complete'!#REF!,"AAAAAH5/7x8=")</f>
        <v>#REF!</v>
      </c>
      <c r="AG136" t="e">
        <f>AND('BBP complete'!#REF!,"AAAAAH5/7yA=")</f>
        <v>#REF!</v>
      </c>
      <c r="AH136" t="e">
        <f>AND('BBP complete'!#REF!,"AAAAAH5/7yE=")</f>
        <v>#REF!</v>
      </c>
      <c r="AI136" t="e">
        <f>AND('BBP complete'!#REF!,"AAAAAH5/7yI=")</f>
        <v>#REF!</v>
      </c>
      <c r="AJ136" t="e">
        <f>AND('BBP complete'!#REF!,"AAAAAH5/7yM=")</f>
        <v>#REF!</v>
      </c>
      <c r="AK136" t="e">
        <f>AND('BBP complete'!#REF!,"AAAAAH5/7yQ=")</f>
        <v>#REF!</v>
      </c>
      <c r="AL136" t="e">
        <f>AND('BBP complete'!#REF!,"AAAAAH5/7yU=")</f>
        <v>#REF!</v>
      </c>
      <c r="AM136" t="e">
        <f>AND('BBP complete'!#REF!,"AAAAAH5/7yY=")</f>
        <v>#REF!</v>
      </c>
      <c r="AN136" t="e">
        <f>AND('BBP complete'!#REF!,"AAAAAH5/7yc=")</f>
        <v>#REF!</v>
      </c>
      <c r="AO136" t="e">
        <f>AND('BBP complete'!#REF!,"AAAAAH5/7yg=")</f>
        <v>#REF!</v>
      </c>
      <c r="AP136" t="e">
        <f>AND('BBP complete'!#REF!,"AAAAAH5/7yk=")</f>
        <v>#REF!</v>
      </c>
      <c r="AQ136" t="e">
        <f>AND('BBP complete'!#REF!,"AAAAAH5/7yo=")</f>
        <v>#REF!</v>
      </c>
      <c r="AR136" t="e">
        <f>AND('BBP complete'!#REF!,"AAAAAH5/7ys=")</f>
        <v>#REF!</v>
      </c>
      <c r="AS136" t="e">
        <f>AND('BBP complete'!#REF!,"AAAAAH5/7yw=")</f>
        <v>#REF!</v>
      </c>
      <c r="AT136" t="e">
        <f>AND('BBP complete'!#REF!,"AAAAAH5/7y0=")</f>
        <v>#REF!</v>
      </c>
      <c r="AU136" t="e">
        <f>AND('BBP complete'!#REF!,"AAAAAH5/7y4=")</f>
        <v>#REF!</v>
      </c>
      <c r="AV136" t="e">
        <f>AND('BBP complete'!#REF!,"AAAAAH5/7y8=")</f>
        <v>#REF!</v>
      </c>
      <c r="AW136" t="e">
        <f>AND('BBP complete'!#REF!,"AAAAAH5/7zA=")</f>
        <v>#REF!</v>
      </c>
      <c r="AX136" t="e">
        <f>AND('BBP complete'!#REF!,"AAAAAH5/7zE=")</f>
        <v>#REF!</v>
      </c>
      <c r="AY136" t="e">
        <f>AND('BBP complete'!#REF!,"AAAAAH5/7zI=")</f>
        <v>#REF!</v>
      </c>
      <c r="AZ136" t="e">
        <f>AND('BBP complete'!#REF!,"AAAAAH5/7zM=")</f>
        <v>#REF!</v>
      </c>
      <c r="BA136" t="e">
        <f>AND('BBP complete'!#REF!,"AAAAAH5/7zQ=")</f>
        <v>#REF!</v>
      </c>
      <c r="BB136" t="e">
        <f>AND('BBP complete'!#REF!,"AAAAAH5/7zU=")</f>
        <v>#REF!</v>
      </c>
      <c r="BC136" t="e">
        <f>AND('BBP complete'!#REF!,"AAAAAH5/7zY=")</f>
        <v>#REF!</v>
      </c>
      <c r="BD136" t="e">
        <f>AND('BBP complete'!#REF!,"AAAAAH5/7zc=")</f>
        <v>#REF!</v>
      </c>
      <c r="BE136" t="e">
        <f>AND('BBP complete'!#REF!,"AAAAAH5/7zg=")</f>
        <v>#REF!</v>
      </c>
      <c r="BF136" t="e">
        <f>AND('BBP complete'!#REF!,"AAAAAH5/7zk=")</f>
        <v>#REF!</v>
      </c>
      <c r="BG136" t="e">
        <f>AND('BBP complete'!#REF!,"AAAAAH5/7zo=")</f>
        <v>#REF!</v>
      </c>
      <c r="BH136" t="e">
        <f>AND('BBP complete'!#REF!,"AAAAAH5/7zs=")</f>
        <v>#REF!</v>
      </c>
      <c r="BI136" t="e">
        <f>AND('BBP complete'!#REF!,"AAAAAH5/7zw=")</f>
        <v>#REF!</v>
      </c>
      <c r="BJ136" t="e">
        <f>AND('BBP complete'!#REF!,"AAAAAH5/7z0=")</f>
        <v>#REF!</v>
      </c>
      <c r="BK136" t="e">
        <f>AND('BBP complete'!#REF!,"AAAAAH5/7z4=")</f>
        <v>#REF!</v>
      </c>
      <c r="BL136" t="e">
        <f>AND('BBP complete'!#REF!,"AAAAAH5/7z8=")</f>
        <v>#REF!</v>
      </c>
      <c r="BM136" t="e">
        <f>AND('BBP complete'!#REF!,"AAAAAH5/70A=")</f>
        <v>#REF!</v>
      </c>
      <c r="BN136" t="e">
        <f>AND('BBP complete'!#REF!,"AAAAAH5/70E=")</f>
        <v>#REF!</v>
      </c>
      <c r="BO136" t="e">
        <f>AND('BBP complete'!#REF!,"AAAAAH5/70I=")</f>
        <v>#REF!</v>
      </c>
      <c r="BP136" t="e">
        <f>AND('BBP complete'!#REF!,"AAAAAH5/70M=")</f>
        <v>#REF!</v>
      </c>
      <c r="BQ136" t="e">
        <f>AND('BBP complete'!#REF!,"AAAAAH5/70Q=")</f>
        <v>#REF!</v>
      </c>
      <c r="BR136" t="e">
        <f>AND('BBP complete'!#REF!,"AAAAAH5/70U=")</f>
        <v>#REF!</v>
      </c>
      <c r="BS136" t="e">
        <f>AND('BBP complete'!#REF!,"AAAAAH5/70Y=")</f>
        <v>#REF!</v>
      </c>
      <c r="BT136" t="e">
        <f>AND('BBP complete'!#REF!,"AAAAAH5/70c=")</f>
        <v>#REF!</v>
      </c>
      <c r="BU136" t="e">
        <f>AND('BBP complete'!#REF!,"AAAAAH5/70g=")</f>
        <v>#REF!</v>
      </c>
      <c r="BV136" t="e">
        <f>AND('BBP complete'!#REF!,"AAAAAH5/70k=")</f>
        <v>#REF!</v>
      </c>
      <c r="BW136" t="e">
        <f>AND('BBP complete'!#REF!,"AAAAAH5/70o=")</f>
        <v>#REF!</v>
      </c>
      <c r="BX136" t="e">
        <f>AND('BBP complete'!#REF!,"AAAAAH5/70s=")</f>
        <v>#REF!</v>
      </c>
      <c r="BY136" t="e">
        <f>AND('BBP complete'!#REF!,"AAAAAH5/70w=")</f>
        <v>#REF!</v>
      </c>
      <c r="BZ136" t="e">
        <f>AND('BBP complete'!#REF!,"AAAAAH5/700=")</f>
        <v>#REF!</v>
      </c>
      <c r="CA136" t="e">
        <f>AND('BBP complete'!#REF!,"AAAAAH5/704=")</f>
        <v>#REF!</v>
      </c>
      <c r="CB136" t="e">
        <f>AND('BBP complete'!#REF!,"AAAAAH5/708=")</f>
        <v>#REF!</v>
      </c>
      <c r="CC136" t="e">
        <f>AND('BBP complete'!#REF!,"AAAAAH5/71A=")</f>
        <v>#REF!</v>
      </c>
      <c r="CD136" t="e">
        <f>AND('BBP complete'!#REF!,"AAAAAH5/71E=")</f>
        <v>#REF!</v>
      </c>
      <c r="CE136" t="e">
        <f>AND('BBP complete'!#REF!,"AAAAAH5/71I=")</f>
        <v>#REF!</v>
      </c>
      <c r="CF136" t="e">
        <f>AND('BBP complete'!#REF!,"AAAAAH5/71M=")</f>
        <v>#REF!</v>
      </c>
      <c r="CG136" t="e">
        <f>AND('BBP complete'!#REF!,"AAAAAH5/71Q=")</f>
        <v>#REF!</v>
      </c>
      <c r="CH136" t="e">
        <f>AND('BBP complete'!#REF!,"AAAAAH5/71U=")</f>
        <v>#REF!</v>
      </c>
      <c r="CI136" t="e">
        <f>AND('BBP complete'!#REF!,"AAAAAH5/71Y=")</f>
        <v>#REF!</v>
      </c>
      <c r="CJ136" t="e">
        <f>AND('BBP complete'!#REF!,"AAAAAH5/71c=")</f>
        <v>#REF!</v>
      </c>
      <c r="CK136" t="e">
        <f>AND('BBP complete'!#REF!,"AAAAAH5/71g=")</f>
        <v>#REF!</v>
      </c>
      <c r="CL136" t="e">
        <f>AND('BBP complete'!#REF!,"AAAAAH5/71k=")</f>
        <v>#REF!</v>
      </c>
      <c r="CM136" t="e">
        <f>AND('BBP complete'!#REF!,"AAAAAH5/71o=")</f>
        <v>#REF!</v>
      </c>
      <c r="CN136" t="e">
        <f>AND('BBP complete'!#REF!,"AAAAAH5/71s=")</f>
        <v>#REF!</v>
      </c>
      <c r="CO136" t="e">
        <f>AND('BBP complete'!#REF!,"AAAAAH5/71w=")</f>
        <v>#REF!</v>
      </c>
      <c r="CP136" t="e">
        <f>AND('BBP complete'!#REF!,"AAAAAH5/710=")</f>
        <v>#REF!</v>
      </c>
      <c r="CQ136" t="e">
        <f>AND('BBP complete'!#REF!,"AAAAAH5/714=")</f>
        <v>#REF!</v>
      </c>
      <c r="CR136" t="e">
        <f>AND('BBP complete'!#REF!,"AAAAAH5/718=")</f>
        <v>#REF!</v>
      </c>
      <c r="CS136" t="e">
        <f>AND('BBP complete'!#REF!,"AAAAAH5/72A=")</f>
        <v>#REF!</v>
      </c>
      <c r="CT136" t="e">
        <f>AND('BBP complete'!#REF!,"AAAAAH5/72E=")</f>
        <v>#REF!</v>
      </c>
      <c r="CU136" t="e">
        <f>AND('BBP complete'!#REF!,"AAAAAH5/72I=")</f>
        <v>#REF!</v>
      </c>
      <c r="CV136" t="e">
        <f>AND('BBP complete'!#REF!,"AAAAAH5/72M=")</f>
        <v>#REF!</v>
      </c>
      <c r="CW136" t="e">
        <f>AND('BBP complete'!#REF!,"AAAAAH5/72Q=")</f>
        <v>#REF!</v>
      </c>
      <c r="CX136" t="e">
        <f>AND('BBP complete'!#REF!,"AAAAAH5/72U=")</f>
        <v>#REF!</v>
      </c>
      <c r="CY136" t="e">
        <f>AND('BBP complete'!#REF!,"AAAAAH5/72Y=")</f>
        <v>#REF!</v>
      </c>
      <c r="CZ136" t="e">
        <f>AND('BBP complete'!#REF!,"AAAAAH5/72c=")</f>
        <v>#REF!</v>
      </c>
      <c r="DA136" t="e">
        <f>AND('BBP complete'!#REF!,"AAAAAH5/72g=")</f>
        <v>#REF!</v>
      </c>
      <c r="DB136" t="e">
        <f>AND('BBP complete'!#REF!,"AAAAAH5/72k=")</f>
        <v>#REF!</v>
      </c>
      <c r="DC136" t="e">
        <f>AND('BBP complete'!#REF!,"AAAAAH5/72o=")</f>
        <v>#REF!</v>
      </c>
      <c r="DD136" t="e">
        <f>AND('BBP complete'!#REF!,"AAAAAH5/72s=")</f>
        <v>#REF!</v>
      </c>
      <c r="DE136" t="e">
        <f>AND('BBP complete'!#REF!,"AAAAAH5/72w=")</f>
        <v>#REF!</v>
      </c>
      <c r="DF136" t="e">
        <f>AND('BBP complete'!#REF!,"AAAAAH5/720=")</f>
        <v>#REF!</v>
      </c>
      <c r="DG136" t="e">
        <f>AND('BBP complete'!#REF!,"AAAAAH5/724=")</f>
        <v>#REF!</v>
      </c>
      <c r="DH136" t="e">
        <f>AND('BBP complete'!#REF!,"AAAAAH5/728=")</f>
        <v>#REF!</v>
      </c>
      <c r="DI136" t="e">
        <f>AND('BBP complete'!#REF!,"AAAAAH5/73A=")</f>
        <v>#REF!</v>
      </c>
      <c r="DJ136" t="e">
        <f>AND('BBP complete'!#REF!,"AAAAAH5/73E=")</f>
        <v>#REF!</v>
      </c>
      <c r="DK136" t="e">
        <f>AND('BBP complete'!#REF!,"AAAAAH5/73I=")</f>
        <v>#REF!</v>
      </c>
      <c r="DL136" t="e">
        <f>AND('BBP complete'!#REF!,"AAAAAH5/73M=")</f>
        <v>#REF!</v>
      </c>
      <c r="DM136" t="e">
        <f>AND('BBP complete'!#REF!,"AAAAAH5/73Q=")</f>
        <v>#REF!</v>
      </c>
      <c r="DN136" t="e">
        <f>AND('BBP complete'!#REF!,"AAAAAH5/73U=")</f>
        <v>#REF!</v>
      </c>
      <c r="DO136" t="e">
        <f>AND('BBP complete'!#REF!,"AAAAAH5/73Y=")</f>
        <v>#REF!</v>
      </c>
      <c r="DP136" t="e">
        <f>AND('BBP complete'!#REF!,"AAAAAH5/73c=")</f>
        <v>#REF!</v>
      </c>
      <c r="DQ136" t="e">
        <f>AND('BBP complete'!#REF!,"AAAAAH5/73g=")</f>
        <v>#REF!</v>
      </c>
      <c r="DR136" t="e">
        <f>AND('BBP complete'!#REF!,"AAAAAH5/73k=")</f>
        <v>#REF!</v>
      </c>
      <c r="DS136" t="e">
        <f>AND('BBP complete'!#REF!,"AAAAAH5/73o=")</f>
        <v>#REF!</v>
      </c>
      <c r="DT136" t="e">
        <f>AND('BBP complete'!#REF!,"AAAAAH5/73s=")</f>
        <v>#REF!</v>
      </c>
      <c r="DU136" t="e">
        <f>AND('BBP complete'!#REF!,"AAAAAH5/73w=")</f>
        <v>#REF!</v>
      </c>
      <c r="DV136" t="e">
        <f>AND('BBP complete'!#REF!,"AAAAAH5/730=")</f>
        <v>#REF!</v>
      </c>
      <c r="DW136" t="e">
        <f>AND('BBP complete'!#REF!,"AAAAAH5/734=")</f>
        <v>#REF!</v>
      </c>
      <c r="DX136" t="e">
        <f>AND('BBP complete'!#REF!,"AAAAAH5/738=")</f>
        <v>#REF!</v>
      </c>
      <c r="DY136" t="e">
        <f>AND('BBP complete'!#REF!,"AAAAAH5/74A=")</f>
        <v>#REF!</v>
      </c>
      <c r="DZ136" t="e">
        <f>AND('BBP complete'!#REF!,"AAAAAH5/74E=")</f>
        <v>#REF!</v>
      </c>
      <c r="EA136" t="e">
        <f>AND('BBP complete'!#REF!,"AAAAAH5/74I=")</f>
        <v>#REF!</v>
      </c>
      <c r="EB136" t="e">
        <f>AND('BBP complete'!#REF!,"AAAAAH5/74M=")</f>
        <v>#REF!</v>
      </c>
      <c r="EC136" t="e">
        <f>AND('BBP complete'!#REF!,"AAAAAH5/74Q=")</f>
        <v>#REF!</v>
      </c>
      <c r="ED136" t="e">
        <f>AND('BBP complete'!#REF!,"AAAAAH5/74U=")</f>
        <v>#REF!</v>
      </c>
      <c r="EE136" t="e">
        <f>AND('BBP complete'!#REF!,"AAAAAH5/74Y=")</f>
        <v>#REF!</v>
      </c>
      <c r="EF136" t="e">
        <f>AND('BBP complete'!#REF!,"AAAAAH5/74c=")</f>
        <v>#REF!</v>
      </c>
      <c r="EG136" t="e">
        <f>AND('BBP complete'!#REF!,"AAAAAH5/74g=")</f>
        <v>#REF!</v>
      </c>
      <c r="EH136" t="e">
        <f>AND('BBP complete'!#REF!,"AAAAAH5/74k=")</f>
        <v>#REF!</v>
      </c>
      <c r="EI136" t="e">
        <f>AND('BBP complete'!#REF!,"AAAAAH5/74o=")</f>
        <v>#REF!</v>
      </c>
      <c r="EJ136" t="e">
        <f>AND('BBP complete'!#REF!,"AAAAAH5/74s=")</f>
        <v>#REF!</v>
      </c>
      <c r="EK136" t="e">
        <f>AND('BBP complete'!#REF!,"AAAAAH5/74w=")</f>
        <v>#REF!</v>
      </c>
      <c r="EL136" t="e">
        <f>AND('BBP complete'!#REF!,"AAAAAH5/740=")</f>
        <v>#REF!</v>
      </c>
      <c r="EM136" t="e">
        <f>AND('BBP complete'!#REF!,"AAAAAH5/744=")</f>
        <v>#REF!</v>
      </c>
      <c r="EN136" t="e">
        <f>AND('BBP complete'!#REF!,"AAAAAH5/748=")</f>
        <v>#REF!</v>
      </c>
      <c r="EO136" t="e">
        <f>AND('BBP complete'!#REF!,"AAAAAH5/75A=")</f>
        <v>#REF!</v>
      </c>
      <c r="EP136" t="e">
        <f>AND('BBP complete'!#REF!,"AAAAAH5/75E=")</f>
        <v>#REF!</v>
      </c>
      <c r="EQ136" t="e">
        <f>AND('BBP complete'!#REF!,"AAAAAH5/75I=")</f>
        <v>#REF!</v>
      </c>
      <c r="ER136" t="e">
        <f>AND('BBP complete'!#REF!,"AAAAAH5/75M=")</f>
        <v>#REF!</v>
      </c>
      <c r="ES136" t="e">
        <f>AND('BBP complete'!#REF!,"AAAAAH5/75Q=")</f>
        <v>#REF!</v>
      </c>
      <c r="ET136" t="e">
        <f>AND('BBP complete'!#REF!,"AAAAAH5/75U=")</f>
        <v>#REF!</v>
      </c>
      <c r="EU136" t="e">
        <f>AND('BBP complete'!#REF!,"AAAAAH5/75Y=")</f>
        <v>#REF!</v>
      </c>
      <c r="EV136" t="e">
        <f>AND('BBP complete'!Q1450,"AAAAAH5/75c=")</f>
        <v>#VALUE!</v>
      </c>
      <c r="EW136" t="e">
        <f>AND('BBP complete'!R1450,"AAAAAH5/75g=")</f>
        <v>#VALUE!</v>
      </c>
      <c r="EX136" t="e">
        <f>AND('BBP complete'!S1450,"AAAAAH5/75k=")</f>
        <v>#VALUE!</v>
      </c>
      <c r="EY136" t="e">
        <f>AND('BBP complete'!Q1451,"AAAAAH5/75o=")</f>
        <v>#VALUE!</v>
      </c>
      <c r="EZ136" t="e">
        <f>AND('BBP complete'!R1451,"AAAAAH5/75s=")</f>
        <v>#VALUE!</v>
      </c>
      <c r="FA136" t="e">
        <f>AND('BBP complete'!S1451,"AAAAAH5/75w=")</f>
        <v>#VALUE!</v>
      </c>
      <c r="FB136" t="e">
        <f>AND('BBP complete'!Q1452,"AAAAAH5/750=")</f>
        <v>#VALUE!</v>
      </c>
      <c r="FC136" t="e">
        <f>AND('BBP complete'!R1452,"AAAAAH5/754=")</f>
        <v>#VALUE!</v>
      </c>
      <c r="FD136" t="e">
        <f>AND('BBP complete'!S1452,"AAAAAH5/758=")</f>
        <v>#VALUE!</v>
      </c>
      <c r="FE136" t="e">
        <f>AND('BBP complete'!Q1453,"AAAAAH5/76A=")</f>
        <v>#VALUE!</v>
      </c>
      <c r="FF136" t="e">
        <f>AND('BBP complete'!R1453,"AAAAAH5/76E=")</f>
        <v>#VALUE!</v>
      </c>
      <c r="FG136" t="e">
        <f>AND('BBP complete'!S1453,"AAAAAH5/76I=")</f>
        <v>#VALUE!</v>
      </c>
      <c r="FH136" t="e">
        <f>AND('BBP complete'!Q1391,"AAAAAH5/76M=")</f>
        <v>#VALUE!</v>
      </c>
      <c r="FI136" t="e">
        <f>AND('BBP complete'!R1391,"AAAAAH5/76Q=")</f>
        <v>#VALUE!</v>
      </c>
      <c r="FJ136" t="e">
        <f>AND('BBP complete'!S1391,"AAAAAH5/76U=")</f>
        <v>#VALUE!</v>
      </c>
      <c r="FK136" t="e">
        <f>AND('BBP complete'!Q1392,"AAAAAH5/76Y=")</f>
        <v>#VALUE!</v>
      </c>
      <c r="FL136" t="e">
        <f>AND('BBP complete'!R1392,"AAAAAH5/76c=")</f>
        <v>#VALUE!</v>
      </c>
      <c r="FM136" t="e">
        <f>AND('BBP complete'!S1392,"AAAAAH5/76g=")</f>
        <v>#VALUE!</v>
      </c>
      <c r="FN136" t="e">
        <f>AND('BBP complete'!Q1393,"AAAAAH5/76k=")</f>
        <v>#VALUE!</v>
      </c>
      <c r="FO136" t="e">
        <f>AND('BBP complete'!R1393,"AAAAAH5/76o=")</f>
        <v>#VALUE!</v>
      </c>
      <c r="FP136" t="e">
        <f>AND('BBP complete'!S1393,"AAAAAH5/76s=")</f>
        <v>#VALUE!</v>
      </c>
      <c r="FQ136" t="e">
        <f>AND('BBP complete'!Q1394,"AAAAAH5/76w=")</f>
        <v>#VALUE!</v>
      </c>
      <c r="FR136" t="e">
        <f>AND('BBP complete'!R1394,"AAAAAH5/760=")</f>
        <v>#VALUE!</v>
      </c>
      <c r="FS136" t="e">
        <f>AND('BBP complete'!S1394,"AAAAAH5/764=")</f>
        <v>#VALUE!</v>
      </c>
      <c r="FT136" t="e">
        <f>AND('BBP complete'!Q1395,"AAAAAH5/768=")</f>
        <v>#VALUE!</v>
      </c>
      <c r="FU136" t="e">
        <f>AND('BBP complete'!R1395,"AAAAAH5/77A=")</f>
        <v>#VALUE!</v>
      </c>
      <c r="FV136" t="e">
        <f>AND('BBP complete'!S1395,"AAAAAH5/77E=")</f>
        <v>#VALUE!</v>
      </c>
      <c r="FW136" t="e">
        <f>AND('BBP complete'!Q1396,"AAAAAH5/77I=")</f>
        <v>#VALUE!</v>
      </c>
      <c r="FX136" t="e">
        <f>AND('BBP complete'!R1396,"AAAAAH5/77M=")</f>
        <v>#VALUE!</v>
      </c>
      <c r="FY136" t="e">
        <f>AND('BBP complete'!S1396,"AAAAAH5/77Q=")</f>
        <v>#VALUE!</v>
      </c>
      <c r="FZ136" t="e">
        <f>AND('BBP complete'!Q1397,"AAAAAH5/77U=")</f>
        <v>#VALUE!</v>
      </c>
      <c r="GA136" t="e">
        <f>AND('BBP complete'!R1397,"AAAAAH5/77Y=")</f>
        <v>#VALUE!</v>
      </c>
      <c r="GB136" t="e">
        <f>AND('BBP complete'!S1397,"AAAAAH5/77c=")</f>
        <v>#VALUE!</v>
      </c>
      <c r="GC136" t="e">
        <f>AND('BBP complete'!Q1398,"AAAAAH5/77g=")</f>
        <v>#VALUE!</v>
      </c>
      <c r="GD136" t="e">
        <f>AND('BBP complete'!R1398,"AAAAAH5/77k=")</f>
        <v>#VALUE!</v>
      </c>
      <c r="GE136" t="e">
        <f>AND('BBP complete'!S1398,"AAAAAH5/77o=")</f>
        <v>#VALUE!</v>
      </c>
      <c r="GF136" t="e">
        <f>AND('BBP complete'!Q1399,"AAAAAH5/77s=")</f>
        <v>#VALUE!</v>
      </c>
      <c r="GG136" t="e">
        <f>AND('BBP complete'!R1399,"AAAAAH5/77w=")</f>
        <v>#VALUE!</v>
      </c>
      <c r="GH136" t="e">
        <f>AND('BBP complete'!S1399,"AAAAAH5/770=")</f>
        <v>#VALUE!</v>
      </c>
      <c r="GI136" t="e">
        <f>AND('BBP complete'!Q1400,"AAAAAH5/774=")</f>
        <v>#VALUE!</v>
      </c>
      <c r="GJ136" t="e">
        <f>AND('BBP complete'!R1400,"AAAAAH5/778=")</f>
        <v>#VALUE!</v>
      </c>
      <c r="GK136" t="e">
        <f>AND('BBP complete'!S1400,"AAAAAH5/78A=")</f>
        <v>#VALUE!</v>
      </c>
      <c r="GL136" t="e">
        <f>AND('BBP complete'!Q1401,"AAAAAH5/78E=")</f>
        <v>#VALUE!</v>
      </c>
      <c r="GM136" t="e">
        <f>AND('BBP complete'!R1401,"AAAAAH5/78I=")</f>
        <v>#VALUE!</v>
      </c>
      <c r="GN136" t="e">
        <f>AND('BBP complete'!S1401,"AAAAAH5/78M=")</f>
        <v>#VALUE!</v>
      </c>
      <c r="GO136" t="e">
        <f>AND('BBP complete'!Q1402,"AAAAAH5/78Q=")</f>
        <v>#VALUE!</v>
      </c>
      <c r="GP136" t="e">
        <f>AND('BBP complete'!R1402,"AAAAAH5/78U=")</f>
        <v>#VALUE!</v>
      </c>
      <c r="GQ136" t="e">
        <f>AND('BBP complete'!S1402,"AAAAAH5/78Y=")</f>
        <v>#VALUE!</v>
      </c>
      <c r="GR136" t="e">
        <f>AND('BBP complete'!Q1403,"AAAAAH5/78c=")</f>
        <v>#VALUE!</v>
      </c>
      <c r="GS136" t="e">
        <f>AND('BBP complete'!R1403,"AAAAAH5/78g=")</f>
        <v>#VALUE!</v>
      </c>
      <c r="GT136" t="e">
        <f>AND('BBP complete'!S1403,"AAAAAH5/78k=")</f>
        <v>#VALUE!</v>
      </c>
      <c r="GU136" t="e">
        <f>AND('BBP complete'!Q1404,"AAAAAH5/78o=")</f>
        <v>#VALUE!</v>
      </c>
      <c r="GV136" t="e">
        <f>AND('BBP complete'!R1404,"AAAAAH5/78s=")</f>
        <v>#VALUE!</v>
      </c>
      <c r="GW136" t="e">
        <f>AND('BBP complete'!S1404,"AAAAAH5/78w=")</f>
        <v>#VALUE!</v>
      </c>
      <c r="GX136" t="e">
        <f>AND('BBP complete'!Q1405,"AAAAAH5/780=")</f>
        <v>#VALUE!</v>
      </c>
      <c r="GY136" t="e">
        <f>AND('BBP complete'!R1405,"AAAAAH5/784=")</f>
        <v>#VALUE!</v>
      </c>
      <c r="GZ136" t="e">
        <f>AND('BBP complete'!S1405,"AAAAAH5/788=")</f>
        <v>#VALUE!</v>
      </c>
      <c r="HA136" t="e">
        <f>AND('BBP complete'!Q1406,"AAAAAH5/79A=")</f>
        <v>#VALUE!</v>
      </c>
      <c r="HB136" t="e">
        <f>AND('BBP complete'!R1406,"AAAAAH5/79E=")</f>
        <v>#VALUE!</v>
      </c>
      <c r="HC136" t="e">
        <f>AND('BBP complete'!S1406,"AAAAAH5/79I=")</f>
        <v>#VALUE!</v>
      </c>
      <c r="HD136" t="e">
        <f>AND('BBP complete'!Q1407,"AAAAAH5/79M=")</f>
        <v>#VALUE!</v>
      </c>
      <c r="HE136" t="e">
        <f>AND('BBP complete'!R1407,"AAAAAH5/79Q=")</f>
        <v>#VALUE!</v>
      </c>
      <c r="HF136" t="e">
        <f>AND('BBP complete'!S1407,"AAAAAH5/79U=")</f>
        <v>#VALUE!</v>
      </c>
      <c r="HG136" t="e">
        <f>AND('BBP complete'!Q1408,"AAAAAH5/79Y=")</f>
        <v>#VALUE!</v>
      </c>
      <c r="HH136" t="e">
        <f>AND('BBP complete'!R1408,"AAAAAH5/79c=")</f>
        <v>#VALUE!</v>
      </c>
      <c r="HI136" t="e">
        <f>AND('BBP complete'!S1408,"AAAAAH5/79g=")</f>
        <v>#VALUE!</v>
      </c>
      <c r="HJ136" t="e">
        <f>AND('BBP complete'!Q1409,"AAAAAH5/79k=")</f>
        <v>#VALUE!</v>
      </c>
      <c r="HK136" t="e">
        <f>AND('BBP complete'!R1409,"AAAAAH5/79o=")</f>
        <v>#VALUE!</v>
      </c>
      <c r="HL136" t="e">
        <f>AND('BBP complete'!S1409,"AAAAAH5/79s=")</f>
        <v>#VALUE!</v>
      </c>
      <c r="HM136" t="e">
        <f>AND('BBP complete'!Q1410,"AAAAAH5/79w=")</f>
        <v>#VALUE!</v>
      </c>
      <c r="HN136" t="e">
        <f>AND('BBP complete'!R1410,"AAAAAH5/790=")</f>
        <v>#VALUE!</v>
      </c>
      <c r="HO136" t="e">
        <f>AND('BBP complete'!S1410,"AAAAAH5/794=")</f>
        <v>#VALUE!</v>
      </c>
      <c r="HP136" t="e">
        <f>AND('BBP complete'!Q1411,"AAAAAH5/798=")</f>
        <v>#VALUE!</v>
      </c>
      <c r="HQ136" t="e">
        <f>AND('BBP complete'!R1411,"AAAAAH5/7+A=")</f>
        <v>#VALUE!</v>
      </c>
      <c r="HR136" t="e">
        <f>AND('BBP complete'!S1411,"AAAAAH5/7+E=")</f>
        <v>#VALUE!</v>
      </c>
      <c r="HS136" t="e">
        <f>AND('BBP complete'!Q1412,"AAAAAH5/7+I=")</f>
        <v>#VALUE!</v>
      </c>
      <c r="HT136" t="e">
        <f>AND('BBP complete'!R1412,"AAAAAH5/7+M=")</f>
        <v>#VALUE!</v>
      </c>
      <c r="HU136" t="e">
        <f>AND('BBP complete'!S1412,"AAAAAH5/7+Q=")</f>
        <v>#VALUE!</v>
      </c>
      <c r="HV136" t="e">
        <f>AND('BBP complete'!Q1413,"AAAAAH5/7+U=")</f>
        <v>#VALUE!</v>
      </c>
      <c r="HW136" t="e">
        <f>AND('BBP complete'!R1413,"AAAAAH5/7+Y=")</f>
        <v>#VALUE!</v>
      </c>
      <c r="HX136" t="e">
        <f>AND('BBP complete'!S1413,"AAAAAH5/7+c=")</f>
        <v>#VALUE!</v>
      </c>
      <c r="HY136" t="e">
        <f>AND('BBP complete'!Q1414,"AAAAAH5/7+g=")</f>
        <v>#VALUE!</v>
      </c>
      <c r="HZ136" t="e">
        <f>AND('BBP complete'!R1414,"AAAAAH5/7+k=")</f>
        <v>#VALUE!</v>
      </c>
      <c r="IA136" t="e">
        <f>AND('BBP complete'!S1414,"AAAAAH5/7+o=")</f>
        <v>#VALUE!</v>
      </c>
      <c r="IB136" t="e">
        <f>AND('BBP complete'!Q1415,"AAAAAH5/7+s=")</f>
        <v>#VALUE!</v>
      </c>
      <c r="IC136" t="e">
        <f>AND('BBP complete'!R1415,"AAAAAH5/7+w=")</f>
        <v>#VALUE!</v>
      </c>
      <c r="ID136" t="e">
        <f>AND('BBP complete'!S1415,"AAAAAH5/7+0=")</f>
        <v>#VALUE!</v>
      </c>
      <c r="IE136" t="e">
        <f>AND('BBP complete'!Q1416,"AAAAAH5/7+4=")</f>
        <v>#VALUE!</v>
      </c>
      <c r="IF136" t="e">
        <f>AND('BBP complete'!R1416,"AAAAAH5/7+8=")</f>
        <v>#VALUE!</v>
      </c>
      <c r="IG136" t="e">
        <f>AND('BBP complete'!S1416,"AAAAAH5/7/A=")</f>
        <v>#VALUE!</v>
      </c>
      <c r="IH136" t="e">
        <f>AND('BBP complete'!Q1417,"AAAAAH5/7/E=")</f>
        <v>#VALUE!</v>
      </c>
      <c r="II136" t="e">
        <f>AND('BBP complete'!R1417,"AAAAAH5/7/I=")</f>
        <v>#VALUE!</v>
      </c>
      <c r="IJ136" t="e">
        <f>AND('BBP complete'!S1417,"AAAAAH5/7/M=")</f>
        <v>#VALUE!</v>
      </c>
      <c r="IK136" t="e">
        <f>AND('BBP complete'!Q1418,"AAAAAH5/7/Q=")</f>
        <v>#VALUE!</v>
      </c>
      <c r="IL136" t="e">
        <f>AND('BBP complete'!R1418,"AAAAAH5/7/U=")</f>
        <v>#VALUE!</v>
      </c>
      <c r="IM136" t="e">
        <f>AND('BBP complete'!S1418,"AAAAAH5/7/Y=")</f>
        <v>#VALUE!</v>
      </c>
      <c r="IN136" t="e">
        <f>AND('BBP complete'!Q1419,"AAAAAH5/7/c=")</f>
        <v>#VALUE!</v>
      </c>
      <c r="IO136" t="e">
        <f>AND('BBP complete'!R1419,"AAAAAH5/7/g=")</f>
        <v>#VALUE!</v>
      </c>
      <c r="IP136" t="e">
        <f>AND('BBP complete'!S1419,"AAAAAH5/7/k=")</f>
        <v>#VALUE!</v>
      </c>
      <c r="IQ136" t="e">
        <f>AND('BBP complete'!Q1420,"AAAAAH5/7/o=")</f>
        <v>#VALUE!</v>
      </c>
      <c r="IR136" t="e">
        <f>AND('BBP complete'!R1420,"AAAAAH5/7/s=")</f>
        <v>#VALUE!</v>
      </c>
      <c r="IS136" t="e">
        <f>AND('BBP complete'!S1420,"AAAAAH5/7/w=")</f>
        <v>#VALUE!</v>
      </c>
      <c r="IT136" t="e">
        <f>AND('BBP complete'!Q1421,"AAAAAH5/7/0=")</f>
        <v>#VALUE!</v>
      </c>
      <c r="IU136" t="e">
        <f>AND('BBP complete'!R1421,"AAAAAH5/7/4=")</f>
        <v>#VALUE!</v>
      </c>
      <c r="IV136" t="e">
        <f>AND('BBP complete'!S1421,"AAAAAH5/7/8=")</f>
        <v>#VALUE!</v>
      </c>
    </row>
    <row r="137" spans="1:256" ht="15" customHeight="1" x14ac:dyDescent="0.25">
      <c r="A137" t="e">
        <f>AND('BBP complete'!Q1422,"AAAAADzf/wA=")</f>
        <v>#VALUE!</v>
      </c>
      <c r="B137" t="e">
        <f>AND('BBP complete'!R1422,"AAAAADzf/wE=")</f>
        <v>#VALUE!</v>
      </c>
      <c r="C137" t="e">
        <f>AND('BBP complete'!S1422,"AAAAADzf/wI=")</f>
        <v>#VALUE!</v>
      </c>
      <c r="D137" t="e">
        <f>AND('BBP complete'!Q1423,"AAAAADzf/wM=")</f>
        <v>#VALUE!</v>
      </c>
      <c r="E137" t="e">
        <f>AND('BBP complete'!R1423,"AAAAADzf/wQ=")</f>
        <v>#VALUE!</v>
      </c>
      <c r="F137" t="e">
        <f>AND('BBP complete'!S1423,"AAAAADzf/wU=")</f>
        <v>#VALUE!</v>
      </c>
      <c r="G137" t="e">
        <f>AND('BBP complete'!Q1424,"AAAAADzf/wY=")</f>
        <v>#VALUE!</v>
      </c>
      <c r="H137" t="e">
        <f>AND('BBP complete'!R1424,"AAAAADzf/wc=")</f>
        <v>#VALUE!</v>
      </c>
      <c r="I137" t="e">
        <f>AND('BBP complete'!S1424,"AAAAADzf/wg=")</f>
        <v>#VALUE!</v>
      </c>
      <c r="J137" t="e">
        <f>AND('BBP complete'!Q1425,"AAAAADzf/wk=")</f>
        <v>#VALUE!</v>
      </c>
      <c r="K137" t="e">
        <f>AND('BBP complete'!R1425,"AAAAADzf/wo=")</f>
        <v>#VALUE!</v>
      </c>
      <c r="L137" t="e">
        <f>AND('BBP complete'!S1425,"AAAAADzf/ws=")</f>
        <v>#VALUE!</v>
      </c>
      <c r="M137" t="e">
        <f>AND('BBP complete'!Q1426,"AAAAADzf/ww=")</f>
        <v>#VALUE!</v>
      </c>
      <c r="N137" t="e">
        <f>AND('BBP complete'!R1426,"AAAAADzf/w0=")</f>
        <v>#VALUE!</v>
      </c>
      <c r="O137" t="e">
        <f>AND('BBP complete'!S1426,"AAAAADzf/w4=")</f>
        <v>#VALUE!</v>
      </c>
      <c r="P137" t="e">
        <f>AND('BBP complete'!Q1427,"AAAAADzf/w8=")</f>
        <v>#VALUE!</v>
      </c>
      <c r="Q137" t="e">
        <f>AND('BBP complete'!R1427,"AAAAADzf/xA=")</f>
        <v>#VALUE!</v>
      </c>
      <c r="R137" t="e">
        <f>AND('BBP complete'!S1427,"AAAAADzf/xE=")</f>
        <v>#VALUE!</v>
      </c>
      <c r="S137" t="e">
        <f>AND('BBP complete'!Q1428,"AAAAADzf/xI=")</f>
        <v>#VALUE!</v>
      </c>
      <c r="T137" t="e">
        <f>AND('BBP complete'!R1428,"AAAAADzf/xM=")</f>
        <v>#VALUE!</v>
      </c>
      <c r="U137" t="e">
        <f>AND('BBP complete'!S1428,"AAAAADzf/xQ=")</f>
        <v>#VALUE!</v>
      </c>
      <c r="V137" t="e">
        <f>AND('BBP complete'!Q1429,"AAAAADzf/xU=")</f>
        <v>#VALUE!</v>
      </c>
      <c r="W137" t="e">
        <f>AND('BBP complete'!R1429,"AAAAADzf/xY=")</f>
        <v>#VALUE!</v>
      </c>
      <c r="X137" t="e">
        <f>AND('BBP complete'!S1429,"AAAAADzf/xc=")</f>
        <v>#VALUE!</v>
      </c>
      <c r="Y137" t="e">
        <f>AND('BBP complete'!Q1430,"AAAAADzf/xg=")</f>
        <v>#VALUE!</v>
      </c>
      <c r="Z137" t="e">
        <f>AND('BBP complete'!R1430,"AAAAADzf/xk=")</f>
        <v>#VALUE!</v>
      </c>
      <c r="AA137" t="e">
        <f>AND('BBP complete'!S1430,"AAAAADzf/xo=")</f>
        <v>#VALUE!</v>
      </c>
      <c r="AB137" t="e">
        <f>AND('BBP complete'!Q1431,"AAAAADzf/xs=")</f>
        <v>#VALUE!</v>
      </c>
      <c r="AC137" t="e">
        <f>AND('BBP complete'!R1431,"AAAAADzf/xw=")</f>
        <v>#VALUE!</v>
      </c>
      <c r="AD137" t="e">
        <f>AND('BBP complete'!S1431,"AAAAADzf/x0=")</f>
        <v>#VALUE!</v>
      </c>
      <c r="AE137" t="e">
        <f>AND('BBP complete'!Q1432,"AAAAADzf/x4=")</f>
        <v>#VALUE!</v>
      </c>
      <c r="AF137" t="e">
        <f>AND('BBP complete'!R1432,"AAAAADzf/x8=")</f>
        <v>#VALUE!</v>
      </c>
      <c r="AG137" t="e">
        <f>AND('BBP complete'!S1432,"AAAAADzf/yA=")</f>
        <v>#VALUE!</v>
      </c>
      <c r="AH137" t="e">
        <f>AND('BBP complete'!Q1433,"AAAAADzf/yE=")</f>
        <v>#VALUE!</v>
      </c>
      <c r="AI137" t="e">
        <f>AND('BBP complete'!R1433,"AAAAADzf/yI=")</f>
        <v>#VALUE!</v>
      </c>
      <c r="AJ137" t="e">
        <f>AND('BBP complete'!S1433,"AAAAADzf/yM=")</f>
        <v>#VALUE!</v>
      </c>
      <c r="AK137" t="e">
        <f>AND('BBP complete'!Q1434,"AAAAADzf/yQ=")</f>
        <v>#VALUE!</v>
      </c>
      <c r="AL137" t="e">
        <f>AND('BBP complete'!R1434,"AAAAADzf/yU=")</f>
        <v>#VALUE!</v>
      </c>
      <c r="AM137" t="e">
        <f>AND('BBP complete'!S1434,"AAAAADzf/yY=")</f>
        <v>#VALUE!</v>
      </c>
      <c r="AN137" t="e">
        <f>AND('BBP complete'!Q1435,"AAAAADzf/yc=")</f>
        <v>#VALUE!</v>
      </c>
      <c r="AO137" t="e">
        <f>AND('BBP complete'!R1435,"AAAAADzf/yg=")</f>
        <v>#VALUE!</v>
      </c>
      <c r="AP137" t="e">
        <f>AND('BBP complete'!S1435,"AAAAADzf/yk=")</f>
        <v>#VALUE!</v>
      </c>
      <c r="AQ137" t="e">
        <f>AND('BBP complete'!Q1436,"AAAAADzf/yo=")</f>
        <v>#VALUE!</v>
      </c>
      <c r="AR137" t="e">
        <f>AND('BBP complete'!R1436,"AAAAADzf/ys=")</f>
        <v>#VALUE!</v>
      </c>
      <c r="AS137" t="e">
        <f>AND('BBP complete'!S1436,"AAAAADzf/yw=")</f>
        <v>#VALUE!</v>
      </c>
      <c r="AT137" t="e">
        <f>AND('BBP complete'!Q1437,"AAAAADzf/y0=")</f>
        <v>#VALUE!</v>
      </c>
      <c r="AU137" t="e">
        <f>AND('BBP complete'!R1437,"AAAAADzf/y4=")</f>
        <v>#VALUE!</v>
      </c>
      <c r="AV137" t="e">
        <f>AND('BBP complete'!S1437,"AAAAADzf/y8=")</f>
        <v>#VALUE!</v>
      </c>
      <c r="AW137" t="e">
        <f>AND('BBP complete'!Q1438,"AAAAADzf/zA=")</f>
        <v>#VALUE!</v>
      </c>
      <c r="AX137" t="e">
        <f>AND('BBP complete'!R1438,"AAAAADzf/zE=")</f>
        <v>#VALUE!</v>
      </c>
      <c r="AY137" t="e">
        <f>AND('BBP complete'!S1438,"AAAAADzf/zI=")</f>
        <v>#VALUE!</v>
      </c>
      <c r="AZ137" t="e">
        <f>AND('BBP complete'!Q1439,"AAAAADzf/zM=")</f>
        <v>#VALUE!</v>
      </c>
      <c r="BA137" t="e">
        <f>AND('BBP complete'!R1439,"AAAAADzf/zQ=")</f>
        <v>#VALUE!</v>
      </c>
      <c r="BB137" t="e">
        <f>AND('BBP complete'!S1439,"AAAAADzf/zU=")</f>
        <v>#VALUE!</v>
      </c>
      <c r="BC137" t="e">
        <f>AND('BBP complete'!Q1454,"AAAAADzf/zY=")</f>
        <v>#VALUE!</v>
      </c>
      <c r="BD137" t="e">
        <f>AND('BBP complete'!R1454,"AAAAADzf/zc=")</f>
        <v>#VALUE!</v>
      </c>
      <c r="BE137" t="e">
        <f>AND('BBP complete'!S1454,"AAAAADzf/zg=")</f>
        <v>#VALUE!</v>
      </c>
      <c r="BF137" t="e">
        <f>AND('BBP complete'!Q1455,"AAAAADzf/zk=")</f>
        <v>#VALUE!</v>
      </c>
      <c r="BG137" t="e">
        <f>AND('BBP complete'!R1455,"AAAAADzf/zo=")</f>
        <v>#VALUE!</v>
      </c>
      <c r="BH137" t="e">
        <f>AND('BBP complete'!S1455,"AAAAADzf/zs=")</f>
        <v>#VALUE!</v>
      </c>
      <c r="BI137" t="e">
        <f>AND('BBP complete'!Q1456,"AAAAADzf/zw=")</f>
        <v>#VALUE!</v>
      </c>
      <c r="BJ137" t="e">
        <f>AND('BBP complete'!R1456,"AAAAADzf/z0=")</f>
        <v>#VALUE!</v>
      </c>
      <c r="BK137" t="e">
        <f>AND('BBP complete'!S1456,"AAAAADzf/z4=")</f>
        <v>#VALUE!</v>
      </c>
      <c r="BL137" t="e">
        <f>AND('BBP complete'!Q1457,"AAAAADzf/z8=")</f>
        <v>#VALUE!</v>
      </c>
      <c r="BM137" t="e">
        <f>AND('BBP complete'!R1457,"AAAAADzf/0A=")</f>
        <v>#VALUE!</v>
      </c>
      <c r="BN137" t="e">
        <f>AND('BBP complete'!S1457,"AAAAADzf/0E=")</f>
        <v>#VALUE!</v>
      </c>
      <c r="BO137" t="e">
        <f>AND('BBP complete'!Q1458,"AAAAADzf/0I=")</f>
        <v>#VALUE!</v>
      </c>
      <c r="BP137" t="e">
        <f>AND('BBP complete'!R1458,"AAAAADzf/0M=")</f>
        <v>#VALUE!</v>
      </c>
      <c r="BQ137" t="e">
        <f>AND('BBP complete'!S1458,"AAAAADzf/0Q=")</f>
        <v>#VALUE!</v>
      </c>
      <c r="BR137" t="e">
        <f>AND('BBP complete'!Q1459,"AAAAADzf/0U=")</f>
        <v>#VALUE!</v>
      </c>
      <c r="BS137" t="e">
        <f>AND('BBP complete'!R1459,"AAAAADzf/0Y=")</f>
        <v>#VALUE!</v>
      </c>
      <c r="BT137" t="e">
        <f>AND('BBP complete'!S1459,"AAAAADzf/0c=")</f>
        <v>#VALUE!</v>
      </c>
      <c r="BU137" t="e">
        <f>AND('BBP complete'!Q1460,"AAAAADzf/0g=")</f>
        <v>#VALUE!</v>
      </c>
      <c r="BV137" t="e">
        <f>AND('BBP complete'!R1460,"AAAAADzf/0k=")</f>
        <v>#VALUE!</v>
      </c>
      <c r="BW137" t="e">
        <f>AND('BBP complete'!S1460,"AAAAADzf/0o=")</f>
        <v>#VALUE!</v>
      </c>
      <c r="BX137" t="e">
        <f>AND('BBP complete'!Q1461,"AAAAADzf/0s=")</f>
        <v>#VALUE!</v>
      </c>
      <c r="BY137" t="e">
        <f>AND('BBP complete'!R1461,"AAAAADzf/0w=")</f>
        <v>#VALUE!</v>
      </c>
      <c r="BZ137" t="e">
        <f>AND('BBP complete'!S1461,"AAAAADzf/00=")</f>
        <v>#VALUE!</v>
      </c>
      <c r="CA137" t="e">
        <f>AND('BBP complete'!Q1462,"AAAAADzf/04=")</f>
        <v>#VALUE!</v>
      </c>
      <c r="CB137" t="e">
        <f>AND('BBP complete'!R1462,"AAAAADzf/08=")</f>
        <v>#VALUE!</v>
      </c>
      <c r="CC137" t="e">
        <f>AND('BBP complete'!S1462,"AAAAADzf/1A=")</f>
        <v>#VALUE!</v>
      </c>
      <c r="CD137" t="e">
        <f>AND('BBP complete'!Q1463,"AAAAADzf/1E=")</f>
        <v>#VALUE!</v>
      </c>
      <c r="CE137" t="e">
        <f>AND('BBP complete'!R1463,"AAAAADzf/1I=")</f>
        <v>#VALUE!</v>
      </c>
      <c r="CF137" t="e">
        <f>AND('BBP complete'!S1463,"AAAAADzf/1M=")</f>
        <v>#VALUE!</v>
      </c>
      <c r="CG137" t="e">
        <f>AND('BBP complete'!Q1464,"AAAAADzf/1Q=")</f>
        <v>#VALUE!</v>
      </c>
      <c r="CH137" t="e">
        <f>AND('BBP complete'!R1464,"AAAAADzf/1U=")</f>
        <v>#VALUE!</v>
      </c>
      <c r="CI137" t="e">
        <f>AND('BBP complete'!S1464,"AAAAADzf/1Y=")</f>
        <v>#VALUE!</v>
      </c>
      <c r="CJ137" t="e">
        <f>AND('BBP complete'!Q1465,"AAAAADzf/1c=")</f>
        <v>#VALUE!</v>
      </c>
      <c r="CK137" t="e">
        <f>AND('BBP complete'!R1465,"AAAAADzf/1g=")</f>
        <v>#VALUE!</v>
      </c>
      <c r="CL137" t="e">
        <f>AND('BBP complete'!S1465,"AAAAADzf/1k=")</f>
        <v>#VALUE!</v>
      </c>
      <c r="CM137" t="e">
        <f>AND('BBP complete'!Q1466,"AAAAADzf/1o=")</f>
        <v>#VALUE!</v>
      </c>
      <c r="CN137" t="e">
        <f>AND('BBP complete'!R1466,"AAAAADzf/1s=")</f>
        <v>#VALUE!</v>
      </c>
      <c r="CO137" t="e">
        <f>AND('BBP complete'!S1466,"AAAAADzf/1w=")</f>
        <v>#VALUE!</v>
      </c>
      <c r="CP137" t="e">
        <f>AND('BBP complete'!Q1467,"AAAAADzf/10=")</f>
        <v>#VALUE!</v>
      </c>
      <c r="CQ137" t="e">
        <f>AND('BBP complete'!R1467,"AAAAADzf/14=")</f>
        <v>#VALUE!</v>
      </c>
      <c r="CR137" t="e">
        <f>AND('BBP complete'!S1467,"AAAAADzf/18=")</f>
        <v>#VALUE!</v>
      </c>
      <c r="CS137" t="e">
        <f>AND('BBP complete'!Q1468,"AAAAADzf/2A=")</f>
        <v>#VALUE!</v>
      </c>
      <c r="CT137" t="e">
        <f>AND('BBP complete'!R1468,"AAAAADzf/2E=")</f>
        <v>#VALUE!</v>
      </c>
      <c r="CU137" t="e">
        <f>AND('BBP complete'!S1468,"AAAAADzf/2I=")</f>
        <v>#VALUE!</v>
      </c>
      <c r="CV137" t="e">
        <f>AND('BBP complete'!Q1469,"AAAAADzf/2M=")</f>
        <v>#VALUE!</v>
      </c>
      <c r="CW137" t="e">
        <f>AND('BBP complete'!R1469,"AAAAADzf/2Q=")</f>
        <v>#VALUE!</v>
      </c>
      <c r="CX137" t="e">
        <f>AND('BBP complete'!S1469,"AAAAADzf/2U=")</f>
        <v>#VALUE!</v>
      </c>
      <c r="CY137" t="e">
        <f>AND('BBP complete'!Q1470,"AAAAADzf/2Y=")</f>
        <v>#VALUE!</v>
      </c>
      <c r="CZ137" t="e">
        <f>AND('BBP complete'!R1470,"AAAAADzf/2c=")</f>
        <v>#VALUE!</v>
      </c>
      <c r="DA137" t="e">
        <f>AND('BBP complete'!S1470,"AAAAADzf/2g=")</f>
        <v>#VALUE!</v>
      </c>
      <c r="DB137" t="e">
        <f>AND('BBP complete'!Q1471,"AAAAADzf/2k=")</f>
        <v>#VALUE!</v>
      </c>
      <c r="DC137" t="e">
        <f>AND('BBP complete'!R1471,"AAAAADzf/2o=")</f>
        <v>#VALUE!</v>
      </c>
      <c r="DD137" t="e">
        <f>AND('BBP complete'!S1471,"AAAAADzf/2s=")</f>
        <v>#VALUE!</v>
      </c>
      <c r="DE137" t="e">
        <f>AND('BBP complete'!Q1472,"AAAAADzf/2w=")</f>
        <v>#VALUE!</v>
      </c>
      <c r="DF137" t="e">
        <f>AND('BBP complete'!R1472,"AAAAADzf/20=")</f>
        <v>#VALUE!</v>
      </c>
      <c r="DG137" t="e">
        <f>AND('BBP complete'!S1472,"AAAAADzf/24=")</f>
        <v>#VALUE!</v>
      </c>
      <c r="DH137" t="e">
        <f>AND('BBP complete'!Q1473,"AAAAADzf/28=")</f>
        <v>#VALUE!</v>
      </c>
      <c r="DI137" t="e">
        <f>AND('BBP complete'!R1473,"AAAAADzf/3A=")</f>
        <v>#VALUE!</v>
      </c>
      <c r="DJ137" t="e">
        <f>AND('BBP complete'!S1473,"AAAAADzf/3E=")</f>
        <v>#VALUE!</v>
      </c>
      <c r="DK137" t="e">
        <f>AND('BBP complete'!Q1474,"AAAAADzf/3I=")</f>
        <v>#VALUE!</v>
      </c>
      <c r="DL137" t="e">
        <f>AND('BBP complete'!R1474,"AAAAADzf/3M=")</f>
        <v>#VALUE!</v>
      </c>
      <c r="DM137" t="e">
        <f>AND('BBP complete'!S1474,"AAAAADzf/3Q=")</f>
        <v>#VALUE!</v>
      </c>
      <c r="DN137" t="e">
        <f>AND('BBP complete'!Q1475,"AAAAADzf/3U=")</f>
        <v>#VALUE!</v>
      </c>
      <c r="DO137" t="e">
        <f>AND('BBP complete'!R1475,"AAAAADzf/3Y=")</f>
        <v>#VALUE!</v>
      </c>
      <c r="DP137" t="e">
        <f>AND('BBP complete'!S1475,"AAAAADzf/3c=")</f>
        <v>#VALUE!</v>
      </c>
      <c r="DQ137" t="e">
        <f>AND('BBP complete'!Q1476,"AAAAADzf/3g=")</f>
        <v>#VALUE!</v>
      </c>
      <c r="DR137" t="e">
        <f>AND('BBP complete'!R1476,"AAAAADzf/3k=")</f>
        <v>#VALUE!</v>
      </c>
      <c r="DS137" t="e">
        <f>AND('BBP complete'!S1476,"AAAAADzf/3o=")</f>
        <v>#VALUE!</v>
      </c>
      <c r="DT137" t="e">
        <f>AND('BBP complete'!Q1477,"AAAAADzf/3s=")</f>
        <v>#VALUE!</v>
      </c>
      <c r="DU137" t="e">
        <f>AND('BBP complete'!R1477,"AAAAADzf/3w=")</f>
        <v>#VALUE!</v>
      </c>
      <c r="DV137" t="e">
        <f>AND('BBP complete'!S1477,"AAAAADzf/30=")</f>
        <v>#VALUE!</v>
      </c>
      <c r="DW137" t="e">
        <f>AND('BBP complete'!Q1478,"AAAAADzf/34=")</f>
        <v>#VALUE!</v>
      </c>
      <c r="DX137" t="e">
        <f>AND('BBP complete'!R1478,"AAAAADzf/38=")</f>
        <v>#VALUE!</v>
      </c>
      <c r="DY137" t="e">
        <f>AND('BBP complete'!S1478,"AAAAADzf/4A=")</f>
        <v>#VALUE!</v>
      </c>
      <c r="DZ137" t="e">
        <f>AND('BBP complete'!Q1479,"AAAAADzf/4E=")</f>
        <v>#VALUE!</v>
      </c>
      <c r="EA137" t="e">
        <f>AND('BBP complete'!R1479,"AAAAADzf/4I=")</f>
        <v>#VALUE!</v>
      </c>
      <c r="EB137" t="e">
        <f>AND('BBP complete'!S1479,"AAAAADzf/4M=")</f>
        <v>#VALUE!</v>
      </c>
      <c r="EC137" t="e">
        <f>AND('BBP complete'!Q1480,"AAAAADzf/4Q=")</f>
        <v>#VALUE!</v>
      </c>
      <c r="ED137" t="e">
        <f>AND('BBP complete'!R1480,"AAAAADzf/4U=")</f>
        <v>#VALUE!</v>
      </c>
      <c r="EE137" t="e">
        <f>AND('BBP complete'!S1480,"AAAAADzf/4Y=")</f>
        <v>#VALUE!</v>
      </c>
      <c r="EF137" t="e">
        <f>AND('BBP complete'!Q1481,"AAAAADzf/4c=")</f>
        <v>#VALUE!</v>
      </c>
      <c r="EG137" t="e">
        <f>AND('BBP complete'!R1481,"AAAAADzf/4g=")</f>
        <v>#VALUE!</v>
      </c>
      <c r="EH137" t="e">
        <f>AND('BBP complete'!S1481,"AAAAADzf/4k=")</f>
        <v>#VALUE!</v>
      </c>
      <c r="EI137" t="e">
        <f>AND('BBP complete'!Q1482,"AAAAADzf/4o=")</f>
        <v>#VALUE!</v>
      </c>
      <c r="EJ137" t="e">
        <f>AND('BBP complete'!R1482,"AAAAADzf/4s=")</f>
        <v>#VALUE!</v>
      </c>
      <c r="EK137" t="e">
        <f>AND('BBP complete'!S1482,"AAAAADzf/4w=")</f>
        <v>#VALUE!</v>
      </c>
      <c r="EL137" t="e">
        <f>AND('BBP complete'!Q1483,"AAAAADzf/40=")</f>
        <v>#VALUE!</v>
      </c>
      <c r="EM137" t="e">
        <f>AND('BBP complete'!R1483,"AAAAADzf/44=")</f>
        <v>#VALUE!</v>
      </c>
      <c r="EN137" t="e">
        <f>AND('BBP complete'!S1483,"AAAAADzf/48=")</f>
        <v>#VALUE!</v>
      </c>
      <c r="EO137" t="e">
        <f>AND('BBP complete'!Q1484,"AAAAADzf/5A=")</f>
        <v>#VALUE!</v>
      </c>
      <c r="EP137" t="e">
        <f>AND('BBP complete'!R1484,"AAAAADzf/5E=")</f>
        <v>#VALUE!</v>
      </c>
      <c r="EQ137" t="e">
        <f>AND('BBP complete'!S1484,"AAAAADzf/5I=")</f>
        <v>#VALUE!</v>
      </c>
      <c r="ER137" t="e">
        <f>AND('BBP complete'!Q1485,"AAAAADzf/5M=")</f>
        <v>#VALUE!</v>
      </c>
      <c r="ES137" t="e">
        <f>AND('BBP complete'!R1485,"AAAAADzf/5Q=")</f>
        <v>#VALUE!</v>
      </c>
      <c r="ET137" t="e">
        <f>AND('BBP complete'!S1485,"AAAAADzf/5U=")</f>
        <v>#VALUE!</v>
      </c>
      <c r="EU137" t="e">
        <f>AND('BBP complete'!Q1486,"AAAAADzf/5Y=")</f>
        <v>#VALUE!</v>
      </c>
      <c r="EV137" t="e">
        <f>AND('BBP complete'!R1486,"AAAAADzf/5c=")</f>
        <v>#VALUE!</v>
      </c>
      <c r="EW137" t="e">
        <f>AND('BBP complete'!S1486,"AAAAADzf/5g=")</f>
        <v>#VALUE!</v>
      </c>
      <c r="EX137" t="e">
        <f>AND('BBP complete'!Q1487,"AAAAADzf/5k=")</f>
        <v>#VALUE!</v>
      </c>
      <c r="EY137" t="e">
        <f>AND('BBP complete'!R1487,"AAAAADzf/5o=")</f>
        <v>#VALUE!</v>
      </c>
      <c r="EZ137" t="e">
        <f>AND('BBP complete'!S1487,"AAAAADzf/5s=")</f>
        <v>#VALUE!</v>
      </c>
      <c r="FA137" t="e">
        <f>AND('BBP complete'!Q1488,"AAAAADzf/5w=")</f>
        <v>#VALUE!</v>
      </c>
      <c r="FB137" t="e">
        <f>AND('BBP complete'!R1488,"AAAAADzf/50=")</f>
        <v>#VALUE!</v>
      </c>
      <c r="FC137" t="e">
        <f>AND('BBP complete'!S1488,"AAAAADzf/54=")</f>
        <v>#VALUE!</v>
      </c>
      <c r="FD137" t="e">
        <f>AND('BBP complete'!Q1489,"AAAAADzf/58=")</f>
        <v>#VALUE!</v>
      </c>
      <c r="FE137" t="e">
        <f>AND('BBP complete'!R1489,"AAAAADzf/6A=")</f>
        <v>#VALUE!</v>
      </c>
      <c r="FF137" t="e">
        <f>AND('BBP complete'!S1489,"AAAAADzf/6E=")</f>
        <v>#VALUE!</v>
      </c>
      <c r="FG137" t="e">
        <f>AND('BBP complete'!Q1490,"AAAAADzf/6I=")</f>
        <v>#VALUE!</v>
      </c>
      <c r="FH137" t="e">
        <f>AND('BBP complete'!R1490,"AAAAADzf/6M=")</f>
        <v>#VALUE!</v>
      </c>
      <c r="FI137" t="e">
        <f>AND('BBP complete'!S1490,"AAAAADzf/6Q=")</f>
        <v>#VALUE!</v>
      </c>
      <c r="FJ137" t="e">
        <f>AND('BBP complete'!Q1491,"AAAAADzf/6U=")</f>
        <v>#VALUE!</v>
      </c>
      <c r="FK137" t="e">
        <f>AND('BBP complete'!R1491,"AAAAADzf/6Y=")</f>
        <v>#VALUE!</v>
      </c>
      <c r="FL137" t="e">
        <f>AND('BBP complete'!S1491,"AAAAADzf/6c=")</f>
        <v>#VALUE!</v>
      </c>
      <c r="FM137" t="e">
        <f>AND('BBP complete'!Q1492,"AAAAADzf/6g=")</f>
        <v>#VALUE!</v>
      </c>
      <c r="FN137" t="e">
        <f>AND('BBP complete'!R1492,"AAAAADzf/6k=")</f>
        <v>#VALUE!</v>
      </c>
      <c r="FO137" t="e">
        <f>AND('BBP complete'!S1492,"AAAAADzf/6o=")</f>
        <v>#VALUE!</v>
      </c>
      <c r="FP137" t="e">
        <f>AND('BBP complete'!Q1493,"AAAAADzf/6s=")</f>
        <v>#VALUE!</v>
      </c>
      <c r="FQ137" t="e">
        <f>AND('BBP complete'!R1493,"AAAAADzf/6w=")</f>
        <v>#VALUE!</v>
      </c>
      <c r="FR137" t="e">
        <f>AND('BBP complete'!S1493,"AAAAADzf/60=")</f>
        <v>#VALUE!</v>
      </c>
      <c r="FS137" t="e">
        <f>AND('BBP complete'!Q1494,"AAAAADzf/64=")</f>
        <v>#VALUE!</v>
      </c>
      <c r="FT137" t="e">
        <f>AND('BBP complete'!R1494,"AAAAADzf/68=")</f>
        <v>#VALUE!</v>
      </c>
      <c r="FU137" t="e">
        <f>AND('BBP complete'!S1494,"AAAAADzf/7A=")</f>
        <v>#VALUE!</v>
      </c>
      <c r="FV137" t="e">
        <f>AND('BBP complete'!Q1495,"AAAAADzf/7E=")</f>
        <v>#VALUE!</v>
      </c>
      <c r="FW137" t="e">
        <f>AND('BBP complete'!R1495,"AAAAADzf/7I=")</f>
        <v>#VALUE!</v>
      </c>
      <c r="FX137" t="e">
        <f>AND('BBP complete'!S1495,"AAAAADzf/7M=")</f>
        <v>#VALUE!</v>
      </c>
      <c r="FY137" t="e">
        <f>AND('BBP complete'!Q1496,"AAAAADzf/7Q=")</f>
        <v>#VALUE!</v>
      </c>
      <c r="FZ137" t="e">
        <f>AND('BBP complete'!R1496,"AAAAADzf/7U=")</f>
        <v>#VALUE!</v>
      </c>
      <c r="GA137" t="e">
        <f>AND('BBP complete'!S1496,"AAAAADzf/7Y=")</f>
        <v>#VALUE!</v>
      </c>
      <c r="GB137" t="e">
        <f>AND('BBP complete'!Q1497,"AAAAADzf/7c=")</f>
        <v>#VALUE!</v>
      </c>
      <c r="GC137" t="e">
        <f>AND('BBP complete'!R1497,"AAAAADzf/7g=")</f>
        <v>#VALUE!</v>
      </c>
      <c r="GD137" t="e">
        <f>AND('BBP complete'!S1497,"AAAAADzf/7k=")</f>
        <v>#VALUE!</v>
      </c>
      <c r="GE137" t="e">
        <f>AND('BBP complete'!Q1498,"AAAAADzf/7o=")</f>
        <v>#VALUE!</v>
      </c>
      <c r="GF137" t="e">
        <f>AND('BBP complete'!R1498,"AAAAADzf/7s=")</f>
        <v>#VALUE!</v>
      </c>
      <c r="GG137" t="e">
        <f>AND('BBP complete'!S1498,"AAAAADzf/7w=")</f>
        <v>#VALUE!</v>
      </c>
      <c r="GH137" t="e">
        <f>AND('BBP complete'!Q1499,"AAAAADzf/70=")</f>
        <v>#VALUE!</v>
      </c>
      <c r="GI137" t="e">
        <f>AND('BBP complete'!R1499,"AAAAADzf/74=")</f>
        <v>#VALUE!</v>
      </c>
      <c r="GJ137" t="e">
        <f>AND('BBP complete'!S1499,"AAAAADzf/78=")</f>
        <v>#VALUE!</v>
      </c>
      <c r="GK137" t="e">
        <f>AND('BBP complete'!Q1500,"AAAAADzf/8A=")</f>
        <v>#VALUE!</v>
      </c>
      <c r="GL137" t="e">
        <f>AND('BBP complete'!R1500,"AAAAADzf/8E=")</f>
        <v>#VALUE!</v>
      </c>
      <c r="GM137" t="e">
        <f>AND('BBP complete'!S1500,"AAAAADzf/8I=")</f>
        <v>#VALUE!</v>
      </c>
      <c r="GN137" t="e">
        <f>AND('BBP complete'!Q1501,"AAAAADzf/8M=")</f>
        <v>#VALUE!</v>
      </c>
      <c r="GO137" t="e">
        <f>AND('BBP complete'!R1501,"AAAAADzf/8Q=")</f>
        <v>#VALUE!</v>
      </c>
      <c r="GP137" t="e">
        <f>AND('BBP complete'!S1501,"AAAAADzf/8U=")</f>
        <v>#VALUE!</v>
      </c>
      <c r="GQ137" t="e">
        <f>AND('BBP complete'!Q1502,"AAAAADzf/8Y=")</f>
        <v>#VALUE!</v>
      </c>
      <c r="GR137" t="e">
        <f>AND('BBP complete'!R1502,"AAAAADzf/8c=")</f>
        <v>#VALUE!</v>
      </c>
      <c r="GS137" t="e">
        <f>AND('BBP complete'!S1502,"AAAAADzf/8g=")</f>
        <v>#VALUE!</v>
      </c>
      <c r="GT137" t="e">
        <f>AND('BBP complete'!Q1503,"AAAAADzf/8k=")</f>
        <v>#VALUE!</v>
      </c>
      <c r="GU137" t="e">
        <f>AND('BBP complete'!R1503,"AAAAADzf/8o=")</f>
        <v>#VALUE!</v>
      </c>
      <c r="GV137" t="e">
        <f>AND('BBP complete'!S1503,"AAAAADzf/8s=")</f>
        <v>#VALUE!</v>
      </c>
      <c r="GW137" t="e">
        <f>AND('BBP complete'!Q1504,"AAAAADzf/8w=")</f>
        <v>#VALUE!</v>
      </c>
      <c r="GX137" t="e">
        <f>AND('BBP complete'!R1504,"AAAAADzf/80=")</f>
        <v>#VALUE!</v>
      </c>
      <c r="GY137" t="e">
        <f>AND('BBP complete'!S1504,"AAAAADzf/84=")</f>
        <v>#VALUE!</v>
      </c>
      <c r="GZ137" t="e">
        <f>AND('BBP complete'!Q1505,"AAAAADzf/88=")</f>
        <v>#VALUE!</v>
      </c>
      <c r="HA137" t="e">
        <f>AND('BBP complete'!R1505,"AAAAADzf/9A=")</f>
        <v>#VALUE!</v>
      </c>
      <c r="HB137" t="e">
        <f>AND('BBP complete'!S1505,"AAAAADzf/9E=")</f>
        <v>#VALUE!</v>
      </c>
      <c r="HC137" t="e">
        <f>AND('BBP complete'!Q1506,"AAAAADzf/9I=")</f>
        <v>#VALUE!</v>
      </c>
      <c r="HD137" t="e">
        <f>AND('BBP complete'!R1506,"AAAAADzf/9M=")</f>
        <v>#VALUE!</v>
      </c>
      <c r="HE137" t="e">
        <f>AND('BBP complete'!S1506,"AAAAADzf/9Q=")</f>
        <v>#VALUE!</v>
      </c>
      <c r="HF137" t="e">
        <f>AND('BBP complete'!Q1507,"AAAAADzf/9U=")</f>
        <v>#VALUE!</v>
      </c>
      <c r="HG137" t="e">
        <f>AND('BBP complete'!R1507,"AAAAADzf/9Y=")</f>
        <v>#VALUE!</v>
      </c>
      <c r="HH137" t="e">
        <f>AND('BBP complete'!S1507,"AAAAADzf/9c=")</f>
        <v>#VALUE!</v>
      </c>
      <c r="HI137" t="e">
        <f>AND('BBP complete'!Q1508,"AAAAADzf/9g=")</f>
        <v>#VALUE!</v>
      </c>
      <c r="HJ137" t="e">
        <f>AND('BBP complete'!R1508,"AAAAADzf/9k=")</f>
        <v>#VALUE!</v>
      </c>
      <c r="HK137" t="e">
        <f>AND('BBP complete'!S1508,"AAAAADzf/9o=")</f>
        <v>#VALUE!</v>
      </c>
      <c r="HL137" t="e">
        <f>AND('BBP complete'!Q1509,"AAAAADzf/9s=")</f>
        <v>#VALUE!</v>
      </c>
      <c r="HM137" t="e">
        <f>AND('BBP complete'!R1509,"AAAAADzf/9w=")</f>
        <v>#VALUE!</v>
      </c>
      <c r="HN137" t="e">
        <f>AND('BBP complete'!S1509,"AAAAADzf/90=")</f>
        <v>#VALUE!</v>
      </c>
      <c r="HO137" t="e">
        <f>AND('BBP complete'!Q1510,"AAAAADzf/94=")</f>
        <v>#VALUE!</v>
      </c>
      <c r="HP137" t="e">
        <f>AND('BBP complete'!R1510,"AAAAADzf/98=")</f>
        <v>#VALUE!</v>
      </c>
      <c r="HQ137" t="e">
        <f>AND('BBP complete'!S1510,"AAAAADzf/+A=")</f>
        <v>#VALUE!</v>
      </c>
      <c r="HR137" t="e">
        <f>AND('BBP complete'!Q1511,"AAAAADzf/+E=")</f>
        <v>#VALUE!</v>
      </c>
      <c r="HS137" t="e">
        <f>AND('BBP complete'!R1511,"AAAAADzf/+I=")</f>
        <v>#VALUE!</v>
      </c>
      <c r="HT137" t="e">
        <f>AND('BBP complete'!S1511,"AAAAADzf/+M=")</f>
        <v>#VALUE!</v>
      </c>
      <c r="HU137" t="e">
        <f>AND('BBP complete'!Q1512,"AAAAADzf/+Q=")</f>
        <v>#VALUE!</v>
      </c>
      <c r="HV137" t="e">
        <f>AND('BBP complete'!R1512,"AAAAADzf/+U=")</f>
        <v>#VALUE!</v>
      </c>
      <c r="HW137" t="e">
        <f>AND('BBP complete'!S1512,"AAAAADzf/+Y=")</f>
        <v>#VALUE!</v>
      </c>
      <c r="HX137" t="e">
        <f>AND('BBP complete'!Q1513,"AAAAADzf/+c=")</f>
        <v>#VALUE!</v>
      </c>
      <c r="HY137" t="e">
        <f>AND('BBP complete'!R1513,"AAAAADzf/+g=")</f>
        <v>#VALUE!</v>
      </c>
      <c r="HZ137" t="e">
        <f>AND('BBP complete'!S1513,"AAAAADzf/+k=")</f>
        <v>#VALUE!</v>
      </c>
      <c r="IA137" t="e">
        <f>AND('BBP complete'!Q1514,"AAAAADzf/+o=")</f>
        <v>#VALUE!</v>
      </c>
      <c r="IB137" t="e">
        <f>AND('BBP complete'!R1514,"AAAAADzf/+s=")</f>
        <v>#VALUE!</v>
      </c>
      <c r="IC137" t="e">
        <f>AND('BBP complete'!S1514,"AAAAADzf/+w=")</f>
        <v>#VALUE!</v>
      </c>
      <c r="ID137" t="e">
        <f>AND('BBP complete'!Q1515,"AAAAADzf/+0=")</f>
        <v>#VALUE!</v>
      </c>
      <c r="IE137" t="e">
        <f>AND('BBP complete'!R1515,"AAAAADzf/+4=")</f>
        <v>#VALUE!</v>
      </c>
      <c r="IF137" t="e">
        <f>AND('BBP complete'!S1515,"AAAAADzf/+8=")</f>
        <v>#VALUE!</v>
      </c>
      <c r="IG137" t="e">
        <f>AND('BBP complete'!Q1516,"AAAAADzf//A=")</f>
        <v>#VALUE!</v>
      </c>
      <c r="IH137" t="e">
        <f>AND('BBP complete'!R1516,"AAAAADzf//E=")</f>
        <v>#VALUE!</v>
      </c>
      <c r="II137" t="e">
        <f>AND('BBP complete'!S1516,"AAAAADzf//I=")</f>
        <v>#VALUE!</v>
      </c>
      <c r="IJ137" t="e">
        <f>AND('BBP complete'!Q1517,"AAAAADzf//M=")</f>
        <v>#VALUE!</v>
      </c>
      <c r="IK137" t="e">
        <f>AND('BBP complete'!R1517,"AAAAADzf//Q=")</f>
        <v>#VALUE!</v>
      </c>
      <c r="IL137" t="e">
        <f>AND('BBP complete'!S1517,"AAAAADzf//U=")</f>
        <v>#VALUE!</v>
      </c>
      <c r="IM137" t="e">
        <f>AND('BBP complete'!Q1518,"AAAAADzf//Y=")</f>
        <v>#VALUE!</v>
      </c>
      <c r="IN137" t="e">
        <f>AND('BBP complete'!R1518,"AAAAADzf//c=")</f>
        <v>#VALUE!</v>
      </c>
      <c r="IO137" t="e">
        <f>AND('BBP complete'!S1518,"AAAAADzf//g=")</f>
        <v>#VALUE!</v>
      </c>
      <c r="IP137" t="e">
        <f>AND('BBP complete'!Q1519,"AAAAADzf//k=")</f>
        <v>#VALUE!</v>
      </c>
      <c r="IQ137" t="e">
        <f>AND('BBP complete'!R1519,"AAAAADzf//o=")</f>
        <v>#VALUE!</v>
      </c>
      <c r="IR137" t="e">
        <f>AND('BBP complete'!S1519,"AAAAADzf//s=")</f>
        <v>#VALUE!</v>
      </c>
      <c r="IS137" t="e">
        <f>AND('BBP complete'!Q1520,"AAAAADzf//w=")</f>
        <v>#VALUE!</v>
      </c>
      <c r="IT137" t="e">
        <f>AND('BBP complete'!R1520,"AAAAADzf//0=")</f>
        <v>#VALUE!</v>
      </c>
      <c r="IU137" t="e">
        <f>AND('BBP complete'!S1520,"AAAAADzf//4=")</f>
        <v>#VALUE!</v>
      </c>
      <c r="IV137" t="e">
        <f>AND('BBP complete'!Q1521,"AAAAADzf//8=")</f>
        <v>#VALUE!</v>
      </c>
    </row>
    <row r="138" spans="1:256" ht="15" customHeight="1" x14ac:dyDescent="0.25">
      <c r="A138" t="e">
        <f>AND('BBP complete'!R1521,"AAAAAHhznAA=")</f>
        <v>#VALUE!</v>
      </c>
      <c r="B138" t="e">
        <f>AND('BBP complete'!S1521,"AAAAAHhznAE=")</f>
        <v>#VALUE!</v>
      </c>
      <c r="C138" t="e">
        <f>AND('BBP complete'!Q1522,"AAAAAHhznAI=")</f>
        <v>#VALUE!</v>
      </c>
      <c r="D138" t="e">
        <f>AND('BBP complete'!R1522,"AAAAAHhznAM=")</f>
        <v>#VALUE!</v>
      </c>
      <c r="E138" t="e">
        <f>AND('BBP complete'!S1522,"AAAAAHhznAQ=")</f>
        <v>#VALUE!</v>
      </c>
      <c r="F138" t="e">
        <f>AND('BBP complete'!Q1523,"AAAAAHhznAU=")</f>
        <v>#VALUE!</v>
      </c>
      <c r="G138" t="e">
        <f>AND('BBP complete'!R1523,"AAAAAHhznAY=")</f>
        <v>#VALUE!</v>
      </c>
      <c r="H138" t="e">
        <f>AND('BBP complete'!S1523,"AAAAAHhznAc=")</f>
        <v>#VALUE!</v>
      </c>
      <c r="I138" t="e">
        <f>AND('BBP complete'!Q1524,"AAAAAHhznAg=")</f>
        <v>#VALUE!</v>
      </c>
      <c r="J138" t="e">
        <f>AND('BBP complete'!R1524,"AAAAAHhznAk=")</f>
        <v>#VALUE!</v>
      </c>
      <c r="K138" t="e">
        <f>AND('BBP complete'!S1524,"AAAAAHhznAo=")</f>
        <v>#VALUE!</v>
      </c>
      <c r="L138" t="e">
        <f>AND('BBP complete'!Q1525,"AAAAAHhznAs=")</f>
        <v>#VALUE!</v>
      </c>
      <c r="M138" t="e">
        <f>AND('BBP complete'!R1525,"AAAAAHhznAw=")</f>
        <v>#VALUE!</v>
      </c>
      <c r="N138" t="e">
        <f>AND('BBP complete'!S1525,"AAAAAHhznA0=")</f>
        <v>#VALUE!</v>
      </c>
      <c r="O138" t="e">
        <f>AND('BBP complete'!Q1526,"AAAAAHhznA4=")</f>
        <v>#VALUE!</v>
      </c>
      <c r="P138" t="e">
        <f>AND('BBP complete'!R1526,"AAAAAHhznA8=")</f>
        <v>#VALUE!</v>
      </c>
      <c r="Q138" t="e">
        <f>AND('BBP complete'!S1526,"AAAAAHhznBA=")</f>
        <v>#VALUE!</v>
      </c>
      <c r="R138" t="e">
        <f>AND('BBP complete'!Q1527,"AAAAAHhznBE=")</f>
        <v>#VALUE!</v>
      </c>
      <c r="S138" t="e">
        <f>AND('BBP complete'!R1527,"AAAAAHhznBI=")</f>
        <v>#VALUE!</v>
      </c>
      <c r="T138" t="e">
        <f>AND('BBP complete'!S1527,"AAAAAHhznBM=")</f>
        <v>#VALUE!</v>
      </c>
      <c r="U138" t="e">
        <f>AND('BBP complete'!Q1528,"AAAAAHhznBQ=")</f>
        <v>#VALUE!</v>
      </c>
      <c r="V138" t="e">
        <f>AND('BBP complete'!R1528,"AAAAAHhznBU=")</f>
        <v>#VALUE!</v>
      </c>
      <c r="W138" t="e">
        <f>AND('BBP complete'!S1528,"AAAAAHhznBY=")</f>
        <v>#VALUE!</v>
      </c>
      <c r="X138" t="e">
        <f>AND('BBP complete'!Q1529,"AAAAAHhznBc=")</f>
        <v>#VALUE!</v>
      </c>
      <c r="Y138" t="e">
        <f>AND('BBP complete'!R1529,"AAAAAHhznBg=")</f>
        <v>#VALUE!</v>
      </c>
      <c r="Z138" t="e">
        <f>AND('BBP complete'!S1529,"AAAAAHhznBk=")</f>
        <v>#VALUE!</v>
      </c>
      <c r="AA138" t="e">
        <f>AND('BBP complete'!Q1530,"AAAAAHhznBo=")</f>
        <v>#VALUE!</v>
      </c>
      <c r="AB138" t="e">
        <f>AND('BBP complete'!#REF!,"AAAAAHhznBs=")</f>
        <v>#REF!</v>
      </c>
      <c r="AC138" t="e">
        <f>AND('BBP complete'!L1574,"AAAAAHhznBw=")</f>
        <v>#VALUE!</v>
      </c>
      <c r="AD138" t="e">
        <f>AND('BBP complete'!Q1531,"AAAAAHhznB0=")</f>
        <v>#VALUE!</v>
      </c>
      <c r="AE138" t="e">
        <f>AND('BBP complete'!#REF!,"AAAAAHhznB4=")</f>
        <v>#REF!</v>
      </c>
      <c r="AF138" t="e">
        <f>AND('BBP complete'!L1575,"AAAAAHhznB8=")</f>
        <v>#VALUE!</v>
      </c>
      <c r="AG138" t="e">
        <f>AND('BBP complete'!Q1532,"AAAAAHhznCA=")</f>
        <v>#VALUE!</v>
      </c>
      <c r="AH138" t="e">
        <f>AND('BBP complete'!#REF!,"AAAAAHhznCE=")</f>
        <v>#REF!</v>
      </c>
      <c r="AI138" t="e">
        <f>AND('BBP complete'!L1576,"AAAAAHhznCI=")</f>
        <v>#VALUE!</v>
      </c>
      <c r="AJ138" t="e">
        <f>AND('BBP complete'!Q1533,"AAAAAHhznCM=")</f>
        <v>#VALUE!</v>
      </c>
      <c r="AK138" t="e">
        <f>AND('BBP complete'!#REF!,"AAAAAHhznCQ=")</f>
        <v>#REF!</v>
      </c>
      <c r="AL138" t="e">
        <f>AND('BBP complete'!L1577,"AAAAAHhznCU=")</f>
        <v>#VALUE!</v>
      </c>
      <c r="AM138" t="e">
        <f>AND('BBP complete'!Q1534,"AAAAAHhznCY=")</f>
        <v>#VALUE!</v>
      </c>
      <c r="AN138" t="e">
        <f>AND('BBP complete'!#REF!,"AAAAAHhznCc=")</f>
        <v>#REF!</v>
      </c>
      <c r="AO138" t="e">
        <f>AND('BBP complete'!L1578,"AAAAAHhznCg=")</f>
        <v>#VALUE!</v>
      </c>
      <c r="AP138" t="e">
        <f>AND('BBP complete'!Q1535,"AAAAAHhznCk=")</f>
        <v>#VALUE!</v>
      </c>
      <c r="AQ138" t="e">
        <f>AND('BBP complete'!#REF!,"AAAAAHhznCo=")</f>
        <v>#REF!</v>
      </c>
      <c r="AR138" t="e">
        <f>AND('BBP complete'!L1579,"AAAAAHhznCs=")</f>
        <v>#VALUE!</v>
      </c>
      <c r="AS138" t="e">
        <f>AND('BBP complete'!Q1536,"AAAAAHhznCw=")</f>
        <v>#VALUE!</v>
      </c>
      <c r="AT138" t="e">
        <f>AND('BBP complete'!#REF!,"AAAAAHhznC0=")</f>
        <v>#REF!</v>
      </c>
      <c r="AU138" t="e">
        <f>AND('BBP complete'!L1580,"AAAAAHhznC4=")</f>
        <v>#VALUE!</v>
      </c>
      <c r="AV138" t="e">
        <f>AND('BBP complete'!Q1537,"AAAAAHhznC8=")</f>
        <v>#VALUE!</v>
      </c>
      <c r="AW138" t="e">
        <f>AND('BBP complete'!#REF!,"AAAAAHhznDA=")</f>
        <v>#REF!</v>
      </c>
      <c r="AX138" t="e">
        <f>AND('BBP complete'!L1581,"AAAAAHhznDE=")</f>
        <v>#VALUE!</v>
      </c>
      <c r="AY138" t="e">
        <f>AND('BBP complete'!Q1538,"AAAAAHhznDI=")</f>
        <v>#VALUE!</v>
      </c>
      <c r="AZ138" t="e">
        <f>AND('BBP complete'!#REF!,"AAAAAHhznDM=")</f>
        <v>#REF!</v>
      </c>
      <c r="BA138" t="e">
        <f>AND('BBP complete'!L1582,"AAAAAHhznDQ=")</f>
        <v>#VALUE!</v>
      </c>
      <c r="BB138" t="e">
        <f>AND('BBP complete'!Q1539,"AAAAAHhznDU=")</f>
        <v>#VALUE!</v>
      </c>
      <c r="BC138" t="e">
        <f>AND('BBP complete'!#REF!,"AAAAAHhznDY=")</f>
        <v>#REF!</v>
      </c>
      <c r="BD138" t="e">
        <f>AND('BBP complete'!L1583,"AAAAAHhznDc=")</f>
        <v>#VALUE!</v>
      </c>
      <c r="BE138" t="e">
        <f>AND('BBP complete'!Q1540,"AAAAAHhznDg=")</f>
        <v>#VALUE!</v>
      </c>
      <c r="BF138" t="e">
        <f>AND('BBP complete'!#REF!,"AAAAAHhznDk=")</f>
        <v>#REF!</v>
      </c>
      <c r="BG138" t="e">
        <f>AND('BBP complete'!L1584,"AAAAAHhznDo=")</f>
        <v>#VALUE!</v>
      </c>
      <c r="BH138" t="e">
        <f>AND('BBP complete'!Q1541,"AAAAAHhznDs=")</f>
        <v>#VALUE!</v>
      </c>
      <c r="BI138" t="e">
        <f>AND('BBP complete'!#REF!,"AAAAAHhznDw=")</f>
        <v>#REF!</v>
      </c>
      <c r="BJ138" t="e">
        <f>AND('BBP complete'!L1585,"AAAAAHhznD0=")</f>
        <v>#VALUE!</v>
      </c>
      <c r="BK138" t="e">
        <f>AND('BBP complete'!Q1542,"AAAAAHhznD4=")</f>
        <v>#VALUE!</v>
      </c>
      <c r="BL138" t="e">
        <f>AND('BBP complete'!#REF!,"AAAAAHhznD8=")</f>
        <v>#REF!</v>
      </c>
      <c r="BM138" t="e">
        <f>AND('BBP complete'!L1586,"AAAAAHhznEA=")</f>
        <v>#VALUE!</v>
      </c>
      <c r="BN138" t="e">
        <f>AND('BBP complete'!Q1543,"AAAAAHhznEE=")</f>
        <v>#VALUE!</v>
      </c>
      <c r="BO138" t="e">
        <f>AND('BBP complete'!#REF!,"AAAAAHhznEI=")</f>
        <v>#REF!</v>
      </c>
      <c r="BP138" t="e">
        <f>AND('BBP complete'!L1587,"AAAAAHhznEM=")</f>
        <v>#VALUE!</v>
      </c>
      <c r="BQ138" t="e">
        <f>AND('BBP complete'!Q1544,"AAAAAHhznEQ=")</f>
        <v>#VALUE!</v>
      </c>
      <c r="BR138" t="e">
        <f>AND('BBP complete'!#REF!,"AAAAAHhznEU=")</f>
        <v>#REF!</v>
      </c>
      <c r="BS138" t="e">
        <f>AND('BBP complete'!L1588,"AAAAAHhznEY=")</f>
        <v>#VALUE!</v>
      </c>
      <c r="BT138" t="e">
        <f>AND('BBP complete'!Q1545,"AAAAAHhznEc=")</f>
        <v>#VALUE!</v>
      </c>
      <c r="BU138" t="e">
        <f>AND('BBP complete'!#REF!,"AAAAAHhznEg=")</f>
        <v>#REF!</v>
      </c>
      <c r="BV138" t="e">
        <f>AND('BBP complete'!L1589,"AAAAAHhznEk=")</f>
        <v>#VALUE!</v>
      </c>
      <c r="BW138" t="e">
        <f>AND('BBP complete'!Q1546,"AAAAAHhznEo=")</f>
        <v>#VALUE!</v>
      </c>
      <c r="BX138" t="e">
        <f>AND('BBP complete'!#REF!,"AAAAAHhznEs=")</f>
        <v>#REF!</v>
      </c>
      <c r="BY138" t="e">
        <f>AND('BBP complete'!L1590,"AAAAAHhznEw=")</f>
        <v>#VALUE!</v>
      </c>
      <c r="BZ138" t="e">
        <f>AND('BBP complete'!Q1547,"AAAAAHhznE0=")</f>
        <v>#VALUE!</v>
      </c>
      <c r="CA138" t="e">
        <f>AND('BBP complete'!#REF!,"AAAAAHhznE4=")</f>
        <v>#REF!</v>
      </c>
      <c r="CB138" t="e">
        <f>AND('BBP complete'!L1591,"AAAAAHhznE8=")</f>
        <v>#VALUE!</v>
      </c>
      <c r="CC138" t="e">
        <f>AND('BBP complete'!Q1548,"AAAAAHhznFA=")</f>
        <v>#VALUE!</v>
      </c>
      <c r="CD138" t="e">
        <f>AND('BBP complete'!#REF!,"AAAAAHhznFE=")</f>
        <v>#REF!</v>
      </c>
      <c r="CE138" t="e">
        <f>AND('BBP complete'!L1592,"AAAAAHhznFI=")</f>
        <v>#VALUE!</v>
      </c>
      <c r="CF138" t="e">
        <f>AND('BBP complete'!Q1549,"AAAAAHhznFM=")</f>
        <v>#VALUE!</v>
      </c>
      <c r="CG138" t="e">
        <f>AND('BBP complete'!#REF!,"AAAAAHhznFQ=")</f>
        <v>#REF!</v>
      </c>
      <c r="CH138" t="e">
        <f>AND('BBP complete'!L1593,"AAAAAHhznFU=")</f>
        <v>#VALUE!</v>
      </c>
      <c r="CI138" t="e">
        <f>AND('BBP complete'!Q1550,"AAAAAHhznFY=")</f>
        <v>#VALUE!</v>
      </c>
      <c r="CJ138" t="e">
        <f>AND('BBP complete'!#REF!,"AAAAAHhznFc=")</f>
        <v>#REF!</v>
      </c>
      <c r="CK138" t="e">
        <f>AND('BBP complete'!L1594,"AAAAAHhznFg=")</f>
        <v>#VALUE!</v>
      </c>
      <c r="CL138" t="e">
        <f>AND('BBP complete'!Q1551,"AAAAAHhznFk=")</f>
        <v>#VALUE!</v>
      </c>
      <c r="CM138" t="e">
        <f>AND('BBP complete'!#REF!,"AAAAAHhznFo=")</f>
        <v>#REF!</v>
      </c>
      <c r="CN138" t="e">
        <f>AND('BBP complete'!L1595,"AAAAAHhznFs=")</f>
        <v>#VALUE!</v>
      </c>
      <c r="CO138" t="e">
        <f>AND('BBP complete'!Q1552,"AAAAAHhznFw=")</f>
        <v>#VALUE!</v>
      </c>
      <c r="CP138" t="e">
        <f>AND('BBP complete'!#REF!,"AAAAAHhznF0=")</f>
        <v>#REF!</v>
      </c>
      <c r="CQ138" t="e">
        <f>AND('BBP complete'!L1596,"AAAAAHhznF4=")</f>
        <v>#VALUE!</v>
      </c>
      <c r="CR138" t="e">
        <f>AND('BBP complete'!Q1553,"AAAAAHhznF8=")</f>
        <v>#VALUE!</v>
      </c>
      <c r="CS138" t="e">
        <f>AND('BBP complete'!#REF!,"AAAAAHhznGA=")</f>
        <v>#REF!</v>
      </c>
      <c r="CT138" t="e">
        <f>AND('BBP complete'!L1597,"AAAAAHhznGE=")</f>
        <v>#VALUE!</v>
      </c>
      <c r="CU138" t="e">
        <f>AND('BBP complete'!Q1554,"AAAAAHhznGI=")</f>
        <v>#VALUE!</v>
      </c>
      <c r="CV138" t="e">
        <f>AND('BBP complete'!#REF!,"AAAAAHhznGM=")</f>
        <v>#REF!</v>
      </c>
      <c r="CW138" t="e">
        <f>AND('BBP complete'!L1598,"AAAAAHhznGQ=")</f>
        <v>#VALUE!</v>
      </c>
      <c r="CX138" t="e">
        <f>AND('BBP complete'!Q1555,"AAAAAHhznGU=")</f>
        <v>#VALUE!</v>
      </c>
      <c r="CY138" t="e">
        <f>AND('BBP complete'!#REF!,"AAAAAHhznGY=")</f>
        <v>#REF!</v>
      </c>
      <c r="CZ138" t="e">
        <f>AND('BBP complete'!L1599,"AAAAAHhznGc=")</f>
        <v>#VALUE!</v>
      </c>
      <c r="DA138" t="e">
        <f>AND('BBP complete'!Q1556,"AAAAAHhznGg=")</f>
        <v>#VALUE!</v>
      </c>
      <c r="DB138" t="e">
        <f>AND('BBP complete'!#REF!,"AAAAAHhznGk=")</f>
        <v>#REF!</v>
      </c>
      <c r="DC138" t="e">
        <f>AND('BBP complete'!L1600,"AAAAAHhznGo=")</f>
        <v>#VALUE!</v>
      </c>
      <c r="DD138" t="e">
        <f>AND('BBP complete'!Q1557,"AAAAAHhznGs=")</f>
        <v>#VALUE!</v>
      </c>
      <c r="DE138" t="e">
        <f>AND('BBP complete'!#REF!,"AAAAAHhznGw=")</f>
        <v>#REF!</v>
      </c>
      <c r="DF138" t="e">
        <f>AND('BBP complete'!L1601,"AAAAAHhznG0=")</f>
        <v>#VALUE!</v>
      </c>
      <c r="DG138" t="e">
        <f>AND('BBP complete'!Q1558,"AAAAAHhznG4=")</f>
        <v>#VALUE!</v>
      </c>
      <c r="DH138" t="e">
        <f>AND('BBP complete'!#REF!,"AAAAAHhznG8=")</f>
        <v>#REF!</v>
      </c>
      <c r="DI138" t="e">
        <f>AND('BBP complete'!L1602,"AAAAAHhznHA=")</f>
        <v>#VALUE!</v>
      </c>
      <c r="DJ138" t="e">
        <f>AND('BBP complete'!Q1559,"AAAAAHhznHE=")</f>
        <v>#VALUE!</v>
      </c>
      <c r="DK138" t="e">
        <f>AND('BBP complete'!#REF!,"AAAAAHhznHI=")</f>
        <v>#REF!</v>
      </c>
      <c r="DL138" t="e">
        <f>AND('BBP complete'!L1603,"AAAAAHhznHM=")</f>
        <v>#VALUE!</v>
      </c>
      <c r="DM138" t="e">
        <f>AND('BBP complete'!Q1560,"AAAAAHhznHQ=")</f>
        <v>#VALUE!</v>
      </c>
      <c r="DN138" t="e">
        <f>AND('BBP complete'!#REF!,"AAAAAHhznHU=")</f>
        <v>#REF!</v>
      </c>
      <c r="DO138" t="e">
        <f>AND('BBP complete'!L1604,"AAAAAHhznHY=")</f>
        <v>#VALUE!</v>
      </c>
      <c r="DP138" t="e">
        <f>AND('BBP complete'!Q1561,"AAAAAHhznHc=")</f>
        <v>#VALUE!</v>
      </c>
      <c r="DQ138" t="e">
        <f>AND('BBP complete'!#REF!,"AAAAAHhznHg=")</f>
        <v>#REF!</v>
      </c>
      <c r="DR138" t="e">
        <f>AND('BBP complete'!L1605,"AAAAAHhznHk=")</f>
        <v>#VALUE!</v>
      </c>
      <c r="DS138" t="e">
        <f>AND('BBP complete'!Q1562,"AAAAAHhznHo=")</f>
        <v>#VALUE!</v>
      </c>
      <c r="DT138" t="e">
        <f>AND('BBP complete'!#REF!,"AAAAAHhznHs=")</f>
        <v>#REF!</v>
      </c>
      <c r="DU138" t="e">
        <f>AND('BBP complete'!L1606,"AAAAAHhznHw=")</f>
        <v>#VALUE!</v>
      </c>
      <c r="DV138" t="e">
        <f>AND('BBP complete'!Q1563,"AAAAAHhznH0=")</f>
        <v>#VALUE!</v>
      </c>
      <c r="DW138" t="e">
        <f>AND('BBP complete'!#REF!,"AAAAAHhznH4=")</f>
        <v>#REF!</v>
      </c>
      <c r="DX138" t="e">
        <f>AND('BBP complete'!L1607,"AAAAAHhznH8=")</f>
        <v>#VALUE!</v>
      </c>
      <c r="DY138" t="e">
        <f>AND('BBP complete'!Q1564,"AAAAAHhznIA=")</f>
        <v>#VALUE!</v>
      </c>
      <c r="DZ138" t="e">
        <f>AND('BBP complete'!#REF!,"AAAAAHhznIE=")</f>
        <v>#REF!</v>
      </c>
      <c r="EA138" t="e">
        <f>AND('BBP complete'!L1608,"AAAAAHhznII=")</f>
        <v>#VALUE!</v>
      </c>
      <c r="EB138" t="e">
        <f>AND('BBP complete'!Q1565,"AAAAAHhznIM=")</f>
        <v>#VALUE!</v>
      </c>
      <c r="EC138" t="e">
        <f>AND('BBP complete'!#REF!,"AAAAAHhznIQ=")</f>
        <v>#REF!</v>
      </c>
      <c r="ED138" t="e">
        <f>AND('BBP complete'!L1609,"AAAAAHhznIU=")</f>
        <v>#VALUE!</v>
      </c>
      <c r="EE138" t="e">
        <f>AND('BBP complete'!Q1566,"AAAAAHhznIY=")</f>
        <v>#VALUE!</v>
      </c>
      <c r="EF138" t="e">
        <f>AND('BBP complete'!#REF!,"AAAAAHhznIc=")</f>
        <v>#REF!</v>
      </c>
      <c r="EG138" t="e">
        <f>AND('BBP complete'!L1610,"AAAAAHhznIg=")</f>
        <v>#VALUE!</v>
      </c>
      <c r="EH138" t="e">
        <f>AND('BBP complete'!Q1567,"AAAAAHhznIk=")</f>
        <v>#VALUE!</v>
      </c>
      <c r="EI138" t="e">
        <f>AND('BBP complete'!#REF!,"AAAAAHhznIo=")</f>
        <v>#REF!</v>
      </c>
      <c r="EJ138" t="e">
        <f>AND('BBP complete'!L1611,"AAAAAHhznIs=")</f>
        <v>#VALUE!</v>
      </c>
      <c r="EK138" t="e">
        <f>AND('BBP complete'!Q1568,"AAAAAHhznIw=")</f>
        <v>#VALUE!</v>
      </c>
      <c r="EL138" t="e">
        <f>AND('BBP complete'!#REF!,"AAAAAHhznI0=")</f>
        <v>#REF!</v>
      </c>
      <c r="EM138" t="e">
        <f>AND('BBP complete'!L1612,"AAAAAHhznI4=")</f>
        <v>#VALUE!</v>
      </c>
      <c r="EN138" t="e">
        <f>AND('BBP complete'!Q1569,"AAAAAHhznI8=")</f>
        <v>#VALUE!</v>
      </c>
      <c r="EO138" t="e">
        <f>AND('BBP complete'!#REF!,"AAAAAHhznJA=")</f>
        <v>#REF!</v>
      </c>
      <c r="EP138" t="e">
        <f>AND('BBP complete'!L1613,"AAAAAHhznJE=")</f>
        <v>#VALUE!</v>
      </c>
      <c r="EQ138" t="e">
        <f>AND('BBP complete'!Q1570,"AAAAAHhznJI=")</f>
        <v>#VALUE!</v>
      </c>
      <c r="ER138" t="e">
        <f>AND('BBP complete'!#REF!,"AAAAAHhznJM=")</f>
        <v>#REF!</v>
      </c>
      <c r="ES138" t="e">
        <f>AND('BBP complete'!L1614,"AAAAAHhznJQ=")</f>
        <v>#VALUE!</v>
      </c>
      <c r="ET138" t="e">
        <f>AND('BBP complete'!Q1571,"AAAAAHhznJU=")</f>
        <v>#VALUE!</v>
      </c>
      <c r="EU138" t="e">
        <f>AND('BBP complete'!#REF!,"AAAAAHhznJY=")</f>
        <v>#REF!</v>
      </c>
      <c r="EV138" t="e">
        <f>AND('BBP complete'!L1615,"AAAAAHhznJc=")</f>
        <v>#VALUE!</v>
      </c>
      <c r="EW138" t="e">
        <f>AND('BBP complete'!Q1572,"AAAAAHhznJg=")</f>
        <v>#VALUE!</v>
      </c>
      <c r="EX138" t="e">
        <f>AND('BBP complete'!#REF!,"AAAAAHhznJk=")</f>
        <v>#REF!</v>
      </c>
      <c r="EY138" t="e">
        <f>AND('BBP complete'!L1616,"AAAAAHhznJo=")</f>
        <v>#VALUE!</v>
      </c>
      <c r="EZ138" t="e">
        <f>AND('BBP complete'!Q1573,"AAAAAHhznJs=")</f>
        <v>#VALUE!</v>
      </c>
      <c r="FA138" t="e">
        <f>AND('BBP complete'!#REF!,"AAAAAHhznJw=")</f>
        <v>#REF!</v>
      </c>
      <c r="FB138" t="e">
        <f>AND('BBP complete'!L1617,"AAAAAHhznJ0=")</f>
        <v>#VALUE!</v>
      </c>
      <c r="FC138" t="e">
        <f>AND('BBP complete'!Q1574,"AAAAAHhznJ4=")</f>
        <v>#VALUE!</v>
      </c>
      <c r="FD138" t="e">
        <f>AND('BBP complete'!#REF!,"AAAAAHhznJ8=")</f>
        <v>#REF!</v>
      </c>
      <c r="FE138" t="e">
        <f>AND('BBP complete'!L1618,"AAAAAHhznKA=")</f>
        <v>#VALUE!</v>
      </c>
      <c r="FF138" t="e">
        <f>AND('BBP complete'!Q1577,"AAAAAHhznKE=")</f>
        <v>#VALUE!</v>
      </c>
      <c r="FG138" t="e">
        <f>AND('BBP complete'!#REF!,"AAAAAHhznKI=")</f>
        <v>#REF!</v>
      </c>
      <c r="FH138" t="e">
        <f>AND('BBP complete'!L1619,"AAAAAHhznKM=")</f>
        <v>#VALUE!</v>
      </c>
      <c r="FI138" t="e">
        <f>AND('BBP complete'!Q1578,"AAAAAHhznKQ=")</f>
        <v>#VALUE!</v>
      </c>
      <c r="FJ138" t="e">
        <f>AND('BBP complete'!#REF!,"AAAAAHhznKU=")</f>
        <v>#REF!</v>
      </c>
      <c r="FK138" t="e">
        <f>AND('BBP complete'!L1620,"AAAAAHhznKY=")</f>
        <v>#VALUE!</v>
      </c>
      <c r="FL138" t="e">
        <f>AND('BBP complete'!Q1579,"AAAAAHhznKc=")</f>
        <v>#VALUE!</v>
      </c>
      <c r="FM138" t="e">
        <f>AND('BBP complete'!R1579,"AAAAAHhznKg=")</f>
        <v>#VALUE!</v>
      </c>
      <c r="FN138" t="e">
        <f>AND('BBP complete'!S1579,"AAAAAHhznKk=")</f>
        <v>#VALUE!</v>
      </c>
      <c r="FO138" t="e">
        <f>AND('BBP complete'!Q1580,"AAAAAHhznKo=")</f>
        <v>#VALUE!</v>
      </c>
      <c r="FP138" t="e">
        <f>AND('BBP complete'!R1580,"AAAAAHhznKs=")</f>
        <v>#VALUE!</v>
      </c>
      <c r="FQ138" t="e">
        <f>AND('BBP complete'!S1580,"AAAAAHhznKw=")</f>
        <v>#VALUE!</v>
      </c>
      <c r="FR138" t="e">
        <f>AND('BBP complete'!Q1581,"AAAAAHhznK0=")</f>
        <v>#VALUE!</v>
      </c>
      <c r="FS138" t="e">
        <f>AND('BBP complete'!R1581,"AAAAAHhznK4=")</f>
        <v>#VALUE!</v>
      </c>
      <c r="FT138" t="e">
        <f>AND('BBP complete'!S1581,"AAAAAHhznK8=")</f>
        <v>#VALUE!</v>
      </c>
      <c r="FU138" t="e">
        <f>AND('BBP complete'!Q1582,"AAAAAHhznLA=")</f>
        <v>#VALUE!</v>
      </c>
      <c r="FV138" t="e">
        <f>AND('BBP complete'!R1582,"AAAAAHhznLE=")</f>
        <v>#VALUE!</v>
      </c>
      <c r="FW138" t="e">
        <f>AND('BBP complete'!S1582,"AAAAAHhznLI=")</f>
        <v>#VALUE!</v>
      </c>
      <c r="FX138" t="e">
        <f>AND('BBP complete'!Q1583,"AAAAAHhznLM=")</f>
        <v>#VALUE!</v>
      </c>
      <c r="FY138" t="e">
        <f>AND('BBP complete'!R1583,"AAAAAHhznLQ=")</f>
        <v>#VALUE!</v>
      </c>
      <c r="FZ138" t="e">
        <f>AND('BBP complete'!S1583,"AAAAAHhznLU=")</f>
        <v>#VALUE!</v>
      </c>
      <c r="GA138" t="e">
        <f>AND('BBP complete'!Q1584,"AAAAAHhznLY=")</f>
        <v>#VALUE!</v>
      </c>
      <c r="GB138" t="e">
        <f>AND('BBP complete'!R1584,"AAAAAHhznLc=")</f>
        <v>#VALUE!</v>
      </c>
      <c r="GC138" t="e">
        <f>AND('BBP complete'!S1584,"AAAAAHhznLg=")</f>
        <v>#VALUE!</v>
      </c>
      <c r="GD138" t="e">
        <f>AND('BBP complete'!B1573,"AAAAAHhznLk=")</f>
        <v>#VALUE!</v>
      </c>
      <c r="GE138" t="e">
        <f>AND('BBP complete'!D1573,"AAAAAHhznLo=")</f>
        <v>#VALUE!</v>
      </c>
      <c r="GF138" t="e">
        <f>AND('BBP complete'!H1572,"AAAAAHhznLs=")</f>
        <v>#VALUE!</v>
      </c>
      <c r="GG138" t="e">
        <f>AND('BBP complete'!I1571,"AAAAAHhznLw=")</f>
        <v>#VALUE!</v>
      </c>
      <c r="GH138" t="e">
        <f>AND('BBP complete'!#REF!,"AAAAAHhznL0=")</f>
        <v>#REF!</v>
      </c>
      <c r="GI138" t="e">
        <f>AND('BBP complete'!#REF!,"AAAAAHhznL4=")</f>
        <v>#REF!</v>
      </c>
      <c r="GJ138" t="e">
        <f>AND('BBP complete'!#REF!,"AAAAAHhznL8=")</f>
        <v>#REF!</v>
      </c>
      <c r="GK138" t="e">
        <f>AND('BBP complete'!#REF!,"AAAAAHhznMA=")</f>
        <v>#REF!</v>
      </c>
      <c r="GL138" t="e">
        <f>AND('BBP complete'!#REF!,"AAAAAHhznME=")</f>
        <v>#REF!</v>
      </c>
      <c r="GM138" t="e">
        <f>AND('BBP complete'!#REF!,"AAAAAHhznMI=")</f>
        <v>#REF!</v>
      </c>
      <c r="GN138" t="e">
        <f>AND('BBP complete'!M1569,"AAAAAHhznMM=")</f>
        <v>#VALUE!</v>
      </c>
      <c r="GO138" t="e">
        <f>AND('BBP complete'!N1569,"AAAAAHhznMQ=")</f>
        <v>#VALUE!</v>
      </c>
      <c r="GP138" t="e">
        <f>AND('BBP complete'!P1585,"AAAAAHhznMU=")</f>
        <v>#VALUE!</v>
      </c>
      <c r="GQ138" t="e">
        <f>AND('BBP complete'!Q1585,"AAAAAHhznMY=")</f>
        <v>#VALUE!</v>
      </c>
      <c r="GR138" t="e">
        <f>AND('BBP complete'!R1585,"AAAAAHhznMc=")</f>
        <v>#VALUE!</v>
      </c>
      <c r="GS138" t="e">
        <f>AND('BBP complete'!S1585,"AAAAAHhznMg=")</f>
        <v>#VALUE!</v>
      </c>
      <c r="GT138" t="e">
        <f>AND('BBP complete'!B1574,"AAAAAHhznMk=")</f>
        <v>#VALUE!</v>
      </c>
      <c r="GU138" t="e">
        <f>AND('BBP complete'!F1574,"AAAAAHhznMo=")</f>
        <v>#VALUE!</v>
      </c>
      <c r="GV138" t="e">
        <f>AND('BBP complete'!G1574,"AAAAAHhznMs=")</f>
        <v>#VALUE!</v>
      </c>
      <c r="GW138" t="e">
        <f>AND('BBP complete'!D1574,"AAAAAHhznMw=")</f>
        <v>#VALUE!</v>
      </c>
      <c r="GX138" t="e">
        <f>AND('BBP complete'!H1573,"AAAAAHhznM0=")</f>
        <v>#VALUE!</v>
      </c>
      <c r="GY138" t="e">
        <f>AND('BBP complete'!I1572,"AAAAAHhznM4=")</f>
        <v>#VALUE!</v>
      </c>
      <c r="GZ138" t="e">
        <f>AND('BBP complete'!#REF!,"AAAAAHhznM8=")</f>
        <v>#REF!</v>
      </c>
      <c r="HA138" t="e">
        <f>AND('BBP complete'!#REF!,"AAAAAHhznNA=")</f>
        <v>#REF!</v>
      </c>
      <c r="HB138" t="e">
        <f>AND('BBP complete'!#REF!,"AAAAAHhznNE=")</f>
        <v>#REF!</v>
      </c>
      <c r="HC138" t="e">
        <f>AND('BBP complete'!#REF!,"AAAAAHhznNI=")</f>
        <v>#REF!</v>
      </c>
      <c r="HD138" t="e">
        <f>AND('BBP complete'!#REF!,"AAAAAHhznNM=")</f>
        <v>#REF!</v>
      </c>
      <c r="HE138" t="e">
        <f>AND('BBP complete'!#REF!,"AAAAAHhznNQ=")</f>
        <v>#REF!</v>
      </c>
      <c r="HF138" t="e">
        <f>AND('BBP complete'!M1570,"AAAAAHhznNU=")</f>
        <v>#VALUE!</v>
      </c>
      <c r="HG138" t="e">
        <f>AND('BBP complete'!N1570,"AAAAAHhznNY=")</f>
        <v>#VALUE!</v>
      </c>
      <c r="HH138" t="e">
        <f>AND('BBP complete'!P1586,"AAAAAHhznNc=")</f>
        <v>#VALUE!</v>
      </c>
      <c r="HI138" t="e">
        <f>AND('BBP complete'!Q1586,"AAAAAHhznNg=")</f>
        <v>#VALUE!</v>
      </c>
      <c r="HJ138" t="e">
        <f>AND('BBP complete'!R1586,"AAAAAHhznNk=")</f>
        <v>#VALUE!</v>
      </c>
      <c r="HK138" t="e">
        <f>AND('BBP complete'!S1586,"AAAAAHhznNo=")</f>
        <v>#VALUE!</v>
      </c>
      <c r="HL138" t="e">
        <f>AND('BBP complete'!A1575,"AAAAAHhznNs=")</f>
        <v>#VALUE!</v>
      </c>
      <c r="HM138" t="e">
        <f>AND('BBP complete'!B1575,"AAAAAHhznNw=")</f>
        <v>#VALUE!</v>
      </c>
      <c r="HN138" t="e">
        <f>AND('BBP complete'!C1575,"AAAAAHhznN0=")</f>
        <v>#VALUE!</v>
      </c>
      <c r="HO138" t="e">
        <f>AND('BBP complete'!D1575,"AAAAAHhznN4=")</f>
        <v>#VALUE!</v>
      </c>
      <c r="HP138" t="e">
        <f>AND('BBP complete'!H1574,"AAAAAHhznN8=")</f>
        <v>#VALUE!</v>
      </c>
      <c r="HQ138" t="e">
        <f>AND('BBP complete'!I1573,"AAAAAHhznOA=")</f>
        <v>#VALUE!</v>
      </c>
      <c r="HR138" t="e">
        <f>AND('BBP complete'!#REF!,"AAAAAHhznOE=")</f>
        <v>#REF!</v>
      </c>
      <c r="HS138" t="e">
        <f>AND('BBP complete'!#REF!,"AAAAAHhznOI=")</f>
        <v>#REF!</v>
      </c>
      <c r="HT138" t="e">
        <f>AND('BBP complete'!#REF!,"AAAAAHhznOM=")</f>
        <v>#REF!</v>
      </c>
      <c r="HU138" t="e">
        <f>AND('BBP complete'!#REF!,"AAAAAHhznOQ=")</f>
        <v>#REF!</v>
      </c>
      <c r="HV138" t="e">
        <f>AND('BBP complete'!#REF!,"AAAAAHhznOU=")</f>
        <v>#REF!</v>
      </c>
      <c r="HW138" t="e">
        <f>AND('BBP complete'!#REF!,"AAAAAHhznOY=")</f>
        <v>#REF!</v>
      </c>
      <c r="HX138" t="e">
        <f>AND('BBP complete'!M1571,"AAAAAHhznOc=")</f>
        <v>#VALUE!</v>
      </c>
      <c r="HY138" t="e">
        <f>AND('BBP complete'!N1571,"AAAAAHhznOg=")</f>
        <v>#VALUE!</v>
      </c>
      <c r="HZ138" t="e">
        <f>AND('BBP complete'!P1587,"AAAAAHhznOk=")</f>
        <v>#VALUE!</v>
      </c>
      <c r="IA138" t="e">
        <f>AND('BBP complete'!Q1587,"AAAAAHhznOo=")</f>
        <v>#VALUE!</v>
      </c>
      <c r="IB138" t="e">
        <f>AND('BBP complete'!R1587,"AAAAAHhznOs=")</f>
        <v>#VALUE!</v>
      </c>
      <c r="IC138" t="e">
        <f>AND('BBP complete'!S1587,"AAAAAHhznOw=")</f>
        <v>#VALUE!</v>
      </c>
      <c r="ID138" t="e">
        <f>AND('BBP complete'!A1577,"AAAAAHhznO0=")</f>
        <v>#VALUE!</v>
      </c>
      <c r="IE138" t="e">
        <f>AND('BBP complete'!B1576,"AAAAAHhznO4=")</f>
        <v>#VALUE!</v>
      </c>
      <c r="IF138" t="e">
        <f>AND('BBP complete'!C1576,"AAAAAHhznO8=")</f>
        <v>#VALUE!</v>
      </c>
      <c r="IG138" t="e">
        <f>AND('BBP complete'!D1576,"AAAAAHhznPA=")</f>
        <v>#VALUE!</v>
      </c>
      <c r="IH138" t="e">
        <f>AND('BBP complete'!E1575,"AAAAAHhznPE=")</f>
        <v>#VALUE!</v>
      </c>
      <c r="II138" t="e">
        <f>AND('BBP complete'!I1574,"AAAAAHhznPI=")</f>
        <v>#VALUE!</v>
      </c>
      <c r="IJ138" t="e">
        <f>AND('BBP complete'!#REF!,"AAAAAHhznPM=")</f>
        <v>#REF!</v>
      </c>
      <c r="IK138" t="e">
        <f>AND('BBP complete'!#REF!,"AAAAAHhznPQ=")</f>
        <v>#REF!</v>
      </c>
      <c r="IL138" t="e">
        <f>AND('BBP complete'!#REF!,"AAAAAHhznPU=")</f>
        <v>#REF!</v>
      </c>
      <c r="IM138" t="e">
        <f>AND('BBP complete'!#REF!,"AAAAAHhznPY=")</f>
        <v>#REF!</v>
      </c>
      <c r="IN138" t="e">
        <f>AND('BBP complete'!#REF!,"AAAAAHhznPc=")</f>
        <v>#REF!</v>
      </c>
      <c r="IO138" t="e">
        <f>AND('BBP complete'!#REF!,"AAAAAHhznPg=")</f>
        <v>#REF!</v>
      </c>
      <c r="IP138" t="e">
        <f>AND('BBP complete'!M1572,"AAAAAHhznPk=")</f>
        <v>#VALUE!</v>
      </c>
      <c r="IQ138" t="e">
        <f>AND('BBP complete'!N1572,"AAAAAHhznPo=")</f>
        <v>#VALUE!</v>
      </c>
      <c r="IR138" t="e">
        <f>AND('BBP complete'!P1588,"AAAAAHhznPs=")</f>
        <v>#VALUE!</v>
      </c>
      <c r="IS138" t="e">
        <f>AND('BBP complete'!Q1588,"AAAAAHhznPw=")</f>
        <v>#VALUE!</v>
      </c>
      <c r="IT138" t="e">
        <f>AND('BBP complete'!R1588,"AAAAAHhznP0=")</f>
        <v>#VALUE!</v>
      </c>
      <c r="IU138" t="e">
        <f>AND('BBP complete'!S1588,"AAAAAHhznP4=")</f>
        <v>#VALUE!</v>
      </c>
      <c r="IV138" t="e">
        <f>AND('BBP complete'!#REF!,"AAAAAHhznP8=")</f>
        <v>#REF!</v>
      </c>
    </row>
    <row r="139" spans="1:256" ht="15" customHeight="1" x14ac:dyDescent="0.25">
      <c r="A139" t="e">
        <f>AND('BBP complete'!#REF!,"AAAAAFq/fQA=")</f>
        <v>#REF!</v>
      </c>
      <c r="B139" t="e">
        <f>AND('BBP complete'!#REF!,"AAAAAFq/fQE=")</f>
        <v>#REF!</v>
      </c>
      <c r="C139" t="e">
        <f>AND('BBP complete'!#REF!,"AAAAAFq/fQI=")</f>
        <v>#REF!</v>
      </c>
      <c r="D139" t="e">
        <f>AND('BBP complete'!E1576,"AAAAAFq/fQM=")</f>
        <v>#VALUE!</v>
      </c>
      <c r="E139" t="e">
        <f>AND('BBP complete'!F1575,"AAAAAFq/fQQ=")</f>
        <v>#VALUE!</v>
      </c>
      <c r="F139" t="e">
        <f>AND('BBP complete'!#REF!,"AAAAAFq/fQU=")</f>
        <v>#REF!</v>
      </c>
      <c r="G139" t="e">
        <f>AND('BBP complete'!#REF!,"AAAAAFq/fQY=")</f>
        <v>#REF!</v>
      </c>
      <c r="H139" t="e">
        <f>AND('BBP complete'!#REF!,"AAAAAFq/fQc=")</f>
        <v>#REF!</v>
      </c>
      <c r="I139" t="e">
        <f>AND('BBP complete'!#REF!,"AAAAAFq/fQg=")</f>
        <v>#REF!</v>
      </c>
      <c r="J139" t="e">
        <f>AND('BBP complete'!#REF!,"AAAAAFq/fQk=")</f>
        <v>#REF!</v>
      </c>
      <c r="K139" t="e">
        <f>AND('BBP complete'!#REF!,"AAAAAFq/fQo=")</f>
        <v>#REF!</v>
      </c>
      <c r="L139" t="e">
        <f>AND('BBP complete'!M1573,"AAAAAFq/fQs=")</f>
        <v>#VALUE!</v>
      </c>
      <c r="M139" t="e">
        <f>AND('BBP complete'!N1573,"AAAAAFq/fQw=")</f>
        <v>#VALUE!</v>
      </c>
      <c r="N139" t="e">
        <f>AND('BBP complete'!P1589,"AAAAAFq/fQ0=")</f>
        <v>#VALUE!</v>
      </c>
      <c r="O139" t="e">
        <f>AND('BBP complete'!Q1589,"AAAAAFq/fQ4=")</f>
        <v>#VALUE!</v>
      </c>
      <c r="P139" t="e">
        <f>AND('BBP complete'!R1589,"AAAAAFq/fQ8=")</f>
        <v>#VALUE!</v>
      </c>
      <c r="Q139" t="e">
        <f>AND('BBP complete'!S1589,"AAAAAFq/fRA=")</f>
        <v>#VALUE!</v>
      </c>
      <c r="R139" t="e">
        <f>AND('BBP complete'!A1578,"AAAAAFq/fRE=")</f>
        <v>#VALUE!</v>
      </c>
      <c r="S139" t="e">
        <f>AND('BBP complete'!#REF!,"AAAAAFq/fRI=")</f>
        <v>#REF!</v>
      </c>
      <c r="T139" t="e">
        <f>AND('BBP complete'!#REF!,"AAAAAFq/fRM=")</f>
        <v>#REF!</v>
      </c>
      <c r="U139" t="e">
        <f>AND('BBP complete'!#REF!,"AAAAAFq/fRQ=")</f>
        <v>#REF!</v>
      </c>
      <c r="V139" t="e">
        <f>AND('BBP complete'!#REF!,"AAAAAFq/fRU=")</f>
        <v>#REF!</v>
      </c>
      <c r="W139" t="e">
        <f>AND('BBP complete'!F1576,"AAAAAFq/fRY=")</f>
        <v>#VALUE!</v>
      </c>
      <c r="X139" t="e">
        <f>AND('BBP complete'!G1575,"AAAAAFq/fRc=")</f>
        <v>#VALUE!</v>
      </c>
      <c r="Y139" t="e">
        <f>AND('BBP complete'!H1575,"AAAAAFq/fRg=")</f>
        <v>#VALUE!</v>
      </c>
      <c r="Z139" t="e">
        <f>AND('BBP complete'!I1575,"AAAAAFq/fRk=")</f>
        <v>#VALUE!</v>
      </c>
      <c r="AA139" t="e">
        <f>AND('BBP complete'!J1575,"AAAAAFq/fRo=")</f>
        <v>#VALUE!</v>
      </c>
      <c r="AB139" t="e">
        <f>AND('BBP complete'!#REF!,"AAAAAFq/fRs=")</f>
        <v>#REF!</v>
      </c>
      <c r="AC139" t="e">
        <f>AND('BBP complete'!#REF!,"AAAAAFq/fRw=")</f>
        <v>#REF!</v>
      </c>
      <c r="AD139" t="e">
        <f>AND('BBP complete'!M1574,"AAAAAFq/fR0=")</f>
        <v>#VALUE!</v>
      </c>
      <c r="AE139" t="e">
        <f>AND('BBP complete'!N1574,"AAAAAFq/fR4=")</f>
        <v>#VALUE!</v>
      </c>
      <c r="AF139" t="e">
        <f>AND('BBP complete'!P1590,"AAAAAFq/fR8=")</f>
        <v>#VALUE!</v>
      </c>
      <c r="AG139" t="e">
        <f>AND('BBP complete'!Q1590,"AAAAAFq/fSA=")</f>
        <v>#VALUE!</v>
      </c>
      <c r="AH139" t="e">
        <f>AND('BBP complete'!R1590,"AAAAAFq/fSE=")</f>
        <v>#VALUE!</v>
      </c>
      <c r="AI139" t="e">
        <f>AND('BBP complete'!S1590,"AAAAAFq/fSI=")</f>
        <v>#VALUE!</v>
      </c>
      <c r="AJ139" t="e">
        <f>AND('BBP complete'!A1579,"AAAAAFq/fSM=")</f>
        <v>#VALUE!</v>
      </c>
      <c r="AK139" t="e">
        <f>AND('BBP complete'!#REF!,"AAAAAFq/fSQ=")</f>
        <v>#REF!</v>
      </c>
      <c r="AL139" t="e">
        <f>AND('BBP complete'!#REF!,"AAAAAFq/fSU=")</f>
        <v>#REF!</v>
      </c>
      <c r="AM139" t="e">
        <f>AND('BBP complete'!#REF!,"AAAAAFq/fSY=")</f>
        <v>#REF!</v>
      </c>
      <c r="AN139" t="e">
        <f>AND('BBP complete'!#REF!,"AAAAAFq/fSc=")</f>
        <v>#REF!</v>
      </c>
      <c r="AO139" t="e">
        <f>AND('BBP complete'!#REF!,"AAAAAFq/fSg=")</f>
        <v>#REF!</v>
      </c>
      <c r="AP139" t="e">
        <f>AND('BBP complete'!G1576,"AAAAAFq/fSk=")</f>
        <v>#VALUE!</v>
      </c>
      <c r="AQ139" t="e">
        <f>AND('BBP complete'!H1576,"AAAAAFq/fSo=")</f>
        <v>#VALUE!</v>
      </c>
      <c r="AR139" t="e">
        <f>AND('BBP complete'!I1576,"AAAAAFq/fSs=")</f>
        <v>#VALUE!</v>
      </c>
      <c r="AS139" t="e">
        <f>AND('BBP complete'!J1576,"AAAAAFq/fSw=")</f>
        <v>#VALUE!</v>
      </c>
      <c r="AT139" t="e">
        <f>AND('BBP complete'!#REF!,"AAAAAFq/fS0=")</f>
        <v>#REF!</v>
      </c>
      <c r="AU139" t="e">
        <f>AND('BBP complete'!#REF!,"AAAAAFq/fS4=")</f>
        <v>#REF!</v>
      </c>
      <c r="AV139" t="e">
        <f>AND('BBP complete'!M1575,"AAAAAFq/fS8=")</f>
        <v>#VALUE!</v>
      </c>
      <c r="AW139" t="e">
        <f>AND('BBP complete'!N1575,"AAAAAFq/fTA=")</f>
        <v>#VALUE!</v>
      </c>
      <c r="AX139" t="e">
        <f>AND('BBP complete'!P1591,"AAAAAFq/fTE=")</f>
        <v>#VALUE!</v>
      </c>
      <c r="AY139" t="e">
        <f>AND('BBP complete'!Q1591,"AAAAAFq/fTI=")</f>
        <v>#VALUE!</v>
      </c>
      <c r="AZ139" t="e">
        <f>AND('BBP complete'!R1591,"AAAAAFq/fTM=")</f>
        <v>#VALUE!</v>
      </c>
      <c r="BA139" t="e">
        <f>AND('BBP complete'!S1591,"AAAAAFq/fTQ=")</f>
        <v>#VALUE!</v>
      </c>
      <c r="BB139" t="e">
        <f>AND('BBP complete'!A1580,"AAAAAFq/fTU=")</f>
        <v>#VALUE!</v>
      </c>
      <c r="BC139" t="e">
        <f>AND('BBP complete'!#REF!,"AAAAAFq/fTY=")</f>
        <v>#REF!</v>
      </c>
      <c r="BD139" t="e">
        <f>AND('BBP complete'!J1577,"AAAAAFq/fTc=")</f>
        <v>#VALUE!</v>
      </c>
      <c r="BE139" t="e">
        <f>AND('BBP complete'!#REF!,"AAAAAFq/fTg=")</f>
        <v>#REF!</v>
      </c>
      <c r="BF139" t="e">
        <f>AND('BBP complete'!#REF!,"AAAAAFq/fTk=")</f>
        <v>#REF!</v>
      </c>
      <c r="BG139" t="e">
        <f>AND('BBP complete'!#REF!,"AAAAAFq/fTo=")</f>
        <v>#REF!</v>
      </c>
      <c r="BH139" t="e">
        <f>AND('BBP complete'!#REF!,"AAAAAFq/fTs=")</f>
        <v>#REF!</v>
      </c>
      <c r="BI139" t="e">
        <f>AND('BBP complete'!#REF!,"AAAAAFq/fTw=")</f>
        <v>#REF!</v>
      </c>
      <c r="BJ139" t="e">
        <f>AND('BBP complete'!#REF!,"AAAAAFq/fT0=")</f>
        <v>#REF!</v>
      </c>
      <c r="BK139" t="e">
        <f>AND('BBP complete'!#REF!,"AAAAAFq/fT4=")</f>
        <v>#REF!</v>
      </c>
      <c r="BL139" t="e">
        <f>AND('BBP complete'!#REF!,"AAAAAFq/fT8=")</f>
        <v>#REF!</v>
      </c>
      <c r="BM139" t="e">
        <f>AND('BBP complete'!#REF!,"AAAAAFq/fUA=")</f>
        <v>#REF!</v>
      </c>
      <c r="BN139" t="e">
        <f>AND('BBP complete'!C1577,"AAAAAFq/fUE=")</f>
        <v>#VALUE!</v>
      </c>
      <c r="BO139" t="e">
        <f>AND('BBP complete'!N1576,"AAAAAFq/fUI=")</f>
        <v>#VALUE!</v>
      </c>
      <c r="BP139" t="e">
        <f>AND('BBP complete'!P1592,"AAAAAFq/fUM=")</f>
        <v>#VALUE!</v>
      </c>
      <c r="BQ139" t="e">
        <f>AND('BBP complete'!Q1592,"AAAAAFq/fUQ=")</f>
        <v>#VALUE!</v>
      </c>
      <c r="BR139" t="e">
        <f>AND('BBP complete'!R1592,"AAAAAFq/fUU=")</f>
        <v>#VALUE!</v>
      </c>
      <c r="BS139" t="e">
        <f>AND('BBP complete'!S1592,"AAAAAFq/fUY=")</f>
        <v>#VALUE!</v>
      </c>
      <c r="BT139" t="e">
        <f>AND('BBP complete'!A1581,"AAAAAFq/fUc=")</f>
        <v>#VALUE!</v>
      </c>
      <c r="BU139" t="e">
        <f>AND('BBP complete'!B1577,"AAAAAFq/fUg=")</f>
        <v>#VALUE!</v>
      </c>
      <c r="BV139" t="e">
        <f>AND('BBP complete'!H1577,"AAAAAFq/fUk=")</f>
        <v>#VALUE!</v>
      </c>
      <c r="BW139" t="e">
        <f>AND('BBP complete'!I1577,"AAAAAFq/fUo=")</f>
        <v>#VALUE!</v>
      </c>
      <c r="BX139" t="e">
        <f>AND('BBP complete'!#REF!,"AAAAAFq/fUs=")</f>
        <v>#REF!</v>
      </c>
      <c r="BY139" t="e">
        <f>AND('BBP complete'!#REF!,"AAAAAFq/fUw=")</f>
        <v>#REF!</v>
      </c>
      <c r="BZ139" t="e">
        <f>AND('BBP complete'!#REF!,"AAAAAFq/fU0=")</f>
        <v>#REF!</v>
      </c>
      <c r="CA139" t="e">
        <f>AND('BBP complete'!#REF!,"AAAAAFq/fU4=")</f>
        <v>#REF!</v>
      </c>
      <c r="CB139" t="e">
        <f>AND('BBP complete'!#REF!,"AAAAAFq/fU8=")</f>
        <v>#REF!</v>
      </c>
      <c r="CC139" t="e">
        <f>AND('BBP complete'!#REF!,"AAAAAFq/fVA=")</f>
        <v>#REF!</v>
      </c>
      <c r="CD139" t="e">
        <f>AND('BBP complete'!#REF!,"AAAAAFq/fVE=")</f>
        <v>#REF!</v>
      </c>
      <c r="CE139" t="e">
        <f>AND('BBP complete'!#REF!,"AAAAAFq/fVI=")</f>
        <v>#REF!</v>
      </c>
      <c r="CF139" t="e">
        <f>AND('BBP complete'!C1578,"AAAAAFq/fVM=")</f>
        <v>#VALUE!</v>
      </c>
      <c r="CG139" t="e">
        <f>AND('BBP complete'!N1577,"AAAAAFq/fVQ=")</f>
        <v>#VALUE!</v>
      </c>
      <c r="CH139" t="e">
        <f>AND('BBP complete'!P1593,"AAAAAFq/fVU=")</f>
        <v>#VALUE!</v>
      </c>
      <c r="CI139" t="e">
        <f>AND('BBP complete'!Q1593,"AAAAAFq/fVY=")</f>
        <v>#VALUE!</v>
      </c>
      <c r="CJ139" t="e">
        <f>AND('BBP complete'!R1593,"AAAAAFq/fVc=")</f>
        <v>#VALUE!</v>
      </c>
      <c r="CK139" t="e">
        <f>AND('BBP complete'!S1593,"AAAAAFq/fVg=")</f>
        <v>#VALUE!</v>
      </c>
      <c r="CL139" t="e">
        <f>AND('BBP complete'!A1582,"AAAAAFq/fVk=")</f>
        <v>#VALUE!</v>
      </c>
      <c r="CM139" t="e">
        <f>AND('BBP complete'!B1578,"AAAAAFq/fVo=")</f>
        <v>#VALUE!</v>
      </c>
      <c r="CN139" t="e">
        <f>AND('BBP complete'!H1578,"AAAAAFq/fVs=")</f>
        <v>#VALUE!</v>
      </c>
      <c r="CO139" t="e">
        <f>AND('BBP complete'!I1578,"AAAAAFq/fVw=")</f>
        <v>#VALUE!</v>
      </c>
      <c r="CP139" t="e">
        <f>AND('BBP complete'!G1577,"AAAAAFq/fV0=")</f>
        <v>#VALUE!</v>
      </c>
      <c r="CQ139" t="e">
        <f>AND('BBP complete'!#REF!,"AAAAAFq/fV4=")</f>
        <v>#REF!</v>
      </c>
      <c r="CR139" t="e">
        <f>AND('BBP complete'!#REF!,"AAAAAFq/fV8=")</f>
        <v>#REF!</v>
      </c>
      <c r="CS139" t="e">
        <f>AND('BBP complete'!#REF!,"AAAAAFq/fWA=")</f>
        <v>#REF!</v>
      </c>
      <c r="CT139" t="e">
        <f>AND('BBP complete'!#REF!,"AAAAAFq/fWE=")</f>
        <v>#REF!</v>
      </c>
      <c r="CU139" t="e">
        <f>AND('BBP complete'!#REF!,"AAAAAFq/fWI=")</f>
        <v>#REF!</v>
      </c>
      <c r="CV139" t="e">
        <f>AND('BBP complete'!#REF!,"AAAAAFq/fWM=")</f>
        <v>#REF!</v>
      </c>
      <c r="CW139" t="e">
        <f>AND('BBP complete'!#REF!,"AAAAAFq/fWQ=")</f>
        <v>#REF!</v>
      </c>
      <c r="CX139" t="e">
        <f>AND('BBP complete'!C1579,"AAAAAFq/fWU=")</f>
        <v>#VALUE!</v>
      </c>
      <c r="CY139" t="e">
        <f>AND('BBP complete'!N1578,"AAAAAFq/fWY=")</f>
        <v>#VALUE!</v>
      </c>
      <c r="CZ139" t="e">
        <f>AND('BBP complete'!P1594,"AAAAAFq/fWc=")</f>
        <v>#VALUE!</v>
      </c>
      <c r="DA139" t="e">
        <f>AND('BBP complete'!Q1594,"AAAAAFq/fWg=")</f>
        <v>#VALUE!</v>
      </c>
      <c r="DB139" t="e">
        <f>AND('BBP complete'!R1594,"AAAAAFq/fWk=")</f>
        <v>#VALUE!</v>
      </c>
      <c r="DC139" t="e">
        <f>AND('BBP complete'!S1594,"AAAAAFq/fWo=")</f>
        <v>#VALUE!</v>
      </c>
      <c r="DD139" t="e">
        <f>AND('BBP complete'!A1583,"AAAAAFq/fWs=")</f>
        <v>#VALUE!</v>
      </c>
      <c r="DE139" t="e">
        <f>AND('BBP complete'!B1579,"AAAAAFq/fWw=")</f>
        <v>#VALUE!</v>
      </c>
      <c r="DF139" t="e">
        <f>AND('BBP complete'!H1579,"AAAAAFq/fW0=")</f>
        <v>#VALUE!</v>
      </c>
      <c r="DG139" t="e">
        <f>AND('BBP complete'!I1579,"AAAAAFq/fW4=")</f>
        <v>#VALUE!</v>
      </c>
      <c r="DH139" t="e">
        <f>AND('BBP complete'!G1578,"AAAAAFq/fW8=")</f>
        <v>#VALUE!</v>
      </c>
      <c r="DI139" t="e">
        <f>AND('BBP complete'!#REF!,"AAAAAFq/fXA=")</f>
        <v>#REF!</v>
      </c>
      <c r="DJ139" t="e">
        <f>AND('BBP complete'!#REF!,"AAAAAFq/fXE=")</f>
        <v>#REF!</v>
      </c>
      <c r="DK139" t="e">
        <f>AND('BBP complete'!#REF!,"AAAAAFq/fXI=")</f>
        <v>#REF!</v>
      </c>
      <c r="DL139" t="e">
        <f>AND('BBP complete'!#REF!,"AAAAAFq/fXM=")</f>
        <v>#REF!</v>
      </c>
      <c r="DM139" t="e">
        <f>AND('BBP complete'!#REF!,"AAAAAFq/fXQ=")</f>
        <v>#REF!</v>
      </c>
      <c r="DN139" t="e">
        <f>AND('BBP complete'!#REF!,"AAAAAFq/fXU=")</f>
        <v>#REF!</v>
      </c>
      <c r="DO139" t="e">
        <f>AND('BBP complete'!#REF!,"AAAAAFq/fXY=")</f>
        <v>#REF!</v>
      </c>
      <c r="DP139" t="e">
        <f>AND('BBP complete'!C1580,"AAAAAFq/fXc=")</f>
        <v>#VALUE!</v>
      </c>
      <c r="DQ139" t="e">
        <f>AND('BBP complete'!N1579,"AAAAAFq/fXg=")</f>
        <v>#VALUE!</v>
      </c>
      <c r="DR139" t="e">
        <f>AND('BBP complete'!P1595,"AAAAAFq/fXk=")</f>
        <v>#VALUE!</v>
      </c>
      <c r="DS139" t="e">
        <f>AND('BBP complete'!Q1595,"AAAAAFq/fXo=")</f>
        <v>#VALUE!</v>
      </c>
      <c r="DT139" t="e">
        <f>AND('BBP complete'!R1595,"AAAAAFq/fXs=")</f>
        <v>#VALUE!</v>
      </c>
      <c r="DU139" t="e">
        <f>AND('BBP complete'!S1595,"AAAAAFq/fXw=")</f>
        <v>#VALUE!</v>
      </c>
      <c r="DV139" t="e">
        <f>AND('BBP complete'!A1584,"AAAAAFq/fX0=")</f>
        <v>#VALUE!</v>
      </c>
      <c r="DW139" t="e">
        <f>AND('BBP complete'!B1580,"AAAAAFq/fX4=")</f>
        <v>#VALUE!</v>
      </c>
      <c r="DX139" t="e">
        <f>AND('BBP complete'!H1580,"AAAAAFq/fX8=")</f>
        <v>#VALUE!</v>
      </c>
      <c r="DY139" t="e">
        <f>AND('BBP complete'!I1580,"AAAAAFq/fYA=")</f>
        <v>#VALUE!</v>
      </c>
      <c r="DZ139" t="e">
        <f>AND('BBP complete'!G1579,"AAAAAFq/fYE=")</f>
        <v>#VALUE!</v>
      </c>
      <c r="EA139" t="e">
        <f>AND('BBP complete'!#REF!,"AAAAAFq/fYI=")</f>
        <v>#REF!</v>
      </c>
      <c r="EB139" t="e">
        <f>AND('BBP complete'!#REF!,"AAAAAFq/fYM=")</f>
        <v>#REF!</v>
      </c>
      <c r="EC139" t="e">
        <f>AND('BBP complete'!#REF!,"AAAAAFq/fYQ=")</f>
        <v>#REF!</v>
      </c>
      <c r="ED139" t="e">
        <f>AND('BBP complete'!#REF!,"AAAAAFq/fYU=")</f>
        <v>#REF!</v>
      </c>
      <c r="EE139" t="e">
        <f>AND('BBP complete'!#REF!,"AAAAAFq/fYY=")</f>
        <v>#REF!</v>
      </c>
      <c r="EF139" t="e">
        <f>AND('BBP complete'!#REF!,"AAAAAFq/fYc=")</f>
        <v>#REF!</v>
      </c>
      <c r="EG139" t="e">
        <f>AND('BBP complete'!#REF!,"AAAAAFq/fYg=")</f>
        <v>#REF!</v>
      </c>
      <c r="EH139" t="e">
        <f>AND('BBP complete'!C1581,"AAAAAFq/fYk=")</f>
        <v>#VALUE!</v>
      </c>
      <c r="EI139" t="e">
        <f>AND('BBP complete'!N1580,"AAAAAFq/fYo=")</f>
        <v>#VALUE!</v>
      </c>
      <c r="EJ139" t="e">
        <f>AND('BBP complete'!P1596,"AAAAAFq/fYs=")</f>
        <v>#VALUE!</v>
      </c>
      <c r="EK139" t="e">
        <f>AND('BBP complete'!Q1596,"AAAAAFq/fYw=")</f>
        <v>#VALUE!</v>
      </c>
      <c r="EL139" t="e">
        <f>AND('BBP complete'!R1596,"AAAAAFq/fY0=")</f>
        <v>#VALUE!</v>
      </c>
      <c r="EM139" t="e">
        <f>AND('BBP complete'!S1596,"AAAAAFq/fY4=")</f>
        <v>#VALUE!</v>
      </c>
      <c r="EN139" t="e">
        <f>AND('BBP complete'!A1585,"AAAAAFq/fY8=")</f>
        <v>#VALUE!</v>
      </c>
      <c r="EO139" t="e">
        <f>AND('BBP complete'!B1581,"AAAAAFq/fZA=")</f>
        <v>#VALUE!</v>
      </c>
      <c r="EP139" t="e">
        <f>AND('BBP complete'!H1581,"AAAAAFq/fZE=")</f>
        <v>#VALUE!</v>
      </c>
      <c r="EQ139" t="e">
        <f>AND('BBP complete'!I1581,"AAAAAFq/fZI=")</f>
        <v>#VALUE!</v>
      </c>
      <c r="ER139" t="e">
        <f>AND('BBP complete'!G1580,"AAAAAFq/fZM=")</f>
        <v>#VALUE!</v>
      </c>
      <c r="ES139" t="e">
        <f>AND('BBP complete'!#REF!,"AAAAAFq/fZQ=")</f>
        <v>#REF!</v>
      </c>
      <c r="ET139" t="e">
        <f>AND('BBP complete'!#REF!,"AAAAAFq/fZU=")</f>
        <v>#REF!</v>
      </c>
      <c r="EU139" t="e">
        <f>AND('BBP complete'!#REF!,"AAAAAFq/fZY=")</f>
        <v>#REF!</v>
      </c>
      <c r="EV139" t="e">
        <f>AND('BBP complete'!#REF!,"AAAAAFq/fZc=")</f>
        <v>#REF!</v>
      </c>
      <c r="EW139" t="e">
        <f>AND('BBP complete'!#REF!,"AAAAAFq/fZg=")</f>
        <v>#REF!</v>
      </c>
      <c r="EX139" t="e">
        <f>AND('BBP complete'!#REF!,"AAAAAFq/fZk=")</f>
        <v>#REF!</v>
      </c>
      <c r="EY139" t="e">
        <f>AND('BBP complete'!#REF!,"AAAAAFq/fZo=")</f>
        <v>#REF!</v>
      </c>
      <c r="EZ139" t="e">
        <f>AND('BBP complete'!C1582,"AAAAAFq/fZs=")</f>
        <v>#VALUE!</v>
      </c>
      <c r="FA139" t="e">
        <f>AND('BBP complete'!N1581,"AAAAAFq/fZw=")</f>
        <v>#VALUE!</v>
      </c>
      <c r="FB139" t="e">
        <f>AND('BBP complete'!P1597,"AAAAAFq/fZ0=")</f>
        <v>#VALUE!</v>
      </c>
      <c r="FC139" t="e">
        <f>AND('BBP complete'!Q1597,"AAAAAFq/fZ4=")</f>
        <v>#VALUE!</v>
      </c>
      <c r="FD139" t="e">
        <f>AND('BBP complete'!R1597,"AAAAAFq/fZ8=")</f>
        <v>#VALUE!</v>
      </c>
      <c r="FE139" t="e">
        <f>AND('BBP complete'!S1597,"AAAAAFq/faA=")</f>
        <v>#VALUE!</v>
      </c>
      <c r="FF139" t="e">
        <f>AND('BBP complete'!A1586,"AAAAAFq/faE=")</f>
        <v>#VALUE!</v>
      </c>
      <c r="FG139" t="e">
        <f>AND('BBP complete'!B1582,"AAAAAFq/faI=")</f>
        <v>#VALUE!</v>
      </c>
      <c r="FH139" t="e">
        <f>AND('BBP complete'!H1582,"AAAAAFq/faM=")</f>
        <v>#VALUE!</v>
      </c>
      <c r="FI139" t="e">
        <f>AND('BBP complete'!I1582,"AAAAAFq/faQ=")</f>
        <v>#VALUE!</v>
      </c>
      <c r="FJ139" t="e">
        <f>AND('BBP complete'!G1581,"AAAAAFq/faU=")</f>
        <v>#VALUE!</v>
      </c>
      <c r="FK139" t="e">
        <f>AND('BBP complete'!#REF!,"AAAAAFq/faY=")</f>
        <v>#REF!</v>
      </c>
      <c r="FL139" t="e">
        <f>AND('BBP complete'!#REF!,"AAAAAFq/fac=")</f>
        <v>#REF!</v>
      </c>
      <c r="FM139" t="e">
        <f>AND('BBP complete'!#REF!,"AAAAAFq/fag=")</f>
        <v>#REF!</v>
      </c>
      <c r="FN139" t="e">
        <f>AND('BBP complete'!#REF!,"AAAAAFq/fak=")</f>
        <v>#REF!</v>
      </c>
      <c r="FO139" t="e">
        <f>AND('BBP complete'!#REF!,"AAAAAFq/fao=")</f>
        <v>#REF!</v>
      </c>
      <c r="FP139" t="e">
        <f>AND('BBP complete'!#REF!,"AAAAAFq/fas=")</f>
        <v>#REF!</v>
      </c>
      <c r="FQ139" t="e">
        <f>AND('BBP complete'!#REF!,"AAAAAFq/faw=")</f>
        <v>#REF!</v>
      </c>
      <c r="FR139" t="e">
        <f>AND('BBP complete'!C1583,"AAAAAFq/fa0=")</f>
        <v>#VALUE!</v>
      </c>
      <c r="FS139" t="e">
        <f>AND('BBP complete'!N1582,"AAAAAFq/fa4=")</f>
        <v>#VALUE!</v>
      </c>
      <c r="FT139" t="e">
        <f>AND('BBP complete'!P1598,"AAAAAFq/fa8=")</f>
        <v>#VALUE!</v>
      </c>
      <c r="FU139" t="e">
        <f>AND('BBP complete'!Q1598,"AAAAAFq/fbA=")</f>
        <v>#VALUE!</v>
      </c>
      <c r="FV139" t="e">
        <f>AND('BBP complete'!R1598,"AAAAAFq/fbE=")</f>
        <v>#VALUE!</v>
      </c>
      <c r="FW139" t="e">
        <f>AND('BBP complete'!S1598,"AAAAAFq/fbI=")</f>
        <v>#VALUE!</v>
      </c>
      <c r="FX139" t="e">
        <f>AND('BBP complete'!A1587,"AAAAAFq/fbM=")</f>
        <v>#VALUE!</v>
      </c>
      <c r="FY139" t="e">
        <f>AND('BBP complete'!B1583,"AAAAAFq/fbQ=")</f>
        <v>#VALUE!</v>
      </c>
      <c r="FZ139" t="e">
        <f>AND('BBP complete'!H1583,"AAAAAFq/fbU=")</f>
        <v>#VALUE!</v>
      </c>
      <c r="GA139" t="e">
        <f>AND('BBP complete'!I1583,"AAAAAFq/fbY=")</f>
        <v>#VALUE!</v>
      </c>
      <c r="GB139" t="e">
        <f>AND('BBP complete'!G1582,"AAAAAFq/fbc=")</f>
        <v>#VALUE!</v>
      </c>
      <c r="GC139" t="e">
        <f>AND('BBP complete'!#REF!,"AAAAAFq/fbg=")</f>
        <v>#REF!</v>
      </c>
      <c r="GD139" t="e">
        <f>AND('BBP complete'!#REF!,"AAAAAFq/fbk=")</f>
        <v>#REF!</v>
      </c>
      <c r="GE139" t="e">
        <f>AND('BBP complete'!#REF!,"AAAAAFq/fbo=")</f>
        <v>#REF!</v>
      </c>
      <c r="GF139" t="e">
        <f>AND('BBP complete'!#REF!,"AAAAAFq/fbs=")</f>
        <v>#REF!</v>
      </c>
      <c r="GG139" t="e">
        <f>AND('BBP complete'!#REF!,"AAAAAFq/fbw=")</f>
        <v>#REF!</v>
      </c>
      <c r="GH139" t="e">
        <f>AND('BBP complete'!#REF!,"AAAAAFq/fb0=")</f>
        <v>#REF!</v>
      </c>
      <c r="GI139" t="e">
        <f>AND('BBP complete'!#REF!,"AAAAAFq/fb4=")</f>
        <v>#REF!</v>
      </c>
      <c r="GJ139" t="e">
        <f>AND('BBP complete'!C1584,"AAAAAFq/fb8=")</f>
        <v>#VALUE!</v>
      </c>
      <c r="GK139" t="e">
        <f>AND('BBP complete'!N1583,"AAAAAFq/fcA=")</f>
        <v>#VALUE!</v>
      </c>
      <c r="GL139" t="e">
        <f>AND('BBP complete'!P1599,"AAAAAFq/fcE=")</f>
        <v>#VALUE!</v>
      </c>
      <c r="GM139" t="e">
        <f>AND('BBP complete'!Q1599,"AAAAAFq/fcI=")</f>
        <v>#VALUE!</v>
      </c>
      <c r="GN139" t="e">
        <f>AND('BBP complete'!R1599,"AAAAAFq/fcM=")</f>
        <v>#VALUE!</v>
      </c>
      <c r="GO139" t="e">
        <f>AND('BBP complete'!S1599,"AAAAAFq/fcQ=")</f>
        <v>#VALUE!</v>
      </c>
      <c r="GP139" t="e">
        <f>AND('BBP complete'!A1588,"AAAAAFq/fcU=")</f>
        <v>#VALUE!</v>
      </c>
      <c r="GQ139" t="e">
        <f>AND('BBP complete'!B1584,"AAAAAFq/fcY=")</f>
        <v>#VALUE!</v>
      </c>
      <c r="GR139" t="e">
        <f>AND('BBP complete'!H1584,"AAAAAFq/fcc=")</f>
        <v>#VALUE!</v>
      </c>
      <c r="GS139" t="e">
        <f>AND('BBP complete'!I1584,"AAAAAFq/fcg=")</f>
        <v>#VALUE!</v>
      </c>
      <c r="GT139" t="e">
        <f>AND('BBP complete'!G1583,"AAAAAFq/fck=")</f>
        <v>#VALUE!</v>
      </c>
      <c r="GU139" t="e">
        <f>AND('BBP complete'!#REF!,"AAAAAFq/fco=")</f>
        <v>#REF!</v>
      </c>
      <c r="GV139" t="e">
        <f>AND('BBP complete'!#REF!,"AAAAAFq/fcs=")</f>
        <v>#REF!</v>
      </c>
      <c r="GW139" t="e">
        <f>AND('BBP complete'!#REF!,"AAAAAFq/fcw=")</f>
        <v>#REF!</v>
      </c>
      <c r="GX139" t="e">
        <f>AND('BBP complete'!#REF!,"AAAAAFq/fc0=")</f>
        <v>#REF!</v>
      </c>
      <c r="GY139" t="e">
        <f>AND('BBP complete'!#REF!,"AAAAAFq/fc4=")</f>
        <v>#REF!</v>
      </c>
      <c r="GZ139" t="e">
        <f>AND('BBP complete'!#REF!,"AAAAAFq/fc8=")</f>
        <v>#REF!</v>
      </c>
      <c r="HA139" t="e">
        <f>AND('BBP complete'!#REF!,"AAAAAFq/fdA=")</f>
        <v>#REF!</v>
      </c>
      <c r="HB139" t="e">
        <f>AND('BBP complete'!C1585,"AAAAAFq/fdE=")</f>
        <v>#VALUE!</v>
      </c>
      <c r="HC139" t="e">
        <f>AND('BBP complete'!N1584,"AAAAAFq/fdI=")</f>
        <v>#VALUE!</v>
      </c>
      <c r="HD139" t="e">
        <f>AND('BBP complete'!P1600,"AAAAAFq/fdM=")</f>
        <v>#VALUE!</v>
      </c>
      <c r="HE139" t="e">
        <f>AND('BBP complete'!Q1600,"AAAAAFq/fdQ=")</f>
        <v>#VALUE!</v>
      </c>
      <c r="HF139" t="e">
        <f>AND('BBP complete'!R1600,"AAAAAFq/fdU=")</f>
        <v>#VALUE!</v>
      </c>
      <c r="HG139" t="e">
        <f>AND('BBP complete'!S1600,"AAAAAFq/fdY=")</f>
        <v>#VALUE!</v>
      </c>
      <c r="HH139" t="e">
        <f>AND('BBP complete'!A1589,"AAAAAFq/fdc=")</f>
        <v>#VALUE!</v>
      </c>
      <c r="HI139" t="e">
        <f>AND('BBP complete'!B1585,"AAAAAFq/fdg=")</f>
        <v>#VALUE!</v>
      </c>
      <c r="HJ139" t="e">
        <f>AND('BBP complete'!H1585,"AAAAAFq/fdk=")</f>
        <v>#VALUE!</v>
      </c>
      <c r="HK139" t="e">
        <f>AND('BBP complete'!I1585,"AAAAAFq/fdo=")</f>
        <v>#VALUE!</v>
      </c>
      <c r="HL139" t="e">
        <f>AND('BBP complete'!G1584,"AAAAAFq/fds=")</f>
        <v>#VALUE!</v>
      </c>
      <c r="HM139" t="e">
        <f>AND('BBP complete'!#REF!,"AAAAAFq/fdw=")</f>
        <v>#REF!</v>
      </c>
      <c r="HN139" t="e">
        <f>AND('BBP complete'!#REF!,"AAAAAFq/fd0=")</f>
        <v>#REF!</v>
      </c>
      <c r="HO139" t="e">
        <f>AND('BBP complete'!#REF!,"AAAAAFq/fd4=")</f>
        <v>#REF!</v>
      </c>
      <c r="HP139" t="e">
        <f>AND('BBP complete'!#REF!,"AAAAAFq/fd8=")</f>
        <v>#REF!</v>
      </c>
      <c r="HQ139" t="e">
        <f>AND('BBP complete'!#REF!,"AAAAAFq/feA=")</f>
        <v>#REF!</v>
      </c>
      <c r="HR139" t="e">
        <f>AND('BBP complete'!#REF!,"AAAAAFq/feE=")</f>
        <v>#REF!</v>
      </c>
      <c r="HS139" t="e">
        <f>AND('BBP complete'!#REF!,"AAAAAFq/feI=")</f>
        <v>#REF!</v>
      </c>
      <c r="HT139" t="e">
        <f>AND('BBP complete'!C1586,"AAAAAFq/feM=")</f>
        <v>#VALUE!</v>
      </c>
      <c r="HU139" t="e">
        <f>AND('BBP complete'!N1585,"AAAAAFq/feQ=")</f>
        <v>#VALUE!</v>
      </c>
      <c r="HV139" t="e">
        <f>AND('BBP complete'!P1601,"AAAAAFq/feU=")</f>
        <v>#VALUE!</v>
      </c>
      <c r="HW139" t="e">
        <f>AND('BBP complete'!Q1601,"AAAAAFq/feY=")</f>
        <v>#VALUE!</v>
      </c>
      <c r="HX139" t="e">
        <f>AND('BBP complete'!R1601,"AAAAAFq/fec=")</f>
        <v>#VALUE!</v>
      </c>
      <c r="HY139" t="e">
        <f>AND('BBP complete'!S1601,"AAAAAFq/feg=")</f>
        <v>#VALUE!</v>
      </c>
      <c r="HZ139" t="e">
        <f>AND('BBP complete'!A1590,"AAAAAFq/fek=")</f>
        <v>#VALUE!</v>
      </c>
      <c r="IA139" t="e">
        <f>AND('BBP complete'!B1586,"AAAAAFq/feo=")</f>
        <v>#VALUE!</v>
      </c>
      <c r="IB139" t="e">
        <f>AND('BBP complete'!H1586,"AAAAAFq/fes=")</f>
        <v>#VALUE!</v>
      </c>
      <c r="IC139" t="e">
        <f>AND('BBP complete'!I1586,"AAAAAFq/few=")</f>
        <v>#VALUE!</v>
      </c>
      <c r="ID139" t="e">
        <f>AND('BBP complete'!G1585,"AAAAAFq/fe0=")</f>
        <v>#VALUE!</v>
      </c>
      <c r="IE139" t="e">
        <f>AND('BBP complete'!#REF!,"AAAAAFq/fe4=")</f>
        <v>#REF!</v>
      </c>
      <c r="IF139" t="e">
        <f>AND('BBP complete'!#REF!,"AAAAAFq/fe8=")</f>
        <v>#REF!</v>
      </c>
      <c r="IG139" t="e">
        <f>AND('BBP complete'!#REF!,"AAAAAFq/ffA=")</f>
        <v>#REF!</v>
      </c>
      <c r="IH139" t="e">
        <f>AND('BBP complete'!#REF!,"AAAAAFq/ffE=")</f>
        <v>#REF!</v>
      </c>
      <c r="II139" t="e">
        <f>AND('BBP complete'!#REF!,"AAAAAFq/ffI=")</f>
        <v>#REF!</v>
      </c>
      <c r="IJ139" t="e">
        <f>AND('BBP complete'!#REF!,"AAAAAFq/ffM=")</f>
        <v>#REF!</v>
      </c>
      <c r="IK139" t="e">
        <f>AND('BBP complete'!#REF!,"AAAAAFq/ffQ=")</f>
        <v>#REF!</v>
      </c>
      <c r="IL139" t="e">
        <f>AND('BBP complete'!C1587,"AAAAAFq/ffU=")</f>
        <v>#VALUE!</v>
      </c>
      <c r="IM139" t="e">
        <f>AND('BBP complete'!N1586,"AAAAAFq/ffY=")</f>
        <v>#VALUE!</v>
      </c>
      <c r="IN139" t="e">
        <f>AND('BBP complete'!P1602,"AAAAAFq/ffc=")</f>
        <v>#VALUE!</v>
      </c>
      <c r="IO139" t="e">
        <f>AND('BBP complete'!Q1602,"AAAAAFq/ffg=")</f>
        <v>#VALUE!</v>
      </c>
      <c r="IP139" t="e">
        <f>AND('BBP complete'!R1602,"AAAAAFq/ffk=")</f>
        <v>#VALUE!</v>
      </c>
      <c r="IQ139" t="e">
        <f>AND('BBP complete'!S1602,"AAAAAFq/ffo=")</f>
        <v>#VALUE!</v>
      </c>
      <c r="IR139" t="e">
        <f>AND('BBP complete'!A1591,"AAAAAFq/ffs=")</f>
        <v>#VALUE!</v>
      </c>
      <c r="IS139" t="e">
        <f>AND('BBP complete'!B1587,"AAAAAFq/ffw=")</f>
        <v>#VALUE!</v>
      </c>
      <c r="IT139" t="e">
        <f>AND('BBP complete'!H1587,"AAAAAFq/ff0=")</f>
        <v>#VALUE!</v>
      </c>
      <c r="IU139" t="e">
        <f>AND('BBP complete'!I1587,"AAAAAFq/ff4=")</f>
        <v>#VALUE!</v>
      </c>
      <c r="IV139" t="e">
        <f>AND('BBP complete'!G1586,"AAAAAFq/ff8=")</f>
        <v>#VALUE!</v>
      </c>
    </row>
    <row r="140" spans="1:256" ht="15" customHeight="1" x14ac:dyDescent="0.25">
      <c r="A140" t="e">
        <f>AND('BBP complete'!#REF!,"AAAAAHe/3QA=")</f>
        <v>#REF!</v>
      </c>
      <c r="B140" t="e">
        <f>AND('BBP complete'!#REF!,"AAAAAHe/3QE=")</f>
        <v>#REF!</v>
      </c>
      <c r="C140" t="e">
        <f>AND('BBP complete'!#REF!,"AAAAAHe/3QI=")</f>
        <v>#REF!</v>
      </c>
      <c r="D140" t="e">
        <f>AND('BBP complete'!#REF!,"AAAAAHe/3QM=")</f>
        <v>#REF!</v>
      </c>
      <c r="E140" t="e">
        <f>AND('BBP complete'!#REF!,"AAAAAHe/3QQ=")</f>
        <v>#REF!</v>
      </c>
      <c r="F140" t="e">
        <f>AND('BBP complete'!#REF!,"AAAAAHe/3QU=")</f>
        <v>#REF!</v>
      </c>
      <c r="G140" t="e">
        <f>AND('BBP complete'!#REF!,"AAAAAHe/3QY=")</f>
        <v>#REF!</v>
      </c>
      <c r="H140" t="e">
        <f>AND('BBP complete'!C1588,"AAAAAHe/3Qc=")</f>
        <v>#VALUE!</v>
      </c>
      <c r="I140" t="e">
        <f>AND('BBP complete'!N1587,"AAAAAHe/3Qg=")</f>
        <v>#VALUE!</v>
      </c>
      <c r="J140" t="e">
        <f>AND('BBP complete'!P1603,"AAAAAHe/3Qk=")</f>
        <v>#VALUE!</v>
      </c>
      <c r="K140" t="e">
        <f>AND('BBP complete'!Q1603,"AAAAAHe/3Qo=")</f>
        <v>#VALUE!</v>
      </c>
      <c r="L140" t="e">
        <f>AND('BBP complete'!R1603,"AAAAAHe/3Qs=")</f>
        <v>#VALUE!</v>
      </c>
      <c r="M140" t="e">
        <f>AND('BBP complete'!S1603,"AAAAAHe/3Qw=")</f>
        <v>#VALUE!</v>
      </c>
      <c r="N140" t="e">
        <f>AND('BBP complete'!A1592,"AAAAAHe/3Q0=")</f>
        <v>#VALUE!</v>
      </c>
      <c r="O140" t="e">
        <f>AND('BBP complete'!B1588,"AAAAAHe/3Q4=")</f>
        <v>#VALUE!</v>
      </c>
      <c r="P140" t="e">
        <f>AND('BBP complete'!H1588,"AAAAAHe/3Q8=")</f>
        <v>#VALUE!</v>
      </c>
      <c r="Q140" t="e">
        <f>AND('BBP complete'!I1588,"AAAAAHe/3RA=")</f>
        <v>#VALUE!</v>
      </c>
      <c r="R140" t="e">
        <f>AND('BBP complete'!G1587,"AAAAAHe/3RE=")</f>
        <v>#VALUE!</v>
      </c>
      <c r="S140" t="e">
        <f>AND('BBP complete'!#REF!,"AAAAAHe/3RI=")</f>
        <v>#REF!</v>
      </c>
      <c r="T140" t="e">
        <f>AND('BBP complete'!#REF!,"AAAAAHe/3RM=")</f>
        <v>#REF!</v>
      </c>
      <c r="U140" t="e">
        <f>AND('BBP complete'!#REF!,"AAAAAHe/3RQ=")</f>
        <v>#REF!</v>
      </c>
      <c r="V140" t="e">
        <f>AND('BBP complete'!#REF!,"AAAAAHe/3RU=")</f>
        <v>#REF!</v>
      </c>
      <c r="W140" t="e">
        <f>AND('BBP complete'!#REF!,"AAAAAHe/3RY=")</f>
        <v>#REF!</v>
      </c>
      <c r="X140" t="e">
        <f>AND('BBP complete'!#REF!,"AAAAAHe/3Rc=")</f>
        <v>#REF!</v>
      </c>
      <c r="Y140" t="e">
        <f>AND('BBP complete'!#REF!,"AAAAAHe/3Rg=")</f>
        <v>#REF!</v>
      </c>
      <c r="Z140" t="e">
        <f>AND('BBP complete'!C1589,"AAAAAHe/3Rk=")</f>
        <v>#VALUE!</v>
      </c>
      <c r="AA140" t="e">
        <f>AND('BBP complete'!N1588,"AAAAAHe/3Ro=")</f>
        <v>#VALUE!</v>
      </c>
      <c r="AB140" t="e">
        <f>AND('BBP complete'!P1604,"AAAAAHe/3Rs=")</f>
        <v>#VALUE!</v>
      </c>
      <c r="AC140" t="e">
        <f>AND('BBP complete'!Q1604,"AAAAAHe/3Rw=")</f>
        <v>#VALUE!</v>
      </c>
      <c r="AD140" t="e">
        <f>AND('BBP complete'!R1604,"AAAAAHe/3R0=")</f>
        <v>#VALUE!</v>
      </c>
      <c r="AE140" t="e">
        <f>AND('BBP complete'!S1604,"AAAAAHe/3R4=")</f>
        <v>#VALUE!</v>
      </c>
      <c r="AF140" t="e">
        <f>AND('BBP complete'!A1593,"AAAAAHe/3R8=")</f>
        <v>#VALUE!</v>
      </c>
      <c r="AG140" t="e">
        <f>AND('BBP complete'!B1589,"AAAAAHe/3SA=")</f>
        <v>#VALUE!</v>
      </c>
      <c r="AH140" t="e">
        <f>AND('BBP complete'!H1589,"AAAAAHe/3SE=")</f>
        <v>#VALUE!</v>
      </c>
      <c r="AI140" t="e">
        <f>AND('BBP complete'!I1589,"AAAAAHe/3SI=")</f>
        <v>#VALUE!</v>
      </c>
      <c r="AJ140" t="e">
        <f>AND('BBP complete'!G1588,"AAAAAHe/3SM=")</f>
        <v>#VALUE!</v>
      </c>
      <c r="AK140" t="e">
        <f>AND('BBP complete'!#REF!,"AAAAAHe/3SQ=")</f>
        <v>#REF!</v>
      </c>
      <c r="AL140" t="e">
        <f>AND('BBP complete'!#REF!,"AAAAAHe/3SU=")</f>
        <v>#REF!</v>
      </c>
      <c r="AM140" t="e">
        <f>AND('BBP complete'!#REF!,"AAAAAHe/3SY=")</f>
        <v>#REF!</v>
      </c>
      <c r="AN140" t="e">
        <f>AND('BBP complete'!#REF!,"AAAAAHe/3Sc=")</f>
        <v>#REF!</v>
      </c>
      <c r="AO140" t="e">
        <f>AND('BBP complete'!#REF!,"AAAAAHe/3Sg=")</f>
        <v>#REF!</v>
      </c>
      <c r="AP140" t="e">
        <f>AND('BBP complete'!#REF!,"AAAAAHe/3Sk=")</f>
        <v>#REF!</v>
      </c>
      <c r="AQ140" t="e">
        <f>AND('BBP complete'!#REF!,"AAAAAHe/3So=")</f>
        <v>#REF!</v>
      </c>
      <c r="AR140" t="e">
        <f>AND('BBP complete'!C1590,"AAAAAHe/3Ss=")</f>
        <v>#VALUE!</v>
      </c>
      <c r="AS140" t="e">
        <f>AND('BBP complete'!N1589,"AAAAAHe/3Sw=")</f>
        <v>#VALUE!</v>
      </c>
      <c r="AT140" t="e">
        <f>AND('BBP complete'!P1605,"AAAAAHe/3S0=")</f>
        <v>#VALUE!</v>
      </c>
      <c r="AU140" t="e">
        <f>AND('BBP complete'!Q1605,"AAAAAHe/3S4=")</f>
        <v>#VALUE!</v>
      </c>
      <c r="AV140" t="e">
        <f>AND('BBP complete'!R1605,"AAAAAHe/3S8=")</f>
        <v>#VALUE!</v>
      </c>
      <c r="AW140" t="e">
        <f>AND('BBP complete'!S1605,"AAAAAHe/3TA=")</f>
        <v>#VALUE!</v>
      </c>
      <c r="AX140" t="e">
        <f>AND('BBP complete'!A1594,"AAAAAHe/3TE=")</f>
        <v>#VALUE!</v>
      </c>
      <c r="AY140" t="e">
        <f>AND('BBP complete'!B1590,"AAAAAHe/3TI=")</f>
        <v>#VALUE!</v>
      </c>
      <c r="AZ140" t="e">
        <f>AND('BBP complete'!H1590,"AAAAAHe/3TM=")</f>
        <v>#VALUE!</v>
      </c>
      <c r="BA140" t="e">
        <f>AND('BBP complete'!I1590,"AAAAAHe/3TQ=")</f>
        <v>#VALUE!</v>
      </c>
      <c r="BB140" t="e">
        <f>AND('BBP complete'!G1589,"AAAAAHe/3TU=")</f>
        <v>#VALUE!</v>
      </c>
      <c r="BC140" t="e">
        <f>AND('BBP complete'!#REF!,"AAAAAHe/3TY=")</f>
        <v>#REF!</v>
      </c>
      <c r="BD140" t="e">
        <f>AND('BBP complete'!#REF!,"AAAAAHe/3Tc=")</f>
        <v>#REF!</v>
      </c>
      <c r="BE140" t="e">
        <f>AND('BBP complete'!#REF!,"AAAAAHe/3Tg=")</f>
        <v>#REF!</v>
      </c>
      <c r="BF140" t="e">
        <f>AND('BBP complete'!#REF!,"AAAAAHe/3Tk=")</f>
        <v>#REF!</v>
      </c>
      <c r="BG140" t="e">
        <f>AND('BBP complete'!#REF!,"AAAAAHe/3To=")</f>
        <v>#REF!</v>
      </c>
      <c r="BH140" t="e">
        <f>AND('BBP complete'!#REF!,"AAAAAHe/3Ts=")</f>
        <v>#REF!</v>
      </c>
      <c r="BI140" t="e">
        <f>AND('BBP complete'!#REF!,"AAAAAHe/3Tw=")</f>
        <v>#REF!</v>
      </c>
      <c r="BJ140" t="e">
        <f>AND('BBP complete'!C1591,"AAAAAHe/3T0=")</f>
        <v>#VALUE!</v>
      </c>
      <c r="BK140" t="e">
        <f>AND('BBP complete'!N1590,"AAAAAHe/3T4=")</f>
        <v>#VALUE!</v>
      </c>
      <c r="BL140" t="e">
        <f>AND('BBP complete'!P1606,"AAAAAHe/3T8=")</f>
        <v>#VALUE!</v>
      </c>
      <c r="BM140" t="e">
        <f>AND('BBP complete'!Q1606,"AAAAAHe/3UA=")</f>
        <v>#VALUE!</v>
      </c>
      <c r="BN140" t="e">
        <f>AND('BBP complete'!R1606,"AAAAAHe/3UE=")</f>
        <v>#VALUE!</v>
      </c>
      <c r="BO140" t="e">
        <f>AND('BBP complete'!S1606,"AAAAAHe/3UI=")</f>
        <v>#VALUE!</v>
      </c>
      <c r="BP140" t="e">
        <f>AND('BBP complete'!A1595,"AAAAAHe/3UM=")</f>
        <v>#VALUE!</v>
      </c>
      <c r="BQ140" t="e">
        <f>AND('BBP complete'!B1591,"AAAAAHe/3UQ=")</f>
        <v>#VALUE!</v>
      </c>
      <c r="BR140" t="e">
        <f>AND('BBP complete'!H1591,"AAAAAHe/3UU=")</f>
        <v>#VALUE!</v>
      </c>
      <c r="BS140" t="e">
        <f>AND('BBP complete'!I1591,"AAAAAHe/3UY=")</f>
        <v>#VALUE!</v>
      </c>
      <c r="BT140" t="e">
        <f>AND('BBP complete'!G1590,"AAAAAHe/3Uc=")</f>
        <v>#VALUE!</v>
      </c>
      <c r="BU140" t="e">
        <f>AND('BBP complete'!#REF!,"AAAAAHe/3Ug=")</f>
        <v>#REF!</v>
      </c>
      <c r="BV140" t="e">
        <f>AND('BBP complete'!#REF!,"AAAAAHe/3Uk=")</f>
        <v>#REF!</v>
      </c>
      <c r="BW140" t="e">
        <f>AND('BBP complete'!#REF!,"AAAAAHe/3Uo=")</f>
        <v>#REF!</v>
      </c>
      <c r="BX140" t="e">
        <f>AND('BBP complete'!#REF!,"AAAAAHe/3Us=")</f>
        <v>#REF!</v>
      </c>
      <c r="BY140" t="e">
        <f>AND('BBP complete'!#REF!,"AAAAAHe/3Uw=")</f>
        <v>#REF!</v>
      </c>
      <c r="BZ140" t="e">
        <f>AND('BBP complete'!#REF!,"AAAAAHe/3U0=")</f>
        <v>#REF!</v>
      </c>
      <c r="CA140" t="e">
        <f>AND('BBP complete'!#REF!,"AAAAAHe/3U4=")</f>
        <v>#REF!</v>
      </c>
      <c r="CB140" t="e">
        <f>AND('BBP complete'!C1592,"AAAAAHe/3U8=")</f>
        <v>#VALUE!</v>
      </c>
      <c r="CC140" t="e">
        <f>AND('BBP complete'!N1591,"AAAAAHe/3VA=")</f>
        <v>#VALUE!</v>
      </c>
      <c r="CD140" t="e">
        <f>AND('BBP complete'!P1607,"AAAAAHe/3VE=")</f>
        <v>#VALUE!</v>
      </c>
      <c r="CE140" t="e">
        <f>AND('BBP complete'!Q1607,"AAAAAHe/3VI=")</f>
        <v>#VALUE!</v>
      </c>
      <c r="CF140" t="e">
        <f>AND('BBP complete'!R1607,"AAAAAHe/3VM=")</f>
        <v>#VALUE!</v>
      </c>
      <c r="CG140" t="e">
        <f>AND('BBP complete'!S1607,"AAAAAHe/3VQ=")</f>
        <v>#VALUE!</v>
      </c>
      <c r="CH140" t="e">
        <f>AND('BBP complete'!A1596,"AAAAAHe/3VU=")</f>
        <v>#VALUE!</v>
      </c>
      <c r="CI140" t="e">
        <f>AND('BBP complete'!B1592,"AAAAAHe/3VY=")</f>
        <v>#VALUE!</v>
      </c>
      <c r="CJ140" t="e">
        <f>AND('BBP complete'!H1592,"AAAAAHe/3Vc=")</f>
        <v>#VALUE!</v>
      </c>
      <c r="CK140" t="e">
        <f>AND('BBP complete'!I1592,"AAAAAHe/3Vg=")</f>
        <v>#VALUE!</v>
      </c>
      <c r="CL140" t="e">
        <f>AND('BBP complete'!G1591,"AAAAAHe/3Vk=")</f>
        <v>#VALUE!</v>
      </c>
      <c r="CM140" t="e">
        <f>AND('BBP complete'!#REF!,"AAAAAHe/3Vo=")</f>
        <v>#REF!</v>
      </c>
      <c r="CN140" t="e">
        <f>AND('BBP complete'!#REF!,"AAAAAHe/3Vs=")</f>
        <v>#REF!</v>
      </c>
      <c r="CO140" t="e">
        <f>AND('BBP complete'!#REF!,"AAAAAHe/3Vw=")</f>
        <v>#REF!</v>
      </c>
      <c r="CP140" t="e">
        <f>AND('BBP complete'!#REF!,"AAAAAHe/3V0=")</f>
        <v>#REF!</v>
      </c>
      <c r="CQ140" t="e">
        <f>AND('BBP complete'!#REF!,"AAAAAHe/3V4=")</f>
        <v>#REF!</v>
      </c>
      <c r="CR140" t="e">
        <f>AND('BBP complete'!#REF!,"AAAAAHe/3V8=")</f>
        <v>#REF!</v>
      </c>
      <c r="CS140" t="e">
        <f>AND('BBP complete'!#REF!,"AAAAAHe/3WA=")</f>
        <v>#REF!</v>
      </c>
      <c r="CT140" t="e">
        <f>AND('BBP complete'!C1593,"AAAAAHe/3WE=")</f>
        <v>#VALUE!</v>
      </c>
      <c r="CU140" t="e">
        <f>AND('BBP complete'!N1592,"AAAAAHe/3WI=")</f>
        <v>#VALUE!</v>
      </c>
      <c r="CV140" t="e">
        <f>AND('BBP complete'!P1608,"AAAAAHe/3WM=")</f>
        <v>#VALUE!</v>
      </c>
      <c r="CW140" t="e">
        <f>AND('BBP complete'!Q1608,"AAAAAHe/3WQ=")</f>
        <v>#VALUE!</v>
      </c>
      <c r="CX140" t="e">
        <f>AND('BBP complete'!R1608,"AAAAAHe/3WU=")</f>
        <v>#VALUE!</v>
      </c>
      <c r="CY140" t="e">
        <f>AND('BBP complete'!S1608,"AAAAAHe/3WY=")</f>
        <v>#VALUE!</v>
      </c>
      <c r="CZ140" t="e">
        <f>AND('BBP complete'!A1597,"AAAAAHe/3Wc=")</f>
        <v>#VALUE!</v>
      </c>
      <c r="DA140" t="e">
        <f>AND('BBP complete'!B1593,"AAAAAHe/3Wg=")</f>
        <v>#VALUE!</v>
      </c>
      <c r="DB140" t="e">
        <f>AND('BBP complete'!H1593,"AAAAAHe/3Wk=")</f>
        <v>#VALUE!</v>
      </c>
      <c r="DC140" t="e">
        <f>AND('BBP complete'!I1593,"AAAAAHe/3Wo=")</f>
        <v>#VALUE!</v>
      </c>
      <c r="DD140" t="e">
        <f>AND('BBP complete'!G1592,"AAAAAHe/3Ws=")</f>
        <v>#VALUE!</v>
      </c>
      <c r="DE140" t="e">
        <f>AND('BBP complete'!#REF!,"AAAAAHe/3Ww=")</f>
        <v>#REF!</v>
      </c>
      <c r="DF140" t="e">
        <f>AND('BBP complete'!#REF!,"AAAAAHe/3W0=")</f>
        <v>#REF!</v>
      </c>
      <c r="DG140" t="e">
        <f>AND('BBP complete'!#REF!,"AAAAAHe/3W4=")</f>
        <v>#REF!</v>
      </c>
      <c r="DH140" t="e">
        <f>AND('BBP complete'!#REF!,"AAAAAHe/3W8=")</f>
        <v>#REF!</v>
      </c>
      <c r="DI140" t="e">
        <f>AND('BBP complete'!#REF!,"AAAAAHe/3XA=")</f>
        <v>#REF!</v>
      </c>
      <c r="DJ140" t="e">
        <f>AND('BBP complete'!#REF!,"AAAAAHe/3XE=")</f>
        <v>#REF!</v>
      </c>
      <c r="DK140" t="e">
        <f>AND('BBP complete'!#REF!,"AAAAAHe/3XI=")</f>
        <v>#REF!</v>
      </c>
      <c r="DL140" t="e">
        <f>AND('BBP complete'!C1594,"AAAAAHe/3XM=")</f>
        <v>#VALUE!</v>
      </c>
      <c r="DM140" t="e">
        <f>AND('BBP complete'!N1593,"AAAAAHe/3XQ=")</f>
        <v>#VALUE!</v>
      </c>
      <c r="DN140" t="e">
        <f>AND('BBP complete'!P1609,"AAAAAHe/3XU=")</f>
        <v>#VALUE!</v>
      </c>
      <c r="DO140" t="e">
        <f>AND('BBP complete'!Q1609,"AAAAAHe/3XY=")</f>
        <v>#VALUE!</v>
      </c>
      <c r="DP140" t="e">
        <f>AND('BBP complete'!R1609,"AAAAAHe/3Xc=")</f>
        <v>#VALUE!</v>
      </c>
      <c r="DQ140" t="e">
        <f>AND('BBP complete'!S1609,"AAAAAHe/3Xg=")</f>
        <v>#VALUE!</v>
      </c>
      <c r="DR140" t="e">
        <f>AND('BBP complete'!A1598,"AAAAAHe/3Xk=")</f>
        <v>#VALUE!</v>
      </c>
      <c r="DS140" t="e">
        <f>AND('BBP complete'!B1594,"AAAAAHe/3Xo=")</f>
        <v>#VALUE!</v>
      </c>
      <c r="DT140" t="e">
        <f>AND('BBP complete'!H1594,"AAAAAHe/3Xs=")</f>
        <v>#VALUE!</v>
      </c>
      <c r="DU140" t="e">
        <f>AND('BBP complete'!I1594,"AAAAAHe/3Xw=")</f>
        <v>#VALUE!</v>
      </c>
      <c r="DV140" t="e">
        <f>AND('BBP complete'!G1593,"AAAAAHe/3X0=")</f>
        <v>#VALUE!</v>
      </c>
      <c r="DW140" t="e">
        <f>AND('BBP complete'!#REF!,"AAAAAHe/3X4=")</f>
        <v>#REF!</v>
      </c>
      <c r="DX140" t="e">
        <f>AND('BBP complete'!#REF!,"AAAAAHe/3X8=")</f>
        <v>#REF!</v>
      </c>
      <c r="DY140" t="e">
        <f>AND('BBP complete'!#REF!,"AAAAAHe/3YA=")</f>
        <v>#REF!</v>
      </c>
      <c r="DZ140" t="e">
        <f>AND('BBP complete'!#REF!,"AAAAAHe/3YE=")</f>
        <v>#REF!</v>
      </c>
      <c r="EA140" t="e">
        <f>AND('BBP complete'!#REF!,"AAAAAHe/3YI=")</f>
        <v>#REF!</v>
      </c>
      <c r="EB140" t="e">
        <f>AND('BBP complete'!#REF!,"AAAAAHe/3YM=")</f>
        <v>#REF!</v>
      </c>
      <c r="EC140" t="e">
        <f>AND('BBP complete'!#REF!,"AAAAAHe/3YQ=")</f>
        <v>#REF!</v>
      </c>
      <c r="ED140" t="e">
        <f>AND('BBP complete'!C1595,"AAAAAHe/3YU=")</f>
        <v>#VALUE!</v>
      </c>
      <c r="EE140" t="e">
        <f>AND('BBP complete'!N1594,"AAAAAHe/3YY=")</f>
        <v>#VALUE!</v>
      </c>
      <c r="EF140" t="e">
        <f>AND('BBP complete'!P1610,"AAAAAHe/3Yc=")</f>
        <v>#VALUE!</v>
      </c>
      <c r="EG140" t="e">
        <f>AND('BBP complete'!Q1610,"AAAAAHe/3Yg=")</f>
        <v>#VALUE!</v>
      </c>
      <c r="EH140" t="e">
        <f>AND('BBP complete'!R1610,"AAAAAHe/3Yk=")</f>
        <v>#VALUE!</v>
      </c>
      <c r="EI140" t="e">
        <f>AND('BBP complete'!S1610,"AAAAAHe/3Yo=")</f>
        <v>#VALUE!</v>
      </c>
      <c r="EJ140" t="e">
        <f>AND('BBP complete'!A1599,"AAAAAHe/3Ys=")</f>
        <v>#VALUE!</v>
      </c>
      <c r="EK140" t="e">
        <f>AND('BBP complete'!B1595,"AAAAAHe/3Yw=")</f>
        <v>#VALUE!</v>
      </c>
      <c r="EL140" t="e">
        <f>AND('BBP complete'!H1595,"AAAAAHe/3Y0=")</f>
        <v>#VALUE!</v>
      </c>
      <c r="EM140" t="e">
        <f>AND('BBP complete'!I1595,"AAAAAHe/3Y4=")</f>
        <v>#VALUE!</v>
      </c>
      <c r="EN140" t="e">
        <f>AND('BBP complete'!G1594,"AAAAAHe/3Y8=")</f>
        <v>#VALUE!</v>
      </c>
      <c r="EO140" t="e">
        <f>AND('BBP complete'!#REF!,"AAAAAHe/3ZA=")</f>
        <v>#REF!</v>
      </c>
      <c r="EP140" t="e">
        <f>AND('BBP complete'!#REF!,"AAAAAHe/3ZE=")</f>
        <v>#REF!</v>
      </c>
      <c r="EQ140" t="e">
        <f>AND('BBP complete'!#REF!,"AAAAAHe/3ZI=")</f>
        <v>#REF!</v>
      </c>
      <c r="ER140" t="e">
        <f>AND('BBP complete'!#REF!,"AAAAAHe/3ZM=")</f>
        <v>#REF!</v>
      </c>
      <c r="ES140" t="e">
        <f>AND('BBP complete'!#REF!,"AAAAAHe/3ZQ=")</f>
        <v>#REF!</v>
      </c>
      <c r="ET140" t="e">
        <f>AND('BBP complete'!#REF!,"AAAAAHe/3ZU=")</f>
        <v>#REF!</v>
      </c>
      <c r="EU140" t="e">
        <f>AND('BBP complete'!#REF!,"AAAAAHe/3ZY=")</f>
        <v>#REF!</v>
      </c>
      <c r="EV140" t="e">
        <f>AND('BBP complete'!C1596,"AAAAAHe/3Zc=")</f>
        <v>#VALUE!</v>
      </c>
      <c r="EW140" t="e">
        <f>AND('BBP complete'!N1595,"AAAAAHe/3Zg=")</f>
        <v>#VALUE!</v>
      </c>
      <c r="EX140" t="e">
        <f>AND('BBP complete'!P1611,"AAAAAHe/3Zk=")</f>
        <v>#VALUE!</v>
      </c>
      <c r="EY140" t="e">
        <f>AND('BBP complete'!Q1611,"AAAAAHe/3Zo=")</f>
        <v>#VALUE!</v>
      </c>
      <c r="EZ140" t="e">
        <f>AND('BBP complete'!R1611,"AAAAAHe/3Zs=")</f>
        <v>#VALUE!</v>
      </c>
      <c r="FA140" t="e">
        <f>AND('BBP complete'!S1611,"AAAAAHe/3Zw=")</f>
        <v>#VALUE!</v>
      </c>
      <c r="FB140" t="e">
        <f>AND('BBP complete'!A1600,"AAAAAHe/3Z0=")</f>
        <v>#VALUE!</v>
      </c>
      <c r="FC140" t="e">
        <f>AND('BBP complete'!B1596,"AAAAAHe/3Z4=")</f>
        <v>#VALUE!</v>
      </c>
      <c r="FD140" t="e">
        <f>AND('BBP complete'!H1596,"AAAAAHe/3Z8=")</f>
        <v>#VALUE!</v>
      </c>
      <c r="FE140" t="e">
        <f>AND('BBP complete'!I1596,"AAAAAHe/3aA=")</f>
        <v>#VALUE!</v>
      </c>
      <c r="FF140" t="e">
        <f>AND('BBP complete'!G1595,"AAAAAHe/3aE=")</f>
        <v>#VALUE!</v>
      </c>
      <c r="FG140" t="e">
        <f>AND('BBP complete'!#REF!,"AAAAAHe/3aI=")</f>
        <v>#REF!</v>
      </c>
      <c r="FH140" t="e">
        <f>AND('BBP complete'!#REF!,"AAAAAHe/3aM=")</f>
        <v>#REF!</v>
      </c>
      <c r="FI140" t="e">
        <f>AND('BBP complete'!#REF!,"AAAAAHe/3aQ=")</f>
        <v>#REF!</v>
      </c>
      <c r="FJ140" t="e">
        <f>AND('BBP complete'!#REF!,"AAAAAHe/3aU=")</f>
        <v>#REF!</v>
      </c>
      <c r="FK140" t="e">
        <f>AND('BBP complete'!#REF!,"AAAAAHe/3aY=")</f>
        <v>#REF!</v>
      </c>
      <c r="FL140" t="e">
        <f>AND('BBP complete'!#REF!,"AAAAAHe/3ac=")</f>
        <v>#REF!</v>
      </c>
      <c r="FM140" t="e">
        <f>AND('BBP complete'!#REF!,"AAAAAHe/3ag=")</f>
        <v>#REF!</v>
      </c>
      <c r="FN140" t="e">
        <f>AND('BBP complete'!C1597,"AAAAAHe/3ak=")</f>
        <v>#VALUE!</v>
      </c>
      <c r="FO140" t="e">
        <f>AND('BBP complete'!N1596,"AAAAAHe/3ao=")</f>
        <v>#VALUE!</v>
      </c>
      <c r="FP140" t="e">
        <f>AND('BBP complete'!P1612,"AAAAAHe/3as=")</f>
        <v>#VALUE!</v>
      </c>
      <c r="FQ140" t="e">
        <f>AND('BBP complete'!Q1612,"AAAAAHe/3aw=")</f>
        <v>#VALUE!</v>
      </c>
      <c r="FR140" t="e">
        <f>AND('BBP complete'!R1612,"AAAAAHe/3a0=")</f>
        <v>#VALUE!</v>
      </c>
      <c r="FS140" t="e">
        <f>AND('BBP complete'!S1612,"AAAAAHe/3a4=")</f>
        <v>#VALUE!</v>
      </c>
      <c r="FT140" t="e">
        <f>AND('BBP complete'!A1601,"AAAAAHe/3a8=")</f>
        <v>#VALUE!</v>
      </c>
      <c r="FU140" t="e">
        <f>AND('BBP complete'!B1597,"AAAAAHe/3bA=")</f>
        <v>#VALUE!</v>
      </c>
      <c r="FV140" t="e">
        <f>AND('BBP complete'!H1597,"AAAAAHe/3bE=")</f>
        <v>#VALUE!</v>
      </c>
      <c r="FW140" t="e">
        <f>AND('BBP complete'!I1597,"AAAAAHe/3bI=")</f>
        <v>#VALUE!</v>
      </c>
      <c r="FX140" t="e">
        <f>AND('BBP complete'!G1596,"AAAAAHe/3bM=")</f>
        <v>#VALUE!</v>
      </c>
      <c r="FY140" t="e">
        <f>AND('BBP complete'!#REF!,"AAAAAHe/3bQ=")</f>
        <v>#REF!</v>
      </c>
      <c r="FZ140" t="e">
        <f>AND('BBP complete'!#REF!,"AAAAAHe/3bU=")</f>
        <v>#REF!</v>
      </c>
      <c r="GA140" t="e">
        <f>AND('BBP complete'!#REF!,"AAAAAHe/3bY=")</f>
        <v>#REF!</v>
      </c>
      <c r="GB140" t="e">
        <f>AND('BBP complete'!#REF!,"AAAAAHe/3bc=")</f>
        <v>#REF!</v>
      </c>
      <c r="GC140" t="e">
        <f>AND('BBP complete'!#REF!,"AAAAAHe/3bg=")</f>
        <v>#REF!</v>
      </c>
      <c r="GD140" t="e">
        <f>AND('BBP complete'!#REF!,"AAAAAHe/3bk=")</f>
        <v>#REF!</v>
      </c>
      <c r="GE140" t="e">
        <f>AND('BBP complete'!#REF!,"AAAAAHe/3bo=")</f>
        <v>#REF!</v>
      </c>
      <c r="GF140" t="e">
        <f>AND('BBP complete'!C1598,"AAAAAHe/3bs=")</f>
        <v>#VALUE!</v>
      </c>
      <c r="GG140" t="e">
        <f>AND('BBP complete'!N1597,"AAAAAHe/3bw=")</f>
        <v>#VALUE!</v>
      </c>
      <c r="GH140" t="e">
        <f>AND('BBP complete'!P1613,"AAAAAHe/3b0=")</f>
        <v>#VALUE!</v>
      </c>
      <c r="GI140" t="e">
        <f>AND('BBP complete'!Q1613,"AAAAAHe/3b4=")</f>
        <v>#VALUE!</v>
      </c>
      <c r="GJ140" t="e">
        <f>AND('BBP complete'!R1613,"AAAAAHe/3b8=")</f>
        <v>#VALUE!</v>
      </c>
      <c r="GK140" t="e">
        <f>AND('BBP complete'!S1613,"AAAAAHe/3cA=")</f>
        <v>#VALUE!</v>
      </c>
      <c r="GL140" t="e">
        <f>AND('BBP complete'!A1602,"AAAAAHe/3cE=")</f>
        <v>#VALUE!</v>
      </c>
      <c r="GM140" t="e">
        <f>AND('BBP complete'!B1598,"AAAAAHe/3cI=")</f>
        <v>#VALUE!</v>
      </c>
      <c r="GN140" t="e">
        <f>AND('BBP complete'!H1598,"AAAAAHe/3cM=")</f>
        <v>#VALUE!</v>
      </c>
      <c r="GO140" t="e">
        <f>AND('BBP complete'!I1598,"AAAAAHe/3cQ=")</f>
        <v>#VALUE!</v>
      </c>
      <c r="GP140" t="e">
        <f>AND('BBP complete'!G1597,"AAAAAHe/3cU=")</f>
        <v>#VALUE!</v>
      </c>
      <c r="GQ140" t="e">
        <f>AND('BBP complete'!#REF!,"AAAAAHe/3cY=")</f>
        <v>#REF!</v>
      </c>
      <c r="GR140" t="e">
        <f>AND('BBP complete'!#REF!,"AAAAAHe/3cc=")</f>
        <v>#REF!</v>
      </c>
      <c r="GS140" t="e">
        <f>AND('BBP complete'!#REF!,"AAAAAHe/3cg=")</f>
        <v>#REF!</v>
      </c>
      <c r="GT140" t="e">
        <f>AND('BBP complete'!#REF!,"AAAAAHe/3ck=")</f>
        <v>#REF!</v>
      </c>
      <c r="GU140" t="e">
        <f>AND('BBP complete'!#REF!,"AAAAAHe/3co=")</f>
        <v>#REF!</v>
      </c>
      <c r="GV140" t="e">
        <f>AND('BBP complete'!#REF!,"AAAAAHe/3cs=")</f>
        <v>#REF!</v>
      </c>
      <c r="GW140" t="e">
        <f>AND('BBP complete'!#REF!,"AAAAAHe/3cw=")</f>
        <v>#REF!</v>
      </c>
      <c r="GX140" t="e">
        <f>AND('BBP complete'!C1599,"AAAAAHe/3c0=")</f>
        <v>#VALUE!</v>
      </c>
      <c r="GY140" t="e">
        <f>AND('BBP complete'!N1598,"AAAAAHe/3c4=")</f>
        <v>#VALUE!</v>
      </c>
      <c r="GZ140" t="e">
        <f>AND('BBP complete'!P1614,"AAAAAHe/3c8=")</f>
        <v>#VALUE!</v>
      </c>
      <c r="HA140" t="e">
        <f>AND('BBP complete'!Q1614,"AAAAAHe/3dA=")</f>
        <v>#VALUE!</v>
      </c>
      <c r="HB140" t="e">
        <f>AND('BBP complete'!R1614,"AAAAAHe/3dE=")</f>
        <v>#VALUE!</v>
      </c>
      <c r="HC140" t="e">
        <f>AND('BBP complete'!S1614,"AAAAAHe/3dI=")</f>
        <v>#VALUE!</v>
      </c>
      <c r="HD140" t="e">
        <f>AND('BBP complete'!A1603,"AAAAAHe/3dM=")</f>
        <v>#VALUE!</v>
      </c>
      <c r="HE140" t="e">
        <f>AND('BBP complete'!B1599,"AAAAAHe/3dQ=")</f>
        <v>#VALUE!</v>
      </c>
      <c r="HF140" t="e">
        <f>AND('BBP complete'!H1599,"AAAAAHe/3dU=")</f>
        <v>#VALUE!</v>
      </c>
      <c r="HG140" t="e">
        <f>AND('BBP complete'!I1599,"AAAAAHe/3dY=")</f>
        <v>#VALUE!</v>
      </c>
      <c r="HH140" t="e">
        <f>AND('BBP complete'!G1598,"AAAAAHe/3dc=")</f>
        <v>#VALUE!</v>
      </c>
      <c r="HI140" t="e">
        <f>AND('BBP complete'!#REF!,"AAAAAHe/3dg=")</f>
        <v>#REF!</v>
      </c>
      <c r="HJ140" t="e">
        <f>AND('BBP complete'!#REF!,"AAAAAHe/3dk=")</f>
        <v>#REF!</v>
      </c>
      <c r="HK140" t="e">
        <f>AND('BBP complete'!#REF!,"AAAAAHe/3do=")</f>
        <v>#REF!</v>
      </c>
      <c r="HL140" t="e">
        <f>AND('BBP complete'!#REF!,"AAAAAHe/3ds=")</f>
        <v>#REF!</v>
      </c>
      <c r="HM140" t="e">
        <f>AND('BBP complete'!#REF!,"AAAAAHe/3dw=")</f>
        <v>#REF!</v>
      </c>
      <c r="HN140" t="e">
        <f>AND('BBP complete'!#REF!,"AAAAAHe/3d0=")</f>
        <v>#REF!</v>
      </c>
      <c r="HO140" t="e">
        <f>AND('BBP complete'!#REF!,"AAAAAHe/3d4=")</f>
        <v>#REF!</v>
      </c>
      <c r="HP140" t="e">
        <f>AND('BBP complete'!#REF!,"AAAAAHe/3d8=")</f>
        <v>#REF!</v>
      </c>
      <c r="HQ140" t="e">
        <f>AND('BBP complete'!N1599,"AAAAAHe/3eA=")</f>
        <v>#VALUE!</v>
      </c>
      <c r="HR140" t="e">
        <f>AND('BBP complete'!P1615,"AAAAAHe/3eE=")</f>
        <v>#VALUE!</v>
      </c>
      <c r="HS140" t="e">
        <f>AND('BBP complete'!Q1615,"AAAAAHe/3eI=")</f>
        <v>#VALUE!</v>
      </c>
      <c r="HT140" t="e">
        <f>AND('BBP complete'!R1615,"AAAAAHe/3eM=")</f>
        <v>#VALUE!</v>
      </c>
      <c r="HU140" t="e">
        <f>AND('BBP complete'!S1615,"AAAAAHe/3eQ=")</f>
        <v>#VALUE!</v>
      </c>
      <c r="HV140" t="e">
        <f>AND('BBP complete'!A1604,"AAAAAHe/3eU=")</f>
        <v>#VALUE!</v>
      </c>
      <c r="HW140" t="e">
        <f>AND('BBP complete'!B1600,"AAAAAHe/3eY=")</f>
        <v>#VALUE!</v>
      </c>
      <c r="HX140" t="e">
        <f>AND('BBP complete'!H1600,"AAAAAHe/3ec=")</f>
        <v>#VALUE!</v>
      </c>
      <c r="HY140" t="e">
        <f>AND('BBP complete'!I1600,"AAAAAHe/3eg=")</f>
        <v>#VALUE!</v>
      </c>
      <c r="HZ140" t="e">
        <f>AND('BBP complete'!G1599,"AAAAAHe/3ek=")</f>
        <v>#VALUE!</v>
      </c>
      <c r="IA140" t="e">
        <f>AND('BBP complete'!#REF!,"AAAAAHe/3eo=")</f>
        <v>#REF!</v>
      </c>
      <c r="IB140" t="e">
        <f>AND('BBP complete'!#REF!,"AAAAAHe/3es=")</f>
        <v>#REF!</v>
      </c>
      <c r="IC140" t="e">
        <f>AND('BBP complete'!#REF!,"AAAAAHe/3ew=")</f>
        <v>#REF!</v>
      </c>
      <c r="ID140" t="e">
        <f>AND('BBP complete'!#REF!,"AAAAAHe/3e0=")</f>
        <v>#REF!</v>
      </c>
      <c r="IE140" t="e">
        <f>AND('BBP complete'!#REF!,"AAAAAHe/3e4=")</f>
        <v>#REF!</v>
      </c>
      <c r="IF140" t="e">
        <f>AND('BBP complete'!#REF!,"AAAAAHe/3e8=")</f>
        <v>#REF!</v>
      </c>
      <c r="IG140" t="e">
        <f>AND('BBP complete'!#REF!,"AAAAAHe/3fA=")</f>
        <v>#REF!</v>
      </c>
      <c r="IH140" t="e">
        <f>AND('BBP complete'!C1600,"AAAAAHe/3fE=")</f>
        <v>#VALUE!</v>
      </c>
      <c r="II140" t="e">
        <f>AND('BBP complete'!N1600,"AAAAAHe/3fI=")</f>
        <v>#VALUE!</v>
      </c>
      <c r="IJ140" t="e">
        <f>AND('BBP complete'!P1616,"AAAAAHe/3fM=")</f>
        <v>#VALUE!</v>
      </c>
      <c r="IK140" t="e">
        <f>AND('BBP complete'!Q1616,"AAAAAHe/3fQ=")</f>
        <v>#VALUE!</v>
      </c>
      <c r="IL140" t="e">
        <f>AND('BBP complete'!R1616,"AAAAAHe/3fU=")</f>
        <v>#VALUE!</v>
      </c>
      <c r="IM140" t="e">
        <f>AND('BBP complete'!S1616,"AAAAAHe/3fY=")</f>
        <v>#VALUE!</v>
      </c>
      <c r="IN140" t="e">
        <f>AND('BBP complete'!A1605,"AAAAAHe/3fc=")</f>
        <v>#VALUE!</v>
      </c>
      <c r="IO140" t="e">
        <f>AND('BBP complete'!B1601,"AAAAAHe/3fg=")</f>
        <v>#VALUE!</v>
      </c>
      <c r="IP140" t="e">
        <f>AND('BBP complete'!H1601,"AAAAAHe/3fk=")</f>
        <v>#VALUE!</v>
      </c>
      <c r="IQ140" t="e">
        <f>AND('BBP complete'!I1601,"AAAAAHe/3fo=")</f>
        <v>#VALUE!</v>
      </c>
      <c r="IR140" t="e">
        <f>AND('BBP complete'!G1600,"AAAAAHe/3fs=")</f>
        <v>#VALUE!</v>
      </c>
      <c r="IS140" t="e">
        <f>AND('BBP complete'!#REF!,"AAAAAHe/3fw=")</f>
        <v>#REF!</v>
      </c>
      <c r="IT140" t="e">
        <f>AND('BBP complete'!#REF!,"AAAAAHe/3f0=")</f>
        <v>#REF!</v>
      </c>
      <c r="IU140" t="e">
        <f>AND('BBP complete'!#REF!,"AAAAAHe/3f4=")</f>
        <v>#REF!</v>
      </c>
      <c r="IV140" t="e">
        <f>AND('BBP complete'!#REF!,"AAAAAHe/3f8=")</f>
        <v>#REF!</v>
      </c>
    </row>
    <row r="141" spans="1:256" ht="15" customHeight="1" x14ac:dyDescent="0.25">
      <c r="A141" t="e">
        <f>AND('BBP complete'!#REF!,"AAAAAHf9/gA=")</f>
        <v>#REF!</v>
      </c>
      <c r="B141" t="e">
        <f>AND('BBP complete'!#REF!,"AAAAAHf9/gE=")</f>
        <v>#REF!</v>
      </c>
      <c r="C141" t="e">
        <f>AND('BBP complete'!#REF!,"AAAAAHf9/gI=")</f>
        <v>#REF!</v>
      </c>
      <c r="D141" t="e">
        <f>AND('BBP complete'!C1601,"AAAAAHf9/gM=")</f>
        <v>#VALUE!</v>
      </c>
      <c r="E141" t="e">
        <f>AND('BBP complete'!N1601,"AAAAAHf9/gQ=")</f>
        <v>#VALUE!</v>
      </c>
      <c r="F141" t="e">
        <f>AND('BBP complete'!P1617,"AAAAAHf9/gU=")</f>
        <v>#VALUE!</v>
      </c>
      <c r="G141" t="e">
        <f>AND('BBP complete'!Q1617,"AAAAAHf9/gY=")</f>
        <v>#VALUE!</v>
      </c>
      <c r="H141" t="e">
        <f>AND('BBP complete'!R1617,"AAAAAHf9/gc=")</f>
        <v>#VALUE!</v>
      </c>
      <c r="I141" t="e">
        <f>AND('BBP complete'!S1617,"AAAAAHf9/gg=")</f>
        <v>#VALUE!</v>
      </c>
      <c r="J141" t="e">
        <f>AND('BBP complete'!A1606,"AAAAAHf9/gk=")</f>
        <v>#VALUE!</v>
      </c>
      <c r="K141" t="e">
        <f>AND('BBP complete'!B1602,"AAAAAHf9/go=")</f>
        <v>#VALUE!</v>
      </c>
      <c r="L141" t="e">
        <f>AND('BBP complete'!H1602,"AAAAAHf9/gs=")</f>
        <v>#VALUE!</v>
      </c>
      <c r="M141" t="e">
        <f>AND('BBP complete'!I1602,"AAAAAHf9/gw=")</f>
        <v>#VALUE!</v>
      </c>
      <c r="N141" t="e">
        <f>AND('BBP complete'!G1601,"AAAAAHf9/g0=")</f>
        <v>#VALUE!</v>
      </c>
      <c r="O141" t="e">
        <f>AND('BBP complete'!#REF!,"AAAAAHf9/g4=")</f>
        <v>#REF!</v>
      </c>
      <c r="P141" t="e">
        <f>AND('BBP complete'!#REF!,"AAAAAHf9/g8=")</f>
        <v>#REF!</v>
      </c>
      <c r="Q141" t="e">
        <f>AND('BBP complete'!#REF!,"AAAAAHf9/hA=")</f>
        <v>#REF!</v>
      </c>
      <c r="R141" t="e">
        <f>AND('BBP complete'!#REF!,"AAAAAHf9/hE=")</f>
        <v>#REF!</v>
      </c>
      <c r="S141" t="e">
        <f>AND('BBP complete'!#REF!,"AAAAAHf9/hI=")</f>
        <v>#REF!</v>
      </c>
      <c r="T141" t="e">
        <f>AND('BBP complete'!#REF!,"AAAAAHf9/hM=")</f>
        <v>#REF!</v>
      </c>
      <c r="U141" t="e">
        <f>AND('BBP complete'!#REF!,"AAAAAHf9/hQ=")</f>
        <v>#REF!</v>
      </c>
      <c r="V141" t="e">
        <f>AND('BBP complete'!C1602,"AAAAAHf9/hU=")</f>
        <v>#VALUE!</v>
      </c>
      <c r="W141" t="e">
        <f>AND('BBP complete'!N1602,"AAAAAHf9/hY=")</f>
        <v>#VALUE!</v>
      </c>
      <c r="X141" t="e">
        <f>AND('BBP complete'!P1618,"AAAAAHf9/hc=")</f>
        <v>#VALUE!</v>
      </c>
      <c r="Y141" t="e">
        <f>AND('BBP complete'!Q1618,"AAAAAHf9/hg=")</f>
        <v>#VALUE!</v>
      </c>
      <c r="Z141" t="e">
        <f>AND('BBP complete'!R1618,"AAAAAHf9/hk=")</f>
        <v>#VALUE!</v>
      </c>
      <c r="AA141" t="e">
        <f>AND('BBP complete'!S1618,"AAAAAHf9/ho=")</f>
        <v>#VALUE!</v>
      </c>
      <c r="AB141" t="e">
        <f>AND('BBP complete'!A1607,"AAAAAHf9/hs=")</f>
        <v>#VALUE!</v>
      </c>
      <c r="AC141" t="e">
        <f>AND('BBP complete'!B1603,"AAAAAHf9/hw=")</f>
        <v>#VALUE!</v>
      </c>
      <c r="AD141" t="e">
        <f>AND('BBP complete'!H1603,"AAAAAHf9/h0=")</f>
        <v>#VALUE!</v>
      </c>
      <c r="AE141" t="e">
        <f>AND('BBP complete'!I1603,"AAAAAHf9/h4=")</f>
        <v>#VALUE!</v>
      </c>
      <c r="AF141" t="e">
        <f>AND('BBP complete'!G1602,"AAAAAHf9/h8=")</f>
        <v>#VALUE!</v>
      </c>
      <c r="AG141" t="e">
        <f>AND('BBP complete'!#REF!,"AAAAAHf9/iA=")</f>
        <v>#REF!</v>
      </c>
      <c r="AH141" t="e">
        <f>AND('BBP complete'!#REF!,"AAAAAHf9/iE=")</f>
        <v>#REF!</v>
      </c>
      <c r="AI141" t="e">
        <f>AND('BBP complete'!#REF!,"AAAAAHf9/iI=")</f>
        <v>#REF!</v>
      </c>
      <c r="AJ141" t="e">
        <f>AND('BBP complete'!#REF!,"AAAAAHf9/iM=")</f>
        <v>#REF!</v>
      </c>
      <c r="AK141" t="e">
        <f>AND('BBP complete'!#REF!,"AAAAAHf9/iQ=")</f>
        <v>#REF!</v>
      </c>
      <c r="AL141" t="e">
        <f>AND('BBP complete'!#REF!,"AAAAAHf9/iU=")</f>
        <v>#REF!</v>
      </c>
      <c r="AM141" t="e">
        <f>AND('BBP complete'!#REF!,"AAAAAHf9/iY=")</f>
        <v>#REF!</v>
      </c>
      <c r="AN141" t="e">
        <f>AND('BBP complete'!C1603,"AAAAAHf9/ic=")</f>
        <v>#VALUE!</v>
      </c>
      <c r="AO141" t="e">
        <f>AND('BBP complete'!N1603,"AAAAAHf9/ig=")</f>
        <v>#VALUE!</v>
      </c>
      <c r="AP141" t="e">
        <f>AND('BBP complete'!P1619,"AAAAAHf9/ik=")</f>
        <v>#VALUE!</v>
      </c>
      <c r="AQ141" t="e">
        <f>AND('BBP complete'!Q1619,"AAAAAHf9/io=")</f>
        <v>#VALUE!</v>
      </c>
      <c r="AR141" t="e">
        <f>AND('BBP complete'!R1619,"AAAAAHf9/is=")</f>
        <v>#VALUE!</v>
      </c>
      <c r="AS141" t="e">
        <f>AND('BBP complete'!S1619,"AAAAAHf9/iw=")</f>
        <v>#VALUE!</v>
      </c>
      <c r="AT141" t="e">
        <f>AND('BBP complete'!A1608,"AAAAAHf9/i0=")</f>
        <v>#VALUE!</v>
      </c>
      <c r="AU141" t="e">
        <f>AND('BBP complete'!B1604,"AAAAAHf9/i4=")</f>
        <v>#VALUE!</v>
      </c>
      <c r="AV141" t="e">
        <f>AND('BBP complete'!H1604,"AAAAAHf9/i8=")</f>
        <v>#VALUE!</v>
      </c>
      <c r="AW141" t="e">
        <f>AND('BBP complete'!I1604,"AAAAAHf9/jA=")</f>
        <v>#VALUE!</v>
      </c>
      <c r="AX141" t="e">
        <f>AND('BBP complete'!G1603,"AAAAAHf9/jE=")</f>
        <v>#VALUE!</v>
      </c>
      <c r="AY141" t="e">
        <f>AND('BBP complete'!#REF!,"AAAAAHf9/jI=")</f>
        <v>#REF!</v>
      </c>
      <c r="AZ141" t="e">
        <f>AND('BBP complete'!#REF!,"AAAAAHf9/jM=")</f>
        <v>#REF!</v>
      </c>
      <c r="BA141" t="e">
        <f>AND('BBP complete'!#REF!,"AAAAAHf9/jQ=")</f>
        <v>#REF!</v>
      </c>
      <c r="BB141" t="e">
        <f>AND('BBP complete'!#REF!,"AAAAAHf9/jU=")</f>
        <v>#REF!</v>
      </c>
      <c r="BC141" t="e">
        <f>AND('BBP complete'!#REF!,"AAAAAHf9/jY=")</f>
        <v>#REF!</v>
      </c>
      <c r="BD141" t="e">
        <f>AND('BBP complete'!#REF!,"AAAAAHf9/jc=")</f>
        <v>#REF!</v>
      </c>
      <c r="BE141" t="e">
        <f>AND('BBP complete'!#REF!,"AAAAAHf9/jg=")</f>
        <v>#REF!</v>
      </c>
      <c r="BF141" t="e">
        <f>AND('BBP complete'!C1604,"AAAAAHf9/jk=")</f>
        <v>#VALUE!</v>
      </c>
      <c r="BG141" t="e">
        <f>AND('BBP complete'!N1604,"AAAAAHf9/jo=")</f>
        <v>#VALUE!</v>
      </c>
      <c r="BH141" t="e">
        <f>AND('BBP complete'!P1620,"AAAAAHf9/js=")</f>
        <v>#VALUE!</v>
      </c>
      <c r="BI141" t="e">
        <f>AND('BBP complete'!Q1620,"AAAAAHf9/jw=")</f>
        <v>#VALUE!</v>
      </c>
      <c r="BJ141" t="e">
        <f>AND('BBP complete'!R1620,"AAAAAHf9/j0=")</f>
        <v>#VALUE!</v>
      </c>
      <c r="BK141" t="e">
        <f>AND('BBP complete'!S1620,"AAAAAHf9/j4=")</f>
        <v>#VALUE!</v>
      </c>
      <c r="BL141" t="e">
        <f>AND('BBP complete'!A1609,"AAAAAHf9/j8=")</f>
        <v>#VALUE!</v>
      </c>
      <c r="BM141" t="e">
        <f>AND('BBP complete'!B1605,"AAAAAHf9/kA=")</f>
        <v>#VALUE!</v>
      </c>
      <c r="BN141" t="e">
        <f>AND('BBP complete'!H1605,"AAAAAHf9/kE=")</f>
        <v>#VALUE!</v>
      </c>
      <c r="BO141" t="e">
        <f>AND('BBP complete'!I1605,"AAAAAHf9/kI=")</f>
        <v>#VALUE!</v>
      </c>
      <c r="BP141" t="e">
        <f>AND('BBP complete'!G1604,"AAAAAHf9/kM=")</f>
        <v>#VALUE!</v>
      </c>
      <c r="BQ141" t="e">
        <f>AND('BBP complete'!#REF!,"AAAAAHf9/kQ=")</f>
        <v>#REF!</v>
      </c>
      <c r="BR141" t="e">
        <f>AND('BBP complete'!#REF!,"AAAAAHf9/kU=")</f>
        <v>#REF!</v>
      </c>
      <c r="BS141" t="e">
        <f>AND('BBP complete'!#REF!,"AAAAAHf9/kY=")</f>
        <v>#REF!</v>
      </c>
      <c r="BT141" t="e">
        <f>AND('BBP complete'!#REF!,"AAAAAHf9/kc=")</f>
        <v>#REF!</v>
      </c>
      <c r="BU141" t="e">
        <f>AND('BBP complete'!#REF!,"AAAAAHf9/kg=")</f>
        <v>#REF!</v>
      </c>
      <c r="BV141" t="e">
        <f>AND('BBP complete'!#REF!,"AAAAAHf9/kk=")</f>
        <v>#REF!</v>
      </c>
      <c r="BW141" t="e">
        <f>AND('BBP complete'!#REF!,"AAAAAHf9/ko=")</f>
        <v>#REF!</v>
      </c>
      <c r="BX141" t="e">
        <f>AND('BBP complete'!C1605,"AAAAAHf9/ks=")</f>
        <v>#VALUE!</v>
      </c>
      <c r="BY141" t="e">
        <f>AND('BBP complete'!N1605,"AAAAAHf9/kw=")</f>
        <v>#VALUE!</v>
      </c>
      <c r="BZ141" t="e">
        <f>AND('BBP complete'!P1621,"AAAAAHf9/k0=")</f>
        <v>#VALUE!</v>
      </c>
      <c r="CA141" t="e">
        <f>AND('BBP complete'!Q1621,"AAAAAHf9/k4=")</f>
        <v>#VALUE!</v>
      </c>
      <c r="CB141" t="e">
        <f>AND('BBP complete'!R1621,"AAAAAHf9/k8=")</f>
        <v>#VALUE!</v>
      </c>
      <c r="CC141" t="e">
        <f>AND('BBP complete'!S1621,"AAAAAHf9/lA=")</f>
        <v>#VALUE!</v>
      </c>
      <c r="CD141" t="e">
        <f>AND('BBP complete'!A1610,"AAAAAHf9/lE=")</f>
        <v>#VALUE!</v>
      </c>
      <c r="CE141" t="e">
        <f>AND('BBP complete'!B1606,"AAAAAHf9/lI=")</f>
        <v>#VALUE!</v>
      </c>
      <c r="CF141" t="e">
        <f>AND('BBP complete'!H1606,"AAAAAHf9/lM=")</f>
        <v>#VALUE!</v>
      </c>
      <c r="CG141" t="e">
        <f>AND('BBP complete'!I1606,"AAAAAHf9/lQ=")</f>
        <v>#VALUE!</v>
      </c>
      <c r="CH141" t="e">
        <f>AND('BBP complete'!G1605,"AAAAAHf9/lU=")</f>
        <v>#VALUE!</v>
      </c>
      <c r="CI141" t="e">
        <f>AND('BBP complete'!#REF!,"AAAAAHf9/lY=")</f>
        <v>#REF!</v>
      </c>
      <c r="CJ141" t="e">
        <f>AND('BBP complete'!#REF!,"AAAAAHf9/lc=")</f>
        <v>#REF!</v>
      </c>
      <c r="CK141" t="e">
        <f>AND('BBP complete'!#REF!,"AAAAAHf9/lg=")</f>
        <v>#REF!</v>
      </c>
      <c r="CL141" t="e">
        <f>AND('BBP complete'!#REF!,"AAAAAHf9/lk=")</f>
        <v>#REF!</v>
      </c>
      <c r="CM141" t="e">
        <f>AND('BBP complete'!#REF!,"AAAAAHf9/lo=")</f>
        <v>#REF!</v>
      </c>
      <c r="CN141" t="e">
        <f>AND('BBP complete'!#REF!,"AAAAAHf9/ls=")</f>
        <v>#REF!</v>
      </c>
      <c r="CO141" t="e">
        <f>AND('BBP complete'!#REF!,"AAAAAHf9/lw=")</f>
        <v>#REF!</v>
      </c>
      <c r="CP141" t="e">
        <f>AND('BBP complete'!C1606,"AAAAAHf9/l0=")</f>
        <v>#VALUE!</v>
      </c>
      <c r="CQ141" t="e">
        <f>AND('BBP complete'!N1606,"AAAAAHf9/l4=")</f>
        <v>#VALUE!</v>
      </c>
      <c r="CR141" t="e">
        <f>AND('BBP complete'!P1622,"AAAAAHf9/l8=")</f>
        <v>#VALUE!</v>
      </c>
      <c r="CS141" t="e">
        <f>AND('BBP complete'!Q1622,"AAAAAHf9/mA=")</f>
        <v>#VALUE!</v>
      </c>
      <c r="CT141" t="e">
        <f>AND('BBP complete'!R1622,"AAAAAHf9/mE=")</f>
        <v>#VALUE!</v>
      </c>
      <c r="CU141" t="e">
        <f>AND('BBP complete'!S1622,"AAAAAHf9/mI=")</f>
        <v>#VALUE!</v>
      </c>
      <c r="CV141" t="e">
        <f>AND('BBP complete'!A1611,"AAAAAHf9/mM=")</f>
        <v>#VALUE!</v>
      </c>
      <c r="CW141" t="e">
        <f>AND('BBP complete'!B1607,"AAAAAHf9/mQ=")</f>
        <v>#VALUE!</v>
      </c>
      <c r="CX141" t="e">
        <f>AND('BBP complete'!H1607,"AAAAAHf9/mU=")</f>
        <v>#VALUE!</v>
      </c>
      <c r="CY141" t="e">
        <f>AND('BBP complete'!I1607,"AAAAAHf9/mY=")</f>
        <v>#VALUE!</v>
      </c>
      <c r="CZ141" t="e">
        <f>AND('BBP complete'!G1606,"AAAAAHf9/mc=")</f>
        <v>#VALUE!</v>
      </c>
      <c r="DA141" t="e">
        <f>AND('BBP complete'!#REF!,"AAAAAHf9/mg=")</f>
        <v>#REF!</v>
      </c>
      <c r="DB141" t="e">
        <f>AND('BBP complete'!#REF!,"AAAAAHf9/mk=")</f>
        <v>#REF!</v>
      </c>
      <c r="DC141" t="e">
        <f>AND('BBP complete'!#REF!,"AAAAAHf9/mo=")</f>
        <v>#REF!</v>
      </c>
      <c r="DD141" t="e">
        <f>AND('BBP complete'!#REF!,"AAAAAHf9/ms=")</f>
        <v>#REF!</v>
      </c>
      <c r="DE141" t="e">
        <f>AND('BBP complete'!#REF!,"AAAAAHf9/mw=")</f>
        <v>#REF!</v>
      </c>
      <c r="DF141" t="e">
        <f>AND('BBP complete'!#REF!,"AAAAAHf9/m0=")</f>
        <v>#REF!</v>
      </c>
      <c r="DG141" t="e">
        <f>AND('BBP complete'!#REF!,"AAAAAHf9/m4=")</f>
        <v>#REF!</v>
      </c>
      <c r="DH141" t="e">
        <f>AND('BBP complete'!C1607,"AAAAAHf9/m8=")</f>
        <v>#VALUE!</v>
      </c>
      <c r="DI141" t="e">
        <f>AND('BBP complete'!N1607,"AAAAAHf9/nA=")</f>
        <v>#VALUE!</v>
      </c>
      <c r="DJ141" t="e">
        <f>AND('BBP complete'!P1623,"AAAAAHf9/nE=")</f>
        <v>#VALUE!</v>
      </c>
      <c r="DK141" t="e">
        <f>AND('BBP complete'!Q1623,"AAAAAHf9/nI=")</f>
        <v>#VALUE!</v>
      </c>
      <c r="DL141" t="e">
        <f>AND('BBP complete'!R1623,"AAAAAHf9/nM=")</f>
        <v>#VALUE!</v>
      </c>
      <c r="DM141" t="e">
        <f>AND('BBP complete'!S1623,"AAAAAHf9/nQ=")</f>
        <v>#VALUE!</v>
      </c>
      <c r="DN141" t="e">
        <f>AND('BBP complete'!A1612,"AAAAAHf9/nU=")</f>
        <v>#VALUE!</v>
      </c>
      <c r="DO141" t="e">
        <f>AND('BBP complete'!B1608,"AAAAAHf9/nY=")</f>
        <v>#VALUE!</v>
      </c>
      <c r="DP141" t="e">
        <f>AND('BBP complete'!H1608,"AAAAAHf9/nc=")</f>
        <v>#VALUE!</v>
      </c>
      <c r="DQ141" t="e">
        <f>AND('BBP complete'!I1608,"AAAAAHf9/ng=")</f>
        <v>#VALUE!</v>
      </c>
      <c r="DR141" t="e">
        <f>AND('BBP complete'!G1607,"AAAAAHf9/nk=")</f>
        <v>#VALUE!</v>
      </c>
      <c r="DS141" t="e">
        <f>AND('BBP complete'!#REF!,"AAAAAHf9/no=")</f>
        <v>#REF!</v>
      </c>
      <c r="DT141" t="e">
        <f>AND('BBP complete'!#REF!,"AAAAAHf9/ns=")</f>
        <v>#REF!</v>
      </c>
      <c r="DU141" t="e">
        <f>AND('BBP complete'!#REF!,"AAAAAHf9/nw=")</f>
        <v>#REF!</v>
      </c>
      <c r="DV141" t="e">
        <f>AND('BBP complete'!#REF!,"AAAAAHf9/n0=")</f>
        <v>#REF!</v>
      </c>
      <c r="DW141" t="e">
        <f>AND('BBP complete'!#REF!,"AAAAAHf9/n4=")</f>
        <v>#REF!</v>
      </c>
      <c r="DX141" t="e">
        <f>AND('BBP complete'!#REF!,"AAAAAHf9/n8=")</f>
        <v>#REF!</v>
      </c>
      <c r="DY141" t="e">
        <f>AND('BBP complete'!#REF!,"AAAAAHf9/oA=")</f>
        <v>#REF!</v>
      </c>
      <c r="DZ141" t="e">
        <f>AND('BBP complete'!C1608,"AAAAAHf9/oE=")</f>
        <v>#VALUE!</v>
      </c>
      <c r="EA141" t="e">
        <f>AND('BBP complete'!N1608,"AAAAAHf9/oI=")</f>
        <v>#VALUE!</v>
      </c>
      <c r="EB141" t="e">
        <f>AND('BBP complete'!P1624,"AAAAAHf9/oM=")</f>
        <v>#VALUE!</v>
      </c>
      <c r="EC141" t="e">
        <f>AND('BBP complete'!Q1624,"AAAAAHf9/oQ=")</f>
        <v>#VALUE!</v>
      </c>
      <c r="ED141" t="e">
        <f>AND('BBP complete'!R1624,"AAAAAHf9/oU=")</f>
        <v>#VALUE!</v>
      </c>
      <c r="EE141" t="e">
        <f>AND('BBP complete'!S1624,"AAAAAHf9/oY=")</f>
        <v>#VALUE!</v>
      </c>
      <c r="EF141" t="e">
        <f>AND('BBP complete'!A1613,"AAAAAHf9/oc=")</f>
        <v>#VALUE!</v>
      </c>
      <c r="EG141" t="e">
        <f>AND('BBP complete'!B1609,"AAAAAHf9/og=")</f>
        <v>#VALUE!</v>
      </c>
      <c r="EH141" t="e">
        <f>AND('BBP complete'!H1609,"AAAAAHf9/ok=")</f>
        <v>#VALUE!</v>
      </c>
      <c r="EI141" t="e">
        <f>AND('BBP complete'!I1609,"AAAAAHf9/oo=")</f>
        <v>#VALUE!</v>
      </c>
      <c r="EJ141" t="e">
        <f>AND('BBP complete'!G1608,"AAAAAHf9/os=")</f>
        <v>#VALUE!</v>
      </c>
      <c r="EK141" t="e">
        <f>AND('BBP complete'!#REF!,"AAAAAHf9/ow=")</f>
        <v>#REF!</v>
      </c>
      <c r="EL141" t="e">
        <f>AND('BBP complete'!#REF!,"AAAAAHf9/o0=")</f>
        <v>#REF!</v>
      </c>
      <c r="EM141" t="e">
        <f>AND('BBP complete'!#REF!,"AAAAAHf9/o4=")</f>
        <v>#REF!</v>
      </c>
      <c r="EN141" t="e">
        <f>AND('BBP complete'!#REF!,"AAAAAHf9/o8=")</f>
        <v>#REF!</v>
      </c>
      <c r="EO141" t="e">
        <f>AND('BBP complete'!#REF!,"AAAAAHf9/pA=")</f>
        <v>#REF!</v>
      </c>
      <c r="EP141" t="e">
        <f>AND('BBP complete'!#REF!,"AAAAAHf9/pE=")</f>
        <v>#REF!</v>
      </c>
      <c r="EQ141" t="e">
        <f>AND('BBP complete'!#REF!,"AAAAAHf9/pI=")</f>
        <v>#REF!</v>
      </c>
      <c r="ER141" t="e">
        <f>AND('BBP complete'!C1609,"AAAAAHf9/pM=")</f>
        <v>#VALUE!</v>
      </c>
      <c r="ES141" t="e">
        <f>AND('BBP complete'!N1609,"AAAAAHf9/pQ=")</f>
        <v>#VALUE!</v>
      </c>
      <c r="ET141" t="e">
        <f>AND('BBP complete'!P1625,"AAAAAHf9/pU=")</f>
        <v>#VALUE!</v>
      </c>
      <c r="EU141" t="e">
        <f>AND('BBP complete'!Q1625,"AAAAAHf9/pY=")</f>
        <v>#VALUE!</v>
      </c>
      <c r="EV141" t="e">
        <f>AND('BBP complete'!R1625,"AAAAAHf9/pc=")</f>
        <v>#VALUE!</v>
      </c>
      <c r="EW141" t="e">
        <f>AND('BBP complete'!S1625,"AAAAAHf9/pg=")</f>
        <v>#VALUE!</v>
      </c>
      <c r="EX141" t="e">
        <f>AND('BBP complete'!A1614,"AAAAAHf9/pk=")</f>
        <v>#VALUE!</v>
      </c>
      <c r="EY141" t="e">
        <f>AND('BBP complete'!B1610,"AAAAAHf9/po=")</f>
        <v>#VALUE!</v>
      </c>
      <c r="EZ141" t="e">
        <f>AND('BBP complete'!H1610,"AAAAAHf9/ps=")</f>
        <v>#VALUE!</v>
      </c>
      <c r="FA141" t="e">
        <f>AND('BBP complete'!I1610,"AAAAAHf9/pw=")</f>
        <v>#VALUE!</v>
      </c>
      <c r="FB141" t="e">
        <f>AND('BBP complete'!G1609,"AAAAAHf9/p0=")</f>
        <v>#VALUE!</v>
      </c>
      <c r="FC141" t="e">
        <f>AND('BBP complete'!#REF!,"AAAAAHf9/p4=")</f>
        <v>#REF!</v>
      </c>
      <c r="FD141" t="e">
        <f>AND('BBP complete'!#REF!,"AAAAAHf9/p8=")</f>
        <v>#REF!</v>
      </c>
      <c r="FE141" t="e">
        <f>AND('BBP complete'!#REF!,"AAAAAHf9/qA=")</f>
        <v>#REF!</v>
      </c>
      <c r="FF141" t="e">
        <f>AND('BBP complete'!#REF!,"AAAAAHf9/qE=")</f>
        <v>#REF!</v>
      </c>
      <c r="FG141" t="e">
        <f>AND('BBP complete'!#REF!,"AAAAAHf9/qI=")</f>
        <v>#REF!</v>
      </c>
      <c r="FH141" t="e">
        <f>AND('BBP complete'!#REF!,"AAAAAHf9/qM=")</f>
        <v>#REF!</v>
      </c>
      <c r="FI141" t="e">
        <f>AND('BBP complete'!#REF!,"AAAAAHf9/qQ=")</f>
        <v>#REF!</v>
      </c>
      <c r="FJ141" t="e">
        <f>AND('BBP complete'!C1610,"AAAAAHf9/qU=")</f>
        <v>#VALUE!</v>
      </c>
      <c r="FK141" t="e">
        <f>AND('BBP complete'!N1610,"AAAAAHf9/qY=")</f>
        <v>#VALUE!</v>
      </c>
      <c r="FL141" t="e">
        <f>AND('BBP complete'!P1626,"AAAAAHf9/qc=")</f>
        <v>#VALUE!</v>
      </c>
      <c r="FM141" t="e">
        <f>AND('BBP complete'!Q1626,"AAAAAHf9/qg=")</f>
        <v>#VALUE!</v>
      </c>
      <c r="FN141" t="e">
        <f>AND('BBP complete'!R1626,"AAAAAHf9/qk=")</f>
        <v>#VALUE!</v>
      </c>
      <c r="FO141" t="e">
        <f>AND('BBP complete'!S1626,"AAAAAHf9/qo=")</f>
        <v>#VALUE!</v>
      </c>
      <c r="FP141" t="e">
        <f>AND('BBP complete'!A1615,"AAAAAHf9/qs=")</f>
        <v>#VALUE!</v>
      </c>
      <c r="FQ141" t="e">
        <f>AND('BBP complete'!B1611,"AAAAAHf9/qw=")</f>
        <v>#VALUE!</v>
      </c>
      <c r="FR141" t="e">
        <f>AND('BBP complete'!H1611,"AAAAAHf9/q0=")</f>
        <v>#VALUE!</v>
      </c>
      <c r="FS141" t="e">
        <f>AND('BBP complete'!I1611,"AAAAAHf9/q4=")</f>
        <v>#VALUE!</v>
      </c>
      <c r="FT141" t="e">
        <f>AND('BBP complete'!G1610,"AAAAAHf9/q8=")</f>
        <v>#VALUE!</v>
      </c>
      <c r="FU141" t="e">
        <f>AND('BBP complete'!#REF!,"AAAAAHf9/rA=")</f>
        <v>#REF!</v>
      </c>
      <c r="FV141" t="e">
        <f>AND('BBP complete'!#REF!,"AAAAAHf9/rE=")</f>
        <v>#REF!</v>
      </c>
      <c r="FW141" t="e">
        <f>AND('BBP complete'!#REF!,"AAAAAHf9/rI=")</f>
        <v>#REF!</v>
      </c>
      <c r="FX141" t="e">
        <f>AND('BBP complete'!#REF!,"AAAAAHf9/rM=")</f>
        <v>#REF!</v>
      </c>
      <c r="FY141" t="e">
        <f>AND('BBP complete'!#REF!,"AAAAAHf9/rQ=")</f>
        <v>#REF!</v>
      </c>
      <c r="FZ141" t="e">
        <f>AND('BBP complete'!#REF!,"AAAAAHf9/rU=")</f>
        <v>#REF!</v>
      </c>
      <c r="GA141" t="e">
        <f>AND('BBP complete'!#REF!,"AAAAAHf9/rY=")</f>
        <v>#REF!</v>
      </c>
      <c r="GB141" t="e">
        <f>AND('BBP complete'!C1611,"AAAAAHf9/rc=")</f>
        <v>#VALUE!</v>
      </c>
      <c r="GC141" t="e">
        <f>AND('BBP complete'!N1611,"AAAAAHf9/rg=")</f>
        <v>#VALUE!</v>
      </c>
      <c r="GD141" t="e">
        <f>AND('BBP complete'!P1627,"AAAAAHf9/rk=")</f>
        <v>#VALUE!</v>
      </c>
      <c r="GE141" t="e">
        <f>AND('BBP complete'!Q1627,"AAAAAHf9/ro=")</f>
        <v>#VALUE!</v>
      </c>
      <c r="GF141" t="e">
        <f>AND('BBP complete'!R1627,"AAAAAHf9/rs=")</f>
        <v>#VALUE!</v>
      </c>
      <c r="GG141" t="e">
        <f>AND('BBP complete'!S1627,"AAAAAHf9/rw=")</f>
        <v>#VALUE!</v>
      </c>
      <c r="GH141" t="e">
        <f>AND('BBP complete'!A1616,"AAAAAHf9/r0=")</f>
        <v>#VALUE!</v>
      </c>
      <c r="GI141" t="e">
        <f>AND('BBP complete'!B1612,"AAAAAHf9/r4=")</f>
        <v>#VALUE!</v>
      </c>
      <c r="GJ141" t="e">
        <f>AND('BBP complete'!H1612,"AAAAAHf9/r8=")</f>
        <v>#VALUE!</v>
      </c>
      <c r="GK141" t="e">
        <f>AND('BBP complete'!I1612,"AAAAAHf9/sA=")</f>
        <v>#VALUE!</v>
      </c>
      <c r="GL141" t="e">
        <f>AND('BBP complete'!G1611,"AAAAAHf9/sE=")</f>
        <v>#VALUE!</v>
      </c>
      <c r="GM141" t="e">
        <f>AND('BBP complete'!#REF!,"AAAAAHf9/sI=")</f>
        <v>#REF!</v>
      </c>
      <c r="GN141" t="e">
        <f>AND('BBP complete'!#REF!,"AAAAAHf9/sM=")</f>
        <v>#REF!</v>
      </c>
      <c r="GO141" t="e">
        <f>AND('BBP complete'!#REF!,"AAAAAHf9/sQ=")</f>
        <v>#REF!</v>
      </c>
      <c r="GP141" t="e">
        <f>AND('BBP complete'!#REF!,"AAAAAHf9/sU=")</f>
        <v>#REF!</v>
      </c>
      <c r="GQ141" t="e">
        <f>AND('BBP complete'!#REF!,"AAAAAHf9/sY=")</f>
        <v>#REF!</v>
      </c>
      <c r="GR141" t="e">
        <f>AND('BBP complete'!#REF!,"AAAAAHf9/sc=")</f>
        <v>#REF!</v>
      </c>
      <c r="GS141" t="e">
        <f>AND('BBP complete'!#REF!,"AAAAAHf9/sg=")</f>
        <v>#REF!</v>
      </c>
      <c r="GT141" t="e">
        <f>AND('BBP complete'!C1612,"AAAAAHf9/sk=")</f>
        <v>#VALUE!</v>
      </c>
      <c r="GU141" t="e">
        <f>AND('BBP complete'!N1612,"AAAAAHf9/so=")</f>
        <v>#VALUE!</v>
      </c>
      <c r="GV141" t="e">
        <f>AND('BBP complete'!P1628,"AAAAAHf9/ss=")</f>
        <v>#VALUE!</v>
      </c>
      <c r="GW141" t="e">
        <f>AND('BBP complete'!Q1628,"AAAAAHf9/sw=")</f>
        <v>#VALUE!</v>
      </c>
      <c r="GX141" t="e">
        <f>AND('BBP complete'!R1628,"AAAAAHf9/s0=")</f>
        <v>#VALUE!</v>
      </c>
      <c r="GY141" t="e">
        <f>AND('BBP complete'!S1628,"AAAAAHf9/s4=")</f>
        <v>#VALUE!</v>
      </c>
      <c r="GZ141" t="e">
        <f>AND('BBP complete'!A1617,"AAAAAHf9/s8=")</f>
        <v>#VALUE!</v>
      </c>
      <c r="HA141" t="e">
        <f>AND('BBP complete'!B1613,"AAAAAHf9/tA=")</f>
        <v>#VALUE!</v>
      </c>
      <c r="HB141" t="e">
        <f>AND('BBP complete'!H1613,"AAAAAHf9/tE=")</f>
        <v>#VALUE!</v>
      </c>
      <c r="HC141" t="e">
        <f>AND('BBP complete'!I1613,"AAAAAHf9/tI=")</f>
        <v>#VALUE!</v>
      </c>
      <c r="HD141" t="e">
        <f>AND('BBP complete'!G1612,"AAAAAHf9/tM=")</f>
        <v>#VALUE!</v>
      </c>
      <c r="HE141" t="e">
        <f>AND('BBP complete'!#REF!,"AAAAAHf9/tQ=")</f>
        <v>#REF!</v>
      </c>
      <c r="HF141" t="e">
        <f>AND('BBP complete'!#REF!,"AAAAAHf9/tU=")</f>
        <v>#REF!</v>
      </c>
      <c r="HG141" t="e">
        <f>AND('BBP complete'!#REF!,"AAAAAHf9/tY=")</f>
        <v>#REF!</v>
      </c>
      <c r="HH141" t="e">
        <f>AND('BBP complete'!#REF!,"AAAAAHf9/tc=")</f>
        <v>#REF!</v>
      </c>
      <c r="HI141" t="e">
        <f>AND('BBP complete'!#REF!,"AAAAAHf9/tg=")</f>
        <v>#REF!</v>
      </c>
      <c r="HJ141" t="e">
        <f>AND('BBP complete'!#REF!,"AAAAAHf9/tk=")</f>
        <v>#REF!</v>
      </c>
      <c r="HK141" t="e">
        <f>AND('BBP complete'!#REF!,"AAAAAHf9/to=")</f>
        <v>#REF!</v>
      </c>
      <c r="HL141" t="e">
        <f>AND('BBP complete'!C1613,"AAAAAHf9/ts=")</f>
        <v>#VALUE!</v>
      </c>
      <c r="HM141" t="e">
        <f>AND('BBP complete'!N1613,"AAAAAHf9/tw=")</f>
        <v>#VALUE!</v>
      </c>
      <c r="HN141" t="e">
        <f>AND('BBP complete'!P1629,"AAAAAHf9/t0=")</f>
        <v>#VALUE!</v>
      </c>
      <c r="HO141" t="e">
        <f>AND('BBP complete'!Q1629,"AAAAAHf9/t4=")</f>
        <v>#VALUE!</v>
      </c>
      <c r="HP141" t="e">
        <f>AND('BBP complete'!R1629,"AAAAAHf9/t8=")</f>
        <v>#VALUE!</v>
      </c>
      <c r="HQ141" t="e">
        <f>AND('BBP complete'!S1629,"AAAAAHf9/uA=")</f>
        <v>#VALUE!</v>
      </c>
      <c r="HR141" t="e">
        <f>AND('BBP complete'!A1618,"AAAAAHf9/uE=")</f>
        <v>#VALUE!</v>
      </c>
      <c r="HS141" t="e">
        <f>AND('BBP complete'!B1614,"AAAAAHf9/uI=")</f>
        <v>#VALUE!</v>
      </c>
      <c r="HT141" t="e">
        <f>AND('BBP complete'!H1614,"AAAAAHf9/uM=")</f>
        <v>#VALUE!</v>
      </c>
      <c r="HU141" t="e">
        <f>AND('BBP complete'!I1614,"AAAAAHf9/uQ=")</f>
        <v>#VALUE!</v>
      </c>
      <c r="HV141" t="e">
        <f>AND('BBP complete'!G1613,"AAAAAHf9/uU=")</f>
        <v>#VALUE!</v>
      </c>
      <c r="HW141" t="e">
        <f>AND('BBP complete'!#REF!,"AAAAAHf9/uY=")</f>
        <v>#REF!</v>
      </c>
      <c r="HX141" t="e">
        <f>AND('BBP complete'!#REF!,"AAAAAHf9/uc=")</f>
        <v>#REF!</v>
      </c>
      <c r="HY141" t="e">
        <f>AND('BBP complete'!#REF!,"AAAAAHf9/ug=")</f>
        <v>#REF!</v>
      </c>
      <c r="HZ141" t="e">
        <f>AND('BBP complete'!#REF!,"AAAAAHf9/uk=")</f>
        <v>#REF!</v>
      </c>
      <c r="IA141" t="e">
        <f>AND('BBP complete'!#REF!,"AAAAAHf9/uo=")</f>
        <v>#REF!</v>
      </c>
      <c r="IB141" t="e">
        <f>AND('BBP complete'!#REF!,"AAAAAHf9/us=")</f>
        <v>#REF!</v>
      </c>
      <c r="IC141" t="e">
        <f>AND('BBP complete'!#REF!,"AAAAAHf9/uw=")</f>
        <v>#REF!</v>
      </c>
      <c r="ID141" t="e">
        <f>AND('BBP complete'!C1614,"AAAAAHf9/u0=")</f>
        <v>#VALUE!</v>
      </c>
      <c r="IE141" t="e">
        <f>AND('BBP complete'!N1614,"AAAAAHf9/u4=")</f>
        <v>#VALUE!</v>
      </c>
      <c r="IF141" t="e">
        <f>AND('BBP complete'!P1630,"AAAAAHf9/u8=")</f>
        <v>#VALUE!</v>
      </c>
      <c r="IG141" t="e">
        <f>AND('BBP complete'!Q1630,"AAAAAHf9/vA=")</f>
        <v>#VALUE!</v>
      </c>
      <c r="IH141" t="e">
        <f>AND('BBP complete'!R1630,"AAAAAHf9/vE=")</f>
        <v>#VALUE!</v>
      </c>
      <c r="II141" t="e">
        <f>AND('BBP complete'!S1630,"AAAAAHf9/vI=")</f>
        <v>#VALUE!</v>
      </c>
      <c r="IJ141" t="e">
        <f>AND('BBP complete'!A1619,"AAAAAHf9/vM=")</f>
        <v>#VALUE!</v>
      </c>
      <c r="IK141" t="e">
        <f>AND('BBP complete'!B1615,"AAAAAHf9/vQ=")</f>
        <v>#VALUE!</v>
      </c>
      <c r="IL141" t="e">
        <f>AND('BBP complete'!H1615,"AAAAAHf9/vU=")</f>
        <v>#VALUE!</v>
      </c>
      <c r="IM141" t="e">
        <f>AND('BBP complete'!I1615,"AAAAAHf9/vY=")</f>
        <v>#VALUE!</v>
      </c>
      <c r="IN141" t="e">
        <f>AND('BBP complete'!G1614,"AAAAAHf9/vc=")</f>
        <v>#VALUE!</v>
      </c>
      <c r="IO141" t="e">
        <f>AND('BBP complete'!#REF!,"AAAAAHf9/vg=")</f>
        <v>#REF!</v>
      </c>
      <c r="IP141" t="e">
        <f>AND('BBP complete'!#REF!,"AAAAAHf9/vk=")</f>
        <v>#REF!</v>
      </c>
      <c r="IQ141" t="e">
        <f>AND('BBP complete'!#REF!,"AAAAAHf9/vo=")</f>
        <v>#REF!</v>
      </c>
      <c r="IR141" t="e">
        <f>AND('BBP complete'!#REF!,"AAAAAHf9/vs=")</f>
        <v>#REF!</v>
      </c>
      <c r="IS141" t="e">
        <f>AND('BBP complete'!#REF!,"AAAAAHf9/vw=")</f>
        <v>#REF!</v>
      </c>
      <c r="IT141" t="e">
        <f>AND('BBP complete'!#REF!,"AAAAAHf9/v0=")</f>
        <v>#REF!</v>
      </c>
      <c r="IU141" t="e">
        <f>AND('BBP complete'!#REF!,"AAAAAHf9/v4=")</f>
        <v>#REF!</v>
      </c>
      <c r="IV141" t="e">
        <f>AND('BBP complete'!C1615,"AAAAAHf9/v8=")</f>
        <v>#VALUE!</v>
      </c>
    </row>
    <row r="142" spans="1:256" ht="15" customHeight="1" x14ac:dyDescent="0.25">
      <c r="A142" t="e">
        <f>AND('BBP complete'!N1615,"AAAAAGyw/wA=")</f>
        <v>#VALUE!</v>
      </c>
      <c r="B142" t="e">
        <f>AND('BBP complete'!P1631,"AAAAAGyw/wE=")</f>
        <v>#VALUE!</v>
      </c>
      <c r="C142" t="e">
        <f>AND('BBP complete'!Q1631,"AAAAAGyw/wI=")</f>
        <v>#VALUE!</v>
      </c>
      <c r="D142" t="e">
        <f>AND('BBP complete'!R1631,"AAAAAGyw/wM=")</f>
        <v>#VALUE!</v>
      </c>
      <c r="E142" t="e">
        <f>AND('BBP complete'!S1631,"AAAAAGyw/wQ=")</f>
        <v>#VALUE!</v>
      </c>
      <c r="F142" t="e">
        <f>AND('BBP complete'!A1620,"AAAAAGyw/wU=")</f>
        <v>#VALUE!</v>
      </c>
      <c r="G142" t="e">
        <f>AND('BBP complete'!B1616,"AAAAAGyw/wY=")</f>
        <v>#VALUE!</v>
      </c>
      <c r="H142" t="e">
        <f>AND('BBP complete'!H1616,"AAAAAGyw/wc=")</f>
        <v>#VALUE!</v>
      </c>
      <c r="I142" t="e">
        <f>AND('BBP complete'!I1616,"AAAAAGyw/wg=")</f>
        <v>#VALUE!</v>
      </c>
      <c r="J142" t="e">
        <f>AND('BBP complete'!G1615,"AAAAAGyw/wk=")</f>
        <v>#VALUE!</v>
      </c>
      <c r="K142" t="e">
        <f>AND('BBP complete'!#REF!,"AAAAAGyw/wo=")</f>
        <v>#REF!</v>
      </c>
      <c r="L142" t="e">
        <f>AND('BBP complete'!#REF!,"AAAAAGyw/ws=")</f>
        <v>#REF!</v>
      </c>
      <c r="M142" t="e">
        <f>AND('BBP complete'!#REF!,"AAAAAGyw/ww=")</f>
        <v>#REF!</v>
      </c>
      <c r="N142" t="e">
        <f>AND('BBP complete'!#REF!,"AAAAAGyw/w0=")</f>
        <v>#REF!</v>
      </c>
      <c r="O142" t="e">
        <f>AND('BBP complete'!#REF!,"AAAAAGyw/w4=")</f>
        <v>#REF!</v>
      </c>
      <c r="P142" t="e">
        <f>AND('BBP complete'!#REF!,"AAAAAGyw/w8=")</f>
        <v>#REF!</v>
      </c>
      <c r="Q142" t="e">
        <f>AND('BBP complete'!#REF!,"AAAAAGyw/xA=")</f>
        <v>#REF!</v>
      </c>
      <c r="R142" t="e">
        <f>AND('BBP complete'!C1616,"AAAAAGyw/xE=")</f>
        <v>#VALUE!</v>
      </c>
      <c r="S142" t="e">
        <f>AND('BBP complete'!N1616,"AAAAAGyw/xI=")</f>
        <v>#VALUE!</v>
      </c>
      <c r="T142" t="e">
        <f>AND('BBP complete'!P1632,"AAAAAGyw/xM=")</f>
        <v>#VALUE!</v>
      </c>
      <c r="U142" t="e">
        <f>AND('BBP complete'!Q1632,"AAAAAGyw/xQ=")</f>
        <v>#VALUE!</v>
      </c>
      <c r="V142" t="e">
        <f>AND('BBP complete'!R1632,"AAAAAGyw/xU=")</f>
        <v>#VALUE!</v>
      </c>
      <c r="W142" t="e">
        <f>AND('BBP complete'!S1632,"AAAAAGyw/xY=")</f>
        <v>#VALUE!</v>
      </c>
      <c r="X142" t="e">
        <f>AND('BBP complete'!A1621,"AAAAAGyw/xc=")</f>
        <v>#VALUE!</v>
      </c>
      <c r="Y142" t="e">
        <f>AND('BBP complete'!B1617,"AAAAAGyw/xg=")</f>
        <v>#VALUE!</v>
      </c>
      <c r="Z142" t="e">
        <f>AND('BBP complete'!H1617,"AAAAAGyw/xk=")</f>
        <v>#VALUE!</v>
      </c>
      <c r="AA142" t="e">
        <f>AND('BBP complete'!I1617,"AAAAAGyw/xo=")</f>
        <v>#VALUE!</v>
      </c>
      <c r="AB142" t="e">
        <f>AND('BBP complete'!G1616,"AAAAAGyw/xs=")</f>
        <v>#VALUE!</v>
      </c>
      <c r="AC142" t="e">
        <f>AND('BBP complete'!#REF!,"AAAAAGyw/xw=")</f>
        <v>#REF!</v>
      </c>
      <c r="AD142" t="e">
        <f>AND('BBP complete'!#REF!,"AAAAAGyw/x0=")</f>
        <v>#REF!</v>
      </c>
      <c r="AE142" t="e">
        <f>AND('BBP complete'!#REF!,"AAAAAGyw/x4=")</f>
        <v>#REF!</v>
      </c>
      <c r="AF142" t="e">
        <f>AND('BBP complete'!#REF!,"AAAAAGyw/x8=")</f>
        <v>#REF!</v>
      </c>
      <c r="AG142" t="e">
        <f>AND('BBP complete'!#REF!,"AAAAAGyw/yA=")</f>
        <v>#REF!</v>
      </c>
      <c r="AH142" t="e">
        <f>AND('BBP complete'!#REF!,"AAAAAGyw/yE=")</f>
        <v>#REF!</v>
      </c>
      <c r="AI142" t="e">
        <f>AND('BBP complete'!#REF!,"AAAAAGyw/yI=")</f>
        <v>#REF!</v>
      </c>
      <c r="AJ142" t="e">
        <f>AND('BBP complete'!C1617,"AAAAAGyw/yM=")</f>
        <v>#VALUE!</v>
      </c>
      <c r="AK142" t="e">
        <f>AND('BBP complete'!N1617,"AAAAAGyw/yQ=")</f>
        <v>#VALUE!</v>
      </c>
      <c r="AL142" t="e">
        <f>AND('BBP complete'!P1633,"AAAAAGyw/yU=")</f>
        <v>#VALUE!</v>
      </c>
      <c r="AM142" t="e">
        <f>AND('BBP complete'!Q1633,"AAAAAGyw/yY=")</f>
        <v>#VALUE!</v>
      </c>
      <c r="AN142" t="e">
        <f>AND('BBP complete'!R1633,"AAAAAGyw/yc=")</f>
        <v>#VALUE!</v>
      </c>
      <c r="AO142" t="e">
        <f>AND('BBP complete'!S1633,"AAAAAGyw/yg=")</f>
        <v>#VALUE!</v>
      </c>
      <c r="AP142" t="e">
        <f>AND('BBP complete'!A1622,"AAAAAGyw/yk=")</f>
        <v>#VALUE!</v>
      </c>
      <c r="AQ142" t="e">
        <f>AND('BBP complete'!B1618,"AAAAAGyw/yo=")</f>
        <v>#VALUE!</v>
      </c>
      <c r="AR142" t="e">
        <f>AND('BBP complete'!H1618,"AAAAAGyw/ys=")</f>
        <v>#VALUE!</v>
      </c>
      <c r="AS142" t="e">
        <f>AND('BBP complete'!I1618,"AAAAAGyw/yw=")</f>
        <v>#VALUE!</v>
      </c>
      <c r="AT142" t="e">
        <f>AND('BBP complete'!G1617,"AAAAAGyw/y0=")</f>
        <v>#VALUE!</v>
      </c>
      <c r="AU142" t="e">
        <f>AND('BBP complete'!#REF!,"AAAAAGyw/y4=")</f>
        <v>#REF!</v>
      </c>
      <c r="AV142" t="e">
        <f>AND('BBP complete'!#REF!,"AAAAAGyw/y8=")</f>
        <v>#REF!</v>
      </c>
      <c r="AW142" t="e">
        <f>AND('BBP complete'!#REF!,"AAAAAGyw/zA=")</f>
        <v>#REF!</v>
      </c>
      <c r="AX142" t="e">
        <f>AND('BBP complete'!#REF!,"AAAAAGyw/zE=")</f>
        <v>#REF!</v>
      </c>
      <c r="AY142" t="e">
        <f>AND('BBP complete'!#REF!,"AAAAAGyw/zI=")</f>
        <v>#REF!</v>
      </c>
      <c r="AZ142" t="e">
        <f>AND('BBP complete'!#REF!,"AAAAAGyw/zM=")</f>
        <v>#REF!</v>
      </c>
      <c r="BA142" t="e">
        <f>AND('BBP complete'!#REF!,"AAAAAGyw/zQ=")</f>
        <v>#REF!</v>
      </c>
      <c r="BB142" t="e">
        <f>AND('BBP complete'!C1618,"AAAAAGyw/zU=")</f>
        <v>#VALUE!</v>
      </c>
      <c r="BC142" t="e">
        <f>AND('BBP complete'!N1618,"AAAAAGyw/zY=")</f>
        <v>#VALUE!</v>
      </c>
      <c r="BD142" t="e">
        <f>AND('BBP complete'!P1634,"AAAAAGyw/zc=")</f>
        <v>#VALUE!</v>
      </c>
      <c r="BE142" t="e">
        <f>AND('BBP complete'!Q1634,"AAAAAGyw/zg=")</f>
        <v>#VALUE!</v>
      </c>
      <c r="BF142" t="e">
        <f>AND('BBP complete'!R1634,"AAAAAGyw/zk=")</f>
        <v>#VALUE!</v>
      </c>
      <c r="BG142" t="e">
        <f>AND('BBP complete'!S1634,"AAAAAGyw/zo=")</f>
        <v>#VALUE!</v>
      </c>
      <c r="BH142" t="e">
        <f>AND('BBP complete'!A1623,"AAAAAGyw/zs=")</f>
        <v>#VALUE!</v>
      </c>
      <c r="BI142" t="e">
        <f>AND('BBP complete'!B1619,"AAAAAGyw/zw=")</f>
        <v>#VALUE!</v>
      </c>
      <c r="BJ142" t="e">
        <f>AND('BBP complete'!H1619,"AAAAAGyw/z0=")</f>
        <v>#VALUE!</v>
      </c>
      <c r="BK142" t="e">
        <f>AND('BBP complete'!I1619,"AAAAAGyw/z4=")</f>
        <v>#VALUE!</v>
      </c>
      <c r="BL142" t="e">
        <f>AND('BBP complete'!G1618,"AAAAAGyw/z8=")</f>
        <v>#VALUE!</v>
      </c>
      <c r="BM142" t="e">
        <f>AND('BBP complete'!#REF!,"AAAAAGyw/0A=")</f>
        <v>#REF!</v>
      </c>
      <c r="BN142" t="e">
        <f>AND('BBP complete'!#REF!,"AAAAAGyw/0E=")</f>
        <v>#REF!</v>
      </c>
      <c r="BO142" t="e">
        <f>AND('BBP complete'!#REF!,"AAAAAGyw/0I=")</f>
        <v>#REF!</v>
      </c>
      <c r="BP142" t="e">
        <f>AND('BBP complete'!#REF!,"AAAAAGyw/0M=")</f>
        <v>#REF!</v>
      </c>
      <c r="BQ142" t="e">
        <f>AND('BBP complete'!#REF!,"AAAAAGyw/0Q=")</f>
        <v>#REF!</v>
      </c>
      <c r="BR142" t="e">
        <f>AND('BBP complete'!#REF!,"AAAAAGyw/0U=")</f>
        <v>#REF!</v>
      </c>
      <c r="BS142" t="e">
        <f>AND('BBP complete'!#REF!,"AAAAAGyw/0Y=")</f>
        <v>#REF!</v>
      </c>
      <c r="BT142" t="e">
        <f>AND('BBP complete'!C1619,"AAAAAGyw/0c=")</f>
        <v>#VALUE!</v>
      </c>
      <c r="BU142" t="e">
        <f>AND('BBP complete'!N1619,"AAAAAGyw/0g=")</f>
        <v>#VALUE!</v>
      </c>
      <c r="BV142" t="e">
        <f>AND('BBP complete'!P1635,"AAAAAGyw/0k=")</f>
        <v>#VALUE!</v>
      </c>
      <c r="BW142" t="e">
        <f>AND('BBP complete'!Q1635,"AAAAAGyw/0o=")</f>
        <v>#VALUE!</v>
      </c>
      <c r="BX142" t="e">
        <f>AND('BBP complete'!R1635,"AAAAAGyw/0s=")</f>
        <v>#VALUE!</v>
      </c>
      <c r="BY142" t="e">
        <f>AND('BBP complete'!S1635,"AAAAAGyw/0w=")</f>
        <v>#VALUE!</v>
      </c>
      <c r="BZ142" t="e">
        <f>AND('BBP complete'!A1624,"AAAAAGyw/00=")</f>
        <v>#VALUE!</v>
      </c>
      <c r="CA142" t="e">
        <f>AND('BBP complete'!B1620,"AAAAAGyw/04=")</f>
        <v>#VALUE!</v>
      </c>
      <c r="CB142" t="e">
        <f>AND('BBP complete'!H1620,"AAAAAGyw/08=")</f>
        <v>#VALUE!</v>
      </c>
      <c r="CC142" t="e">
        <f>AND('BBP complete'!I1620,"AAAAAGyw/1A=")</f>
        <v>#VALUE!</v>
      </c>
      <c r="CD142" t="e">
        <f>AND('BBP complete'!G1619,"AAAAAGyw/1E=")</f>
        <v>#VALUE!</v>
      </c>
      <c r="CE142" t="e">
        <f>AND('BBP complete'!#REF!,"AAAAAGyw/1I=")</f>
        <v>#REF!</v>
      </c>
      <c r="CF142" t="e">
        <f>AND('BBP complete'!#REF!,"AAAAAGyw/1M=")</f>
        <v>#REF!</v>
      </c>
      <c r="CG142" t="e">
        <f>AND('BBP complete'!#REF!,"AAAAAGyw/1Q=")</f>
        <v>#REF!</v>
      </c>
      <c r="CH142" t="e">
        <f>AND('BBP complete'!#REF!,"AAAAAGyw/1U=")</f>
        <v>#REF!</v>
      </c>
      <c r="CI142" t="e">
        <f>AND('BBP complete'!#REF!,"AAAAAGyw/1Y=")</f>
        <v>#REF!</v>
      </c>
      <c r="CJ142" t="e">
        <f>AND('BBP complete'!#REF!,"AAAAAGyw/1c=")</f>
        <v>#REF!</v>
      </c>
      <c r="CK142" t="e">
        <f>AND('BBP complete'!#REF!,"AAAAAGyw/1g=")</f>
        <v>#REF!</v>
      </c>
      <c r="CL142" t="e">
        <f>AND('BBP complete'!C1620,"AAAAAGyw/1k=")</f>
        <v>#VALUE!</v>
      </c>
      <c r="CM142" t="e">
        <f>AND('BBP complete'!N1620,"AAAAAGyw/1o=")</f>
        <v>#VALUE!</v>
      </c>
      <c r="CN142" t="e">
        <f>AND('BBP complete'!P1636,"AAAAAGyw/1s=")</f>
        <v>#VALUE!</v>
      </c>
      <c r="CO142" t="e">
        <f>AND('BBP complete'!Q1636,"AAAAAGyw/1w=")</f>
        <v>#VALUE!</v>
      </c>
      <c r="CP142" t="e">
        <f>AND('BBP complete'!R1636,"AAAAAGyw/10=")</f>
        <v>#VALUE!</v>
      </c>
      <c r="CQ142" t="e">
        <f>AND('BBP complete'!S1636,"AAAAAGyw/14=")</f>
        <v>#VALUE!</v>
      </c>
      <c r="CR142" t="e">
        <f>AND('BBP complete'!A1625,"AAAAAGyw/18=")</f>
        <v>#VALUE!</v>
      </c>
      <c r="CS142" t="e">
        <f>AND('BBP complete'!B1621,"AAAAAGyw/2A=")</f>
        <v>#VALUE!</v>
      </c>
      <c r="CT142" t="e">
        <f>AND('BBP complete'!H1621,"AAAAAGyw/2E=")</f>
        <v>#VALUE!</v>
      </c>
      <c r="CU142" t="e">
        <f>AND('BBP complete'!I1621,"AAAAAGyw/2I=")</f>
        <v>#VALUE!</v>
      </c>
      <c r="CV142" t="e">
        <f>AND('BBP complete'!G1620,"AAAAAGyw/2M=")</f>
        <v>#VALUE!</v>
      </c>
      <c r="CW142" t="e">
        <f>AND('BBP complete'!#REF!,"AAAAAGyw/2Q=")</f>
        <v>#REF!</v>
      </c>
      <c r="CX142" t="e">
        <f>AND('BBP complete'!#REF!,"AAAAAGyw/2U=")</f>
        <v>#REF!</v>
      </c>
      <c r="CY142" t="e">
        <f>AND('BBP complete'!#REF!,"AAAAAGyw/2Y=")</f>
        <v>#REF!</v>
      </c>
      <c r="CZ142" t="e">
        <f>AND('BBP complete'!#REF!,"AAAAAGyw/2c=")</f>
        <v>#REF!</v>
      </c>
      <c r="DA142" t="e">
        <f>AND('BBP complete'!#REF!,"AAAAAGyw/2g=")</f>
        <v>#REF!</v>
      </c>
      <c r="DB142" t="e">
        <f>AND('BBP complete'!#REF!,"AAAAAGyw/2k=")</f>
        <v>#REF!</v>
      </c>
      <c r="DC142" t="e">
        <f>AND('BBP complete'!#REF!,"AAAAAGyw/2o=")</f>
        <v>#REF!</v>
      </c>
      <c r="DD142" t="e">
        <f>AND('BBP complete'!C1621,"AAAAAGyw/2s=")</f>
        <v>#VALUE!</v>
      </c>
      <c r="DE142" t="e">
        <f>AND('BBP complete'!N1621,"AAAAAGyw/2w=")</f>
        <v>#VALUE!</v>
      </c>
      <c r="DF142" t="e">
        <f>AND('BBP complete'!P1637,"AAAAAGyw/20=")</f>
        <v>#VALUE!</v>
      </c>
      <c r="DG142" t="e">
        <f>AND('BBP complete'!Q1637,"AAAAAGyw/24=")</f>
        <v>#VALUE!</v>
      </c>
      <c r="DH142" t="e">
        <f>AND('BBP complete'!R1637,"AAAAAGyw/28=")</f>
        <v>#VALUE!</v>
      </c>
      <c r="DI142" t="e">
        <f>AND('BBP complete'!S1637,"AAAAAGyw/3A=")</f>
        <v>#VALUE!</v>
      </c>
      <c r="DJ142" t="e">
        <f>AND('BBP complete'!A1626,"AAAAAGyw/3E=")</f>
        <v>#VALUE!</v>
      </c>
      <c r="DK142" t="e">
        <f>AND('BBP complete'!B1622,"AAAAAGyw/3I=")</f>
        <v>#VALUE!</v>
      </c>
      <c r="DL142" t="e">
        <f>AND('BBP complete'!H1622,"AAAAAGyw/3M=")</f>
        <v>#VALUE!</v>
      </c>
      <c r="DM142" t="e">
        <f>AND('BBP complete'!I1622,"AAAAAGyw/3Q=")</f>
        <v>#VALUE!</v>
      </c>
      <c r="DN142" t="e">
        <f>AND('BBP complete'!G1621,"AAAAAGyw/3U=")</f>
        <v>#VALUE!</v>
      </c>
      <c r="DO142" t="e">
        <f>AND('BBP complete'!#REF!,"AAAAAGyw/3Y=")</f>
        <v>#REF!</v>
      </c>
      <c r="DP142" t="e">
        <f>AND('BBP complete'!#REF!,"AAAAAGyw/3c=")</f>
        <v>#REF!</v>
      </c>
      <c r="DQ142" t="e">
        <f>AND('BBP complete'!#REF!,"AAAAAGyw/3g=")</f>
        <v>#REF!</v>
      </c>
      <c r="DR142" t="e">
        <f>AND('BBP complete'!#REF!,"AAAAAGyw/3k=")</f>
        <v>#REF!</v>
      </c>
      <c r="DS142" t="e">
        <f>AND('BBP complete'!#REF!,"AAAAAGyw/3o=")</f>
        <v>#REF!</v>
      </c>
      <c r="DT142" t="e">
        <f>AND('BBP complete'!#REF!,"AAAAAGyw/3s=")</f>
        <v>#REF!</v>
      </c>
      <c r="DU142" t="e">
        <f>AND('BBP complete'!L1621,"AAAAAGyw/3w=")</f>
        <v>#VALUE!</v>
      </c>
      <c r="DV142" t="e">
        <f>AND('BBP complete'!C1622,"AAAAAGyw/30=")</f>
        <v>#VALUE!</v>
      </c>
      <c r="DW142" t="e">
        <f>AND('BBP complete'!N1622,"AAAAAGyw/34=")</f>
        <v>#VALUE!</v>
      </c>
      <c r="DX142" t="e">
        <f>AND('BBP complete'!P1638,"AAAAAGyw/38=")</f>
        <v>#VALUE!</v>
      </c>
      <c r="DY142" t="e">
        <f>AND('BBP complete'!Q1638,"AAAAAGyw/4A=")</f>
        <v>#VALUE!</v>
      </c>
      <c r="DZ142" t="e">
        <f>AND('BBP complete'!R1638,"AAAAAGyw/4E=")</f>
        <v>#VALUE!</v>
      </c>
      <c r="EA142" t="e">
        <f>AND('BBP complete'!S1638,"AAAAAGyw/4I=")</f>
        <v>#VALUE!</v>
      </c>
      <c r="EB142" t="e">
        <f>AND('BBP complete'!A1627,"AAAAAGyw/4M=")</f>
        <v>#VALUE!</v>
      </c>
      <c r="EC142" t="e">
        <f>AND('BBP complete'!B1623,"AAAAAGyw/4Q=")</f>
        <v>#VALUE!</v>
      </c>
      <c r="ED142" t="e">
        <f>AND('BBP complete'!H1623,"AAAAAGyw/4U=")</f>
        <v>#VALUE!</v>
      </c>
      <c r="EE142" t="e">
        <f>AND('BBP complete'!I1623,"AAAAAGyw/4Y=")</f>
        <v>#VALUE!</v>
      </c>
      <c r="EF142" t="e">
        <f>AND('BBP complete'!G1622,"AAAAAGyw/4c=")</f>
        <v>#VALUE!</v>
      </c>
      <c r="EG142" t="e">
        <f>AND('BBP complete'!#REF!,"AAAAAGyw/4g=")</f>
        <v>#REF!</v>
      </c>
      <c r="EH142" t="e">
        <f>AND('BBP complete'!#REF!,"AAAAAGyw/4k=")</f>
        <v>#REF!</v>
      </c>
      <c r="EI142" t="e">
        <f>AND('BBP complete'!#REF!,"AAAAAGyw/4o=")</f>
        <v>#REF!</v>
      </c>
      <c r="EJ142" t="e">
        <f>AND('BBP complete'!#REF!,"AAAAAGyw/4s=")</f>
        <v>#REF!</v>
      </c>
      <c r="EK142" t="e">
        <f>AND('BBP complete'!#REF!,"AAAAAGyw/4w=")</f>
        <v>#REF!</v>
      </c>
      <c r="EL142" t="e">
        <f>AND('BBP complete'!#REF!,"AAAAAGyw/40=")</f>
        <v>#REF!</v>
      </c>
      <c r="EM142" t="e">
        <f>AND('BBP complete'!L1622,"AAAAAGyw/44=")</f>
        <v>#VALUE!</v>
      </c>
      <c r="EN142" t="e">
        <f>AND('BBP complete'!C1623,"AAAAAGyw/48=")</f>
        <v>#VALUE!</v>
      </c>
      <c r="EO142" t="e">
        <f>AND('BBP complete'!N1623,"AAAAAGyw/5A=")</f>
        <v>#VALUE!</v>
      </c>
      <c r="EP142" t="e">
        <f>AND('BBP complete'!P1639,"AAAAAGyw/5E=")</f>
        <v>#VALUE!</v>
      </c>
      <c r="EQ142" t="e">
        <f>AND('BBP complete'!Q1639,"AAAAAGyw/5I=")</f>
        <v>#VALUE!</v>
      </c>
      <c r="ER142" t="e">
        <f>AND('BBP complete'!R1639,"AAAAAGyw/5M=")</f>
        <v>#VALUE!</v>
      </c>
      <c r="ES142" t="e">
        <f>AND('BBP complete'!S1639,"AAAAAGyw/5Q=")</f>
        <v>#VALUE!</v>
      </c>
      <c r="ET142" t="e">
        <f>AND('BBP complete'!A1628,"AAAAAGyw/5U=")</f>
        <v>#VALUE!</v>
      </c>
      <c r="EU142" t="e">
        <f>AND('BBP complete'!B1624,"AAAAAGyw/5Y=")</f>
        <v>#VALUE!</v>
      </c>
      <c r="EV142" t="e">
        <f>AND('BBP complete'!H1624,"AAAAAGyw/5c=")</f>
        <v>#VALUE!</v>
      </c>
      <c r="EW142" t="e">
        <f>AND('BBP complete'!I1624,"AAAAAGyw/5g=")</f>
        <v>#VALUE!</v>
      </c>
      <c r="EX142" t="e">
        <f>AND('BBP complete'!G1623,"AAAAAGyw/5k=")</f>
        <v>#VALUE!</v>
      </c>
      <c r="EY142" t="e">
        <f>AND('BBP complete'!#REF!,"AAAAAGyw/5o=")</f>
        <v>#REF!</v>
      </c>
      <c r="EZ142" t="e">
        <f>AND('BBP complete'!#REF!,"AAAAAGyw/5s=")</f>
        <v>#REF!</v>
      </c>
      <c r="FA142" t="e">
        <f>AND('BBP complete'!#REF!,"AAAAAGyw/5w=")</f>
        <v>#REF!</v>
      </c>
      <c r="FB142" t="e">
        <f>AND('BBP complete'!#REF!,"AAAAAGyw/50=")</f>
        <v>#REF!</v>
      </c>
      <c r="FC142" t="e">
        <f>AND('BBP complete'!#REF!,"AAAAAGyw/54=")</f>
        <v>#REF!</v>
      </c>
      <c r="FD142" t="e">
        <f>AND('BBP complete'!#REF!,"AAAAAGyw/58=")</f>
        <v>#REF!</v>
      </c>
      <c r="FE142" t="e">
        <f>AND('BBP complete'!L1623,"AAAAAGyw/6A=")</f>
        <v>#VALUE!</v>
      </c>
      <c r="FF142" t="e">
        <f>AND('BBP complete'!C1624,"AAAAAGyw/6E=")</f>
        <v>#VALUE!</v>
      </c>
      <c r="FG142" t="e">
        <f>AND('BBP complete'!N1624,"AAAAAGyw/6I=")</f>
        <v>#VALUE!</v>
      </c>
      <c r="FH142" t="e">
        <f>AND('BBP complete'!P1640,"AAAAAGyw/6M=")</f>
        <v>#VALUE!</v>
      </c>
      <c r="FI142" t="e">
        <f>AND('BBP complete'!Q1640,"AAAAAGyw/6Q=")</f>
        <v>#VALUE!</v>
      </c>
      <c r="FJ142" t="e">
        <f>AND('BBP complete'!R1640,"AAAAAGyw/6U=")</f>
        <v>#VALUE!</v>
      </c>
      <c r="FK142" t="e">
        <f>AND('BBP complete'!S1640,"AAAAAGyw/6Y=")</f>
        <v>#VALUE!</v>
      </c>
      <c r="FL142" t="e">
        <f>AND('BBP complete'!A1629,"AAAAAGyw/6c=")</f>
        <v>#VALUE!</v>
      </c>
      <c r="FM142" t="e">
        <f>AND('BBP complete'!B1625,"AAAAAGyw/6g=")</f>
        <v>#VALUE!</v>
      </c>
      <c r="FN142" t="e">
        <f>AND('BBP complete'!H1625,"AAAAAGyw/6k=")</f>
        <v>#VALUE!</v>
      </c>
      <c r="FO142" t="e">
        <f>AND('BBP complete'!I1625,"AAAAAGyw/6o=")</f>
        <v>#VALUE!</v>
      </c>
      <c r="FP142" t="e">
        <f>AND('BBP complete'!G1624,"AAAAAGyw/6s=")</f>
        <v>#VALUE!</v>
      </c>
      <c r="FQ142" t="e">
        <f>AND('BBP complete'!#REF!,"AAAAAGyw/6w=")</f>
        <v>#REF!</v>
      </c>
      <c r="FR142" t="e">
        <f>AND('BBP complete'!#REF!,"AAAAAGyw/60=")</f>
        <v>#REF!</v>
      </c>
      <c r="FS142" t="e">
        <f>AND('BBP complete'!#REF!,"AAAAAGyw/64=")</f>
        <v>#REF!</v>
      </c>
      <c r="FT142" t="e">
        <f>AND('BBP complete'!#REF!,"AAAAAGyw/68=")</f>
        <v>#REF!</v>
      </c>
      <c r="FU142" t="e">
        <f>AND('BBP complete'!#REF!,"AAAAAGyw/7A=")</f>
        <v>#REF!</v>
      </c>
      <c r="FV142" t="e">
        <f>AND('BBP complete'!#REF!,"AAAAAGyw/7E=")</f>
        <v>#REF!</v>
      </c>
      <c r="FW142" t="e">
        <f>AND('BBP complete'!L1624,"AAAAAGyw/7I=")</f>
        <v>#VALUE!</v>
      </c>
      <c r="FX142" t="e">
        <f>AND('BBP complete'!C1625,"AAAAAGyw/7M=")</f>
        <v>#VALUE!</v>
      </c>
      <c r="FY142" t="e">
        <f>AND('BBP complete'!N1625,"AAAAAGyw/7Q=")</f>
        <v>#VALUE!</v>
      </c>
      <c r="FZ142" t="e">
        <f>AND('BBP complete'!P1641,"AAAAAGyw/7U=")</f>
        <v>#VALUE!</v>
      </c>
      <c r="GA142" t="e">
        <f>AND('BBP complete'!Q1641,"AAAAAGyw/7Y=")</f>
        <v>#VALUE!</v>
      </c>
      <c r="GB142" t="e">
        <f>AND('BBP complete'!R1641,"AAAAAGyw/7c=")</f>
        <v>#VALUE!</v>
      </c>
      <c r="GC142" t="e">
        <f>AND('BBP complete'!S1641,"AAAAAGyw/7g=")</f>
        <v>#VALUE!</v>
      </c>
      <c r="GD142" t="e">
        <f>AND('BBP complete'!A1630,"AAAAAGyw/7k=")</f>
        <v>#VALUE!</v>
      </c>
      <c r="GE142" t="e">
        <f>AND('BBP complete'!B1626,"AAAAAGyw/7o=")</f>
        <v>#VALUE!</v>
      </c>
      <c r="GF142" t="e">
        <f>AND('BBP complete'!H1626,"AAAAAGyw/7s=")</f>
        <v>#VALUE!</v>
      </c>
      <c r="GG142" t="e">
        <f>AND('BBP complete'!I1626,"AAAAAGyw/7w=")</f>
        <v>#VALUE!</v>
      </c>
      <c r="GH142" t="e">
        <f>AND('BBP complete'!G1625,"AAAAAGyw/70=")</f>
        <v>#VALUE!</v>
      </c>
      <c r="GI142" t="e">
        <f>AND('BBP complete'!#REF!,"AAAAAGyw/74=")</f>
        <v>#REF!</v>
      </c>
      <c r="GJ142" t="e">
        <f>AND('BBP complete'!#REF!,"AAAAAGyw/78=")</f>
        <v>#REF!</v>
      </c>
      <c r="GK142" t="e">
        <f>AND('BBP complete'!#REF!,"AAAAAGyw/8A=")</f>
        <v>#REF!</v>
      </c>
      <c r="GL142" t="e">
        <f>AND('BBP complete'!#REF!,"AAAAAGyw/8E=")</f>
        <v>#REF!</v>
      </c>
      <c r="GM142" t="e">
        <f>AND('BBP complete'!#REF!,"AAAAAGyw/8I=")</f>
        <v>#REF!</v>
      </c>
      <c r="GN142" t="e">
        <f>AND('BBP complete'!#REF!,"AAAAAGyw/8M=")</f>
        <v>#REF!</v>
      </c>
      <c r="GO142" t="e">
        <f>AND('BBP complete'!L1625,"AAAAAGyw/8Q=")</f>
        <v>#VALUE!</v>
      </c>
      <c r="GP142" t="e">
        <f>AND('BBP complete'!C1626,"AAAAAGyw/8U=")</f>
        <v>#VALUE!</v>
      </c>
      <c r="GQ142" t="e">
        <f>AND('BBP complete'!N1626,"AAAAAGyw/8Y=")</f>
        <v>#VALUE!</v>
      </c>
      <c r="GR142" t="e">
        <f>AND('BBP complete'!P1642,"AAAAAGyw/8c=")</f>
        <v>#VALUE!</v>
      </c>
      <c r="GS142" t="e">
        <f>AND('BBP complete'!Q1642,"AAAAAGyw/8g=")</f>
        <v>#VALUE!</v>
      </c>
      <c r="GT142" t="e">
        <f>AND('BBP complete'!R1642,"AAAAAGyw/8k=")</f>
        <v>#VALUE!</v>
      </c>
      <c r="GU142" t="e">
        <f>AND('BBP complete'!S1642,"AAAAAGyw/8o=")</f>
        <v>#VALUE!</v>
      </c>
      <c r="GV142" t="e">
        <f>AND('BBP complete'!A1631,"AAAAAGyw/8s=")</f>
        <v>#VALUE!</v>
      </c>
      <c r="GW142" t="e">
        <f>AND('BBP complete'!B1627,"AAAAAGyw/8w=")</f>
        <v>#VALUE!</v>
      </c>
      <c r="GX142" t="e">
        <f>AND('BBP complete'!H1627,"AAAAAGyw/80=")</f>
        <v>#VALUE!</v>
      </c>
      <c r="GY142" t="e">
        <f>AND('BBP complete'!I1627,"AAAAAGyw/84=")</f>
        <v>#VALUE!</v>
      </c>
      <c r="GZ142" t="e">
        <f>AND('BBP complete'!G1626,"AAAAAGyw/88=")</f>
        <v>#VALUE!</v>
      </c>
      <c r="HA142" t="e">
        <f>AND('BBP complete'!#REF!,"AAAAAGyw/9A=")</f>
        <v>#REF!</v>
      </c>
      <c r="HB142" t="e">
        <f>AND('BBP complete'!#REF!,"AAAAAGyw/9E=")</f>
        <v>#REF!</v>
      </c>
      <c r="HC142" t="e">
        <f>AND('BBP complete'!#REF!,"AAAAAGyw/9I=")</f>
        <v>#REF!</v>
      </c>
      <c r="HD142" t="e">
        <f>AND('BBP complete'!#REF!,"AAAAAGyw/9M=")</f>
        <v>#REF!</v>
      </c>
      <c r="HE142" t="e">
        <f>AND('BBP complete'!#REF!,"AAAAAGyw/9Q=")</f>
        <v>#REF!</v>
      </c>
      <c r="HF142" t="e">
        <f>AND('BBP complete'!#REF!,"AAAAAGyw/9U=")</f>
        <v>#REF!</v>
      </c>
      <c r="HG142" t="e">
        <f>AND('BBP complete'!L1626,"AAAAAGyw/9Y=")</f>
        <v>#VALUE!</v>
      </c>
      <c r="HH142" t="e">
        <f>AND('BBP complete'!C1627,"AAAAAGyw/9c=")</f>
        <v>#VALUE!</v>
      </c>
      <c r="HI142" t="e">
        <f>AND('BBP complete'!N1627,"AAAAAGyw/9g=")</f>
        <v>#VALUE!</v>
      </c>
      <c r="HJ142" t="e">
        <f>AND('BBP complete'!P1643,"AAAAAGyw/9k=")</f>
        <v>#VALUE!</v>
      </c>
      <c r="HK142" t="e">
        <f>AND('BBP complete'!Q1643,"AAAAAGyw/9o=")</f>
        <v>#VALUE!</v>
      </c>
      <c r="HL142" t="e">
        <f>AND('BBP complete'!R1643,"AAAAAGyw/9s=")</f>
        <v>#VALUE!</v>
      </c>
      <c r="HM142" t="e">
        <f>AND('BBP complete'!S1643,"AAAAAGyw/9w=")</f>
        <v>#VALUE!</v>
      </c>
      <c r="HN142" t="e">
        <f>AND('BBP complete'!A1632,"AAAAAGyw/90=")</f>
        <v>#VALUE!</v>
      </c>
      <c r="HO142" t="e">
        <f>AND('BBP complete'!B1628,"AAAAAGyw/94=")</f>
        <v>#VALUE!</v>
      </c>
      <c r="HP142" t="e">
        <f>AND('BBP complete'!H1628,"AAAAAGyw/98=")</f>
        <v>#VALUE!</v>
      </c>
      <c r="HQ142" t="e">
        <f>AND('BBP complete'!I1628,"AAAAAGyw/+A=")</f>
        <v>#VALUE!</v>
      </c>
      <c r="HR142" t="e">
        <f>AND('BBP complete'!G1627,"AAAAAGyw/+E=")</f>
        <v>#VALUE!</v>
      </c>
      <c r="HS142" t="e">
        <f>AND('BBP complete'!#REF!,"AAAAAGyw/+I=")</f>
        <v>#REF!</v>
      </c>
      <c r="HT142" t="e">
        <f>AND('BBP complete'!#REF!,"AAAAAGyw/+M=")</f>
        <v>#REF!</v>
      </c>
      <c r="HU142" t="e">
        <f>AND('BBP complete'!#REF!,"AAAAAGyw/+Q=")</f>
        <v>#REF!</v>
      </c>
      <c r="HV142" t="e">
        <f>AND('BBP complete'!#REF!,"AAAAAGyw/+U=")</f>
        <v>#REF!</v>
      </c>
      <c r="HW142" t="e">
        <f>AND('BBP complete'!#REF!,"AAAAAGyw/+Y=")</f>
        <v>#REF!</v>
      </c>
      <c r="HX142" t="e">
        <f>AND('BBP complete'!#REF!,"AAAAAGyw/+c=")</f>
        <v>#REF!</v>
      </c>
      <c r="HY142" t="e">
        <f>AND('BBP complete'!L1627,"AAAAAGyw/+g=")</f>
        <v>#VALUE!</v>
      </c>
      <c r="HZ142" t="e">
        <f>AND('BBP complete'!C1628,"AAAAAGyw/+k=")</f>
        <v>#VALUE!</v>
      </c>
      <c r="IA142" t="e">
        <f>AND('BBP complete'!N1628,"AAAAAGyw/+o=")</f>
        <v>#VALUE!</v>
      </c>
      <c r="IB142" t="e">
        <f>AND('BBP complete'!P1644,"AAAAAGyw/+s=")</f>
        <v>#VALUE!</v>
      </c>
      <c r="IC142" t="e">
        <f>AND('BBP complete'!Q1644,"AAAAAGyw/+w=")</f>
        <v>#VALUE!</v>
      </c>
      <c r="ID142" t="e">
        <f>AND('BBP complete'!R1644,"AAAAAGyw/+0=")</f>
        <v>#VALUE!</v>
      </c>
      <c r="IE142" t="e">
        <f>AND('BBP complete'!S1644,"AAAAAGyw/+4=")</f>
        <v>#VALUE!</v>
      </c>
      <c r="IF142" t="e">
        <f>AND('BBP complete'!A1633,"AAAAAGyw/+8=")</f>
        <v>#VALUE!</v>
      </c>
      <c r="IG142" t="e">
        <f>AND('BBP complete'!B1629,"AAAAAGyw//A=")</f>
        <v>#VALUE!</v>
      </c>
      <c r="IH142" t="e">
        <f>AND('BBP complete'!H1629,"AAAAAGyw//E=")</f>
        <v>#VALUE!</v>
      </c>
      <c r="II142" t="e">
        <f>AND('BBP complete'!I1629,"AAAAAGyw//I=")</f>
        <v>#VALUE!</v>
      </c>
      <c r="IJ142" t="e">
        <f>AND('BBP complete'!G1628,"AAAAAGyw//M=")</f>
        <v>#VALUE!</v>
      </c>
      <c r="IK142" t="e">
        <f>AND('BBP complete'!#REF!,"AAAAAGyw//Q=")</f>
        <v>#REF!</v>
      </c>
      <c r="IL142" t="e">
        <f>AND('BBP complete'!#REF!,"AAAAAGyw//U=")</f>
        <v>#REF!</v>
      </c>
      <c r="IM142" t="e">
        <f>AND('BBP complete'!#REF!,"AAAAAGyw//Y=")</f>
        <v>#REF!</v>
      </c>
      <c r="IN142" t="e">
        <f>AND('BBP complete'!#REF!,"AAAAAGyw//c=")</f>
        <v>#REF!</v>
      </c>
      <c r="IO142" t="e">
        <f>AND('BBP complete'!#REF!,"AAAAAGyw//g=")</f>
        <v>#REF!</v>
      </c>
      <c r="IP142" t="e">
        <f>AND('BBP complete'!#REF!,"AAAAAGyw//k=")</f>
        <v>#REF!</v>
      </c>
      <c r="IQ142" t="e">
        <f>AND('BBP complete'!L1628,"AAAAAGyw//o=")</f>
        <v>#VALUE!</v>
      </c>
      <c r="IR142" t="e">
        <f>AND('BBP complete'!C1629,"AAAAAGyw//s=")</f>
        <v>#VALUE!</v>
      </c>
      <c r="IS142" t="e">
        <f>AND('BBP complete'!N1629,"AAAAAGyw//w=")</f>
        <v>#VALUE!</v>
      </c>
      <c r="IT142" t="e">
        <f>AND('BBP complete'!P1645,"AAAAAGyw//0=")</f>
        <v>#VALUE!</v>
      </c>
      <c r="IU142" t="e">
        <f>AND('BBP complete'!Q1645,"AAAAAGyw//4=")</f>
        <v>#VALUE!</v>
      </c>
      <c r="IV142" t="e">
        <f>AND('BBP complete'!R1645,"AAAAAGyw//8=")</f>
        <v>#VALUE!</v>
      </c>
    </row>
    <row r="143" spans="1:256" ht="15" customHeight="1" x14ac:dyDescent="0.25">
      <c r="A143" t="e">
        <f>AND('BBP complete'!S1645,"AAAAAH/f+wA=")</f>
        <v>#VALUE!</v>
      </c>
      <c r="B143" t="e">
        <f>AND('BBP complete'!A1634,"AAAAAH/f+wE=")</f>
        <v>#VALUE!</v>
      </c>
      <c r="C143" t="e">
        <f>AND('BBP complete'!B1630,"AAAAAH/f+wI=")</f>
        <v>#VALUE!</v>
      </c>
      <c r="D143" t="e">
        <f>AND('BBP complete'!H1630,"AAAAAH/f+wM=")</f>
        <v>#VALUE!</v>
      </c>
      <c r="E143" t="e">
        <f>AND('BBP complete'!I1630,"AAAAAH/f+wQ=")</f>
        <v>#VALUE!</v>
      </c>
      <c r="F143" t="e">
        <f>AND('BBP complete'!G1629,"AAAAAH/f+wU=")</f>
        <v>#VALUE!</v>
      </c>
      <c r="G143" t="e">
        <f>AND('BBP complete'!#REF!,"AAAAAH/f+wY=")</f>
        <v>#REF!</v>
      </c>
      <c r="H143" t="e">
        <f>AND('BBP complete'!#REF!,"AAAAAH/f+wc=")</f>
        <v>#REF!</v>
      </c>
      <c r="I143" t="e">
        <f>AND('BBP complete'!#REF!,"AAAAAH/f+wg=")</f>
        <v>#REF!</v>
      </c>
      <c r="J143" t="e">
        <f>AND('BBP complete'!#REF!,"AAAAAH/f+wk=")</f>
        <v>#REF!</v>
      </c>
      <c r="K143" t="e">
        <f>AND('BBP complete'!#REF!,"AAAAAH/f+wo=")</f>
        <v>#REF!</v>
      </c>
      <c r="L143" t="e">
        <f>AND('BBP complete'!#REF!,"AAAAAH/f+ws=")</f>
        <v>#REF!</v>
      </c>
      <c r="M143" t="e">
        <f>AND('BBP complete'!L1629,"AAAAAH/f+ww=")</f>
        <v>#VALUE!</v>
      </c>
      <c r="N143" t="e">
        <f>AND('BBP complete'!C1630,"AAAAAH/f+w0=")</f>
        <v>#VALUE!</v>
      </c>
      <c r="O143" t="e">
        <f>AND('BBP complete'!N1630,"AAAAAH/f+w4=")</f>
        <v>#VALUE!</v>
      </c>
      <c r="P143" t="e">
        <f>AND('BBP complete'!P1646,"AAAAAH/f+w8=")</f>
        <v>#VALUE!</v>
      </c>
      <c r="Q143" t="e">
        <f>AND('BBP complete'!Q1646,"AAAAAH/f+xA=")</f>
        <v>#VALUE!</v>
      </c>
      <c r="R143" t="e">
        <f>AND('BBP complete'!R1646,"AAAAAH/f+xE=")</f>
        <v>#VALUE!</v>
      </c>
      <c r="S143" t="e">
        <f>AND('BBP complete'!S1646,"AAAAAH/f+xI=")</f>
        <v>#VALUE!</v>
      </c>
      <c r="T143" t="e">
        <f>AND('BBP complete'!A1635,"AAAAAH/f+xM=")</f>
        <v>#VALUE!</v>
      </c>
      <c r="U143" t="e">
        <f>AND('BBP complete'!B1631,"AAAAAH/f+xQ=")</f>
        <v>#VALUE!</v>
      </c>
      <c r="V143" t="e">
        <f>AND('BBP complete'!H1631,"AAAAAH/f+xU=")</f>
        <v>#VALUE!</v>
      </c>
      <c r="W143" t="e">
        <f>AND('BBP complete'!I1631,"AAAAAH/f+xY=")</f>
        <v>#VALUE!</v>
      </c>
      <c r="X143" t="e">
        <f>AND('BBP complete'!G1630,"AAAAAH/f+xc=")</f>
        <v>#VALUE!</v>
      </c>
      <c r="Y143" t="e">
        <f>AND('BBP complete'!#REF!,"AAAAAH/f+xg=")</f>
        <v>#REF!</v>
      </c>
      <c r="Z143" t="e">
        <f>AND('BBP complete'!#REF!,"AAAAAH/f+xk=")</f>
        <v>#REF!</v>
      </c>
      <c r="AA143" t="e">
        <f>AND('BBP complete'!#REF!,"AAAAAH/f+xo=")</f>
        <v>#REF!</v>
      </c>
      <c r="AB143" t="e">
        <f>AND('BBP complete'!#REF!,"AAAAAH/f+xs=")</f>
        <v>#REF!</v>
      </c>
      <c r="AC143" t="e">
        <f>AND('BBP complete'!#REF!,"AAAAAH/f+xw=")</f>
        <v>#REF!</v>
      </c>
      <c r="AD143" t="e">
        <f>AND('BBP complete'!#REF!,"AAAAAH/f+x0=")</f>
        <v>#REF!</v>
      </c>
      <c r="AE143" t="e">
        <f>AND('BBP complete'!L1630,"AAAAAH/f+x4=")</f>
        <v>#VALUE!</v>
      </c>
      <c r="AF143" t="e">
        <f>AND('BBP complete'!C1631,"AAAAAH/f+x8=")</f>
        <v>#VALUE!</v>
      </c>
      <c r="AG143" t="e">
        <f>AND('BBP complete'!N1631,"AAAAAH/f+yA=")</f>
        <v>#VALUE!</v>
      </c>
      <c r="AH143" t="e">
        <f>AND('BBP complete'!P1647,"AAAAAH/f+yE=")</f>
        <v>#VALUE!</v>
      </c>
      <c r="AI143" t="e">
        <f>AND('BBP complete'!Q1647,"AAAAAH/f+yI=")</f>
        <v>#VALUE!</v>
      </c>
      <c r="AJ143" t="e">
        <f>AND('BBP complete'!R1647,"AAAAAH/f+yM=")</f>
        <v>#VALUE!</v>
      </c>
      <c r="AK143" t="e">
        <f>AND('BBP complete'!S1647,"AAAAAH/f+yQ=")</f>
        <v>#VALUE!</v>
      </c>
      <c r="AL143" t="e">
        <f>AND('BBP complete'!A1636,"AAAAAH/f+yU=")</f>
        <v>#VALUE!</v>
      </c>
      <c r="AM143" t="e">
        <f>AND('BBP complete'!B1632,"AAAAAH/f+yY=")</f>
        <v>#VALUE!</v>
      </c>
      <c r="AN143" t="e">
        <f>AND('BBP complete'!H1632,"AAAAAH/f+yc=")</f>
        <v>#VALUE!</v>
      </c>
      <c r="AO143" t="e">
        <f>AND('BBP complete'!I1632,"AAAAAH/f+yg=")</f>
        <v>#VALUE!</v>
      </c>
      <c r="AP143" t="e">
        <f>AND('BBP complete'!G1631,"AAAAAH/f+yk=")</f>
        <v>#VALUE!</v>
      </c>
      <c r="AQ143" t="e">
        <f>AND('BBP complete'!#REF!,"AAAAAH/f+yo=")</f>
        <v>#REF!</v>
      </c>
      <c r="AR143" t="e">
        <f>AND('BBP complete'!#REF!,"AAAAAH/f+ys=")</f>
        <v>#REF!</v>
      </c>
      <c r="AS143" t="e">
        <f>AND('BBP complete'!#REF!,"AAAAAH/f+yw=")</f>
        <v>#REF!</v>
      </c>
      <c r="AT143" t="e">
        <f>AND('BBP complete'!#REF!,"AAAAAH/f+y0=")</f>
        <v>#REF!</v>
      </c>
      <c r="AU143" t="e">
        <f>AND('BBP complete'!#REF!,"AAAAAH/f+y4=")</f>
        <v>#REF!</v>
      </c>
      <c r="AV143" t="e">
        <f>AND('BBP complete'!#REF!,"AAAAAH/f+y8=")</f>
        <v>#REF!</v>
      </c>
      <c r="AW143" t="e">
        <f>AND('BBP complete'!L1631,"AAAAAH/f+zA=")</f>
        <v>#VALUE!</v>
      </c>
      <c r="AX143" t="e">
        <f>AND('BBP complete'!C1632,"AAAAAH/f+zE=")</f>
        <v>#VALUE!</v>
      </c>
      <c r="AY143" t="e">
        <f>AND('BBP complete'!N1632,"AAAAAH/f+zI=")</f>
        <v>#VALUE!</v>
      </c>
      <c r="AZ143" t="e">
        <f>AND('BBP complete'!P1648,"AAAAAH/f+zM=")</f>
        <v>#VALUE!</v>
      </c>
      <c r="BA143" t="e">
        <f>AND('BBP complete'!Q1648,"AAAAAH/f+zQ=")</f>
        <v>#VALUE!</v>
      </c>
      <c r="BB143" t="e">
        <f>AND('BBP complete'!R1648,"AAAAAH/f+zU=")</f>
        <v>#VALUE!</v>
      </c>
      <c r="BC143" t="e">
        <f>AND('BBP complete'!S1648,"AAAAAH/f+zY=")</f>
        <v>#VALUE!</v>
      </c>
      <c r="BD143" t="e">
        <f>AND('BBP complete'!A1637,"AAAAAH/f+zc=")</f>
        <v>#VALUE!</v>
      </c>
      <c r="BE143" t="e">
        <f>AND('BBP complete'!B1633,"AAAAAH/f+zg=")</f>
        <v>#VALUE!</v>
      </c>
      <c r="BF143" t="e">
        <f>AND('BBP complete'!H1633,"AAAAAH/f+zk=")</f>
        <v>#VALUE!</v>
      </c>
      <c r="BG143" t="e">
        <f>AND('BBP complete'!I1633,"AAAAAH/f+zo=")</f>
        <v>#VALUE!</v>
      </c>
      <c r="BH143" t="e">
        <f>AND('BBP complete'!G1632,"AAAAAH/f+zs=")</f>
        <v>#VALUE!</v>
      </c>
      <c r="BI143" t="e">
        <f>AND('BBP complete'!#REF!,"AAAAAH/f+zw=")</f>
        <v>#REF!</v>
      </c>
      <c r="BJ143" t="e">
        <f>AND('BBP complete'!#REF!,"AAAAAH/f+z0=")</f>
        <v>#REF!</v>
      </c>
      <c r="BK143" t="e">
        <f>AND('BBP complete'!#REF!,"AAAAAH/f+z4=")</f>
        <v>#REF!</v>
      </c>
      <c r="BL143" t="e">
        <f>AND('BBP complete'!#REF!,"AAAAAH/f+z8=")</f>
        <v>#REF!</v>
      </c>
      <c r="BM143" t="e">
        <f>AND('BBP complete'!#REF!,"AAAAAH/f+0A=")</f>
        <v>#REF!</v>
      </c>
      <c r="BN143" t="e">
        <f>AND('BBP complete'!#REF!,"AAAAAH/f+0E=")</f>
        <v>#REF!</v>
      </c>
      <c r="BO143" t="e">
        <f>AND('BBP complete'!L1632,"AAAAAH/f+0I=")</f>
        <v>#VALUE!</v>
      </c>
      <c r="BP143" t="e">
        <f>AND('BBP complete'!C1633,"AAAAAH/f+0M=")</f>
        <v>#VALUE!</v>
      </c>
      <c r="BQ143" t="e">
        <f>AND('BBP complete'!N1633,"AAAAAH/f+0Q=")</f>
        <v>#VALUE!</v>
      </c>
      <c r="BR143" t="e">
        <f>AND('BBP complete'!P1649,"AAAAAH/f+0U=")</f>
        <v>#VALUE!</v>
      </c>
      <c r="BS143" t="e">
        <f>AND('BBP complete'!Q1649,"AAAAAH/f+0Y=")</f>
        <v>#VALUE!</v>
      </c>
      <c r="BT143" t="e">
        <f>AND('BBP complete'!R1649,"AAAAAH/f+0c=")</f>
        <v>#VALUE!</v>
      </c>
      <c r="BU143" t="e">
        <f>AND('BBP complete'!S1649,"AAAAAH/f+0g=")</f>
        <v>#VALUE!</v>
      </c>
      <c r="BV143" t="e">
        <f>AND('BBP complete'!A1638,"AAAAAH/f+0k=")</f>
        <v>#VALUE!</v>
      </c>
      <c r="BW143" t="e">
        <f>AND('BBP complete'!B1634,"AAAAAH/f+0o=")</f>
        <v>#VALUE!</v>
      </c>
      <c r="BX143" t="e">
        <f>AND('BBP complete'!H1634,"AAAAAH/f+0s=")</f>
        <v>#VALUE!</v>
      </c>
      <c r="BY143" t="e">
        <f>AND('BBP complete'!I1634,"AAAAAH/f+0w=")</f>
        <v>#VALUE!</v>
      </c>
      <c r="BZ143" t="e">
        <f>AND('BBP complete'!G1633,"AAAAAH/f+00=")</f>
        <v>#VALUE!</v>
      </c>
      <c r="CA143" t="e">
        <f>AND('BBP complete'!#REF!,"AAAAAH/f+04=")</f>
        <v>#REF!</v>
      </c>
      <c r="CB143" t="e">
        <f>AND('BBP complete'!#REF!,"AAAAAH/f+08=")</f>
        <v>#REF!</v>
      </c>
      <c r="CC143" t="e">
        <f>AND('BBP complete'!#REF!,"AAAAAH/f+1A=")</f>
        <v>#REF!</v>
      </c>
      <c r="CD143" t="e">
        <f>AND('BBP complete'!#REF!,"AAAAAH/f+1E=")</f>
        <v>#REF!</v>
      </c>
      <c r="CE143" t="e">
        <f>AND('BBP complete'!#REF!,"AAAAAH/f+1I=")</f>
        <v>#REF!</v>
      </c>
      <c r="CF143" t="e">
        <f>AND('BBP complete'!#REF!,"AAAAAH/f+1M=")</f>
        <v>#REF!</v>
      </c>
      <c r="CG143" t="e">
        <f>AND('BBP complete'!L1633,"AAAAAH/f+1Q=")</f>
        <v>#VALUE!</v>
      </c>
      <c r="CH143" t="e">
        <f>AND('BBP complete'!C1634,"AAAAAH/f+1U=")</f>
        <v>#VALUE!</v>
      </c>
      <c r="CI143" t="e">
        <f>AND('BBP complete'!N1634,"AAAAAH/f+1Y=")</f>
        <v>#VALUE!</v>
      </c>
      <c r="CJ143" t="e">
        <f>AND('BBP complete'!P1650,"AAAAAH/f+1c=")</f>
        <v>#VALUE!</v>
      </c>
      <c r="CK143" t="e">
        <f>AND('BBP complete'!Q1650,"AAAAAH/f+1g=")</f>
        <v>#VALUE!</v>
      </c>
      <c r="CL143" t="e">
        <f>AND('BBP complete'!R1650,"AAAAAH/f+1k=")</f>
        <v>#VALUE!</v>
      </c>
      <c r="CM143" t="e">
        <f>AND('BBP complete'!S1650,"AAAAAH/f+1o=")</f>
        <v>#VALUE!</v>
      </c>
      <c r="CN143" t="e">
        <f>AND('BBP complete'!A1639,"AAAAAH/f+1s=")</f>
        <v>#VALUE!</v>
      </c>
      <c r="CO143" t="e">
        <f>AND('BBP complete'!B1635,"AAAAAH/f+1w=")</f>
        <v>#VALUE!</v>
      </c>
      <c r="CP143" t="e">
        <f>AND('BBP complete'!H1635,"AAAAAH/f+10=")</f>
        <v>#VALUE!</v>
      </c>
      <c r="CQ143" t="e">
        <f>AND('BBP complete'!I1635,"AAAAAH/f+14=")</f>
        <v>#VALUE!</v>
      </c>
      <c r="CR143" t="e">
        <f>AND('BBP complete'!G1634,"AAAAAH/f+18=")</f>
        <v>#VALUE!</v>
      </c>
      <c r="CS143" t="e">
        <f>AND('BBP complete'!#REF!,"AAAAAH/f+2A=")</f>
        <v>#REF!</v>
      </c>
      <c r="CT143" t="e">
        <f>AND('BBP complete'!#REF!,"AAAAAH/f+2E=")</f>
        <v>#REF!</v>
      </c>
      <c r="CU143" t="e">
        <f>AND('BBP complete'!#REF!,"AAAAAH/f+2I=")</f>
        <v>#REF!</v>
      </c>
      <c r="CV143" t="e">
        <f>AND('BBP complete'!#REF!,"AAAAAH/f+2M=")</f>
        <v>#REF!</v>
      </c>
      <c r="CW143" t="e">
        <f>AND('BBP complete'!#REF!,"AAAAAH/f+2Q=")</f>
        <v>#REF!</v>
      </c>
      <c r="CX143" t="e">
        <f>AND('BBP complete'!#REF!,"AAAAAH/f+2U=")</f>
        <v>#REF!</v>
      </c>
      <c r="CY143" t="e">
        <f>AND('BBP complete'!L1634,"AAAAAH/f+2Y=")</f>
        <v>#VALUE!</v>
      </c>
      <c r="CZ143" t="e">
        <f>AND('BBP complete'!C1635,"AAAAAH/f+2c=")</f>
        <v>#VALUE!</v>
      </c>
      <c r="DA143" t="e">
        <f>AND('BBP complete'!N1635,"AAAAAH/f+2g=")</f>
        <v>#VALUE!</v>
      </c>
      <c r="DB143" t="e">
        <f>AND('BBP complete'!P1651,"AAAAAH/f+2k=")</f>
        <v>#VALUE!</v>
      </c>
      <c r="DC143" t="e">
        <f>AND('BBP complete'!Q1651,"AAAAAH/f+2o=")</f>
        <v>#VALUE!</v>
      </c>
      <c r="DD143" t="e">
        <f>AND('BBP complete'!R1651,"AAAAAH/f+2s=")</f>
        <v>#VALUE!</v>
      </c>
      <c r="DE143" t="e">
        <f>AND('BBP complete'!S1651,"AAAAAH/f+2w=")</f>
        <v>#VALUE!</v>
      </c>
      <c r="DF143" t="e">
        <f>AND('BBP complete'!A1640,"AAAAAH/f+20=")</f>
        <v>#VALUE!</v>
      </c>
      <c r="DG143" t="e">
        <f>AND('BBP complete'!B1636,"AAAAAH/f+24=")</f>
        <v>#VALUE!</v>
      </c>
      <c r="DH143" t="e">
        <f>AND('BBP complete'!H1636,"AAAAAH/f+28=")</f>
        <v>#VALUE!</v>
      </c>
      <c r="DI143" t="e">
        <f>AND('BBP complete'!I1636,"AAAAAH/f+3A=")</f>
        <v>#VALUE!</v>
      </c>
      <c r="DJ143" t="e">
        <f>AND('BBP complete'!G1635,"AAAAAH/f+3E=")</f>
        <v>#VALUE!</v>
      </c>
      <c r="DK143" t="e">
        <f>AND('BBP complete'!#REF!,"AAAAAH/f+3I=")</f>
        <v>#REF!</v>
      </c>
      <c r="DL143" t="e">
        <f>AND('BBP complete'!#REF!,"AAAAAH/f+3M=")</f>
        <v>#REF!</v>
      </c>
      <c r="DM143" t="e">
        <f>AND('BBP complete'!#REF!,"AAAAAH/f+3Q=")</f>
        <v>#REF!</v>
      </c>
      <c r="DN143" t="e">
        <f>AND('BBP complete'!#REF!,"AAAAAH/f+3U=")</f>
        <v>#REF!</v>
      </c>
      <c r="DO143" t="e">
        <f>AND('BBP complete'!#REF!,"AAAAAH/f+3Y=")</f>
        <v>#REF!</v>
      </c>
      <c r="DP143" t="e">
        <f>AND('BBP complete'!#REF!,"AAAAAH/f+3c=")</f>
        <v>#REF!</v>
      </c>
      <c r="DQ143" t="e">
        <f>AND('BBP complete'!L1635,"AAAAAH/f+3g=")</f>
        <v>#VALUE!</v>
      </c>
      <c r="DR143" t="e">
        <f>AND('BBP complete'!C1636,"AAAAAH/f+3k=")</f>
        <v>#VALUE!</v>
      </c>
      <c r="DS143" t="e">
        <f>AND('BBP complete'!N1636,"AAAAAH/f+3o=")</f>
        <v>#VALUE!</v>
      </c>
      <c r="DT143" t="e">
        <f>AND('BBP complete'!P1652,"AAAAAH/f+3s=")</f>
        <v>#VALUE!</v>
      </c>
      <c r="DU143" t="e">
        <f>AND('BBP complete'!Q1652,"AAAAAH/f+3w=")</f>
        <v>#VALUE!</v>
      </c>
      <c r="DV143" t="e">
        <f>AND('BBP complete'!R1652,"AAAAAH/f+30=")</f>
        <v>#VALUE!</v>
      </c>
      <c r="DW143" t="e">
        <f>AND('BBP complete'!S1652,"AAAAAH/f+34=")</f>
        <v>#VALUE!</v>
      </c>
      <c r="DX143" t="e">
        <f>AND('BBP complete'!A1641,"AAAAAH/f+38=")</f>
        <v>#VALUE!</v>
      </c>
      <c r="DY143" t="e">
        <f>AND('BBP complete'!B1637,"AAAAAH/f+4A=")</f>
        <v>#VALUE!</v>
      </c>
      <c r="DZ143" t="e">
        <f>AND('BBP complete'!H1637,"AAAAAH/f+4E=")</f>
        <v>#VALUE!</v>
      </c>
      <c r="EA143" t="e">
        <f>AND('BBP complete'!I1637,"AAAAAH/f+4I=")</f>
        <v>#VALUE!</v>
      </c>
      <c r="EB143" t="e">
        <f>AND('BBP complete'!G1636,"AAAAAH/f+4M=")</f>
        <v>#VALUE!</v>
      </c>
      <c r="EC143" t="e">
        <f>AND('BBP complete'!#REF!,"AAAAAH/f+4Q=")</f>
        <v>#REF!</v>
      </c>
      <c r="ED143" t="e">
        <f>AND('BBP complete'!#REF!,"AAAAAH/f+4U=")</f>
        <v>#REF!</v>
      </c>
      <c r="EE143" t="e">
        <f>AND('BBP complete'!#REF!,"AAAAAH/f+4Y=")</f>
        <v>#REF!</v>
      </c>
      <c r="EF143" t="e">
        <f>AND('BBP complete'!#REF!,"AAAAAH/f+4c=")</f>
        <v>#REF!</v>
      </c>
      <c r="EG143" t="e">
        <f>AND('BBP complete'!#REF!,"AAAAAH/f+4g=")</f>
        <v>#REF!</v>
      </c>
      <c r="EH143" t="e">
        <f>AND('BBP complete'!#REF!,"AAAAAH/f+4k=")</f>
        <v>#REF!</v>
      </c>
      <c r="EI143" t="e">
        <f>AND('BBP complete'!L1636,"AAAAAH/f+4o=")</f>
        <v>#VALUE!</v>
      </c>
      <c r="EJ143" t="e">
        <f>AND('BBP complete'!C1637,"AAAAAH/f+4s=")</f>
        <v>#VALUE!</v>
      </c>
      <c r="EK143" t="e">
        <f>AND('BBP complete'!N1637,"AAAAAH/f+4w=")</f>
        <v>#VALUE!</v>
      </c>
      <c r="EL143" t="e">
        <f>AND('BBP complete'!P1653,"AAAAAH/f+40=")</f>
        <v>#VALUE!</v>
      </c>
      <c r="EM143" t="e">
        <f>AND('BBP complete'!Q1653,"AAAAAH/f+44=")</f>
        <v>#VALUE!</v>
      </c>
      <c r="EN143" t="e">
        <f>AND('BBP complete'!R1653,"AAAAAH/f+48=")</f>
        <v>#VALUE!</v>
      </c>
      <c r="EO143" t="e">
        <f>AND('BBP complete'!S1653,"AAAAAH/f+5A=")</f>
        <v>#VALUE!</v>
      </c>
      <c r="EP143" t="e">
        <f>AND('BBP complete'!A1642,"AAAAAH/f+5E=")</f>
        <v>#VALUE!</v>
      </c>
      <c r="EQ143" t="e">
        <f>AND('BBP complete'!B1638,"AAAAAH/f+5I=")</f>
        <v>#VALUE!</v>
      </c>
      <c r="ER143" t="e">
        <f>AND('BBP complete'!H1638,"AAAAAH/f+5M=")</f>
        <v>#VALUE!</v>
      </c>
      <c r="ES143" t="e">
        <f>AND('BBP complete'!I1638,"AAAAAH/f+5Q=")</f>
        <v>#VALUE!</v>
      </c>
      <c r="ET143" t="e">
        <f>AND('BBP complete'!G1637,"AAAAAH/f+5U=")</f>
        <v>#VALUE!</v>
      </c>
      <c r="EU143" t="e">
        <f>AND('BBP complete'!#REF!,"AAAAAH/f+5Y=")</f>
        <v>#REF!</v>
      </c>
      <c r="EV143" t="e">
        <f>AND('BBP complete'!#REF!,"AAAAAH/f+5c=")</f>
        <v>#REF!</v>
      </c>
      <c r="EW143" t="e">
        <f>AND('BBP complete'!#REF!,"AAAAAH/f+5g=")</f>
        <v>#REF!</v>
      </c>
      <c r="EX143" t="e">
        <f>AND('BBP complete'!#REF!,"AAAAAH/f+5k=")</f>
        <v>#REF!</v>
      </c>
      <c r="EY143" t="e">
        <f>AND('BBP complete'!#REF!,"AAAAAH/f+5o=")</f>
        <v>#REF!</v>
      </c>
      <c r="EZ143" t="e">
        <f>AND('BBP complete'!#REF!,"AAAAAH/f+5s=")</f>
        <v>#REF!</v>
      </c>
      <c r="FA143" t="e">
        <f>AND('BBP complete'!L1637,"AAAAAH/f+5w=")</f>
        <v>#VALUE!</v>
      </c>
      <c r="FB143" t="e">
        <f>AND('BBP complete'!C1638,"AAAAAH/f+50=")</f>
        <v>#VALUE!</v>
      </c>
      <c r="FC143" t="e">
        <f>AND('BBP complete'!N1638,"AAAAAH/f+54=")</f>
        <v>#VALUE!</v>
      </c>
      <c r="FD143" t="e">
        <f>AND('BBP complete'!P1654,"AAAAAH/f+58=")</f>
        <v>#VALUE!</v>
      </c>
      <c r="FE143" t="e">
        <f>AND('BBP complete'!Q1654,"AAAAAH/f+6A=")</f>
        <v>#VALUE!</v>
      </c>
      <c r="FF143" t="e">
        <f>AND('BBP complete'!R1654,"AAAAAH/f+6E=")</f>
        <v>#VALUE!</v>
      </c>
      <c r="FG143" t="e">
        <f>AND('BBP complete'!S1654,"AAAAAH/f+6I=")</f>
        <v>#VALUE!</v>
      </c>
      <c r="FH143" t="e">
        <f>AND('BBP complete'!A1643,"AAAAAH/f+6M=")</f>
        <v>#VALUE!</v>
      </c>
      <c r="FI143" t="e">
        <f>AND('BBP complete'!B1639,"AAAAAH/f+6Q=")</f>
        <v>#VALUE!</v>
      </c>
      <c r="FJ143" t="e">
        <f>AND('BBP complete'!H1639,"AAAAAH/f+6U=")</f>
        <v>#VALUE!</v>
      </c>
      <c r="FK143" t="e">
        <f>AND('BBP complete'!I1639,"AAAAAH/f+6Y=")</f>
        <v>#VALUE!</v>
      </c>
      <c r="FL143" t="e">
        <f>AND('BBP complete'!G1638,"AAAAAH/f+6c=")</f>
        <v>#VALUE!</v>
      </c>
      <c r="FM143" t="e">
        <f>AND('BBP complete'!#REF!,"AAAAAH/f+6g=")</f>
        <v>#REF!</v>
      </c>
      <c r="FN143" t="e">
        <f>AND('BBP complete'!#REF!,"AAAAAH/f+6k=")</f>
        <v>#REF!</v>
      </c>
      <c r="FO143" t="e">
        <f>AND('BBP complete'!#REF!,"AAAAAH/f+6o=")</f>
        <v>#REF!</v>
      </c>
      <c r="FP143" t="e">
        <f>AND('BBP complete'!#REF!,"AAAAAH/f+6s=")</f>
        <v>#REF!</v>
      </c>
      <c r="FQ143" t="e">
        <f>AND('BBP complete'!#REF!,"AAAAAH/f+6w=")</f>
        <v>#REF!</v>
      </c>
      <c r="FR143" t="e">
        <f>AND('BBP complete'!#REF!,"AAAAAH/f+60=")</f>
        <v>#REF!</v>
      </c>
      <c r="FS143" t="e">
        <f>AND('BBP complete'!L1638,"AAAAAH/f+64=")</f>
        <v>#VALUE!</v>
      </c>
      <c r="FT143" t="e">
        <f>AND('BBP complete'!C1639,"AAAAAH/f+68=")</f>
        <v>#VALUE!</v>
      </c>
      <c r="FU143" t="e">
        <f>AND('BBP complete'!N1639,"AAAAAH/f+7A=")</f>
        <v>#VALUE!</v>
      </c>
      <c r="FV143" t="e">
        <f>AND('BBP complete'!P1655,"AAAAAH/f+7E=")</f>
        <v>#VALUE!</v>
      </c>
      <c r="FW143" t="e">
        <f>AND('BBP complete'!Q1655,"AAAAAH/f+7I=")</f>
        <v>#VALUE!</v>
      </c>
      <c r="FX143" t="e">
        <f>AND('BBP complete'!R1655,"AAAAAH/f+7M=")</f>
        <v>#VALUE!</v>
      </c>
      <c r="FY143" t="e">
        <f>AND('BBP complete'!S1655,"AAAAAH/f+7Q=")</f>
        <v>#VALUE!</v>
      </c>
      <c r="FZ143" t="e">
        <f>AND('BBP complete'!A1644,"AAAAAH/f+7U=")</f>
        <v>#VALUE!</v>
      </c>
      <c r="GA143" t="e">
        <f>AND('BBP complete'!B1640,"AAAAAH/f+7Y=")</f>
        <v>#VALUE!</v>
      </c>
      <c r="GB143" t="e">
        <f>AND('BBP complete'!H1640,"AAAAAH/f+7c=")</f>
        <v>#VALUE!</v>
      </c>
      <c r="GC143" t="e">
        <f>AND('BBP complete'!I1640,"AAAAAH/f+7g=")</f>
        <v>#VALUE!</v>
      </c>
      <c r="GD143" t="e">
        <f>AND('BBP complete'!G1639,"AAAAAH/f+7k=")</f>
        <v>#VALUE!</v>
      </c>
      <c r="GE143" t="e">
        <f>AND('BBP complete'!#REF!,"AAAAAH/f+7o=")</f>
        <v>#REF!</v>
      </c>
      <c r="GF143" t="e">
        <f>AND('BBP complete'!#REF!,"AAAAAH/f+7s=")</f>
        <v>#REF!</v>
      </c>
      <c r="GG143" t="e">
        <f>AND('BBP complete'!#REF!,"AAAAAH/f+7w=")</f>
        <v>#REF!</v>
      </c>
      <c r="GH143" t="e">
        <f>AND('BBP complete'!#REF!,"AAAAAH/f+70=")</f>
        <v>#REF!</v>
      </c>
      <c r="GI143" t="e">
        <f>AND('BBP complete'!#REF!,"AAAAAH/f+74=")</f>
        <v>#REF!</v>
      </c>
      <c r="GJ143" t="e">
        <f>AND('BBP complete'!#REF!,"AAAAAH/f+78=")</f>
        <v>#REF!</v>
      </c>
      <c r="GK143" t="e">
        <f>AND('BBP complete'!L1639,"AAAAAH/f+8A=")</f>
        <v>#VALUE!</v>
      </c>
      <c r="GL143" t="e">
        <f>AND('BBP complete'!C1640,"AAAAAH/f+8E=")</f>
        <v>#VALUE!</v>
      </c>
      <c r="GM143" t="e">
        <f>AND('BBP complete'!N1640,"AAAAAH/f+8I=")</f>
        <v>#VALUE!</v>
      </c>
      <c r="GN143" t="e">
        <f>AND('BBP complete'!P1656,"AAAAAH/f+8M=")</f>
        <v>#VALUE!</v>
      </c>
      <c r="GO143" t="e">
        <f>AND('BBP complete'!Q1656,"AAAAAH/f+8Q=")</f>
        <v>#VALUE!</v>
      </c>
      <c r="GP143" t="e">
        <f>AND('BBP complete'!R1656,"AAAAAH/f+8U=")</f>
        <v>#VALUE!</v>
      </c>
      <c r="GQ143" t="e">
        <f>AND('BBP complete'!S1656,"AAAAAH/f+8Y=")</f>
        <v>#VALUE!</v>
      </c>
      <c r="GR143" t="e">
        <f>AND('BBP complete'!A1645,"AAAAAH/f+8c=")</f>
        <v>#VALUE!</v>
      </c>
      <c r="GS143" t="e">
        <f>AND('BBP complete'!B1641,"AAAAAH/f+8g=")</f>
        <v>#VALUE!</v>
      </c>
      <c r="GT143" t="e">
        <f>AND('BBP complete'!H1641,"AAAAAH/f+8k=")</f>
        <v>#VALUE!</v>
      </c>
      <c r="GU143" t="e">
        <f>AND('BBP complete'!I1641,"AAAAAH/f+8o=")</f>
        <v>#VALUE!</v>
      </c>
      <c r="GV143" t="e">
        <f>AND('BBP complete'!G1640,"AAAAAH/f+8s=")</f>
        <v>#VALUE!</v>
      </c>
      <c r="GW143" t="e">
        <f>AND('BBP complete'!#REF!,"AAAAAH/f+8w=")</f>
        <v>#REF!</v>
      </c>
      <c r="GX143" t="e">
        <f>AND('BBP complete'!#REF!,"AAAAAH/f+80=")</f>
        <v>#REF!</v>
      </c>
      <c r="GY143" t="e">
        <f>AND('BBP complete'!#REF!,"AAAAAH/f+84=")</f>
        <v>#REF!</v>
      </c>
      <c r="GZ143" t="e">
        <f>AND('BBP complete'!#REF!,"AAAAAH/f+88=")</f>
        <v>#REF!</v>
      </c>
      <c r="HA143" t="e">
        <f>AND('BBP complete'!#REF!,"AAAAAH/f+9A=")</f>
        <v>#REF!</v>
      </c>
      <c r="HB143" t="e">
        <f>AND('BBP complete'!#REF!,"AAAAAH/f+9E=")</f>
        <v>#REF!</v>
      </c>
      <c r="HC143" t="e">
        <f>AND('BBP complete'!L1640,"AAAAAH/f+9I=")</f>
        <v>#VALUE!</v>
      </c>
      <c r="HD143" t="e">
        <f>AND('BBP complete'!C1641,"AAAAAH/f+9M=")</f>
        <v>#VALUE!</v>
      </c>
      <c r="HE143" t="e">
        <f>AND('BBP complete'!N1641,"AAAAAH/f+9Q=")</f>
        <v>#VALUE!</v>
      </c>
      <c r="HF143" t="e">
        <f>AND('BBP complete'!P1657,"AAAAAH/f+9U=")</f>
        <v>#VALUE!</v>
      </c>
      <c r="HG143" t="e">
        <f>AND('BBP complete'!Q1657,"AAAAAH/f+9Y=")</f>
        <v>#VALUE!</v>
      </c>
      <c r="HH143" t="e">
        <f>AND('BBP complete'!R1657,"AAAAAH/f+9c=")</f>
        <v>#VALUE!</v>
      </c>
      <c r="HI143" t="e">
        <f>AND('BBP complete'!S1657,"AAAAAH/f+9g=")</f>
        <v>#VALUE!</v>
      </c>
      <c r="HJ143" t="e">
        <f>AND('BBP complete'!A1646,"AAAAAH/f+9k=")</f>
        <v>#VALUE!</v>
      </c>
      <c r="HK143" t="e">
        <f>AND('BBP complete'!B1642,"AAAAAH/f+9o=")</f>
        <v>#VALUE!</v>
      </c>
      <c r="HL143" t="e">
        <f>AND('BBP complete'!H1642,"AAAAAH/f+9s=")</f>
        <v>#VALUE!</v>
      </c>
      <c r="HM143" t="e">
        <f>AND('BBP complete'!I1642,"AAAAAH/f+9w=")</f>
        <v>#VALUE!</v>
      </c>
      <c r="HN143" t="e">
        <f>AND('BBP complete'!G1641,"AAAAAH/f+90=")</f>
        <v>#VALUE!</v>
      </c>
      <c r="HO143" t="e">
        <f>AND('BBP complete'!#REF!,"AAAAAH/f+94=")</f>
        <v>#REF!</v>
      </c>
      <c r="HP143" t="e">
        <f>AND('BBP complete'!#REF!,"AAAAAH/f+98=")</f>
        <v>#REF!</v>
      </c>
      <c r="HQ143" t="e">
        <f>AND('BBP complete'!#REF!,"AAAAAH/f++A=")</f>
        <v>#REF!</v>
      </c>
      <c r="HR143" t="e">
        <f>AND('BBP complete'!#REF!,"AAAAAH/f++E=")</f>
        <v>#REF!</v>
      </c>
      <c r="HS143" t="e">
        <f>AND('BBP complete'!#REF!,"AAAAAH/f++I=")</f>
        <v>#REF!</v>
      </c>
      <c r="HT143" t="e">
        <f>AND('BBP complete'!#REF!,"AAAAAH/f++M=")</f>
        <v>#REF!</v>
      </c>
      <c r="HU143" t="e">
        <f>AND('BBP complete'!L1641,"AAAAAH/f++Q=")</f>
        <v>#VALUE!</v>
      </c>
      <c r="HV143" t="e">
        <f>AND('BBP complete'!C1642,"AAAAAH/f++U=")</f>
        <v>#VALUE!</v>
      </c>
      <c r="HW143" t="e">
        <f>AND('BBP complete'!N1642,"AAAAAH/f++Y=")</f>
        <v>#VALUE!</v>
      </c>
      <c r="HX143" t="e">
        <f>AND('BBP complete'!P1658,"AAAAAH/f++c=")</f>
        <v>#VALUE!</v>
      </c>
      <c r="HY143" t="e">
        <f>AND('BBP complete'!Q1658,"AAAAAH/f++g=")</f>
        <v>#VALUE!</v>
      </c>
      <c r="HZ143" t="e">
        <f>AND('BBP complete'!R1658,"AAAAAH/f++k=")</f>
        <v>#VALUE!</v>
      </c>
      <c r="IA143" t="e">
        <f>AND('BBP complete'!S1658,"AAAAAH/f++o=")</f>
        <v>#VALUE!</v>
      </c>
      <c r="IB143" t="e">
        <f>AND('BBP complete'!A1647,"AAAAAH/f++s=")</f>
        <v>#VALUE!</v>
      </c>
      <c r="IC143" t="e">
        <f>AND('BBP complete'!B1643,"AAAAAH/f++w=")</f>
        <v>#VALUE!</v>
      </c>
      <c r="ID143" t="e">
        <f>AND('BBP complete'!H1643,"AAAAAH/f++0=")</f>
        <v>#VALUE!</v>
      </c>
      <c r="IE143" t="e">
        <f>AND('BBP complete'!I1643,"AAAAAH/f++4=")</f>
        <v>#VALUE!</v>
      </c>
      <c r="IF143" t="e">
        <f>AND('BBP complete'!G1642,"AAAAAH/f++8=")</f>
        <v>#VALUE!</v>
      </c>
      <c r="IG143" t="e">
        <f>AND('BBP complete'!#REF!,"AAAAAH/f+/A=")</f>
        <v>#REF!</v>
      </c>
      <c r="IH143" t="e">
        <f>AND('BBP complete'!#REF!,"AAAAAH/f+/E=")</f>
        <v>#REF!</v>
      </c>
      <c r="II143" t="e">
        <f>AND('BBP complete'!#REF!,"AAAAAH/f+/I=")</f>
        <v>#REF!</v>
      </c>
      <c r="IJ143" t="e">
        <f>AND('BBP complete'!#REF!,"AAAAAH/f+/M=")</f>
        <v>#REF!</v>
      </c>
      <c r="IK143" t="e">
        <f>AND('BBP complete'!#REF!,"AAAAAH/f+/Q=")</f>
        <v>#REF!</v>
      </c>
      <c r="IL143" t="e">
        <f>AND('BBP complete'!#REF!,"AAAAAH/f+/U=")</f>
        <v>#REF!</v>
      </c>
      <c r="IM143" t="e">
        <f>AND('BBP complete'!L1642,"AAAAAH/f+/Y=")</f>
        <v>#VALUE!</v>
      </c>
      <c r="IN143" t="e">
        <f>AND('BBP complete'!C1643,"AAAAAH/f+/c=")</f>
        <v>#VALUE!</v>
      </c>
      <c r="IO143" t="e">
        <f>AND('BBP complete'!N1643,"AAAAAH/f+/g=")</f>
        <v>#VALUE!</v>
      </c>
      <c r="IP143" t="e">
        <f>AND('BBP complete'!P1659,"AAAAAH/f+/k=")</f>
        <v>#VALUE!</v>
      </c>
      <c r="IQ143" t="e">
        <f>AND('BBP complete'!Q1659,"AAAAAH/f+/o=")</f>
        <v>#VALUE!</v>
      </c>
      <c r="IR143" t="e">
        <f>AND('BBP complete'!R1659,"AAAAAH/f+/s=")</f>
        <v>#VALUE!</v>
      </c>
      <c r="IS143" t="e">
        <f>AND('BBP complete'!S1659,"AAAAAH/f+/w=")</f>
        <v>#VALUE!</v>
      </c>
      <c r="IT143" t="e">
        <f>AND('BBP complete'!A1648,"AAAAAH/f+/0=")</f>
        <v>#VALUE!</v>
      </c>
      <c r="IU143" t="e">
        <f>AND('BBP complete'!B1644,"AAAAAH/f+/4=")</f>
        <v>#VALUE!</v>
      </c>
      <c r="IV143" t="e">
        <f>AND('BBP complete'!H1644,"AAAAAH/f+/8=")</f>
        <v>#VALUE!</v>
      </c>
    </row>
    <row r="144" spans="1:256" ht="15" customHeight="1" x14ac:dyDescent="0.25">
      <c r="A144" t="e">
        <f>AND('BBP complete'!I1644,"AAAAADvf7wA=")</f>
        <v>#VALUE!</v>
      </c>
      <c r="B144" t="e">
        <f>AND('BBP complete'!G1643,"AAAAADvf7wE=")</f>
        <v>#VALUE!</v>
      </c>
      <c r="C144" t="e">
        <f>AND('BBP complete'!#REF!,"AAAAADvf7wI=")</f>
        <v>#REF!</v>
      </c>
      <c r="D144" t="e">
        <f>AND('BBP complete'!#REF!,"AAAAADvf7wM=")</f>
        <v>#REF!</v>
      </c>
      <c r="E144" t="e">
        <f>AND('BBP complete'!#REF!,"AAAAADvf7wQ=")</f>
        <v>#REF!</v>
      </c>
      <c r="F144" t="e">
        <f>AND('BBP complete'!#REF!,"AAAAADvf7wU=")</f>
        <v>#REF!</v>
      </c>
      <c r="G144" t="e">
        <f>AND('BBP complete'!#REF!,"AAAAADvf7wY=")</f>
        <v>#REF!</v>
      </c>
      <c r="H144" t="e">
        <f>AND('BBP complete'!#REF!,"AAAAADvf7wc=")</f>
        <v>#REF!</v>
      </c>
      <c r="I144" t="e">
        <f>AND('BBP complete'!L1643,"AAAAADvf7wg=")</f>
        <v>#VALUE!</v>
      </c>
      <c r="J144" t="e">
        <f>AND('BBP complete'!C1644,"AAAAADvf7wk=")</f>
        <v>#VALUE!</v>
      </c>
      <c r="K144" t="e">
        <f>AND('BBP complete'!N1644,"AAAAADvf7wo=")</f>
        <v>#VALUE!</v>
      </c>
      <c r="L144" t="e">
        <f>AND('BBP complete'!P1660,"AAAAADvf7ws=")</f>
        <v>#VALUE!</v>
      </c>
      <c r="M144" t="e">
        <f>AND('BBP complete'!Q1660,"AAAAADvf7ww=")</f>
        <v>#VALUE!</v>
      </c>
      <c r="N144" t="e">
        <f>AND('BBP complete'!R1660,"AAAAADvf7w0=")</f>
        <v>#VALUE!</v>
      </c>
      <c r="O144" t="e">
        <f>AND('BBP complete'!S1660,"AAAAADvf7w4=")</f>
        <v>#VALUE!</v>
      </c>
      <c r="P144" t="e">
        <f>AND('BBP complete'!A1649,"AAAAADvf7w8=")</f>
        <v>#VALUE!</v>
      </c>
      <c r="Q144" t="e">
        <f>AND('BBP complete'!B1645,"AAAAADvf7xA=")</f>
        <v>#VALUE!</v>
      </c>
      <c r="R144" t="e">
        <f>AND('BBP complete'!H1645,"AAAAADvf7xE=")</f>
        <v>#VALUE!</v>
      </c>
      <c r="S144" t="e">
        <f>AND('BBP complete'!I1645,"AAAAADvf7xI=")</f>
        <v>#VALUE!</v>
      </c>
      <c r="T144" t="e">
        <f>AND('BBP complete'!G1644,"AAAAADvf7xM=")</f>
        <v>#VALUE!</v>
      </c>
      <c r="U144" t="e">
        <f>AND('BBP complete'!#REF!,"AAAAADvf7xQ=")</f>
        <v>#REF!</v>
      </c>
      <c r="V144" t="e">
        <f>AND('BBP complete'!#REF!,"AAAAADvf7xU=")</f>
        <v>#REF!</v>
      </c>
      <c r="W144" t="e">
        <f>AND('BBP complete'!#REF!,"AAAAADvf7xY=")</f>
        <v>#REF!</v>
      </c>
      <c r="X144" t="e">
        <f>AND('BBP complete'!#REF!,"AAAAADvf7xc=")</f>
        <v>#REF!</v>
      </c>
      <c r="Y144" t="e">
        <f>AND('BBP complete'!#REF!,"AAAAADvf7xg=")</f>
        <v>#REF!</v>
      </c>
      <c r="Z144" t="e">
        <f>AND('BBP complete'!#REF!,"AAAAADvf7xk=")</f>
        <v>#REF!</v>
      </c>
      <c r="AA144" t="e">
        <f>AND('BBP complete'!L1644,"AAAAADvf7xo=")</f>
        <v>#VALUE!</v>
      </c>
      <c r="AB144" t="e">
        <f>AND('BBP complete'!C1645,"AAAAADvf7xs=")</f>
        <v>#VALUE!</v>
      </c>
      <c r="AC144" t="e">
        <f>AND('BBP complete'!N1645,"AAAAADvf7xw=")</f>
        <v>#VALUE!</v>
      </c>
      <c r="AD144" t="e">
        <f>AND('BBP complete'!P1661,"AAAAADvf7x0=")</f>
        <v>#VALUE!</v>
      </c>
      <c r="AE144" t="e">
        <f>AND('BBP complete'!Q1661,"AAAAADvf7x4=")</f>
        <v>#VALUE!</v>
      </c>
      <c r="AF144" t="e">
        <f>AND('BBP complete'!R1661,"AAAAADvf7x8=")</f>
        <v>#VALUE!</v>
      </c>
      <c r="AG144" t="e">
        <f>AND('BBP complete'!S1661,"AAAAADvf7yA=")</f>
        <v>#VALUE!</v>
      </c>
      <c r="AH144" t="e">
        <f>AND('BBP complete'!A1650,"AAAAADvf7yE=")</f>
        <v>#VALUE!</v>
      </c>
      <c r="AI144" t="e">
        <f>AND('BBP complete'!B1646,"AAAAADvf7yI=")</f>
        <v>#VALUE!</v>
      </c>
      <c r="AJ144" t="e">
        <f>AND('BBP complete'!H1646,"AAAAADvf7yM=")</f>
        <v>#VALUE!</v>
      </c>
      <c r="AK144" t="e">
        <f>AND('BBP complete'!I1646,"AAAAADvf7yQ=")</f>
        <v>#VALUE!</v>
      </c>
      <c r="AL144" t="e">
        <f>AND('BBP complete'!G1645,"AAAAADvf7yU=")</f>
        <v>#VALUE!</v>
      </c>
      <c r="AM144" t="e">
        <f>AND('BBP complete'!#REF!,"AAAAADvf7yY=")</f>
        <v>#REF!</v>
      </c>
      <c r="AN144" t="e">
        <f>AND('BBP complete'!#REF!,"AAAAADvf7yc=")</f>
        <v>#REF!</v>
      </c>
      <c r="AO144" t="e">
        <f>AND('BBP complete'!#REF!,"AAAAADvf7yg=")</f>
        <v>#REF!</v>
      </c>
      <c r="AP144" t="e">
        <f>AND('BBP complete'!#REF!,"AAAAADvf7yk=")</f>
        <v>#REF!</v>
      </c>
      <c r="AQ144" t="e">
        <f>AND('BBP complete'!#REF!,"AAAAADvf7yo=")</f>
        <v>#REF!</v>
      </c>
      <c r="AR144" t="e">
        <f>AND('BBP complete'!#REF!,"AAAAADvf7ys=")</f>
        <v>#REF!</v>
      </c>
      <c r="AS144" t="e">
        <f>AND('BBP complete'!L1645,"AAAAADvf7yw=")</f>
        <v>#VALUE!</v>
      </c>
      <c r="AT144" t="e">
        <f>AND('BBP complete'!C1646,"AAAAADvf7y0=")</f>
        <v>#VALUE!</v>
      </c>
      <c r="AU144" t="e">
        <f>AND('BBP complete'!N1646,"AAAAADvf7y4=")</f>
        <v>#VALUE!</v>
      </c>
      <c r="AV144" t="e">
        <f>AND('BBP complete'!P1662,"AAAAADvf7y8=")</f>
        <v>#VALUE!</v>
      </c>
      <c r="AW144" t="e">
        <f>AND('BBP complete'!Q1662,"AAAAADvf7zA=")</f>
        <v>#VALUE!</v>
      </c>
      <c r="AX144" t="e">
        <f>AND('BBP complete'!R1662,"AAAAADvf7zE=")</f>
        <v>#VALUE!</v>
      </c>
      <c r="AY144" t="e">
        <f>AND('BBP complete'!S1662,"AAAAADvf7zI=")</f>
        <v>#VALUE!</v>
      </c>
      <c r="AZ144" t="e">
        <f>AND('BBP complete'!A1651,"AAAAADvf7zM=")</f>
        <v>#VALUE!</v>
      </c>
      <c r="BA144" t="e">
        <f>AND('BBP complete'!B1647,"AAAAADvf7zQ=")</f>
        <v>#VALUE!</v>
      </c>
      <c r="BB144" t="e">
        <f>AND('BBP complete'!H1647,"AAAAADvf7zU=")</f>
        <v>#VALUE!</v>
      </c>
      <c r="BC144" t="e">
        <f>AND('BBP complete'!I1647,"AAAAADvf7zY=")</f>
        <v>#VALUE!</v>
      </c>
      <c r="BD144" t="e">
        <f>AND('BBP complete'!G1646,"AAAAADvf7zc=")</f>
        <v>#VALUE!</v>
      </c>
      <c r="BE144" t="e">
        <f>AND('BBP complete'!#REF!,"AAAAADvf7zg=")</f>
        <v>#REF!</v>
      </c>
      <c r="BF144" t="e">
        <f>AND('BBP complete'!#REF!,"AAAAADvf7zk=")</f>
        <v>#REF!</v>
      </c>
      <c r="BG144" t="e">
        <f>AND('BBP complete'!#REF!,"AAAAADvf7zo=")</f>
        <v>#REF!</v>
      </c>
      <c r="BH144" t="e">
        <f>AND('BBP complete'!#REF!,"AAAAADvf7zs=")</f>
        <v>#REF!</v>
      </c>
      <c r="BI144" t="e">
        <f>AND('BBP complete'!#REF!,"AAAAADvf7zw=")</f>
        <v>#REF!</v>
      </c>
      <c r="BJ144" t="e">
        <f>AND('BBP complete'!#REF!,"AAAAADvf7z0=")</f>
        <v>#REF!</v>
      </c>
      <c r="BK144" t="e">
        <f>AND('BBP complete'!L1646,"AAAAADvf7z4=")</f>
        <v>#VALUE!</v>
      </c>
      <c r="BL144" t="e">
        <f>AND('BBP complete'!C1647,"AAAAADvf7z8=")</f>
        <v>#VALUE!</v>
      </c>
      <c r="BM144" t="e">
        <f>AND('BBP complete'!N1647,"AAAAADvf70A=")</f>
        <v>#VALUE!</v>
      </c>
      <c r="BN144" t="e">
        <f>AND('BBP complete'!P1663,"AAAAADvf70E=")</f>
        <v>#VALUE!</v>
      </c>
      <c r="BO144" t="e">
        <f>AND('BBP complete'!Q1663,"AAAAADvf70I=")</f>
        <v>#VALUE!</v>
      </c>
      <c r="BP144" t="e">
        <f>AND('BBP complete'!R1663,"AAAAADvf70M=")</f>
        <v>#VALUE!</v>
      </c>
      <c r="BQ144" t="e">
        <f>AND('BBP complete'!S1663,"AAAAADvf70Q=")</f>
        <v>#VALUE!</v>
      </c>
      <c r="BR144" t="e">
        <f>AND('BBP complete'!A1652,"AAAAADvf70U=")</f>
        <v>#VALUE!</v>
      </c>
      <c r="BS144" t="e">
        <f>AND('BBP complete'!B1648,"AAAAADvf70Y=")</f>
        <v>#VALUE!</v>
      </c>
      <c r="BT144" t="e">
        <f>AND('BBP complete'!H1648,"AAAAADvf70c=")</f>
        <v>#VALUE!</v>
      </c>
      <c r="BU144" t="e">
        <f>AND('BBP complete'!I1648,"AAAAADvf70g=")</f>
        <v>#VALUE!</v>
      </c>
      <c r="BV144" t="e">
        <f>AND('BBP complete'!G1647,"AAAAADvf70k=")</f>
        <v>#VALUE!</v>
      </c>
      <c r="BW144" t="e">
        <f>AND('BBP complete'!#REF!,"AAAAADvf70o=")</f>
        <v>#REF!</v>
      </c>
      <c r="BX144" t="e">
        <f>AND('BBP complete'!#REF!,"AAAAADvf70s=")</f>
        <v>#REF!</v>
      </c>
      <c r="BY144" t="e">
        <f>AND('BBP complete'!#REF!,"AAAAADvf70w=")</f>
        <v>#REF!</v>
      </c>
      <c r="BZ144" t="e">
        <f>AND('BBP complete'!#REF!,"AAAAADvf700=")</f>
        <v>#REF!</v>
      </c>
      <c r="CA144" t="e">
        <f>AND('BBP complete'!#REF!,"AAAAADvf704=")</f>
        <v>#REF!</v>
      </c>
      <c r="CB144" t="e">
        <f>AND('BBP complete'!#REF!,"AAAAADvf708=")</f>
        <v>#REF!</v>
      </c>
      <c r="CC144" t="e">
        <f>AND('BBP complete'!L1647,"AAAAADvf71A=")</f>
        <v>#VALUE!</v>
      </c>
      <c r="CD144" t="e">
        <f>AND('BBP complete'!C1648,"AAAAADvf71E=")</f>
        <v>#VALUE!</v>
      </c>
      <c r="CE144" t="e">
        <f>AND('BBP complete'!N1648,"AAAAADvf71I=")</f>
        <v>#VALUE!</v>
      </c>
      <c r="CF144" t="e">
        <f>AND('BBP complete'!P1664,"AAAAADvf71M=")</f>
        <v>#VALUE!</v>
      </c>
      <c r="CG144" t="e">
        <f>AND('BBP complete'!Q1664,"AAAAADvf71Q=")</f>
        <v>#VALUE!</v>
      </c>
      <c r="CH144" t="e">
        <f>AND('BBP complete'!R1664,"AAAAADvf71U=")</f>
        <v>#VALUE!</v>
      </c>
      <c r="CI144" t="e">
        <f>AND('BBP complete'!S1664,"AAAAADvf71Y=")</f>
        <v>#VALUE!</v>
      </c>
      <c r="CJ144" t="e">
        <f>AND('BBP complete'!A1653,"AAAAADvf71c=")</f>
        <v>#VALUE!</v>
      </c>
      <c r="CK144" t="e">
        <f>AND('BBP complete'!B1649,"AAAAADvf71g=")</f>
        <v>#VALUE!</v>
      </c>
      <c r="CL144" t="e">
        <f>AND('BBP complete'!H1649,"AAAAADvf71k=")</f>
        <v>#VALUE!</v>
      </c>
      <c r="CM144" t="e">
        <f>AND('BBP complete'!I1649,"AAAAADvf71o=")</f>
        <v>#VALUE!</v>
      </c>
      <c r="CN144" t="e">
        <f>AND('BBP complete'!G1648,"AAAAADvf71s=")</f>
        <v>#VALUE!</v>
      </c>
      <c r="CO144" t="e">
        <f>AND('BBP complete'!#REF!,"AAAAADvf71w=")</f>
        <v>#REF!</v>
      </c>
      <c r="CP144" t="e">
        <f>AND('BBP complete'!#REF!,"AAAAADvf710=")</f>
        <v>#REF!</v>
      </c>
      <c r="CQ144" t="e">
        <f>AND('BBP complete'!#REF!,"AAAAADvf714=")</f>
        <v>#REF!</v>
      </c>
      <c r="CR144" t="e">
        <f>AND('BBP complete'!#REF!,"AAAAADvf718=")</f>
        <v>#REF!</v>
      </c>
      <c r="CS144" t="e">
        <f>AND('BBP complete'!#REF!,"AAAAADvf72A=")</f>
        <v>#REF!</v>
      </c>
      <c r="CT144" t="e">
        <f>AND('BBP complete'!#REF!,"AAAAADvf72E=")</f>
        <v>#REF!</v>
      </c>
      <c r="CU144" t="e">
        <f>AND('BBP complete'!L1648,"AAAAADvf72I=")</f>
        <v>#VALUE!</v>
      </c>
      <c r="CV144" t="e">
        <f>AND('BBP complete'!C1649,"AAAAADvf72M=")</f>
        <v>#VALUE!</v>
      </c>
      <c r="CW144" t="e">
        <f>AND('BBP complete'!N1649,"AAAAADvf72Q=")</f>
        <v>#VALUE!</v>
      </c>
      <c r="CX144" t="e">
        <f>AND('BBP complete'!P1665,"AAAAADvf72U=")</f>
        <v>#VALUE!</v>
      </c>
      <c r="CY144" t="e">
        <f>AND('BBP complete'!Q1665,"AAAAADvf72Y=")</f>
        <v>#VALUE!</v>
      </c>
      <c r="CZ144" t="e">
        <f>AND('BBP complete'!R1665,"AAAAADvf72c=")</f>
        <v>#VALUE!</v>
      </c>
      <c r="DA144" t="e">
        <f>AND('BBP complete'!S1665,"AAAAADvf72g=")</f>
        <v>#VALUE!</v>
      </c>
      <c r="DB144" t="e">
        <f>AND('BBP complete'!A1654,"AAAAADvf72k=")</f>
        <v>#VALUE!</v>
      </c>
      <c r="DC144" t="e">
        <f>AND('BBP complete'!B1650,"AAAAADvf72o=")</f>
        <v>#VALUE!</v>
      </c>
      <c r="DD144" t="e">
        <f>AND('BBP complete'!H1650,"AAAAADvf72s=")</f>
        <v>#VALUE!</v>
      </c>
      <c r="DE144" t="e">
        <f>AND('BBP complete'!I1650,"AAAAADvf72w=")</f>
        <v>#VALUE!</v>
      </c>
      <c r="DF144" t="e">
        <f>AND('BBP complete'!G1649,"AAAAADvf720=")</f>
        <v>#VALUE!</v>
      </c>
      <c r="DG144" t="e">
        <f>AND('BBP complete'!#REF!,"AAAAADvf724=")</f>
        <v>#REF!</v>
      </c>
      <c r="DH144" t="e">
        <f>AND('BBP complete'!#REF!,"AAAAADvf728=")</f>
        <v>#REF!</v>
      </c>
      <c r="DI144" t="e">
        <f>AND('BBP complete'!#REF!,"AAAAADvf73A=")</f>
        <v>#REF!</v>
      </c>
      <c r="DJ144" t="e">
        <f>AND('BBP complete'!#REF!,"AAAAADvf73E=")</f>
        <v>#REF!</v>
      </c>
      <c r="DK144" t="e">
        <f>AND('BBP complete'!#REF!,"AAAAADvf73I=")</f>
        <v>#REF!</v>
      </c>
      <c r="DL144" t="e">
        <f>AND('BBP complete'!#REF!,"AAAAADvf73M=")</f>
        <v>#REF!</v>
      </c>
      <c r="DM144" t="e">
        <f>AND('BBP complete'!L1649,"AAAAADvf73Q=")</f>
        <v>#VALUE!</v>
      </c>
      <c r="DN144" t="e">
        <f>AND('BBP complete'!C1650,"AAAAADvf73U=")</f>
        <v>#VALUE!</v>
      </c>
      <c r="DO144" t="e">
        <f>AND('BBP complete'!N1650,"AAAAADvf73Y=")</f>
        <v>#VALUE!</v>
      </c>
      <c r="DP144" t="e">
        <f>AND('BBP complete'!P1666,"AAAAADvf73c=")</f>
        <v>#VALUE!</v>
      </c>
      <c r="DQ144" t="e">
        <f>AND('BBP complete'!Q1666,"AAAAADvf73g=")</f>
        <v>#VALUE!</v>
      </c>
      <c r="DR144" t="e">
        <f>AND('BBP complete'!R1666,"AAAAADvf73k=")</f>
        <v>#VALUE!</v>
      </c>
      <c r="DS144" t="e">
        <f>AND('BBP complete'!S1666,"AAAAADvf73o=")</f>
        <v>#VALUE!</v>
      </c>
      <c r="DT144" t="e">
        <f>AND('BBP complete'!A1655,"AAAAADvf73s=")</f>
        <v>#VALUE!</v>
      </c>
      <c r="DU144" t="e">
        <f>AND('BBP complete'!B1651,"AAAAADvf73w=")</f>
        <v>#VALUE!</v>
      </c>
      <c r="DV144" t="e">
        <f>AND('BBP complete'!H1651,"AAAAADvf730=")</f>
        <v>#VALUE!</v>
      </c>
      <c r="DW144" t="e">
        <f>AND('BBP complete'!I1651,"AAAAADvf734=")</f>
        <v>#VALUE!</v>
      </c>
      <c r="DX144" t="e">
        <f>AND('BBP complete'!G1650,"AAAAADvf738=")</f>
        <v>#VALUE!</v>
      </c>
      <c r="DY144" t="e">
        <f>AND('BBP complete'!#REF!,"AAAAADvf74A=")</f>
        <v>#REF!</v>
      </c>
      <c r="DZ144" t="e">
        <f>AND('BBP complete'!#REF!,"AAAAADvf74E=")</f>
        <v>#REF!</v>
      </c>
      <c r="EA144" t="e">
        <f>AND('BBP complete'!#REF!,"AAAAADvf74I=")</f>
        <v>#REF!</v>
      </c>
      <c r="EB144" t="e">
        <f>AND('BBP complete'!#REF!,"AAAAADvf74M=")</f>
        <v>#REF!</v>
      </c>
      <c r="EC144" t="e">
        <f>AND('BBP complete'!#REF!,"AAAAADvf74Q=")</f>
        <v>#REF!</v>
      </c>
      <c r="ED144" t="e">
        <f>AND('BBP complete'!#REF!,"AAAAADvf74U=")</f>
        <v>#REF!</v>
      </c>
      <c r="EE144" t="e">
        <f>AND('BBP complete'!L1650,"AAAAADvf74Y=")</f>
        <v>#VALUE!</v>
      </c>
      <c r="EF144" t="e">
        <f>AND('BBP complete'!C1651,"AAAAADvf74c=")</f>
        <v>#VALUE!</v>
      </c>
      <c r="EG144" t="e">
        <f>AND('BBP complete'!N1651,"AAAAADvf74g=")</f>
        <v>#VALUE!</v>
      </c>
      <c r="EH144" t="e">
        <f>AND('BBP complete'!P1667,"AAAAADvf74k=")</f>
        <v>#VALUE!</v>
      </c>
      <c r="EI144" t="e">
        <f>AND('BBP complete'!Q1667,"AAAAADvf74o=")</f>
        <v>#VALUE!</v>
      </c>
      <c r="EJ144" t="e">
        <f>AND('BBP complete'!R1667,"AAAAADvf74s=")</f>
        <v>#VALUE!</v>
      </c>
      <c r="EK144" t="e">
        <f>AND('BBP complete'!S1667,"AAAAADvf74w=")</f>
        <v>#VALUE!</v>
      </c>
      <c r="EL144" t="e">
        <f>AND('BBP complete'!A1656,"AAAAADvf740=")</f>
        <v>#VALUE!</v>
      </c>
      <c r="EM144" t="e">
        <f>AND('BBP complete'!B1652,"AAAAADvf744=")</f>
        <v>#VALUE!</v>
      </c>
      <c r="EN144" t="e">
        <f>AND('BBP complete'!H1652,"AAAAADvf748=")</f>
        <v>#VALUE!</v>
      </c>
      <c r="EO144" t="e">
        <f>AND('BBP complete'!I1652,"AAAAADvf75A=")</f>
        <v>#VALUE!</v>
      </c>
      <c r="EP144" t="e">
        <f>AND('BBP complete'!G1651,"AAAAADvf75E=")</f>
        <v>#VALUE!</v>
      </c>
      <c r="EQ144" t="e">
        <f>AND('BBP complete'!#REF!,"AAAAADvf75I=")</f>
        <v>#REF!</v>
      </c>
      <c r="ER144" t="e">
        <f>AND('BBP complete'!#REF!,"AAAAADvf75M=")</f>
        <v>#REF!</v>
      </c>
      <c r="ES144" t="e">
        <f>AND('BBP complete'!#REF!,"AAAAADvf75Q=")</f>
        <v>#REF!</v>
      </c>
      <c r="ET144" t="e">
        <f>AND('BBP complete'!#REF!,"AAAAADvf75U=")</f>
        <v>#REF!</v>
      </c>
      <c r="EU144" t="e">
        <f>AND('BBP complete'!#REF!,"AAAAADvf75Y=")</f>
        <v>#REF!</v>
      </c>
      <c r="EV144" t="e">
        <f>AND('BBP complete'!#REF!,"AAAAADvf75c=")</f>
        <v>#REF!</v>
      </c>
      <c r="EW144" t="e">
        <f>AND('BBP complete'!L1651,"AAAAADvf75g=")</f>
        <v>#VALUE!</v>
      </c>
      <c r="EX144" t="e">
        <f>AND('BBP complete'!C1652,"AAAAADvf75k=")</f>
        <v>#VALUE!</v>
      </c>
      <c r="EY144" t="e">
        <f>AND('BBP complete'!N1652,"AAAAADvf75o=")</f>
        <v>#VALUE!</v>
      </c>
      <c r="EZ144" t="e">
        <f>AND('BBP complete'!P1668,"AAAAADvf75s=")</f>
        <v>#VALUE!</v>
      </c>
      <c r="FA144" t="e">
        <f>AND('BBP complete'!Q1668,"AAAAADvf75w=")</f>
        <v>#VALUE!</v>
      </c>
      <c r="FB144" t="e">
        <f>AND('BBP complete'!R1668,"AAAAADvf750=")</f>
        <v>#VALUE!</v>
      </c>
      <c r="FC144" t="e">
        <f>AND('BBP complete'!S1668,"AAAAADvf754=")</f>
        <v>#VALUE!</v>
      </c>
      <c r="FD144" t="e">
        <f>AND('BBP complete'!A1657,"AAAAADvf758=")</f>
        <v>#VALUE!</v>
      </c>
      <c r="FE144" t="e">
        <f>AND('BBP complete'!B1653,"AAAAADvf76A=")</f>
        <v>#VALUE!</v>
      </c>
      <c r="FF144" t="e">
        <f>AND('BBP complete'!H1653,"AAAAADvf76E=")</f>
        <v>#VALUE!</v>
      </c>
      <c r="FG144" t="e">
        <f>AND('BBP complete'!I1653,"AAAAADvf76I=")</f>
        <v>#VALUE!</v>
      </c>
      <c r="FH144" t="e">
        <f>AND('BBP complete'!G1652,"AAAAADvf76M=")</f>
        <v>#VALUE!</v>
      </c>
      <c r="FI144" t="e">
        <f>AND('BBP complete'!#REF!,"AAAAADvf76Q=")</f>
        <v>#REF!</v>
      </c>
      <c r="FJ144" t="e">
        <f>AND('BBP complete'!#REF!,"AAAAADvf76U=")</f>
        <v>#REF!</v>
      </c>
      <c r="FK144" t="e">
        <f>AND('BBP complete'!#REF!,"AAAAADvf76Y=")</f>
        <v>#REF!</v>
      </c>
      <c r="FL144" t="e">
        <f>AND('BBP complete'!#REF!,"AAAAADvf76c=")</f>
        <v>#REF!</v>
      </c>
      <c r="FM144" t="e">
        <f>AND('BBP complete'!#REF!,"AAAAADvf76g=")</f>
        <v>#REF!</v>
      </c>
      <c r="FN144" t="e">
        <f>AND('BBP complete'!#REF!,"AAAAADvf76k=")</f>
        <v>#REF!</v>
      </c>
      <c r="FO144" t="e">
        <f>AND('BBP complete'!L1652,"AAAAADvf76o=")</f>
        <v>#VALUE!</v>
      </c>
      <c r="FP144" t="e">
        <f>AND('BBP complete'!C1653,"AAAAADvf76s=")</f>
        <v>#VALUE!</v>
      </c>
      <c r="FQ144" t="e">
        <f>AND('BBP complete'!N1653,"AAAAADvf76w=")</f>
        <v>#VALUE!</v>
      </c>
      <c r="FR144" t="e">
        <f>AND('BBP complete'!P1669,"AAAAADvf760=")</f>
        <v>#VALUE!</v>
      </c>
      <c r="FS144" t="e">
        <f>AND('BBP complete'!Q1669,"AAAAADvf764=")</f>
        <v>#VALUE!</v>
      </c>
      <c r="FT144" t="e">
        <f>AND('BBP complete'!R1669,"AAAAADvf768=")</f>
        <v>#VALUE!</v>
      </c>
      <c r="FU144" t="e">
        <f>AND('BBP complete'!S1669,"AAAAADvf77A=")</f>
        <v>#VALUE!</v>
      </c>
      <c r="FV144" t="e">
        <f>AND('BBP complete'!A1658,"AAAAADvf77E=")</f>
        <v>#VALUE!</v>
      </c>
      <c r="FW144" t="e">
        <f>AND('BBP complete'!B1654,"AAAAADvf77I=")</f>
        <v>#VALUE!</v>
      </c>
      <c r="FX144" t="e">
        <f>AND('BBP complete'!H1654,"AAAAADvf77M=")</f>
        <v>#VALUE!</v>
      </c>
      <c r="FY144" t="e">
        <f>AND('BBP complete'!I1654,"AAAAADvf77Q=")</f>
        <v>#VALUE!</v>
      </c>
      <c r="FZ144" t="e">
        <f>AND('BBP complete'!G1653,"AAAAADvf77U=")</f>
        <v>#VALUE!</v>
      </c>
      <c r="GA144" t="e">
        <f>AND('BBP complete'!#REF!,"AAAAADvf77Y=")</f>
        <v>#REF!</v>
      </c>
      <c r="GB144" t="e">
        <f>AND('BBP complete'!#REF!,"AAAAADvf77c=")</f>
        <v>#REF!</v>
      </c>
      <c r="GC144" t="e">
        <f>AND('BBP complete'!#REF!,"AAAAADvf77g=")</f>
        <v>#REF!</v>
      </c>
      <c r="GD144" t="e">
        <f>AND('BBP complete'!#REF!,"AAAAADvf77k=")</f>
        <v>#REF!</v>
      </c>
      <c r="GE144" t="e">
        <f>AND('BBP complete'!#REF!,"AAAAADvf77o=")</f>
        <v>#REF!</v>
      </c>
      <c r="GF144" t="e">
        <f>AND('BBP complete'!#REF!,"AAAAADvf77s=")</f>
        <v>#REF!</v>
      </c>
      <c r="GG144" t="e">
        <f>AND('BBP complete'!L1653,"AAAAADvf77w=")</f>
        <v>#VALUE!</v>
      </c>
      <c r="GH144" t="e">
        <f>AND('BBP complete'!C1654,"AAAAADvf770=")</f>
        <v>#VALUE!</v>
      </c>
      <c r="GI144" t="e">
        <f>AND('BBP complete'!N1654,"AAAAADvf774=")</f>
        <v>#VALUE!</v>
      </c>
      <c r="GJ144" t="e">
        <f>AND('BBP complete'!P1670,"AAAAADvf778=")</f>
        <v>#VALUE!</v>
      </c>
      <c r="GK144" t="e">
        <f>AND('BBP complete'!Q1670,"AAAAADvf78A=")</f>
        <v>#VALUE!</v>
      </c>
      <c r="GL144" t="e">
        <f>AND('BBP complete'!R1670,"AAAAADvf78E=")</f>
        <v>#VALUE!</v>
      </c>
      <c r="GM144" t="e">
        <f>AND('BBP complete'!S1670,"AAAAADvf78I=")</f>
        <v>#VALUE!</v>
      </c>
      <c r="GN144" t="e">
        <f>AND('BBP complete'!A1659,"AAAAADvf78M=")</f>
        <v>#VALUE!</v>
      </c>
      <c r="GO144" t="e">
        <f>AND('BBP complete'!B1655,"AAAAADvf78Q=")</f>
        <v>#VALUE!</v>
      </c>
      <c r="GP144" t="e">
        <f>AND('BBP complete'!H1655,"AAAAADvf78U=")</f>
        <v>#VALUE!</v>
      </c>
      <c r="GQ144" t="e">
        <f>AND('BBP complete'!I1655,"AAAAADvf78Y=")</f>
        <v>#VALUE!</v>
      </c>
      <c r="GR144" t="e">
        <f>AND('BBP complete'!G1654,"AAAAADvf78c=")</f>
        <v>#VALUE!</v>
      </c>
      <c r="GS144" t="e">
        <f>AND('BBP complete'!#REF!,"AAAAADvf78g=")</f>
        <v>#REF!</v>
      </c>
      <c r="GT144" t="e">
        <f>AND('BBP complete'!#REF!,"AAAAADvf78k=")</f>
        <v>#REF!</v>
      </c>
      <c r="GU144" t="e">
        <f>AND('BBP complete'!#REF!,"AAAAADvf78o=")</f>
        <v>#REF!</v>
      </c>
      <c r="GV144" t="e">
        <f>AND('BBP complete'!#REF!,"AAAAADvf78s=")</f>
        <v>#REF!</v>
      </c>
      <c r="GW144" t="e">
        <f>AND('BBP complete'!#REF!,"AAAAADvf78w=")</f>
        <v>#REF!</v>
      </c>
      <c r="GX144" t="e">
        <f>AND('BBP complete'!#REF!,"AAAAADvf780=")</f>
        <v>#REF!</v>
      </c>
      <c r="GY144" t="e">
        <f>AND('BBP complete'!L1654,"AAAAADvf784=")</f>
        <v>#VALUE!</v>
      </c>
      <c r="GZ144" t="e">
        <f>AND('BBP complete'!C1655,"AAAAADvf788=")</f>
        <v>#VALUE!</v>
      </c>
      <c r="HA144" t="e">
        <f>AND('BBP complete'!N1655,"AAAAADvf79A=")</f>
        <v>#VALUE!</v>
      </c>
      <c r="HB144" t="e">
        <f>AND('BBP complete'!P1671,"AAAAADvf79E=")</f>
        <v>#VALUE!</v>
      </c>
      <c r="HC144" t="e">
        <f>AND('BBP complete'!Q1671,"AAAAADvf79I=")</f>
        <v>#VALUE!</v>
      </c>
      <c r="HD144" t="e">
        <f>AND('BBP complete'!R1671,"AAAAADvf79M=")</f>
        <v>#VALUE!</v>
      </c>
      <c r="HE144" t="e">
        <f>AND('BBP complete'!S1671,"AAAAADvf79Q=")</f>
        <v>#VALUE!</v>
      </c>
      <c r="HF144" t="e">
        <f>AND('BBP complete'!A1660,"AAAAADvf79U=")</f>
        <v>#VALUE!</v>
      </c>
      <c r="HG144" t="e">
        <f>AND('BBP complete'!B1656,"AAAAADvf79Y=")</f>
        <v>#VALUE!</v>
      </c>
      <c r="HH144" t="e">
        <f>AND('BBP complete'!H1656,"AAAAADvf79c=")</f>
        <v>#VALUE!</v>
      </c>
      <c r="HI144" t="e">
        <f>AND('BBP complete'!I1656,"AAAAADvf79g=")</f>
        <v>#VALUE!</v>
      </c>
      <c r="HJ144" t="e">
        <f>AND('BBP complete'!G1655,"AAAAADvf79k=")</f>
        <v>#VALUE!</v>
      </c>
      <c r="HK144" t="e">
        <f>AND('BBP complete'!#REF!,"AAAAADvf79o=")</f>
        <v>#REF!</v>
      </c>
      <c r="HL144" t="e">
        <f>AND('BBP complete'!#REF!,"AAAAADvf79s=")</f>
        <v>#REF!</v>
      </c>
      <c r="HM144" t="e">
        <f>AND('BBP complete'!#REF!,"AAAAADvf79w=")</f>
        <v>#REF!</v>
      </c>
      <c r="HN144" t="e">
        <f>AND('BBP complete'!#REF!,"AAAAADvf790=")</f>
        <v>#REF!</v>
      </c>
      <c r="HO144" t="e">
        <f>AND('BBP complete'!#REF!,"AAAAADvf794=")</f>
        <v>#REF!</v>
      </c>
      <c r="HP144" t="e">
        <f>AND('BBP complete'!#REF!,"AAAAADvf798=")</f>
        <v>#REF!</v>
      </c>
      <c r="HQ144" t="e">
        <f>AND('BBP complete'!#REF!,"AAAAADvf7+A=")</f>
        <v>#REF!</v>
      </c>
      <c r="HR144" t="e">
        <f>AND('BBP complete'!#REF!,"AAAAADvf7+E=")</f>
        <v>#REF!</v>
      </c>
      <c r="HS144" t="e">
        <f>AND('BBP complete'!N1656,"AAAAADvf7+I=")</f>
        <v>#VALUE!</v>
      </c>
      <c r="HT144" t="e">
        <f>AND('BBP complete'!P1672,"AAAAADvf7+M=")</f>
        <v>#VALUE!</v>
      </c>
      <c r="HU144" t="e">
        <f>AND('BBP complete'!Q1672,"AAAAADvf7+Q=")</f>
        <v>#VALUE!</v>
      </c>
      <c r="HV144" t="e">
        <f>AND('BBP complete'!R1672,"AAAAADvf7+U=")</f>
        <v>#VALUE!</v>
      </c>
      <c r="HW144" t="e">
        <f>AND('BBP complete'!S1672,"AAAAADvf7+Y=")</f>
        <v>#VALUE!</v>
      </c>
      <c r="HX144" t="e">
        <f>AND('BBP complete'!A1661,"AAAAADvf7+c=")</f>
        <v>#VALUE!</v>
      </c>
      <c r="HY144" t="e">
        <f>AND('BBP complete'!B1657,"AAAAADvf7+g=")</f>
        <v>#VALUE!</v>
      </c>
      <c r="HZ144" t="e">
        <f>AND('BBP complete'!H1657,"AAAAADvf7+k=")</f>
        <v>#VALUE!</v>
      </c>
      <c r="IA144" t="e">
        <f>AND('BBP complete'!I1657,"AAAAADvf7+o=")</f>
        <v>#VALUE!</v>
      </c>
      <c r="IB144" t="e">
        <f>AND('BBP complete'!G1656,"AAAAADvf7+s=")</f>
        <v>#VALUE!</v>
      </c>
      <c r="IC144" t="e">
        <f>AND('BBP complete'!#REF!,"AAAAADvf7+w=")</f>
        <v>#REF!</v>
      </c>
      <c r="ID144" t="e">
        <f>AND('BBP complete'!#REF!,"AAAAADvf7+0=")</f>
        <v>#REF!</v>
      </c>
      <c r="IE144" t="e">
        <f>AND('BBP complete'!#REF!,"AAAAADvf7+4=")</f>
        <v>#REF!</v>
      </c>
      <c r="IF144" t="e">
        <f>AND('BBP complete'!#REF!,"AAAAADvf7+8=")</f>
        <v>#REF!</v>
      </c>
      <c r="IG144" t="e">
        <f>AND('BBP complete'!#REF!,"AAAAADvf7/A=")</f>
        <v>#REF!</v>
      </c>
      <c r="IH144" t="e">
        <f>AND('BBP complete'!#REF!,"AAAAADvf7/E=")</f>
        <v>#REF!</v>
      </c>
      <c r="II144" t="e">
        <f>AND('BBP complete'!L1655,"AAAAADvf7/I=")</f>
        <v>#VALUE!</v>
      </c>
      <c r="IJ144" t="e">
        <f>AND('BBP complete'!C1656,"AAAAADvf7/M=")</f>
        <v>#VALUE!</v>
      </c>
      <c r="IK144" t="e">
        <f>AND('BBP complete'!N1657,"AAAAADvf7/Q=")</f>
        <v>#VALUE!</v>
      </c>
      <c r="IL144" t="e">
        <f>AND('BBP complete'!P1673,"AAAAADvf7/U=")</f>
        <v>#VALUE!</v>
      </c>
      <c r="IM144" t="e">
        <f>AND('BBP complete'!Q1673,"AAAAADvf7/Y=")</f>
        <v>#VALUE!</v>
      </c>
      <c r="IN144" t="e">
        <f>AND('BBP complete'!R1673,"AAAAADvf7/c=")</f>
        <v>#VALUE!</v>
      </c>
      <c r="IO144" t="e">
        <f>AND('BBP complete'!S1673,"AAAAADvf7/g=")</f>
        <v>#VALUE!</v>
      </c>
      <c r="IP144" t="e">
        <f>AND('BBP complete'!A1662,"AAAAADvf7/k=")</f>
        <v>#VALUE!</v>
      </c>
      <c r="IQ144" t="e">
        <f>AND('BBP complete'!B1658,"AAAAADvf7/o=")</f>
        <v>#VALUE!</v>
      </c>
      <c r="IR144" t="e">
        <f>AND('BBP complete'!H1658,"AAAAADvf7/s=")</f>
        <v>#VALUE!</v>
      </c>
      <c r="IS144" t="e">
        <f>AND('BBP complete'!I1658,"AAAAADvf7/w=")</f>
        <v>#VALUE!</v>
      </c>
      <c r="IT144" t="e">
        <f>AND('BBP complete'!G1657,"AAAAADvf7/0=")</f>
        <v>#VALUE!</v>
      </c>
      <c r="IU144" t="e">
        <f>AND('BBP complete'!#REF!,"AAAAADvf7/4=")</f>
        <v>#REF!</v>
      </c>
      <c r="IV144" t="e">
        <f>AND('BBP complete'!#REF!,"AAAAADvf7/8=")</f>
        <v>#REF!</v>
      </c>
    </row>
    <row r="145" spans="1:256" ht="15" customHeight="1" x14ac:dyDescent="0.25">
      <c r="A145" t="e">
        <f>AND('BBP complete'!#REF!,"AAAAAHfD+wA=")</f>
        <v>#REF!</v>
      </c>
      <c r="B145" t="e">
        <f>AND('BBP complete'!#REF!,"AAAAAHfD+wE=")</f>
        <v>#REF!</v>
      </c>
      <c r="C145" t="e">
        <f>AND('BBP complete'!#REF!,"AAAAAHfD+wI=")</f>
        <v>#REF!</v>
      </c>
      <c r="D145" t="e">
        <f>AND('BBP complete'!#REF!,"AAAAAHfD+wM=")</f>
        <v>#REF!</v>
      </c>
      <c r="E145" t="e">
        <f>AND('BBP complete'!L1656,"AAAAAHfD+wQ=")</f>
        <v>#VALUE!</v>
      </c>
      <c r="F145" t="e">
        <f>AND('BBP complete'!C1657,"AAAAAHfD+wU=")</f>
        <v>#VALUE!</v>
      </c>
      <c r="G145" t="e">
        <f>AND('BBP complete'!N1658,"AAAAAHfD+wY=")</f>
        <v>#VALUE!</v>
      </c>
      <c r="H145" t="e">
        <f>AND('BBP complete'!P1674,"AAAAAHfD+wc=")</f>
        <v>#VALUE!</v>
      </c>
      <c r="I145" t="e">
        <f>AND('BBP complete'!Q1674,"AAAAAHfD+wg=")</f>
        <v>#VALUE!</v>
      </c>
      <c r="J145" t="e">
        <f>AND('BBP complete'!R1674,"AAAAAHfD+wk=")</f>
        <v>#VALUE!</v>
      </c>
      <c r="K145" t="e">
        <f>AND('BBP complete'!S1674,"AAAAAHfD+wo=")</f>
        <v>#VALUE!</v>
      </c>
      <c r="L145" t="e">
        <f>AND('BBP complete'!A1663,"AAAAAHfD+ws=")</f>
        <v>#VALUE!</v>
      </c>
      <c r="M145" t="e">
        <f>AND('BBP complete'!B1659,"AAAAAHfD+ww=")</f>
        <v>#VALUE!</v>
      </c>
      <c r="N145" t="e">
        <f>AND('BBP complete'!H1659,"AAAAAHfD+w0=")</f>
        <v>#VALUE!</v>
      </c>
      <c r="O145" t="e">
        <f>AND('BBP complete'!I1659,"AAAAAHfD+w4=")</f>
        <v>#VALUE!</v>
      </c>
      <c r="P145" t="e">
        <f>AND('BBP complete'!G1658,"AAAAAHfD+w8=")</f>
        <v>#VALUE!</v>
      </c>
      <c r="Q145" t="e">
        <f>AND('BBP complete'!#REF!,"AAAAAHfD+xA=")</f>
        <v>#REF!</v>
      </c>
      <c r="R145" t="e">
        <f>AND('BBP complete'!#REF!,"AAAAAHfD+xE=")</f>
        <v>#REF!</v>
      </c>
      <c r="S145" t="e">
        <f>AND('BBP complete'!#REF!,"AAAAAHfD+xI=")</f>
        <v>#REF!</v>
      </c>
      <c r="T145" t="e">
        <f>AND('BBP complete'!#REF!,"AAAAAHfD+xM=")</f>
        <v>#REF!</v>
      </c>
      <c r="U145" t="e">
        <f>AND('BBP complete'!#REF!,"AAAAAHfD+xQ=")</f>
        <v>#REF!</v>
      </c>
      <c r="V145" t="e">
        <f>AND('BBP complete'!#REF!,"AAAAAHfD+xU=")</f>
        <v>#REF!</v>
      </c>
      <c r="W145" t="e">
        <f>AND('BBP complete'!L1657,"AAAAAHfD+xY=")</f>
        <v>#VALUE!</v>
      </c>
      <c r="X145" t="e">
        <f>AND('BBP complete'!C1658,"AAAAAHfD+xc=")</f>
        <v>#VALUE!</v>
      </c>
      <c r="Y145" t="e">
        <f>AND('BBP complete'!N1659,"AAAAAHfD+xg=")</f>
        <v>#VALUE!</v>
      </c>
      <c r="Z145" t="e">
        <f>AND('BBP complete'!P1675,"AAAAAHfD+xk=")</f>
        <v>#VALUE!</v>
      </c>
      <c r="AA145" t="e">
        <f>AND('BBP complete'!Q1675,"AAAAAHfD+xo=")</f>
        <v>#VALUE!</v>
      </c>
      <c r="AB145" t="e">
        <f>AND('BBP complete'!R1675,"AAAAAHfD+xs=")</f>
        <v>#VALUE!</v>
      </c>
      <c r="AC145" t="e">
        <f>AND('BBP complete'!S1675,"AAAAAHfD+xw=")</f>
        <v>#VALUE!</v>
      </c>
      <c r="AD145" t="e">
        <f>AND('BBP complete'!A1664,"AAAAAHfD+x0=")</f>
        <v>#VALUE!</v>
      </c>
      <c r="AE145" t="e">
        <f>AND('BBP complete'!B1660,"AAAAAHfD+x4=")</f>
        <v>#VALUE!</v>
      </c>
      <c r="AF145" t="e">
        <f>AND('BBP complete'!H1660,"AAAAAHfD+x8=")</f>
        <v>#VALUE!</v>
      </c>
      <c r="AG145" t="e">
        <f>AND('BBP complete'!I1660,"AAAAAHfD+yA=")</f>
        <v>#VALUE!</v>
      </c>
      <c r="AH145" t="e">
        <f>AND('BBP complete'!G1659,"AAAAAHfD+yE=")</f>
        <v>#VALUE!</v>
      </c>
      <c r="AI145" t="e">
        <f>AND('BBP complete'!#REF!,"AAAAAHfD+yI=")</f>
        <v>#REF!</v>
      </c>
      <c r="AJ145" t="e">
        <f>AND('BBP complete'!#REF!,"AAAAAHfD+yM=")</f>
        <v>#REF!</v>
      </c>
      <c r="AK145" t="e">
        <f>AND('BBP complete'!#REF!,"AAAAAHfD+yQ=")</f>
        <v>#REF!</v>
      </c>
      <c r="AL145" t="e">
        <f>AND('BBP complete'!#REF!,"AAAAAHfD+yU=")</f>
        <v>#REF!</v>
      </c>
      <c r="AM145" t="e">
        <f>AND('BBP complete'!#REF!,"AAAAAHfD+yY=")</f>
        <v>#REF!</v>
      </c>
      <c r="AN145" t="e">
        <f>AND('BBP complete'!#REF!,"AAAAAHfD+yc=")</f>
        <v>#REF!</v>
      </c>
      <c r="AO145" t="e">
        <f>AND('BBP complete'!#REF!,"AAAAAHfD+yg=")</f>
        <v>#REF!</v>
      </c>
      <c r="AP145" t="e">
        <f>AND('BBP complete'!#REF!,"AAAAAHfD+yk=")</f>
        <v>#REF!</v>
      </c>
      <c r="AQ145" t="e">
        <f>AND('BBP complete'!N1660,"AAAAAHfD+yo=")</f>
        <v>#VALUE!</v>
      </c>
      <c r="AR145" t="e">
        <f>AND('BBP complete'!P1676,"AAAAAHfD+ys=")</f>
        <v>#VALUE!</v>
      </c>
      <c r="AS145" t="e">
        <f>AND('BBP complete'!Q1676,"AAAAAHfD+yw=")</f>
        <v>#VALUE!</v>
      </c>
      <c r="AT145" t="e">
        <f>AND('BBP complete'!R1676,"AAAAAHfD+y0=")</f>
        <v>#VALUE!</v>
      </c>
      <c r="AU145" t="e">
        <f>AND('BBP complete'!S1676,"AAAAAHfD+y4=")</f>
        <v>#VALUE!</v>
      </c>
      <c r="AV145" t="e">
        <f>AND('BBP complete'!A1665,"AAAAAHfD+y8=")</f>
        <v>#VALUE!</v>
      </c>
      <c r="AW145" t="e">
        <f>AND('BBP complete'!B1661,"AAAAAHfD+zA=")</f>
        <v>#VALUE!</v>
      </c>
      <c r="AX145" t="e">
        <f>AND('BBP complete'!H1661,"AAAAAHfD+zE=")</f>
        <v>#VALUE!</v>
      </c>
      <c r="AY145" t="e">
        <f>AND('BBP complete'!I1661,"AAAAAHfD+zI=")</f>
        <v>#VALUE!</v>
      </c>
      <c r="AZ145" t="e">
        <f>AND('BBP complete'!G1660,"AAAAAHfD+zM=")</f>
        <v>#VALUE!</v>
      </c>
      <c r="BA145" t="e">
        <f>AND('BBP complete'!#REF!,"AAAAAHfD+zQ=")</f>
        <v>#REF!</v>
      </c>
      <c r="BB145" t="e">
        <f>AND('BBP complete'!#REF!,"AAAAAHfD+zU=")</f>
        <v>#REF!</v>
      </c>
      <c r="BC145" t="e">
        <f>AND('BBP complete'!#REF!,"AAAAAHfD+zY=")</f>
        <v>#REF!</v>
      </c>
      <c r="BD145" t="e">
        <f>AND('BBP complete'!#REF!,"AAAAAHfD+zc=")</f>
        <v>#REF!</v>
      </c>
      <c r="BE145" t="e">
        <f>AND('BBP complete'!#REF!,"AAAAAHfD+zg=")</f>
        <v>#REF!</v>
      </c>
      <c r="BF145" t="e">
        <f>AND('BBP complete'!#REF!,"AAAAAHfD+zk=")</f>
        <v>#REF!</v>
      </c>
      <c r="BG145" t="e">
        <f>AND('BBP complete'!L1658,"AAAAAHfD+zo=")</f>
        <v>#VALUE!</v>
      </c>
      <c r="BH145" t="e">
        <f>AND('BBP complete'!C1659,"AAAAAHfD+zs=")</f>
        <v>#VALUE!</v>
      </c>
      <c r="BI145" t="e">
        <f>AND('BBP complete'!N1661,"AAAAAHfD+zw=")</f>
        <v>#VALUE!</v>
      </c>
      <c r="BJ145" t="e">
        <f>AND('BBP complete'!P1677,"AAAAAHfD+z0=")</f>
        <v>#VALUE!</v>
      </c>
      <c r="BK145" t="e">
        <f>AND('BBP complete'!Q1677,"AAAAAHfD+z4=")</f>
        <v>#VALUE!</v>
      </c>
      <c r="BL145" t="e">
        <f>AND('BBP complete'!R1677,"AAAAAHfD+z8=")</f>
        <v>#VALUE!</v>
      </c>
      <c r="BM145" t="e">
        <f>AND('BBP complete'!S1677,"AAAAAHfD+0A=")</f>
        <v>#VALUE!</v>
      </c>
      <c r="BN145" t="e">
        <f>AND('BBP complete'!A1666,"AAAAAHfD+0E=")</f>
        <v>#VALUE!</v>
      </c>
      <c r="BO145" t="e">
        <f>AND('BBP complete'!B1662,"AAAAAHfD+0I=")</f>
        <v>#VALUE!</v>
      </c>
      <c r="BP145" t="e">
        <f>AND('BBP complete'!H1662,"AAAAAHfD+0M=")</f>
        <v>#VALUE!</v>
      </c>
      <c r="BQ145" t="e">
        <f>AND('BBP complete'!I1662,"AAAAAHfD+0Q=")</f>
        <v>#VALUE!</v>
      </c>
      <c r="BR145" t="e">
        <f>AND('BBP complete'!G1661,"AAAAAHfD+0U=")</f>
        <v>#VALUE!</v>
      </c>
      <c r="BS145" t="e">
        <f>AND('BBP complete'!#REF!,"AAAAAHfD+0Y=")</f>
        <v>#REF!</v>
      </c>
      <c r="BT145" t="e">
        <f>AND('BBP complete'!#REF!,"AAAAAHfD+0c=")</f>
        <v>#REF!</v>
      </c>
      <c r="BU145" t="e">
        <f>AND('BBP complete'!#REF!,"AAAAAHfD+0g=")</f>
        <v>#REF!</v>
      </c>
      <c r="BV145" t="e">
        <f>AND('BBP complete'!#REF!,"AAAAAHfD+0k=")</f>
        <v>#REF!</v>
      </c>
      <c r="BW145" t="e">
        <f>AND('BBP complete'!#REF!,"AAAAAHfD+0o=")</f>
        <v>#REF!</v>
      </c>
      <c r="BX145" t="e">
        <f>AND('BBP complete'!#REF!,"AAAAAHfD+0s=")</f>
        <v>#REF!</v>
      </c>
      <c r="BY145" t="e">
        <f>AND('BBP complete'!L1659,"AAAAAHfD+0w=")</f>
        <v>#VALUE!</v>
      </c>
      <c r="BZ145" t="e">
        <f>AND('BBP complete'!C1660,"AAAAAHfD+00=")</f>
        <v>#VALUE!</v>
      </c>
      <c r="CA145" t="e">
        <f>AND('BBP complete'!N1662,"AAAAAHfD+04=")</f>
        <v>#VALUE!</v>
      </c>
      <c r="CB145" t="e">
        <f>AND('BBP complete'!P1678,"AAAAAHfD+08=")</f>
        <v>#VALUE!</v>
      </c>
      <c r="CC145" t="e">
        <f>AND('BBP complete'!Q1678,"AAAAAHfD+1A=")</f>
        <v>#VALUE!</v>
      </c>
      <c r="CD145" t="e">
        <f>AND('BBP complete'!R1678,"AAAAAHfD+1E=")</f>
        <v>#VALUE!</v>
      </c>
      <c r="CE145" t="e">
        <f>AND('BBP complete'!S1678,"AAAAAHfD+1I=")</f>
        <v>#VALUE!</v>
      </c>
      <c r="CF145" t="e">
        <f>AND('BBP complete'!A1667,"AAAAAHfD+1M=")</f>
        <v>#VALUE!</v>
      </c>
      <c r="CG145" t="e">
        <f>AND('BBP complete'!B1663,"AAAAAHfD+1Q=")</f>
        <v>#VALUE!</v>
      </c>
      <c r="CH145" t="e">
        <f>AND('BBP complete'!H1663,"AAAAAHfD+1U=")</f>
        <v>#VALUE!</v>
      </c>
      <c r="CI145" t="e">
        <f>AND('BBP complete'!I1663,"AAAAAHfD+1Y=")</f>
        <v>#VALUE!</v>
      </c>
      <c r="CJ145" t="e">
        <f>AND('BBP complete'!G1662,"AAAAAHfD+1c=")</f>
        <v>#VALUE!</v>
      </c>
      <c r="CK145" t="e">
        <f>AND('BBP complete'!#REF!,"AAAAAHfD+1g=")</f>
        <v>#REF!</v>
      </c>
      <c r="CL145" t="e">
        <f>AND('BBP complete'!#REF!,"AAAAAHfD+1k=")</f>
        <v>#REF!</v>
      </c>
      <c r="CM145" t="e">
        <f>AND('BBP complete'!#REF!,"AAAAAHfD+1o=")</f>
        <v>#REF!</v>
      </c>
      <c r="CN145" t="e">
        <f>AND('BBP complete'!#REF!,"AAAAAHfD+1s=")</f>
        <v>#REF!</v>
      </c>
      <c r="CO145" t="e">
        <f>AND('BBP complete'!#REF!,"AAAAAHfD+1w=")</f>
        <v>#REF!</v>
      </c>
      <c r="CP145" t="e">
        <f>AND('BBP complete'!#REF!,"AAAAAHfD+10=")</f>
        <v>#REF!</v>
      </c>
      <c r="CQ145" t="e">
        <f>AND('BBP complete'!L1660,"AAAAAHfD+14=")</f>
        <v>#VALUE!</v>
      </c>
      <c r="CR145" t="e">
        <f>AND('BBP complete'!C1661,"AAAAAHfD+18=")</f>
        <v>#VALUE!</v>
      </c>
      <c r="CS145" t="e">
        <f>AND('BBP complete'!N1663,"AAAAAHfD+2A=")</f>
        <v>#VALUE!</v>
      </c>
      <c r="CT145" t="e">
        <f>AND('BBP complete'!P1679,"AAAAAHfD+2E=")</f>
        <v>#VALUE!</v>
      </c>
      <c r="CU145" t="e">
        <f>AND('BBP complete'!Q1679,"AAAAAHfD+2I=")</f>
        <v>#VALUE!</v>
      </c>
      <c r="CV145" t="e">
        <f>AND('BBP complete'!R1679,"AAAAAHfD+2M=")</f>
        <v>#VALUE!</v>
      </c>
      <c r="CW145" t="e">
        <f>AND('BBP complete'!S1679,"AAAAAHfD+2Q=")</f>
        <v>#VALUE!</v>
      </c>
      <c r="CX145" t="e">
        <f>AND('BBP complete'!A1668,"AAAAAHfD+2U=")</f>
        <v>#VALUE!</v>
      </c>
      <c r="CY145" t="e">
        <f>AND('BBP complete'!B1664,"AAAAAHfD+2Y=")</f>
        <v>#VALUE!</v>
      </c>
      <c r="CZ145" t="e">
        <f>AND('BBP complete'!H1664,"AAAAAHfD+2c=")</f>
        <v>#VALUE!</v>
      </c>
      <c r="DA145" t="e">
        <f>AND('BBP complete'!I1664,"AAAAAHfD+2g=")</f>
        <v>#VALUE!</v>
      </c>
      <c r="DB145" t="e">
        <f>AND('BBP complete'!G1663,"AAAAAHfD+2k=")</f>
        <v>#VALUE!</v>
      </c>
      <c r="DC145" t="e">
        <f>AND('BBP complete'!#REF!,"AAAAAHfD+2o=")</f>
        <v>#REF!</v>
      </c>
      <c r="DD145" t="e">
        <f>AND('BBP complete'!#REF!,"AAAAAHfD+2s=")</f>
        <v>#REF!</v>
      </c>
      <c r="DE145" t="e">
        <f>AND('BBP complete'!#REF!,"AAAAAHfD+2w=")</f>
        <v>#REF!</v>
      </c>
      <c r="DF145" t="e">
        <f>AND('BBP complete'!#REF!,"AAAAAHfD+20=")</f>
        <v>#REF!</v>
      </c>
      <c r="DG145" t="e">
        <f>AND('BBP complete'!#REF!,"AAAAAHfD+24=")</f>
        <v>#REF!</v>
      </c>
      <c r="DH145" t="e">
        <f>AND('BBP complete'!#REF!,"AAAAAHfD+28=")</f>
        <v>#REF!</v>
      </c>
      <c r="DI145" t="e">
        <f>AND('BBP complete'!L1661,"AAAAAHfD+3A=")</f>
        <v>#VALUE!</v>
      </c>
      <c r="DJ145" t="e">
        <f>AND('BBP complete'!C1662,"AAAAAHfD+3E=")</f>
        <v>#VALUE!</v>
      </c>
      <c r="DK145" t="e">
        <f>AND('BBP complete'!N1664,"AAAAAHfD+3I=")</f>
        <v>#VALUE!</v>
      </c>
      <c r="DL145" t="e">
        <f>AND('BBP complete'!P1680,"AAAAAHfD+3M=")</f>
        <v>#VALUE!</v>
      </c>
      <c r="DM145" t="e">
        <f>AND('BBP complete'!Q1680,"AAAAAHfD+3Q=")</f>
        <v>#VALUE!</v>
      </c>
      <c r="DN145" t="e">
        <f>AND('BBP complete'!R1680,"AAAAAHfD+3U=")</f>
        <v>#VALUE!</v>
      </c>
      <c r="DO145" t="e">
        <f>AND('BBP complete'!S1680,"AAAAAHfD+3Y=")</f>
        <v>#VALUE!</v>
      </c>
      <c r="DP145" t="e">
        <f>AND('BBP complete'!A1669,"AAAAAHfD+3c=")</f>
        <v>#VALUE!</v>
      </c>
      <c r="DQ145" t="e">
        <f>AND('BBP complete'!B1665,"AAAAAHfD+3g=")</f>
        <v>#VALUE!</v>
      </c>
      <c r="DR145" t="e">
        <f>AND('BBP complete'!H1665,"AAAAAHfD+3k=")</f>
        <v>#VALUE!</v>
      </c>
      <c r="DS145" t="e">
        <f>AND('BBP complete'!I1665,"AAAAAHfD+3o=")</f>
        <v>#VALUE!</v>
      </c>
      <c r="DT145" t="e">
        <f>AND('BBP complete'!G1664,"AAAAAHfD+3s=")</f>
        <v>#VALUE!</v>
      </c>
      <c r="DU145" t="e">
        <f>AND('BBP complete'!#REF!,"AAAAAHfD+3w=")</f>
        <v>#REF!</v>
      </c>
      <c r="DV145" t="e">
        <f>AND('BBP complete'!#REF!,"AAAAAHfD+30=")</f>
        <v>#REF!</v>
      </c>
      <c r="DW145" t="e">
        <f>AND('BBP complete'!#REF!,"AAAAAHfD+34=")</f>
        <v>#REF!</v>
      </c>
      <c r="DX145" t="e">
        <f>AND('BBP complete'!#REF!,"AAAAAHfD+38=")</f>
        <v>#REF!</v>
      </c>
      <c r="DY145" t="e">
        <f>AND('BBP complete'!#REF!,"AAAAAHfD+4A=")</f>
        <v>#REF!</v>
      </c>
      <c r="DZ145" t="e">
        <f>AND('BBP complete'!#REF!,"AAAAAHfD+4E=")</f>
        <v>#REF!</v>
      </c>
      <c r="EA145" t="e">
        <f>AND('BBP complete'!L1662,"AAAAAHfD+4I=")</f>
        <v>#VALUE!</v>
      </c>
      <c r="EB145" t="e">
        <f>AND('BBP complete'!C1663,"AAAAAHfD+4M=")</f>
        <v>#VALUE!</v>
      </c>
      <c r="EC145" t="e">
        <f>AND('BBP complete'!N1665,"AAAAAHfD+4Q=")</f>
        <v>#VALUE!</v>
      </c>
      <c r="ED145" t="e">
        <f>AND('BBP complete'!P1681,"AAAAAHfD+4U=")</f>
        <v>#VALUE!</v>
      </c>
      <c r="EE145" t="e">
        <f>AND('BBP complete'!Q1681,"AAAAAHfD+4Y=")</f>
        <v>#VALUE!</v>
      </c>
      <c r="EF145" t="e">
        <f>AND('BBP complete'!R1681,"AAAAAHfD+4c=")</f>
        <v>#VALUE!</v>
      </c>
      <c r="EG145" t="e">
        <f>AND('BBP complete'!S1681,"AAAAAHfD+4g=")</f>
        <v>#VALUE!</v>
      </c>
      <c r="EH145" t="e">
        <f>AND('BBP complete'!A1670,"AAAAAHfD+4k=")</f>
        <v>#VALUE!</v>
      </c>
      <c r="EI145" t="e">
        <f>AND('BBP complete'!B1666,"AAAAAHfD+4o=")</f>
        <v>#VALUE!</v>
      </c>
      <c r="EJ145" t="e">
        <f>AND('BBP complete'!H1666,"AAAAAHfD+4s=")</f>
        <v>#VALUE!</v>
      </c>
      <c r="EK145" t="e">
        <f>AND('BBP complete'!I1666,"AAAAAHfD+4w=")</f>
        <v>#VALUE!</v>
      </c>
      <c r="EL145" t="e">
        <f>AND('BBP complete'!G1665,"AAAAAHfD+40=")</f>
        <v>#VALUE!</v>
      </c>
      <c r="EM145" t="e">
        <f>AND('BBP complete'!#REF!,"AAAAAHfD+44=")</f>
        <v>#REF!</v>
      </c>
      <c r="EN145" t="e">
        <f>AND('BBP complete'!#REF!,"AAAAAHfD+48=")</f>
        <v>#REF!</v>
      </c>
      <c r="EO145" t="e">
        <f>AND('BBP complete'!#REF!,"AAAAAHfD+5A=")</f>
        <v>#REF!</v>
      </c>
      <c r="EP145" t="e">
        <f>AND('BBP complete'!#REF!,"AAAAAHfD+5E=")</f>
        <v>#REF!</v>
      </c>
      <c r="EQ145" t="e">
        <f>AND('BBP complete'!#REF!,"AAAAAHfD+5I=")</f>
        <v>#REF!</v>
      </c>
      <c r="ER145" t="e">
        <f>AND('BBP complete'!#REF!,"AAAAAHfD+5M=")</f>
        <v>#REF!</v>
      </c>
      <c r="ES145" t="e">
        <f>AND('BBP complete'!L1663,"AAAAAHfD+5Q=")</f>
        <v>#VALUE!</v>
      </c>
      <c r="ET145" t="e">
        <f>AND('BBP complete'!C1664,"AAAAAHfD+5U=")</f>
        <v>#VALUE!</v>
      </c>
      <c r="EU145" t="e">
        <f>AND('BBP complete'!N1666,"AAAAAHfD+5Y=")</f>
        <v>#VALUE!</v>
      </c>
      <c r="EV145" t="e">
        <f>AND('BBP complete'!P1682,"AAAAAHfD+5c=")</f>
        <v>#VALUE!</v>
      </c>
      <c r="EW145" t="e">
        <f>AND('BBP complete'!Q1682,"AAAAAHfD+5g=")</f>
        <v>#VALUE!</v>
      </c>
      <c r="EX145" t="e">
        <f>AND('BBP complete'!R1682,"AAAAAHfD+5k=")</f>
        <v>#VALUE!</v>
      </c>
      <c r="EY145" t="e">
        <f>AND('BBP complete'!S1682,"AAAAAHfD+5o=")</f>
        <v>#VALUE!</v>
      </c>
      <c r="EZ145" t="e">
        <f>AND('BBP complete'!A1671,"AAAAAHfD+5s=")</f>
        <v>#VALUE!</v>
      </c>
      <c r="FA145" t="e">
        <f>AND('BBP complete'!B1667,"AAAAAHfD+5w=")</f>
        <v>#VALUE!</v>
      </c>
      <c r="FB145" t="e">
        <f>AND('BBP complete'!H1667,"AAAAAHfD+50=")</f>
        <v>#VALUE!</v>
      </c>
      <c r="FC145" t="e">
        <f>AND('BBP complete'!I1667,"AAAAAHfD+54=")</f>
        <v>#VALUE!</v>
      </c>
      <c r="FD145" t="e">
        <f>AND('BBP complete'!G1666,"AAAAAHfD+58=")</f>
        <v>#VALUE!</v>
      </c>
      <c r="FE145" t="e">
        <f>AND('BBP complete'!#REF!,"AAAAAHfD+6A=")</f>
        <v>#REF!</v>
      </c>
      <c r="FF145" t="e">
        <f>AND('BBP complete'!#REF!,"AAAAAHfD+6E=")</f>
        <v>#REF!</v>
      </c>
      <c r="FG145" t="e">
        <f>AND('BBP complete'!#REF!,"AAAAAHfD+6I=")</f>
        <v>#REF!</v>
      </c>
      <c r="FH145" t="e">
        <f>AND('BBP complete'!#REF!,"AAAAAHfD+6M=")</f>
        <v>#REF!</v>
      </c>
      <c r="FI145" t="e">
        <f>AND('BBP complete'!#REF!,"AAAAAHfD+6Q=")</f>
        <v>#REF!</v>
      </c>
      <c r="FJ145" t="e">
        <f>AND('BBP complete'!#REF!,"AAAAAHfD+6U=")</f>
        <v>#REF!</v>
      </c>
      <c r="FK145" t="e">
        <f>AND('BBP complete'!L1664,"AAAAAHfD+6Y=")</f>
        <v>#VALUE!</v>
      </c>
      <c r="FL145" t="e">
        <f>AND('BBP complete'!C1665,"AAAAAHfD+6c=")</f>
        <v>#VALUE!</v>
      </c>
      <c r="FM145" t="e">
        <f>AND('BBP complete'!N1667,"AAAAAHfD+6g=")</f>
        <v>#VALUE!</v>
      </c>
      <c r="FN145" t="e">
        <f>AND('BBP complete'!P1683,"AAAAAHfD+6k=")</f>
        <v>#VALUE!</v>
      </c>
      <c r="FO145" t="e">
        <f>AND('BBP complete'!Q1683,"AAAAAHfD+6o=")</f>
        <v>#VALUE!</v>
      </c>
      <c r="FP145" t="e">
        <f>AND('BBP complete'!R1683,"AAAAAHfD+6s=")</f>
        <v>#VALUE!</v>
      </c>
      <c r="FQ145" t="e">
        <f>AND('BBP complete'!S1683,"AAAAAHfD+6w=")</f>
        <v>#VALUE!</v>
      </c>
      <c r="FR145" t="e">
        <f>AND('BBP complete'!A1672,"AAAAAHfD+60=")</f>
        <v>#VALUE!</v>
      </c>
      <c r="FS145" t="e">
        <f>AND('BBP complete'!B1668,"AAAAAHfD+64=")</f>
        <v>#VALUE!</v>
      </c>
      <c r="FT145" t="e">
        <f>AND('BBP complete'!H1668,"AAAAAHfD+68=")</f>
        <v>#VALUE!</v>
      </c>
      <c r="FU145" t="e">
        <f>AND('BBP complete'!I1668,"AAAAAHfD+7A=")</f>
        <v>#VALUE!</v>
      </c>
      <c r="FV145" t="e">
        <f>AND('BBP complete'!G1667,"AAAAAHfD+7E=")</f>
        <v>#VALUE!</v>
      </c>
      <c r="FW145" t="e">
        <f>AND('BBP complete'!#REF!,"AAAAAHfD+7I=")</f>
        <v>#REF!</v>
      </c>
      <c r="FX145" t="e">
        <f>AND('BBP complete'!#REF!,"AAAAAHfD+7M=")</f>
        <v>#REF!</v>
      </c>
      <c r="FY145" t="e">
        <f>AND('BBP complete'!#REF!,"AAAAAHfD+7Q=")</f>
        <v>#REF!</v>
      </c>
      <c r="FZ145" t="e">
        <f>AND('BBP complete'!#REF!,"AAAAAHfD+7U=")</f>
        <v>#REF!</v>
      </c>
      <c r="GA145" t="e">
        <f>AND('BBP complete'!#REF!,"AAAAAHfD+7Y=")</f>
        <v>#REF!</v>
      </c>
      <c r="GB145" t="e">
        <f>AND('BBP complete'!#REF!,"AAAAAHfD+7c=")</f>
        <v>#REF!</v>
      </c>
      <c r="GC145" t="e">
        <f>AND('BBP complete'!L1665,"AAAAAHfD+7g=")</f>
        <v>#VALUE!</v>
      </c>
      <c r="GD145" t="e">
        <f>AND('BBP complete'!C1666,"AAAAAHfD+7k=")</f>
        <v>#VALUE!</v>
      </c>
      <c r="GE145" t="e">
        <f>AND('BBP complete'!N1668,"AAAAAHfD+7o=")</f>
        <v>#VALUE!</v>
      </c>
      <c r="GF145" t="e">
        <f>AND('BBP complete'!P1684,"AAAAAHfD+7s=")</f>
        <v>#VALUE!</v>
      </c>
      <c r="GG145" t="e">
        <f>AND('BBP complete'!Q1684,"AAAAAHfD+7w=")</f>
        <v>#VALUE!</v>
      </c>
      <c r="GH145" t="e">
        <f>AND('BBP complete'!R1684,"AAAAAHfD+70=")</f>
        <v>#VALUE!</v>
      </c>
      <c r="GI145" t="e">
        <f>AND('BBP complete'!S1684,"AAAAAHfD+74=")</f>
        <v>#VALUE!</v>
      </c>
      <c r="GJ145" t="e">
        <f>AND('BBP complete'!A1673,"AAAAAHfD+78=")</f>
        <v>#VALUE!</v>
      </c>
      <c r="GK145" t="e">
        <f>AND('BBP complete'!B1669,"AAAAAHfD+8A=")</f>
        <v>#VALUE!</v>
      </c>
      <c r="GL145" t="e">
        <f>AND('BBP complete'!H1669,"AAAAAHfD+8E=")</f>
        <v>#VALUE!</v>
      </c>
      <c r="GM145" t="e">
        <f>AND('BBP complete'!I1669,"AAAAAHfD+8I=")</f>
        <v>#VALUE!</v>
      </c>
      <c r="GN145" t="e">
        <f>AND('BBP complete'!G1668,"AAAAAHfD+8M=")</f>
        <v>#VALUE!</v>
      </c>
      <c r="GO145" t="e">
        <f>AND('BBP complete'!#REF!,"AAAAAHfD+8Q=")</f>
        <v>#REF!</v>
      </c>
      <c r="GP145" t="e">
        <f>AND('BBP complete'!#REF!,"AAAAAHfD+8U=")</f>
        <v>#REF!</v>
      </c>
      <c r="GQ145" t="e">
        <f>AND('BBP complete'!#REF!,"AAAAAHfD+8Y=")</f>
        <v>#REF!</v>
      </c>
      <c r="GR145" t="e">
        <f>AND('BBP complete'!#REF!,"AAAAAHfD+8c=")</f>
        <v>#REF!</v>
      </c>
      <c r="GS145" t="e">
        <f>AND('BBP complete'!#REF!,"AAAAAHfD+8g=")</f>
        <v>#REF!</v>
      </c>
      <c r="GT145" t="e">
        <f>AND('BBP complete'!#REF!,"AAAAAHfD+8k=")</f>
        <v>#REF!</v>
      </c>
      <c r="GU145" t="e">
        <f>AND('BBP complete'!L1666,"AAAAAHfD+8o=")</f>
        <v>#VALUE!</v>
      </c>
      <c r="GV145" t="e">
        <f>AND('BBP complete'!C1667,"AAAAAHfD+8s=")</f>
        <v>#VALUE!</v>
      </c>
      <c r="GW145" t="e">
        <f>AND('BBP complete'!N1669,"AAAAAHfD+8w=")</f>
        <v>#VALUE!</v>
      </c>
      <c r="GX145" t="e">
        <f>AND('BBP complete'!P1685,"AAAAAHfD+80=")</f>
        <v>#VALUE!</v>
      </c>
      <c r="GY145" t="e">
        <f>AND('BBP complete'!Q1685,"AAAAAHfD+84=")</f>
        <v>#VALUE!</v>
      </c>
      <c r="GZ145" t="e">
        <f>AND('BBP complete'!R1685,"AAAAAHfD+88=")</f>
        <v>#VALUE!</v>
      </c>
      <c r="HA145" t="e">
        <f>AND('BBP complete'!S1685,"AAAAAHfD+9A=")</f>
        <v>#VALUE!</v>
      </c>
      <c r="HB145" t="e">
        <f>AND('BBP complete'!A1674,"AAAAAHfD+9E=")</f>
        <v>#VALUE!</v>
      </c>
      <c r="HC145" t="e">
        <f>AND('BBP complete'!B1670,"AAAAAHfD+9I=")</f>
        <v>#VALUE!</v>
      </c>
      <c r="HD145" t="e">
        <f>AND('BBP complete'!H1670,"AAAAAHfD+9M=")</f>
        <v>#VALUE!</v>
      </c>
      <c r="HE145" t="e">
        <f>AND('BBP complete'!I1670,"AAAAAHfD+9Q=")</f>
        <v>#VALUE!</v>
      </c>
      <c r="HF145" t="e">
        <f>AND('BBP complete'!G1669,"AAAAAHfD+9U=")</f>
        <v>#VALUE!</v>
      </c>
      <c r="HG145" t="e">
        <f>AND('BBP complete'!#REF!,"AAAAAHfD+9Y=")</f>
        <v>#REF!</v>
      </c>
      <c r="HH145" t="e">
        <f>AND('BBP complete'!#REF!,"AAAAAHfD+9c=")</f>
        <v>#REF!</v>
      </c>
      <c r="HI145" t="e">
        <f>AND('BBP complete'!#REF!,"AAAAAHfD+9g=")</f>
        <v>#REF!</v>
      </c>
      <c r="HJ145" t="e">
        <f>AND('BBP complete'!#REF!,"AAAAAHfD+9k=")</f>
        <v>#REF!</v>
      </c>
      <c r="HK145" t="e">
        <f>AND('BBP complete'!#REF!,"AAAAAHfD+9o=")</f>
        <v>#REF!</v>
      </c>
      <c r="HL145" t="e">
        <f>AND('BBP complete'!#REF!,"AAAAAHfD+9s=")</f>
        <v>#REF!</v>
      </c>
      <c r="HM145" t="e">
        <f>AND('BBP complete'!L1667,"AAAAAHfD+9w=")</f>
        <v>#VALUE!</v>
      </c>
      <c r="HN145" t="e">
        <f>AND('BBP complete'!C1668,"AAAAAHfD+90=")</f>
        <v>#VALUE!</v>
      </c>
      <c r="HO145" t="e">
        <f>AND('BBP complete'!N1670,"AAAAAHfD+94=")</f>
        <v>#VALUE!</v>
      </c>
      <c r="HP145" t="e">
        <f>AND('BBP complete'!P1686,"AAAAAHfD+98=")</f>
        <v>#VALUE!</v>
      </c>
      <c r="HQ145" t="e">
        <f>AND('BBP complete'!Q1686,"AAAAAHfD++A=")</f>
        <v>#VALUE!</v>
      </c>
      <c r="HR145" t="e">
        <f>AND('BBP complete'!R1686,"AAAAAHfD++E=")</f>
        <v>#VALUE!</v>
      </c>
      <c r="HS145" t="e">
        <f>AND('BBP complete'!S1686,"AAAAAHfD++I=")</f>
        <v>#VALUE!</v>
      </c>
      <c r="HT145" t="e">
        <f>AND('BBP complete'!A1675,"AAAAAHfD++M=")</f>
        <v>#VALUE!</v>
      </c>
      <c r="HU145" t="e">
        <f>AND('BBP complete'!B1671,"AAAAAHfD++Q=")</f>
        <v>#VALUE!</v>
      </c>
      <c r="HV145" t="e">
        <f>AND('BBP complete'!H1671,"AAAAAHfD++U=")</f>
        <v>#VALUE!</v>
      </c>
      <c r="HW145" t="e">
        <f>AND('BBP complete'!I1671,"AAAAAHfD++Y=")</f>
        <v>#VALUE!</v>
      </c>
      <c r="HX145" t="e">
        <f>AND('BBP complete'!G1670,"AAAAAHfD++c=")</f>
        <v>#VALUE!</v>
      </c>
      <c r="HY145" t="e">
        <f>AND('BBP complete'!#REF!,"AAAAAHfD++g=")</f>
        <v>#REF!</v>
      </c>
      <c r="HZ145" t="e">
        <f>AND('BBP complete'!#REF!,"AAAAAHfD++k=")</f>
        <v>#REF!</v>
      </c>
      <c r="IA145" t="e">
        <f>AND('BBP complete'!#REF!,"AAAAAHfD++o=")</f>
        <v>#REF!</v>
      </c>
      <c r="IB145" t="e">
        <f>AND('BBP complete'!#REF!,"AAAAAHfD++s=")</f>
        <v>#REF!</v>
      </c>
      <c r="IC145" t="e">
        <f>AND('BBP complete'!#REF!,"AAAAAHfD++w=")</f>
        <v>#REF!</v>
      </c>
      <c r="ID145" t="e">
        <f>AND('BBP complete'!#REF!,"AAAAAHfD++0=")</f>
        <v>#REF!</v>
      </c>
      <c r="IE145" t="e">
        <f>AND('BBP complete'!L1668,"AAAAAHfD++4=")</f>
        <v>#VALUE!</v>
      </c>
      <c r="IF145" t="e">
        <f>AND('BBP complete'!C1669,"AAAAAHfD++8=")</f>
        <v>#VALUE!</v>
      </c>
      <c r="IG145" t="e">
        <f>AND('BBP complete'!N1671,"AAAAAHfD+/A=")</f>
        <v>#VALUE!</v>
      </c>
      <c r="IH145" t="e">
        <f>AND('BBP complete'!P1687,"AAAAAHfD+/E=")</f>
        <v>#VALUE!</v>
      </c>
      <c r="II145" t="e">
        <f>AND('BBP complete'!Q1687,"AAAAAHfD+/I=")</f>
        <v>#VALUE!</v>
      </c>
      <c r="IJ145" t="e">
        <f>AND('BBP complete'!R1687,"AAAAAHfD+/M=")</f>
        <v>#VALUE!</v>
      </c>
      <c r="IK145" t="e">
        <f>AND('BBP complete'!S1687,"AAAAAHfD+/Q=")</f>
        <v>#VALUE!</v>
      </c>
      <c r="IL145" t="e">
        <f>AND('BBP complete'!A1676,"AAAAAHfD+/U=")</f>
        <v>#VALUE!</v>
      </c>
      <c r="IM145" t="e">
        <f>AND('BBP complete'!B1672,"AAAAAHfD+/Y=")</f>
        <v>#VALUE!</v>
      </c>
      <c r="IN145" t="e">
        <f>AND('BBP complete'!H1672,"AAAAAHfD+/c=")</f>
        <v>#VALUE!</v>
      </c>
      <c r="IO145" t="e">
        <f>AND('BBP complete'!I1672,"AAAAAHfD+/g=")</f>
        <v>#VALUE!</v>
      </c>
      <c r="IP145" t="e">
        <f>AND('BBP complete'!G1671,"AAAAAHfD+/k=")</f>
        <v>#VALUE!</v>
      </c>
      <c r="IQ145" t="e">
        <f>AND('BBP complete'!#REF!,"AAAAAHfD+/o=")</f>
        <v>#REF!</v>
      </c>
      <c r="IR145" t="e">
        <f>AND('BBP complete'!#REF!,"AAAAAHfD+/s=")</f>
        <v>#REF!</v>
      </c>
      <c r="IS145" t="e">
        <f>AND('BBP complete'!#REF!,"AAAAAHfD+/w=")</f>
        <v>#REF!</v>
      </c>
      <c r="IT145" t="e">
        <f>AND('BBP complete'!#REF!,"AAAAAHfD+/0=")</f>
        <v>#REF!</v>
      </c>
      <c r="IU145" t="e">
        <f>AND('BBP complete'!#REF!,"AAAAAHfD+/4=")</f>
        <v>#REF!</v>
      </c>
      <c r="IV145" t="e">
        <f>AND('BBP complete'!#REF!,"AAAAAHfD+/8=")</f>
        <v>#REF!</v>
      </c>
    </row>
    <row r="146" spans="1:256" ht="15" customHeight="1" x14ac:dyDescent="0.25">
      <c r="A146" t="e">
        <f>AND('BBP complete'!L1669,"AAAAAH8v6gA=")</f>
        <v>#VALUE!</v>
      </c>
      <c r="B146" t="e">
        <f>AND('BBP complete'!C1670,"AAAAAH8v6gE=")</f>
        <v>#VALUE!</v>
      </c>
      <c r="C146" t="e">
        <f>AND('BBP complete'!N1672,"AAAAAH8v6gI=")</f>
        <v>#VALUE!</v>
      </c>
      <c r="D146" t="e">
        <f>AND('BBP complete'!P1688,"AAAAAH8v6gM=")</f>
        <v>#VALUE!</v>
      </c>
      <c r="E146" t="e">
        <f>AND('BBP complete'!Q1688,"AAAAAH8v6gQ=")</f>
        <v>#VALUE!</v>
      </c>
      <c r="F146" t="e">
        <f>AND('BBP complete'!R1688,"AAAAAH8v6gU=")</f>
        <v>#VALUE!</v>
      </c>
      <c r="G146" t="e">
        <f>AND('BBP complete'!S1688,"AAAAAH8v6gY=")</f>
        <v>#VALUE!</v>
      </c>
      <c r="H146" t="e">
        <f>AND('BBP complete'!A1677,"AAAAAH8v6gc=")</f>
        <v>#VALUE!</v>
      </c>
      <c r="I146" t="e">
        <f>AND('BBP complete'!B1673,"AAAAAH8v6gg=")</f>
        <v>#VALUE!</v>
      </c>
      <c r="J146" t="e">
        <f>AND('BBP complete'!H1673,"AAAAAH8v6gk=")</f>
        <v>#VALUE!</v>
      </c>
      <c r="K146" t="e">
        <f>AND('BBP complete'!I1673,"AAAAAH8v6go=")</f>
        <v>#VALUE!</v>
      </c>
      <c r="L146" t="e">
        <f>AND('BBP complete'!G1672,"AAAAAH8v6gs=")</f>
        <v>#VALUE!</v>
      </c>
      <c r="M146" t="e">
        <f>AND('BBP complete'!#REF!,"AAAAAH8v6gw=")</f>
        <v>#REF!</v>
      </c>
      <c r="N146" t="e">
        <f>AND('BBP complete'!#REF!,"AAAAAH8v6g0=")</f>
        <v>#REF!</v>
      </c>
      <c r="O146" t="e">
        <f>AND('BBP complete'!#REF!,"AAAAAH8v6g4=")</f>
        <v>#REF!</v>
      </c>
      <c r="P146" t="e">
        <f>AND('BBP complete'!#REF!,"AAAAAH8v6g8=")</f>
        <v>#REF!</v>
      </c>
      <c r="Q146" t="e">
        <f>AND('BBP complete'!#REF!,"AAAAAH8v6hA=")</f>
        <v>#REF!</v>
      </c>
      <c r="R146" t="e">
        <f>AND('BBP complete'!#REF!,"AAAAAH8v6hE=")</f>
        <v>#REF!</v>
      </c>
      <c r="S146" t="e">
        <f>AND('BBP complete'!L1670,"AAAAAH8v6hI=")</f>
        <v>#VALUE!</v>
      </c>
      <c r="T146" t="e">
        <f>AND('BBP complete'!C1671,"AAAAAH8v6hM=")</f>
        <v>#VALUE!</v>
      </c>
      <c r="U146" t="e">
        <f>AND('BBP complete'!N1673,"AAAAAH8v6hQ=")</f>
        <v>#VALUE!</v>
      </c>
      <c r="V146" t="e">
        <f>AND('BBP complete'!P1689,"AAAAAH8v6hU=")</f>
        <v>#VALUE!</v>
      </c>
      <c r="W146" t="e">
        <f>AND('BBP complete'!Q1689,"AAAAAH8v6hY=")</f>
        <v>#VALUE!</v>
      </c>
      <c r="X146" t="e">
        <f>AND('BBP complete'!R1689,"AAAAAH8v6hc=")</f>
        <v>#VALUE!</v>
      </c>
      <c r="Y146" t="e">
        <f>AND('BBP complete'!S1689,"AAAAAH8v6hg=")</f>
        <v>#VALUE!</v>
      </c>
      <c r="Z146" t="e">
        <f>AND('BBP complete'!A1678,"AAAAAH8v6hk=")</f>
        <v>#VALUE!</v>
      </c>
      <c r="AA146" t="e">
        <f>AND('BBP complete'!B1674,"AAAAAH8v6ho=")</f>
        <v>#VALUE!</v>
      </c>
      <c r="AB146" t="e">
        <f>AND('BBP complete'!H1674,"AAAAAH8v6hs=")</f>
        <v>#VALUE!</v>
      </c>
      <c r="AC146" t="e">
        <f>AND('BBP complete'!I1674,"AAAAAH8v6hw=")</f>
        <v>#VALUE!</v>
      </c>
      <c r="AD146" t="e">
        <f>AND('BBP complete'!G1673,"AAAAAH8v6h0=")</f>
        <v>#VALUE!</v>
      </c>
      <c r="AE146" t="e">
        <f>AND('BBP complete'!#REF!,"AAAAAH8v6h4=")</f>
        <v>#REF!</v>
      </c>
      <c r="AF146" t="e">
        <f>AND('BBP complete'!#REF!,"AAAAAH8v6h8=")</f>
        <v>#REF!</v>
      </c>
      <c r="AG146" t="e">
        <f>AND('BBP complete'!#REF!,"AAAAAH8v6iA=")</f>
        <v>#REF!</v>
      </c>
      <c r="AH146" t="e">
        <f>AND('BBP complete'!#REF!,"AAAAAH8v6iE=")</f>
        <v>#REF!</v>
      </c>
      <c r="AI146" t="e">
        <f>AND('BBP complete'!#REF!,"AAAAAH8v6iI=")</f>
        <v>#REF!</v>
      </c>
      <c r="AJ146" t="e">
        <f>AND('BBP complete'!#REF!,"AAAAAH8v6iM=")</f>
        <v>#REF!</v>
      </c>
      <c r="AK146" t="e">
        <f>AND('BBP complete'!L1671,"AAAAAH8v6iQ=")</f>
        <v>#VALUE!</v>
      </c>
      <c r="AL146" t="e">
        <f>AND('BBP complete'!C1672,"AAAAAH8v6iU=")</f>
        <v>#VALUE!</v>
      </c>
      <c r="AM146" t="e">
        <f>AND('BBP complete'!N1674,"AAAAAH8v6iY=")</f>
        <v>#VALUE!</v>
      </c>
      <c r="AN146" t="e">
        <f>AND('BBP complete'!P1690,"AAAAAH8v6ic=")</f>
        <v>#VALUE!</v>
      </c>
      <c r="AO146" t="e">
        <f>AND('BBP complete'!Q1690,"AAAAAH8v6ig=")</f>
        <v>#VALUE!</v>
      </c>
      <c r="AP146" t="e">
        <f>AND('BBP complete'!R1690,"AAAAAH8v6ik=")</f>
        <v>#VALUE!</v>
      </c>
      <c r="AQ146" t="e">
        <f>AND('BBP complete'!S1690,"AAAAAH8v6io=")</f>
        <v>#VALUE!</v>
      </c>
      <c r="AR146" t="e">
        <f>AND('BBP complete'!A1679,"AAAAAH8v6is=")</f>
        <v>#VALUE!</v>
      </c>
      <c r="AS146" t="e">
        <f>AND('BBP complete'!B1675,"AAAAAH8v6iw=")</f>
        <v>#VALUE!</v>
      </c>
      <c r="AT146" t="e">
        <f>AND('BBP complete'!H1675,"AAAAAH8v6i0=")</f>
        <v>#VALUE!</v>
      </c>
      <c r="AU146" t="e">
        <f>AND('BBP complete'!I1675,"AAAAAH8v6i4=")</f>
        <v>#VALUE!</v>
      </c>
      <c r="AV146" t="e">
        <f>AND('BBP complete'!G1674,"AAAAAH8v6i8=")</f>
        <v>#VALUE!</v>
      </c>
      <c r="AW146" t="e">
        <f>AND('BBP complete'!#REF!,"AAAAAH8v6jA=")</f>
        <v>#REF!</v>
      </c>
      <c r="AX146" t="e">
        <f>AND('BBP complete'!#REF!,"AAAAAH8v6jE=")</f>
        <v>#REF!</v>
      </c>
      <c r="AY146" t="e">
        <f>AND('BBP complete'!#REF!,"AAAAAH8v6jI=")</f>
        <v>#REF!</v>
      </c>
      <c r="AZ146" t="e">
        <f>AND('BBP complete'!#REF!,"AAAAAH8v6jM=")</f>
        <v>#REF!</v>
      </c>
      <c r="BA146" t="e">
        <f>AND('BBP complete'!#REF!,"AAAAAH8v6jQ=")</f>
        <v>#REF!</v>
      </c>
      <c r="BB146" t="e">
        <f>AND('BBP complete'!#REF!,"AAAAAH8v6jU=")</f>
        <v>#REF!</v>
      </c>
      <c r="BC146" t="e">
        <f>AND('BBP complete'!L1672,"AAAAAH8v6jY=")</f>
        <v>#VALUE!</v>
      </c>
      <c r="BD146" t="e">
        <f>AND('BBP complete'!C1673,"AAAAAH8v6jc=")</f>
        <v>#VALUE!</v>
      </c>
      <c r="BE146" t="e">
        <f>AND('BBP complete'!N1675,"AAAAAH8v6jg=")</f>
        <v>#VALUE!</v>
      </c>
      <c r="BF146" t="e">
        <f>AND('BBP complete'!P1691,"AAAAAH8v6jk=")</f>
        <v>#VALUE!</v>
      </c>
      <c r="BG146" t="e">
        <f>AND('BBP complete'!Q1691,"AAAAAH8v6jo=")</f>
        <v>#VALUE!</v>
      </c>
      <c r="BH146" t="e">
        <f>AND('BBP complete'!R1691,"AAAAAH8v6js=")</f>
        <v>#VALUE!</v>
      </c>
      <c r="BI146" t="e">
        <f>AND('BBP complete'!S1691,"AAAAAH8v6jw=")</f>
        <v>#VALUE!</v>
      </c>
      <c r="BJ146" t="e">
        <f>AND('BBP complete'!A1680,"AAAAAH8v6j0=")</f>
        <v>#VALUE!</v>
      </c>
      <c r="BK146" t="e">
        <f>AND('BBP complete'!B1676,"AAAAAH8v6j4=")</f>
        <v>#VALUE!</v>
      </c>
      <c r="BL146" t="e">
        <f>AND('BBP complete'!H1676,"AAAAAH8v6j8=")</f>
        <v>#VALUE!</v>
      </c>
      <c r="BM146" t="e">
        <f>AND('BBP complete'!I1676,"AAAAAH8v6kA=")</f>
        <v>#VALUE!</v>
      </c>
      <c r="BN146" t="e">
        <f>AND('BBP complete'!G1675,"AAAAAH8v6kE=")</f>
        <v>#VALUE!</v>
      </c>
      <c r="BO146" t="e">
        <f>AND('BBP complete'!#REF!,"AAAAAH8v6kI=")</f>
        <v>#REF!</v>
      </c>
      <c r="BP146" t="e">
        <f>AND('BBP complete'!#REF!,"AAAAAH8v6kM=")</f>
        <v>#REF!</v>
      </c>
      <c r="BQ146" t="e">
        <f>AND('BBP complete'!#REF!,"AAAAAH8v6kQ=")</f>
        <v>#REF!</v>
      </c>
      <c r="BR146" t="e">
        <f>AND('BBP complete'!#REF!,"AAAAAH8v6kU=")</f>
        <v>#REF!</v>
      </c>
      <c r="BS146" t="e">
        <f>AND('BBP complete'!#REF!,"AAAAAH8v6kY=")</f>
        <v>#REF!</v>
      </c>
      <c r="BT146" t="e">
        <f>AND('BBP complete'!#REF!,"AAAAAH8v6kc=")</f>
        <v>#REF!</v>
      </c>
      <c r="BU146" t="e">
        <f>AND('BBP complete'!L1673,"AAAAAH8v6kg=")</f>
        <v>#VALUE!</v>
      </c>
      <c r="BV146" t="e">
        <f>AND('BBP complete'!C1674,"AAAAAH8v6kk=")</f>
        <v>#VALUE!</v>
      </c>
      <c r="BW146" t="e">
        <f>AND('BBP complete'!N1676,"AAAAAH8v6ko=")</f>
        <v>#VALUE!</v>
      </c>
      <c r="BX146" t="e">
        <f>AND('BBP complete'!P1692,"AAAAAH8v6ks=")</f>
        <v>#VALUE!</v>
      </c>
      <c r="BY146" t="e">
        <f>AND('BBP complete'!Q1692,"AAAAAH8v6kw=")</f>
        <v>#VALUE!</v>
      </c>
      <c r="BZ146" t="e">
        <f>AND('BBP complete'!R1692,"AAAAAH8v6k0=")</f>
        <v>#VALUE!</v>
      </c>
      <c r="CA146" t="e">
        <f>AND('BBP complete'!S1692,"AAAAAH8v6k4=")</f>
        <v>#VALUE!</v>
      </c>
      <c r="CB146" t="e">
        <f>AND('BBP complete'!A1681,"AAAAAH8v6k8=")</f>
        <v>#VALUE!</v>
      </c>
      <c r="CC146" t="e">
        <f>AND('BBP complete'!B1677,"AAAAAH8v6lA=")</f>
        <v>#VALUE!</v>
      </c>
      <c r="CD146" t="e">
        <f>AND('BBP complete'!H1677,"AAAAAH8v6lE=")</f>
        <v>#VALUE!</v>
      </c>
      <c r="CE146" t="e">
        <f>AND('BBP complete'!I1677,"AAAAAH8v6lI=")</f>
        <v>#VALUE!</v>
      </c>
      <c r="CF146" t="e">
        <f>AND('BBP complete'!G1676,"AAAAAH8v6lM=")</f>
        <v>#VALUE!</v>
      </c>
      <c r="CG146" t="e">
        <f>AND('BBP complete'!#REF!,"AAAAAH8v6lQ=")</f>
        <v>#REF!</v>
      </c>
      <c r="CH146" t="e">
        <f>AND('BBP complete'!#REF!,"AAAAAH8v6lU=")</f>
        <v>#REF!</v>
      </c>
      <c r="CI146" t="e">
        <f>AND('BBP complete'!#REF!,"AAAAAH8v6lY=")</f>
        <v>#REF!</v>
      </c>
      <c r="CJ146" t="e">
        <f>AND('BBP complete'!#REF!,"AAAAAH8v6lc=")</f>
        <v>#REF!</v>
      </c>
      <c r="CK146" t="e">
        <f>AND('BBP complete'!#REF!,"AAAAAH8v6lg=")</f>
        <v>#REF!</v>
      </c>
      <c r="CL146" t="e">
        <f>AND('BBP complete'!#REF!,"AAAAAH8v6lk=")</f>
        <v>#REF!</v>
      </c>
      <c r="CM146" t="e">
        <f>AND('BBP complete'!L1674,"AAAAAH8v6lo=")</f>
        <v>#VALUE!</v>
      </c>
      <c r="CN146" t="e">
        <f>AND('BBP complete'!C1675,"AAAAAH8v6ls=")</f>
        <v>#VALUE!</v>
      </c>
      <c r="CO146" t="e">
        <f>AND('BBP complete'!N1677,"AAAAAH8v6lw=")</f>
        <v>#VALUE!</v>
      </c>
      <c r="CP146" t="e">
        <f>AND('BBP complete'!P1693,"AAAAAH8v6l0=")</f>
        <v>#VALUE!</v>
      </c>
      <c r="CQ146" t="e">
        <f>AND('BBP complete'!Q1693,"AAAAAH8v6l4=")</f>
        <v>#VALUE!</v>
      </c>
      <c r="CR146" t="e">
        <f>AND('BBP complete'!R1693,"AAAAAH8v6l8=")</f>
        <v>#VALUE!</v>
      </c>
      <c r="CS146" t="e">
        <f>AND('BBP complete'!S1693,"AAAAAH8v6mA=")</f>
        <v>#VALUE!</v>
      </c>
      <c r="CT146" t="e">
        <f>AND('BBP complete'!A1682,"AAAAAH8v6mE=")</f>
        <v>#VALUE!</v>
      </c>
      <c r="CU146" t="e">
        <f>AND('BBP complete'!B1678,"AAAAAH8v6mI=")</f>
        <v>#VALUE!</v>
      </c>
      <c r="CV146" t="e">
        <f>AND('BBP complete'!H1678,"AAAAAH8v6mM=")</f>
        <v>#VALUE!</v>
      </c>
      <c r="CW146" t="e">
        <f>AND('BBP complete'!I1678,"AAAAAH8v6mQ=")</f>
        <v>#VALUE!</v>
      </c>
      <c r="CX146" t="e">
        <f>AND('BBP complete'!G1677,"AAAAAH8v6mU=")</f>
        <v>#VALUE!</v>
      </c>
      <c r="CY146" t="e">
        <f>AND('BBP complete'!#REF!,"AAAAAH8v6mY=")</f>
        <v>#REF!</v>
      </c>
      <c r="CZ146" t="e">
        <f>AND('BBP complete'!#REF!,"AAAAAH8v6mc=")</f>
        <v>#REF!</v>
      </c>
      <c r="DA146" t="e">
        <f>AND('BBP complete'!#REF!,"AAAAAH8v6mg=")</f>
        <v>#REF!</v>
      </c>
      <c r="DB146" t="e">
        <f>AND('BBP complete'!#REF!,"AAAAAH8v6mk=")</f>
        <v>#REF!</v>
      </c>
      <c r="DC146" t="e">
        <f>AND('BBP complete'!#REF!,"AAAAAH8v6mo=")</f>
        <v>#REF!</v>
      </c>
      <c r="DD146" t="e">
        <f>AND('BBP complete'!#REF!,"AAAAAH8v6ms=")</f>
        <v>#REF!</v>
      </c>
      <c r="DE146" t="e">
        <f>AND('BBP complete'!L1675,"AAAAAH8v6mw=")</f>
        <v>#VALUE!</v>
      </c>
      <c r="DF146" t="e">
        <f>AND('BBP complete'!C1676,"AAAAAH8v6m0=")</f>
        <v>#VALUE!</v>
      </c>
      <c r="DG146" t="e">
        <f>AND('BBP complete'!N1678,"AAAAAH8v6m4=")</f>
        <v>#VALUE!</v>
      </c>
      <c r="DH146" t="e">
        <f>AND('BBP complete'!P1694,"AAAAAH8v6m8=")</f>
        <v>#VALUE!</v>
      </c>
      <c r="DI146" t="e">
        <f>AND('BBP complete'!Q1694,"AAAAAH8v6nA=")</f>
        <v>#VALUE!</v>
      </c>
      <c r="DJ146" t="e">
        <f>AND('BBP complete'!R1694,"AAAAAH8v6nE=")</f>
        <v>#VALUE!</v>
      </c>
      <c r="DK146" t="e">
        <f>AND('BBP complete'!S1694,"AAAAAH8v6nI=")</f>
        <v>#VALUE!</v>
      </c>
      <c r="DL146" t="e">
        <f>AND('BBP complete'!A1683,"AAAAAH8v6nM=")</f>
        <v>#VALUE!</v>
      </c>
      <c r="DM146" t="e">
        <f>AND('BBP complete'!B1679,"AAAAAH8v6nQ=")</f>
        <v>#VALUE!</v>
      </c>
      <c r="DN146" t="e">
        <f>AND('BBP complete'!H1679,"AAAAAH8v6nU=")</f>
        <v>#VALUE!</v>
      </c>
      <c r="DO146" t="e">
        <f>AND('BBP complete'!I1679,"AAAAAH8v6nY=")</f>
        <v>#VALUE!</v>
      </c>
      <c r="DP146" t="e">
        <f>AND('BBP complete'!G1678,"AAAAAH8v6nc=")</f>
        <v>#VALUE!</v>
      </c>
      <c r="DQ146" t="e">
        <f>AND('BBP complete'!#REF!,"AAAAAH8v6ng=")</f>
        <v>#REF!</v>
      </c>
      <c r="DR146" t="e">
        <f>AND('BBP complete'!#REF!,"AAAAAH8v6nk=")</f>
        <v>#REF!</v>
      </c>
      <c r="DS146" t="e">
        <f>AND('BBP complete'!#REF!,"AAAAAH8v6no=")</f>
        <v>#REF!</v>
      </c>
      <c r="DT146" t="e">
        <f>AND('BBP complete'!#REF!,"AAAAAH8v6ns=")</f>
        <v>#REF!</v>
      </c>
      <c r="DU146" t="e">
        <f>AND('BBP complete'!#REF!,"AAAAAH8v6nw=")</f>
        <v>#REF!</v>
      </c>
      <c r="DV146" t="e">
        <f>AND('BBP complete'!#REF!,"AAAAAH8v6n0=")</f>
        <v>#REF!</v>
      </c>
      <c r="DW146" t="e">
        <f>AND('BBP complete'!L1676,"AAAAAH8v6n4=")</f>
        <v>#VALUE!</v>
      </c>
      <c r="DX146" t="e">
        <f>AND('BBP complete'!C1677,"AAAAAH8v6n8=")</f>
        <v>#VALUE!</v>
      </c>
      <c r="DY146" t="e">
        <f>AND('BBP complete'!N1679,"AAAAAH8v6oA=")</f>
        <v>#VALUE!</v>
      </c>
      <c r="DZ146" t="e">
        <f>AND('BBP complete'!P1695,"AAAAAH8v6oE=")</f>
        <v>#VALUE!</v>
      </c>
      <c r="EA146" t="e">
        <f>AND('BBP complete'!Q1695,"AAAAAH8v6oI=")</f>
        <v>#VALUE!</v>
      </c>
      <c r="EB146" t="e">
        <f>AND('BBP complete'!R1695,"AAAAAH8v6oM=")</f>
        <v>#VALUE!</v>
      </c>
      <c r="EC146" t="e">
        <f>AND('BBP complete'!S1695,"AAAAAH8v6oQ=")</f>
        <v>#VALUE!</v>
      </c>
      <c r="ED146" t="e">
        <f>AND('BBP complete'!A1684,"AAAAAH8v6oU=")</f>
        <v>#VALUE!</v>
      </c>
      <c r="EE146" t="e">
        <f>AND('BBP complete'!B1680,"AAAAAH8v6oY=")</f>
        <v>#VALUE!</v>
      </c>
      <c r="EF146" t="e">
        <f>AND('BBP complete'!H1680,"AAAAAH8v6oc=")</f>
        <v>#VALUE!</v>
      </c>
      <c r="EG146" t="e">
        <f>AND('BBP complete'!I1680,"AAAAAH8v6og=")</f>
        <v>#VALUE!</v>
      </c>
      <c r="EH146" t="e">
        <f>AND('BBP complete'!G1679,"AAAAAH8v6ok=")</f>
        <v>#VALUE!</v>
      </c>
      <c r="EI146" t="e">
        <f>AND('BBP complete'!#REF!,"AAAAAH8v6oo=")</f>
        <v>#REF!</v>
      </c>
      <c r="EJ146" t="e">
        <f>AND('BBP complete'!#REF!,"AAAAAH8v6os=")</f>
        <v>#REF!</v>
      </c>
      <c r="EK146" t="e">
        <f>AND('BBP complete'!#REF!,"AAAAAH8v6ow=")</f>
        <v>#REF!</v>
      </c>
      <c r="EL146" t="e">
        <f>AND('BBP complete'!#REF!,"AAAAAH8v6o0=")</f>
        <v>#REF!</v>
      </c>
      <c r="EM146" t="e">
        <f>AND('BBP complete'!#REF!,"AAAAAH8v6o4=")</f>
        <v>#REF!</v>
      </c>
      <c r="EN146" t="e">
        <f>AND('BBP complete'!#REF!,"AAAAAH8v6o8=")</f>
        <v>#REF!</v>
      </c>
      <c r="EO146" t="e">
        <f>AND('BBP complete'!L1677,"AAAAAH8v6pA=")</f>
        <v>#VALUE!</v>
      </c>
      <c r="EP146" t="e">
        <f>AND('BBP complete'!C1678,"AAAAAH8v6pE=")</f>
        <v>#VALUE!</v>
      </c>
      <c r="EQ146" t="e">
        <f>AND('BBP complete'!N1680,"AAAAAH8v6pI=")</f>
        <v>#VALUE!</v>
      </c>
      <c r="ER146" t="e">
        <f>AND('BBP complete'!P1696,"AAAAAH8v6pM=")</f>
        <v>#VALUE!</v>
      </c>
      <c r="ES146" t="e">
        <f>AND('BBP complete'!Q1696,"AAAAAH8v6pQ=")</f>
        <v>#VALUE!</v>
      </c>
      <c r="ET146" t="e">
        <f>AND('BBP complete'!R1696,"AAAAAH8v6pU=")</f>
        <v>#VALUE!</v>
      </c>
      <c r="EU146" t="e">
        <f>AND('BBP complete'!S1696,"AAAAAH8v6pY=")</f>
        <v>#VALUE!</v>
      </c>
      <c r="EV146" t="e">
        <f>AND('BBP complete'!A1685,"AAAAAH8v6pc=")</f>
        <v>#VALUE!</v>
      </c>
      <c r="EW146" t="e">
        <f>AND('BBP complete'!B1681,"AAAAAH8v6pg=")</f>
        <v>#VALUE!</v>
      </c>
      <c r="EX146" t="e">
        <f>AND('BBP complete'!H1681,"AAAAAH8v6pk=")</f>
        <v>#VALUE!</v>
      </c>
      <c r="EY146" t="e">
        <f>AND('BBP complete'!I1681,"AAAAAH8v6po=")</f>
        <v>#VALUE!</v>
      </c>
      <c r="EZ146" t="e">
        <f>AND('BBP complete'!G1680,"AAAAAH8v6ps=")</f>
        <v>#VALUE!</v>
      </c>
      <c r="FA146" t="e">
        <f>AND('BBP complete'!#REF!,"AAAAAH8v6pw=")</f>
        <v>#REF!</v>
      </c>
      <c r="FB146" t="e">
        <f>AND('BBP complete'!#REF!,"AAAAAH8v6p0=")</f>
        <v>#REF!</v>
      </c>
      <c r="FC146" t="e">
        <f>AND('BBP complete'!#REF!,"AAAAAH8v6p4=")</f>
        <v>#REF!</v>
      </c>
      <c r="FD146" t="e">
        <f>AND('BBP complete'!#REF!,"AAAAAH8v6p8=")</f>
        <v>#REF!</v>
      </c>
      <c r="FE146" t="e">
        <f>AND('BBP complete'!#REF!,"AAAAAH8v6qA=")</f>
        <v>#REF!</v>
      </c>
      <c r="FF146" t="e">
        <f>AND('BBP complete'!#REF!,"AAAAAH8v6qE=")</f>
        <v>#REF!</v>
      </c>
      <c r="FG146" t="e">
        <f>AND('BBP complete'!L1678,"AAAAAH8v6qI=")</f>
        <v>#VALUE!</v>
      </c>
      <c r="FH146" t="e">
        <f>AND('BBP complete'!C1679,"AAAAAH8v6qM=")</f>
        <v>#VALUE!</v>
      </c>
      <c r="FI146" t="e">
        <f>AND('BBP complete'!N1681,"AAAAAH8v6qQ=")</f>
        <v>#VALUE!</v>
      </c>
      <c r="FJ146" t="e">
        <f>AND('BBP complete'!P1697,"AAAAAH8v6qU=")</f>
        <v>#VALUE!</v>
      </c>
      <c r="FK146" t="e">
        <f>AND('BBP complete'!Q1697,"AAAAAH8v6qY=")</f>
        <v>#VALUE!</v>
      </c>
      <c r="FL146" t="e">
        <f>AND('BBP complete'!R1697,"AAAAAH8v6qc=")</f>
        <v>#VALUE!</v>
      </c>
      <c r="FM146" t="e">
        <f>AND('BBP complete'!S1697,"AAAAAH8v6qg=")</f>
        <v>#VALUE!</v>
      </c>
      <c r="FN146" t="e">
        <f>AND('BBP complete'!A1686,"AAAAAH8v6qk=")</f>
        <v>#VALUE!</v>
      </c>
      <c r="FO146" t="e">
        <f>AND('BBP complete'!B1682,"AAAAAH8v6qo=")</f>
        <v>#VALUE!</v>
      </c>
      <c r="FP146" t="e">
        <f>AND('BBP complete'!H1682,"AAAAAH8v6qs=")</f>
        <v>#VALUE!</v>
      </c>
      <c r="FQ146" t="e">
        <f>AND('BBP complete'!I1682,"AAAAAH8v6qw=")</f>
        <v>#VALUE!</v>
      </c>
      <c r="FR146" t="e">
        <f>AND('BBP complete'!G1681,"AAAAAH8v6q0=")</f>
        <v>#VALUE!</v>
      </c>
      <c r="FS146" t="e">
        <f>AND('BBP complete'!#REF!,"AAAAAH8v6q4=")</f>
        <v>#REF!</v>
      </c>
      <c r="FT146" t="e">
        <f>AND('BBP complete'!#REF!,"AAAAAH8v6q8=")</f>
        <v>#REF!</v>
      </c>
      <c r="FU146" t="e">
        <f>AND('BBP complete'!#REF!,"AAAAAH8v6rA=")</f>
        <v>#REF!</v>
      </c>
      <c r="FV146" t="e">
        <f>AND('BBP complete'!#REF!,"AAAAAH8v6rE=")</f>
        <v>#REF!</v>
      </c>
      <c r="FW146" t="e">
        <f>AND('BBP complete'!#REF!,"AAAAAH8v6rI=")</f>
        <v>#REF!</v>
      </c>
      <c r="FX146" t="e">
        <f>AND('BBP complete'!#REF!,"AAAAAH8v6rM=")</f>
        <v>#REF!</v>
      </c>
      <c r="FY146" t="e">
        <f>AND('BBP complete'!L1679,"AAAAAH8v6rQ=")</f>
        <v>#VALUE!</v>
      </c>
      <c r="FZ146" t="e">
        <f>AND('BBP complete'!C1680,"AAAAAH8v6rU=")</f>
        <v>#VALUE!</v>
      </c>
      <c r="GA146" t="e">
        <f>AND('BBP complete'!N1682,"AAAAAH8v6rY=")</f>
        <v>#VALUE!</v>
      </c>
      <c r="GB146" t="e">
        <f>AND('BBP complete'!P1698,"AAAAAH8v6rc=")</f>
        <v>#VALUE!</v>
      </c>
      <c r="GC146" t="e">
        <f>AND('BBP complete'!Q1698,"AAAAAH8v6rg=")</f>
        <v>#VALUE!</v>
      </c>
      <c r="GD146" t="e">
        <f>AND('BBP complete'!R1698,"AAAAAH8v6rk=")</f>
        <v>#VALUE!</v>
      </c>
      <c r="GE146" t="e">
        <f>AND('BBP complete'!S1698,"AAAAAH8v6ro=")</f>
        <v>#VALUE!</v>
      </c>
      <c r="GF146" t="e">
        <f>AND('BBP complete'!A1687,"AAAAAH8v6rs=")</f>
        <v>#VALUE!</v>
      </c>
      <c r="GG146" t="e">
        <f>AND('BBP complete'!B1683,"AAAAAH8v6rw=")</f>
        <v>#VALUE!</v>
      </c>
      <c r="GH146" t="e">
        <f>AND('BBP complete'!H1683,"AAAAAH8v6r0=")</f>
        <v>#VALUE!</v>
      </c>
      <c r="GI146" t="e">
        <f>AND('BBP complete'!I1683,"AAAAAH8v6r4=")</f>
        <v>#VALUE!</v>
      </c>
      <c r="GJ146" t="e">
        <f>AND('BBP complete'!G1682,"AAAAAH8v6r8=")</f>
        <v>#VALUE!</v>
      </c>
      <c r="GK146" t="e">
        <f>AND('BBP complete'!#REF!,"AAAAAH8v6sA=")</f>
        <v>#REF!</v>
      </c>
      <c r="GL146" t="e">
        <f>AND('BBP complete'!#REF!,"AAAAAH8v6sE=")</f>
        <v>#REF!</v>
      </c>
      <c r="GM146" t="e">
        <f>AND('BBP complete'!#REF!,"AAAAAH8v6sI=")</f>
        <v>#REF!</v>
      </c>
      <c r="GN146" t="e">
        <f>AND('BBP complete'!#REF!,"AAAAAH8v6sM=")</f>
        <v>#REF!</v>
      </c>
      <c r="GO146" t="e">
        <f>AND('BBP complete'!#REF!,"AAAAAH8v6sQ=")</f>
        <v>#REF!</v>
      </c>
      <c r="GP146" t="e">
        <f>AND('BBP complete'!#REF!,"AAAAAH8v6sU=")</f>
        <v>#REF!</v>
      </c>
      <c r="GQ146" t="e">
        <f>AND('BBP complete'!L1680,"AAAAAH8v6sY=")</f>
        <v>#VALUE!</v>
      </c>
      <c r="GR146" t="e">
        <f>AND('BBP complete'!C1681,"AAAAAH8v6sc=")</f>
        <v>#VALUE!</v>
      </c>
      <c r="GS146" t="e">
        <f>AND('BBP complete'!N1683,"AAAAAH8v6sg=")</f>
        <v>#VALUE!</v>
      </c>
      <c r="GT146" t="e">
        <f>AND('BBP complete'!P1699,"AAAAAH8v6sk=")</f>
        <v>#VALUE!</v>
      </c>
      <c r="GU146" t="e">
        <f>AND('BBP complete'!Q1699,"AAAAAH8v6so=")</f>
        <v>#VALUE!</v>
      </c>
      <c r="GV146" t="e">
        <f>AND('BBP complete'!R1699,"AAAAAH8v6ss=")</f>
        <v>#VALUE!</v>
      </c>
      <c r="GW146" t="e">
        <f>AND('BBP complete'!S1699,"AAAAAH8v6sw=")</f>
        <v>#VALUE!</v>
      </c>
      <c r="GX146" t="e">
        <f>AND('BBP complete'!A1688,"AAAAAH8v6s0=")</f>
        <v>#VALUE!</v>
      </c>
      <c r="GY146" t="e">
        <f>AND('BBP complete'!B1684,"AAAAAH8v6s4=")</f>
        <v>#VALUE!</v>
      </c>
      <c r="GZ146" t="e">
        <f>AND('BBP complete'!H1684,"AAAAAH8v6s8=")</f>
        <v>#VALUE!</v>
      </c>
      <c r="HA146" t="e">
        <f>AND('BBP complete'!I1684,"AAAAAH8v6tA=")</f>
        <v>#VALUE!</v>
      </c>
      <c r="HB146" t="e">
        <f>AND('BBP complete'!G1683,"AAAAAH8v6tE=")</f>
        <v>#VALUE!</v>
      </c>
      <c r="HC146" t="e">
        <f>AND('BBP complete'!#REF!,"AAAAAH8v6tI=")</f>
        <v>#REF!</v>
      </c>
      <c r="HD146" t="e">
        <f>AND('BBP complete'!#REF!,"AAAAAH8v6tM=")</f>
        <v>#REF!</v>
      </c>
      <c r="HE146" t="e">
        <f>AND('BBP complete'!#REF!,"AAAAAH8v6tQ=")</f>
        <v>#REF!</v>
      </c>
      <c r="HF146" t="e">
        <f>AND('BBP complete'!#REF!,"AAAAAH8v6tU=")</f>
        <v>#REF!</v>
      </c>
      <c r="HG146" t="e">
        <f>AND('BBP complete'!#REF!,"AAAAAH8v6tY=")</f>
        <v>#REF!</v>
      </c>
      <c r="HH146" t="e">
        <f>AND('BBP complete'!#REF!,"AAAAAH8v6tc=")</f>
        <v>#REF!</v>
      </c>
      <c r="HI146" t="e">
        <f>AND('BBP complete'!L1681,"AAAAAH8v6tg=")</f>
        <v>#VALUE!</v>
      </c>
      <c r="HJ146" t="e">
        <f>AND('BBP complete'!C1682,"AAAAAH8v6tk=")</f>
        <v>#VALUE!</v>
      </c>
      <c r="HK146" t="e">
        <f>AND('BBP complete'!N1684,"AAAAAH8v6to=")</f>
        <v>#VALUE!</v>
      </c>
      <c r="HL146" t="e">
        <f>AND('BBP complete'!P1700,"AAAAAH8v6ts=")</f>
        <v>#VALUE!</v>
      </c>
      <c r="HM146" t="e">
        <f>AND('BBP complete'!Q1700,"AAAAAH8v6tw=")</f>
        <v>#VALUE!</v>
      </c>
      <c r="HN146" t="e">
        <f>AND('BBP complete'!R1700,"AAAAAH8v6t0=")</f>
        <v>#VALUE!</v>
      </c>
      <c r="HO146" t="e">
        <f>AND('BBP complete'!S1700,"AAAAAH8v6t4=")</f>
        <v>#VALUE!</v>
      </c>
      <c r="HP146" t="e">
        <f>AND('BBP complete'!A1689,"AAAAAH8v6t8=")</f>
        <v>#VALUE!</v>
      </c>
      <c r="HQ146" t="e">
        <f>AND('BBP complete'!B1685,"AAAAAH8v6uA=")</f>
        <v>#VALUE!</v>
      </c>
      <c r="HR146" t="e">
        <f>AND('BBP complete'!H1685,"AAAAAH8v6uE=")</f>
        <v>#VALUE!</v>
      </c>
      <c r="HS146" t="e">
        <f>AND('BBP complete'!I1685,"AAAAAH8v6uI=")</f>
        <v>#VALUE!</v>
      </c>
      <c r="HT146" t="e">
        <f>AND('BBP complete'!G1684,"AAAAAH8v6uM=")</f>
        <v>#VALUE!</v>
      </c>
      <c r="HU146" t="e">
        <f>AND('BBP complete'!#REF!,"AAAAAH8v6uQ=")</f>
        <v>#REF!</v>
      </c>
      <c r="HV146" t="e">
        <f>AND('BBP complete'!#REF!,"AAAAAH8v6uU=")</f>
        <v>#REF!</v>
      </c>
      <c r="HW146" t="e">
        <f>AND('BBP complete'!#REF!,"AAAAAH8v6uY=")</f>
        <v>#REF!</v>
      </c>
      <c r="HX146" t="e">
        <f>AND('BBP complete'!#REF!,"AAAAAH8v6uc=")</f>
        <v>#REF!</v>
      </c>
      <c r="HY146" t="e">
        <f>AND('BBP complete'!#REF!,"AAAAAH8v6ug=")</f>
        <v>#REF!</v>
      </c>
      <c r="HZ146" t="e">
        <f>AND('BBP complete'!#REF!,"AAAAAH8v6uk=")</f>
        <v>#REF!</v>
      </c>
      <c r="IA146" t="e">
        <f>AND('BBP complete'!L1682,"AAAAAH8v6uo=")</f>
        <v>#VALUE!</v>
      </c>
      <c r="IB146" t="e">
        <f>AND('BBP complete'!C1683,"AAAAAH8v6us=")</f>
        <v>#VALUE!</v>
      </c>
      <c r="IC146" t="e">
        <f>AND('BBP complete'!N1685,"AAAAAH8v6uw=")</f>
        <v>#VALUE!</v>
      </c>
      <c r="ID146" t="e">
        <f>AND('BBP complete'!P1701,"AAAAAH8v6u0=")</f>
        <v>#VALUE!</v>
      </c>
      <c r="IE146" t="e">
        <f>AND('BBP complete'!Q1701,"AAAAAH8v6u4=")</f>
        <v>#VALUE!</v>
      </c>
      <c r="IF146" t="e">
        <f>AND('BBP complete'!R1701,"AAAAAH8v6u8=")</f>
        <v>#VALUE!</v>
      </c>
      <c r="IG146" t="e">
        <f>AND('BBP complete'!S1701,"AAAAAH8v6vA=")</f>
        <v>#VALUE!</v>
      </c>
      <c r="IH146" t="e">
        <f>AND('BBP complete'!A1690,"AAAAAH8v6vE=")</f>
        <v>#VALUE!</v>
      </c>
      <c r="II146" t="e">
        <f>AND('BBP complete'!B1686,"AAAAAH8v6vI=")</f>
        <v>#VALUE!</v>
      </c>
      <c r="IJ146" t="e">
        <f>AND('BBP complete'!H1686,"AAAAAH8v6vM=")</f>
        <v>#VALUE!</v>
      </c>
      <c r="IK146" t="e">
        <f>AND('BBP complete'!I1686,"AAAAAH8v6vQ=")</f>
        <v>#VALUE!</v>
      </c>
      <c r="IL146" t="e">
        <f>AND('BBP complete'!G1685,"AAAAAH8v6vU=")</f>
        <v>#VALUE!</v>
      </c>
      <c r="IM146" t="e">
        <f>AND('BBP complete'!#REF!,"AAAAAH8v6vY=")</f>
        <v>#REF!</v>
      </c>
      <c r="IN146" t="e">
        <f>AND('BBP complete'!#REF!,"AAAAAH8v6vc=")</f>
        <v>#REF!</v>
      </c>
      <c r="IO146" t="e">
        <f>AND('BBP complete'!#REF!,"AAAAAH8v6vg=")</f>
        <v>#REF!</v>
      </c>
      <c r="IP146" t="e">
        <f>AND('BBP complete'!#REF!,"AAAAAH8v6vk=")</f>
        <v>#REF!</v>
      </c>
      <c r="IQ146" t="e">
        <f>AND('BBP complete'!#REF!,"AAAAAH8v6vo=")</f>
        <v>#REF!</v>
      </c>
      <c r="IR146" t="e">
        <f>AND('BBP complete'!#REF!,"AAAAAH8v6vs=")</f>
        <v>#REF!</v>
      </c>
      <c r="IS146" t="e">
        <f>AND('BBP complete'!L1683,"AAAAAH8v6vw=")</f>
        <v>#VALUE!</v>
      </c>
      <c r="IT146" t="e">
        <f>AND('BBP complete'!C1684,"AAAAAH8v6v0=")</f>
        <v>#VALUE!</v>
      </c>
      <c r="IU146" t="e">
        <f>AND('BBP complete'!N1686,"AAAAAH8v6v4=")</f>
        <v>#VALUE!</v>
      </c>
      <c r="IV146" t="e">
        <f>AND('BBP complete'!P1702,"AAAAAH8v6v8=")</f>
        <v>#VALUE!</v>
      </c>
    </row>
    <row r="147" spans="1:256" ht="15" customHeight="1" x14ac:dyDescent="0.25">
      <c r="A147" t="e">
        <f>AND('BBP complete'!Q1702,"AAAAAH8//gA=")</f>
        <v>#VALUE!</v>
      </c>
      <c r="B147" t="e">
        <f>AND('BBP complete'!R1702,"AAAAAH8//gE=")</f>
        <v>#VALUE!</v>
      </c>
      <c r="C147" t="e">
        <f>AND('BBP complete'!S1702,"AAAAAH8//gI=")</f>
        <v>#VALUE!</v>
      </c>
      <c r="D147" t="e">
        <f>AND('BBP complete'!A1691,"AAAAAH8//gM=")</f>
        <v>#VALUE!</v>
      </c>
      <c r="E147" t="e">
        <f>AND('BBP complete'!B1687,"AAAAAH8//gQ=")</f>
        <v>#VALUE!</v>
      </c>
      <c r="F147" t="e">
        <f>AND('BBP complete'!H1687,"AAAAAH8//gU=")</f>
        <v>#VALUE!</v>
      </c>
      <c r="G147" t="e">
        <f>AND('BBP complete'!I1687,"AAAAAH8//gY=")</f>
        <v>#VALUE!</v>
      </c>
      <c r="H147" t="e">
        <f>AND('BBP complete'!G1686,"AAAAAH8//gc=")</f>
        <v>#VALUE!</v>
      </c>
      <c r="I147" t="e">
        <f>AND('BBP complete'!#REF!,"AAAAAH8//gg=")</f>
        <v>#REF!</v>
      </c>
      <c r="J147" t="e">
        <f>AND('BBP complete'!#REF!,"AAAAAH8//gk=")</f>
        <v>#REF!</v>
      </c>
      <c r="K147" t="e">
        <f>AND('BBP complete'!#REF!,"AAAAAH8//go=")</f>
        <v>#REF!</v>
      </c>
      <c r="L147" t="e">
        <f>AND('BBP complete'!#REF!,"AAAAAH8//gs=")</f>
        <v>#REF!</v>
      </c>
      <c r="M147" t="e">
        <f>AND('BBP complete'!#REF!,"AAAAAH8//gw=")</f>
        <v>#REF!</v>
      </c>
      <c r="N147" t="e">
        <f>AND('BBP complete'!#REF!,"AAAAAH8//g0=")</f>
        <v>#REF!</v>
      </c>
      <c r="O147" t="e">
        <f>AND('BBP complete'!L1684,"AAAAAH8//g4=")</f>
        <v>#VALUE!</v>
      </c>
      <c r="P147" t="e">
        <f>AND('BBP complete'!C1685,"AAAAAH8//g8=")</f>
        <v>#VALUE!</v>
      </c>
      <c r="Q147" t="e">
        <f>AND('BBP complete'!N1687,"AAAAAH8//hA=")</f>
        <v>#VALUE!</v>
      </c>
      <c r="R147" t="e">
        <f>AND('BBP complete'!P1703,"AAAAAH8//hE=")</f>
        <v>#VALUE!</v>
      </c>
      <c r="S147" t="e">
        <f>AND('BBP complete'!Q1703,"AAAAAH8//hI=")</f>
        <v>#VALUE!</v>
      </c>
      <c r="T147" t="e">
        <f>AND('BBP complete'!R1703,"AAAAAH8//hM=")</f>
        <v>#VALUE!</v>
      </c>
      <c r="U147" t="e">
        <f>AND('BBP complete'!S1703,"AAAAAH8//hQ=")</f>
        <v>#VALUE!</v>
      </c>
      <c r="V147" t="e">
        <f>AND('BBP complete'!A1692,"AAAAAH8//hU=")</f>
        <v>#VALUE!</v>
      </c>
      <c r="W147" t="e">
        <f>AND('BBP complete'!B1688,"AAAAAH8//hY=")</f>
        <v>#VALUE!</v>
      </c>
      <c r="X147" t="e">
        <f>AND('BBP complete'!H1688,"AAAAAH8//hc=")</f>
        <v>#VALUE!</v>
      </c>
      <c r="Y147" t="e">
        <f>AND('BBP complete'!I1688,"AAAAAH8//hg=")</f>
        <v>#VALUE!</v>
      </c>
      <c r="Z147" t="e">
        <f>AND('BBP complete'!G1687,"AAAAAH8//hk=")</f>
        <v>#VALUE!</v>
      </c>
      <c r="AA147" t="e">
        <f>AND('BBP complete'!#REF!,"AAAAAH8//ho=")</f>
        <v>#REF!</v>
      </c>
      <c r="AB147" t="e">
        <f>AND('BBP complete'!#REF!,"AAAAAH8//hs=")</f>
        <v>#REF!</v>
      </c>
      <c r="AC147" t="e">
        <f>AND('BBP complete'!#REF!,"AAAAAH8//hw=")</f>
        <v>#REF!</v>
      </c>
      <c r="AD147" t="e">
        <f>AND('BBP complete'!#REF!,"AAAAAH8//h0=")</f>
        <v>#REF!</v>
      </c>
      <c r="AE147" t="e">
        <f>AND('BBP complete'!#REF!,"AAAAAH8//h4=")</f>
        <v>#REF!</v>
      </c>
      <c r="AF147" t="e">
        <f>AND('BBP complete'!#REF!,"AAAAAH8//h8=")</f>
        <v>#REF!</v>
      </c>
      <c r="AG147" t="e">
        <f>AND('BBP complete'!L1685,"AAAAAH8//iA=")</f>
        <v>#VALUE!</v>
      </c>
      <c r="AH147" t="e">
        <f>AND('BBP complete'!C1686,"AAAAAH8//iE=")</f>
        <v>#VALUE!</v>
      </c>
      <c r="AI147" t="e">
        <f>AND('BBP complete'!N1688,"AAAAAH8//iI=")</f>
        <v>#VALUE!</v>
      </c>
      <c r="AJ147" t="e">
        <f>AND('BBP complete'!P1704,"AAAAAH8//iM=")</f>
        <v>#VALUE!</v>
      </c>
      <c r="AK147" t="e">
        <f>AND('BBP complete'!Q1704,"AAAAAH8//iQ=")</f>
        <v>#VALUE!</v>
      </c>
      <c r="AL147" t="e">
        <f>AND('BBP complete'!R1704,"AAAAAH8//iU=")</f>
        <v>#VALUE!</v>
      </c>
      <c r="AM147" t="e">
        <f>AND('BBP complete'!S1704,"AAAAAH8//iY=")</f>
        <v>#VALUE!</v>
      </c>
      <c r="AN147" t="e">
        <f>AND('BBP complete'!A1693,"AAAAAH8//ic=")</f>
        <v>#VALUE!</v>
      </c>
      <c r="AO147" t="e">
        <f>AND('BBP complete'!B1689,"AAAAAH8//ig=")</f>
        <v>#VALUE!</v>
      </c>
      <c r="AP147" t="e">
        <f>AND('BBP complete'!H1689,"AAAAAH8//ik=")</f>
        <v>#VALUE!</v>
      </c>
      <c r="AQ147" t="e">
        <f>AND('BBP complete'!I1689,"AAAAAH8//io=")</f>
        <v>#VALUE!</v>
      </c>
      <c r="AR147" t="e">
        <f>AND('BBP complete'!G1688,"AAAAAH8//is=")</f>
        <v>#VALUE!</v>
      </c>
      <c r="AS147" t="e">
        <f>AND('BBP complete'!#REF!,"AAAAAH8//iw=")</f>
        <v>#REF!</v>
      </c>
      <c r="AT147" t="e">
        <f>AND('BBP complete'!#REF!,"AAAAAH8//i0=")</f>
        <v>#REF!</v>
      </c>
      <c r="AU147" t="e">
        <f>AND('BBP complete'!#REF!,"AAAAAH8//i4=")</f>
        <v>#REF!</v>
      </c>
      <c r="AV147" t="e">
        <f>AND('BBP complete'!#REF!,"AAAAAH8//i8=")</f>
        <v>#REF!</v>
      </c>
      <c r="AW147" t="e">
        <f>AND('BBP complete'!#REF!,"AAAAAH8//jA=")</f>
        <v>#REF!</v>
      </c>
      <c r="AX147" t="e">
        <f>AND('BBP complete'!#REF!,"AAAAAH8//jE=")</f>
        <v>#REF!</v>
      </c>
      <c r="AY147" t="e">
        <f>AND('BBP complete'!L1686,"AAAAAH8//jI=")</f>
        <v>#VALUE!</v>
      </c>
      <c r="AZ147" t="e">
        <f>AND('BBP complete'!C1687,"AAAAAH8//jM=")</f>
        <v>#VALUE!</v>
      </c>
      <c r="BA147" t="e">
        <f>AND('BBP complete'!N1689,"AAAAAH8//jQ=")</f>
        <v>#VALUE!</v>
      </c>
      <c r="BB147" t="e">
        <f>AND('BBP complete'!P1705,"AAAAAH8//jU=")</f>
        <v>#VALUE!</v>
      </c>
      <c r="BC147" t="e">
        <f>AND('BBP complete'!Q1705,"AAAAAH8//jY=")</f>
        <v>#VALUE!</v>
      </c>
      <c r="BD147" t="e">
        <f>AND('BBP complete'!R1705,"AAAAAH8//jc=")</f>
        <v>#VALUE!</v>
      </c>
      <c r="BE147" t="e">
        <f>AND('BBP complete'!S1705,"AAAAAH8//jg=")</f>
        <v>#VALUE!</v>
      </c>
      <c r="BF147" t="e">
        <f>AND('BBP complete'!A1694,"AAAAAH8//jk=")</f>
        <v>#VALUE!</v>
      </c>
      <c r="BG147" t="e">
        <f>AND('BBP complete'!B1690,"AAAAAH8//jo=")</f>
        <v>#VALUE!</v>
      </c>
      <c r="BH147" t="e">
        <f>AND('BBP complete'!H1690,"AAAAAH8//js=")</f>
        <v>#VALUE!</v>
      </c>
      <c r="BI147" t="e">
        <f>AND('BBP complete'!I1690,"AAAAAH8//jw=")</f>
        <v>#VALUE!</v>
      </c>
      <c r="BJ147" t="e">
        <f>AND('BBP complete'!G1689,"AAAAAH8//j0=")</f>
        <v>#VALUE!</v>
      </c>
      <c r="BK147" t="e">
        <f>AND('BBP complete'!#REF!,"AAAAAH8//j4=")</f>
        <v>#REF!</v>
      </c>
      <c r="BL147" t="e">
        <f>AND('BBP complete'!#REF!,"AAAAAH8//j8=")</f>
        <v>#REF!</v>
      </c>
      <c r="BM147" t="e">
        <f>AND('BBP complete'!#REF!,"AAAAAH8//kA=")</f>
        <v>#REF!</v>
      </c>
      <c r="BN147" t="e">
        <f>AND('BBP complete'!#REF!,"AAAAAH8//kE=")</f>
        <v>#REF!</v>
      </c>
      <c r="BO147" t="e">
        <f>AND('BBP complete'!#REF!,"AAAAAH8//kI=")</f>
        <v>#REF!</v>
      </c>
      <c r="BP147" t="e">
        <f>AND('BBP complete'!#REF!,"AAAAAH8//kM=")</f>
        <v>#REF!</v>
      </c>
      <c r="BQ147" t="e">
        <f>AND('BBP complete'!L1687,"AAAAAH8//kQ=")</f>
        <v>#VALUE!</v>
      </c>
      <c r="BR147" t="e">
        <f>AND('BBP complete'!C1688,"AAAAAH8//kU=")</f>
        <v>#VALUE!</v>
      </c>
      <c r="BS147" t="e">
        <f>AND('BBP complete'!N1690,"AAAAAH8//kY=")</f>
        <v>#VALUE!</v>
      </c>
      <c r="BT147" t="e">
        <f>AND('BBP complete'!P1706,"AAAAAH8//kc=")</f>
        <v>#VALUE!</v>
      </c>
      <c r="BU147" t="e">
        <f>AND('BBP complete'!Q1706,"AAAAAH8//kg=")</f>
        <v>#VALUE!</v>
      </c>
      <c r="BV147" t="e">
        <f>AND('BBP complete'!R1706,"AAAAAH8//kk=")</f>
        <v>#VALUE!</v>
      </c>
      <c r="BW147" t="e">
        <f>AND('BBP complete'!S1706,"AAAAAH8//ko=")</f>
        <v>#VALUE!</v>
      </c>
      <c r="BX147" t="e">
        <f>AND('BBP complete'!A1695,"AAAAAH8//ks=")</f>
        <v>#VALUE!</v>
      </c>
      <c r="BY147" t="e">
        <f>AND('BBP complete'!B1691,"AAAAAH8//kw=")</f>
        <v>#VALUE!</v>
      </c>
      <c r="BZ147" t="e">
        <f>AND('BBP complete'!H1691,"AAAAAH8//k0=")</f>
        <v>#VALUE!</v>
      </c>
      <c r="CA147" t="e">
        <f>AND('BBP complete'!I1691,"AAAAAH8//k4=")</f>
        <v>#VALUE!</v>
      </c>
      <c r="CB147" t="e">
        <f>AND('BBP complete'!G1690,"AAAAAH8//k8=")</f>
        <v>#VALUE!</v>
      </c>
      <c r="CC147" t="e">
        <f>AND('BBP complete'!#REF!,"AAAAAH8//lA=")</f>
        <v>#REF!</v>
      </c>
      <c r="CD147" t="e">
        <f>AND('BBP complete'!#REF!,"AAAAAH8//lE=")</f>
        <v>#REF!</v>
      </c>
      <c r="CE147" t="e">
        <f>AND('BBP complete'!#REF!,"AAAAAH8//lI=")</f>
        <v>#REF!</v>
      </c>
      <c r="CF147" t="e">
        <f>AND('BBP complete'!#REF!,"AAAAAH8//lM=")</f>
        <v>#REF!</v>
      </c>
      <c r="CG147" t="e">
        <f>AND('BBP complete'!#REF!,"AAAAAH8//lQ=")</f>
        <v>#REF!</v>
      </c>
      <c r="CH147" t="e">
        <f>AND('BBP complete'!#REF!,"AAAAAH8//lU=")</f>
        <v>#REF!</v>
      </c>
      <c r="CI147" t="e">
        <f>AND('BBP complete'!L1688,"AAAAAH8//lY=")</f>
        <v>#VALUE!</v>
      </c>
      <c r="CJ147" t="e">
        <f>AND('BBP complete'!C1689,"AAAAAH8//lc=")</f>
        <v>#VALUE!</v>
      </c>
      <c r="CK147" t="e">
        <f>AND('BBP complete'!N1691,"AAAAAH8//lg=")</f>
        <v>#VALUE!</v>
      </c>
      <c r="CL147" t="e">
        <f>AND('BBP complete'!P1707,"AAAAAH8//lk=")</f>
        <v>#VALUE!</v>
      </c>
      <c r="CM147" t="e">
        <f>AND('BBP complete'!Q1707,"AAAAAH8//lo=")</f>
        <v>#VALUE!</v>
      </c>
      <c r="CN147" t="e">
        <f>AND('BBP complete'!R1707,"AAAAAH8//ls=")</f>
        <v>#VALUE!</v>
      </c>
      <c r="CO147" t="e">
        <f>AND('BBP complete'!S1707,"AAAAAH8//lw=")</f>
        <v>#VALUE!</v>
      </c>
      <c r="CP147" t="e">
        <f>AND('BBP complete'!A1696,"AAAAAH8//l0=")</f>
        <v>#VALUE!</v>
      </c>
      <c r="CQ147" t="e">
        <f>AND('BBP complete'!B1692,"AAAAAH8//l4=")</f>
        <v>#VALUE!</v>
      </c>
      <c r="CR147" t="e">
        <f>AND('BBP complete'!H1692,"AAAAAH8//l8=")</f>
        <v>#VALUE!</v>
      </c>
      <c r="CS147" t="e">
        <f>AND('BBP complete'!I1692,"AAAAAH8//mA=")</f>
        <v>#VALUE!</v>
      </c>
      <c r="CT147" t="e">
        <f>AND('BBP complete'!G1691,"AAAAAH8//mE=")</f>
        <v>#VALUE!</v>
      </c>
      <c r="CU147" t="e">
        <f>AND('BBP complete'!#REF!,"AAAAAH8//mI=")</f>
        <v>#REF!</v>
      </c>
      <c r="CV147" t="e">
        <f>AND('BBP complete'!#REF!,"AAAAAH8//mM=")</f>
        <v>#REF!</v>
      </c>
      <c r="CW147" t="e">
        <f>AND('BBP complete'!#REF!,"AAAAAH8//mQ=")</f>
        <v>#REF!</v>
      </c>
      <c r="CX147" t="e">
        <f>AND('BBP complete'!#REF!,"AAAAAH8//mU=")</f>
        <v>#REF!</v>
      </c>
      <c r="CY147" t="e">
        <f>AND('BBP complete'!#REF!,"AAAAAH8//mY=")</f>
        <v>#REF!</v>
      </c>
      <c r="CZ147" t="e">
        <f>AND('BBP complete'!#REF!,"AAAAAH8//mc=")</f>
        <v>#REF!</v>
      </c>
      <c r="DA147" t="e">
        <f>AND('BBP complete'!L1689,"AAAAAH8//mg=")</f>
        <v>#VALUE!</v>
      </c>
      <c r="DB147" t="e">
        <f>AND('BBP complete'!C1690,"AAAAAH8//mk=")</f>
        <v>#VALUE!</v>
      </c>
      <c r="DC147" t="e">
        <f>AND('BBP complete'!N1692,"AAAAAH8//mo=")</f>
        <v>#VALUE!</v>
      </c>
      <c r="DD147" t="e">
        <f>AND('BBP complete'!P1708,"AAAAAH8//ms=")</f>
        <v>#VALUE!</v>
      </c>
      <c r="DE147" t="e">
        <f>AND('BBP complete'!Q1708,"AAAAAH8//mw=")</f>
        <v>#VALUE!</v>
      </c>
      <c r="DF147" t="e">
        <f>AND('BBP complete'!R1708,"AAAAAH8//m0=")</f>
        <v>#VALUE!</v>
      </c>
      <c r="DG147" t="e">
        <f>AND('BBP complete'!S1708,"AAAAAH8//m4=")</f>
        <v>#VALUE!</v>
      </c>
      <c r="DH147" t="e">
        <f>AND('BBP complete'!A1697,"AAAAAH8//m8=")</f>
        <v>#VALUE!</v>
      </c>
      <c r="DI147" t="e">
        <f>AND('BBP complete'!B1693,"AAAAAH8//nA=")</f>
        <v>#VALUE!</v>
      </c>
      <c r="DJ147" t="e">
        <f>AND('BBP complete'!H1693,"AAAAAH8//nE=")</f>
        <v>#VALUE!</v>
      </c>
      <c r="DK147" t="e">
        <f>AND('BBP complete'!I1693,"AAAAAH8//nI=")</f>
        <v>#VALUE!</v>
      </c>
      <c r="DL147" t="e">
        <f>AND('BBP complete'!G1692,"AAAAAH8//nM=")</f>
        <v>#VALUE!</v>
      </c>
      <c r="DM147" t="e">
        <f>AND('BBP complete'!#REF!,"AAAAAH8//nQ=")</f>
        <v>#REF!</v>
      </c>
      <c r="DN147" t="e">
        <f>AND('BBP complete'!#REF!,"AAAAAH8//nU=")</f>
        <v>#REF!</v>
      </c>
      <c r="DO147" t="e">
        <f>AND('BBP complete'!#REF!,"AAAAAH8//nY=")</f>
        <v>#REF!</v>
      </c>
      <c r="DP147" t="e">
        <f>AND('BBP complete'!#REF!,"AAAAAH8//nc=")</f>
        <v>#REF!</v>
      </c>
      <c r="DQ147" t="e">
        <f>AND('BBP complete'!#REF!,"AAAAAH8//ng=")</f>
        <v>#REF!</v>
      </c>
      <c r="DR147" t="e">
        <f>AND('BBP complete'!#REF!,"AAAAAH8//nk=")</f>
        <v>#REF!</v>
      </c>
      <c r="DS147" t="e">
        <f>AND('BBP complete'!L1690,"AAAAAH8//no=")</f>
        <v>#VALUE!</v>
      </c>
      <c r="DT147" t="e">
        <f>AND('BBP complete'!C1691,"AAAAAH8//ns=")</f>
        <v>#VALUE!</v>
      </c>
      <c r="DU147" t="e">
        <f>AND('BBP complete'!N1693,"AAAAAH8//nw=")</f>
        <v>#VALUE!</v>
      </c>
      <c r="DV147" t="e">
        <f>AND('BBP complete'!P1709,"AAAAAH8//n0=")</f>
        <v>#VALUE!</v>
      </c>
      <c r="DW147" t="e">
        <f>AND('BBP complete'!Q1709,"AAAAAH8//n4=")</f>
        <v>#VALUE!</v>
      </c>
      <c r="DX147" t="e">
        <f>AND('BBP complete'!R1709,"AAAAAH8//n8=")</f>
        <v>#VALUE!</v>
      </c>
      <c r="DY147" t="e">
        <f>AND('BBP complete'!S1709,"AAAAAH8//oA=")</f>
        <v>#VALUE!</v>
      </c>
      <c r="DZ147" t="e">
        <f>AND('BBP complete'!A1698,"AAAAAH8//oE=")</f>
        <v>#VALUE!</v>
      </c>
      <c r="EA147" t="e">
        <f>AND('BBP complete'!B1694,"AAAAAH8//oI=")</f>
        <v>#VALUE!</v>
      </c>
      <c r="EB147" t="e">
        <f>AND('BBP complete'!H1694,"AAAAAH8//oM=")</f>
        <v>#VALUE!</v>
      </c>
      <c r="EC147" t="e">
        <f>AND('BBP complete'!I1694,"AAAAAH8//oQ=")</f>
        <v>#VALUE!</v>
      </c>
      <c r="ED147" t="e">
        <f>AND('BBP complete'!G1693,"AAAAAH8//oU=")</f>
        <v>#VALUE!</v>
      </c>
      <c r="EE147" t="e">
        <f>AND('BBP complete'!#REF!,"AAAAAH8//oY=")</f>
        <v>#REF!</v>
      </c>
      <c r="EF147" t="e">
        <f>AND('BBP complete'!#REF!,"AAAAAH8//oc=")</f>
        <v>#REF!</v>
      </c>
      <c r="EG147" t="e">
        <f>AND('BBP complete'!#REF!,"AAAAAH8//og=")</f>
        <v>#REF!</v>
      </c>
      <c r="EH147" t="e">
        <f>AND('BBP complete'!#REF!,"AAAAAH8//ok=")</f>
        <v>#REF!</v>
      </c>
      <c r="EI147" t="e">
        <f>AND('BBP complete'!#REF!,"AAAAAH8//oo=")</f>
        <v>#REF!</v>
      </c>
      <c r="EJ147" t="e">
        <f>AND('BBP complete'!#REF!,"AAAAAH8//os=")</f>
        <v>#REF!</v>
      </c>
      <c r="EK147" t="e">
        <f>AND('BBP complete'!L1691,"AAAAAH8//ow=")</f>
        <v>#VALUE!</v>
      </c>
      <c r="EL147" t="e">
        <f>AND('BBP complete'!C1692,"AAAAAH8//o0=")</f>
        <v>#VALUE!</v>
      </c>
      <c r="EM147" t="e">
        <f>AND('BBP complete'!N1694,"AAAAAH8//o4=")</f>
        <v>#VALUE!</v>
      </c>
      <c r="EN147" t="e">
        <f>AND('BBP complete'!P1710,"AAAAAH8//o8=")</f>
        <v>#VALUE!</v>
      </c>
      <c r="EO147" t="e">
        <f>AND('BBP complete'!Q1710,"AAAAAH8//pA=")</f>
        <v>#VALUE!</v>
      </c>
      <c r="EP147" t="e">
        <f>AND('BBP complete'!R1710,"AAAAAH8//pE=")</f>
        <v>#VALUE!</v>
      </c>
      <c r="EQ147" t="e">
        <f>AND('BBP complete'!S1710,"AAAAAH8//pI=")</f>
        <v>#VALUE!</v>
      </c>
      <c r="ER147" t="e">
        <f>AND('BBP complete'!A1699,"AAAAAH8//pM=")</f>
        <v>#VALUE!</v>
      </c>
      <c r="ES147" t="e">
        <f>AND('BBP complete'!B1695,"AAAAAH8//pQ=")</f>
        <v>#VALUE!</v>
      </c>
      <c r="ET147" t="e">
        <f>AND('BBP complete'!H1695,"AAAAAH8//pU=")</f>
        <v>#VALUE!</v>
      </c>
      <c r="EU147" t="e">
        <f>AND('BBP complete'!I1695,"AAAAAH8//pY=")</f>
        <v>#VALUE!</v>
      </c>
      <c r="EV147" t="e">
        <f>AND('BBP complete'!G1694,"AAAAAH8//pc=")</f>
        <v>#VALUE!</v>
      </c>
      <c r="EW147" t="e">
        <f>AND('BBP complete'!#REF!,"AAAAAH8//pg=")</f>
        <v>#REF!</v>
      </c>
      <c r="EX147" t="e">
        <f>AND('BBP complete'!#REF!,"AAAAAH8//pk=")</f>
        <v>#REF!</v>
      </c>
      <c r="EY147" t="e">
        <f>AND('BBP complete'!#REF!,"AAAAAH8//po=")</f>
        <v>#REF!</v>
      </c>
      <c r="EZ147" t="e">
        <f>AND('BBP complete'!#REF!,"AAAAAH8//ps=")</f>
        <v>#REF!</v>
      </c>
      <c r="FA147" t="e">
        <f>AND('BBP complete'!#REF!,"AAAAAH8//pw=")</f>
        <v>#REF!</v>
      </c>
      <c r="FB147" t="e">
        <f>AND('BBP complete'!#REF!,"AAAAAH8//p0=")</f>
        <v>#REF!</v>
      </c>
      <c r="FC147" t="e">
        <f>AND('BBP complete'!L1692,"AAAAAH8//p4=")</f>
        <v>#VALUE!</v>
      </c>
      <c r="FD147" t="e">
        <f>AND('BBP complete'!C1693,"AAAAAH8//p8=")</f>
        <v>#VALUE!</v>
      </c>
      <c r="FE147" t="e">
        <f>AND('BBP complete'!N1695,"AAAAAH8//qA=")</f>
        <v>#VALUE!</v>
      </c>
      <c r="FF147" t="e">
        <f>AND('BBP complete'!P1711,"AAAAAH8//qE=")</f>
        <v>#VALUE!</v>
      </c>
      <c r="FG147" t="e">
        <f>AND('BBP complete'!Q1711,"AAAAAH8//qI=")</f>
        <v>#VALUE!</v>
      </c>
      <c r="FH147" t="e">
        <f>AND('BBP complete'!R1711,"AAAAAH8//qM=")</f>
        <v>#VALUE!</v>
      </c>
      <c r="FI147" t="e">
        <f>AND('BBP complete'!S1711,"AAAAAH8//qQ=")</f>
        <v>#VALUE!</v>
      </c>
      <c r="FJ147" t="e">
        <f>AND('BBP complete'!A1700,"AAAAAH8//qU=")</f>
        <v>#VALUE!</v>
      </c>
      <c r="FK147" t="e">
        <f>AND('BBP complete'!B1696,"AAAAAH8//qY=")</f>
        <v>#VALUE!</v>
      </c>
      <c r="FL147" t="e">
        <f>AND('BBP complete'!H1696,"AAAAAH8//qc=")</f>
        <v>#VALUE!</v>
      </c>
      <c r="FM147" t="e">
        <f>AND('BBP complete'!I1696,"AAAAAH8//qg=")</f>
        <v>#VALUE!</v>
      </c>
      <c r="FN147" t="e">
        <f>AND('BBP complete'!G1695,"AAAAAH8//qk=")</f>
        <v>#VALUE!</v>
      </c>
      <c r="FO147" t="e">
        <f>AND('BBP complete'!#REF!,"AAAAAH8//qo=")</f>
        <v>#REF!</v>
      </c>
      <c r="FP147" t="e">
        <f>AND('BBP complete'!#REF!,"AAAAAH8//qs=")</f>
        <v>#REF!</v>
      </c>
      <c r="FQ147" t="e">
        <f>AND('BBP complete'!#REF!,"AAAAAH8//qw=")</f>
        <v>#REF!</v>
      </c>
      <c r="FR147" t="e">
        <f>AND('BBP complete'!#REF!,"AAAAAH8//q0=")</f>
        <v>#REF!</v>
      </c>
      <c r="FS147" t="e">
        <f>AND('BBP complete'!#REF!,"AAAAAH8//q4=")</f>
        <v>#REF!</v>
      </c>
      <c r="FT147" t="e">
        <f>AND('BBP complete'!#REF!,"AAAAAH8//q8=")</f>
        <v>#REF!</v>
      </c>
      <c r="FU147" t="e">
        <f>AND('BBP complete'!L1693,"AAAAAH8//rA=")</f>
        <v>#VALUE!</v>
      </c>
      <c r="FV147" t="e">
        <f>AND('BBP complete'!C1694,"AAAAAH8//rE=")</f>
        <v>#VALUE!</v>
      </c>
      <c r="FW147" t="e">
        <f>AND('BBP complete'!N1696,"AAAAAH8//rI=")</f>
        <v>#VALUE!</v>
      </c>
      <c r="FX147" t="e">
        <f>AND('BBP complete'!P1712,"AAAAAH8//rM=")</f>
        <v>#VALUE!</v>
      </c>
      <c r="FY147" t="e">
        <f>AND('BBP complete'!Q1712,"AAAAAH8//rQ=")</f>
        <v>#VALUE!</v>
      </c>
      <c r="FZ147" t="e">
        <f>AND('BBP complete'!R1712,"AAAAAH8//rU=")</f>
        <v>#VALUE!</v>
      </c>
      <c r="GA147" t="e">
        <f>AND('BBP complete'!S1712,"AAAAAH8//rY=")</f>
        <v>#VALUE!</v>
      </c>
      <c r="GB147" t="e">
        <f>AND('BBP complete'!A1701,"AAAAAH8//rc=")</f>
        <v>#VALUE!</v>
      </c>
      <c r="GC147" t="e">
        <f>AND('BBP complete'!B1697,"AAAAAH8//rg=")</f>
        <v>#VALUE!</v>
      </c>
      <c r="GD147" t="e">
        <f>AND('BBP complete'!H1697,"AAAAAH8//rk=")</f>
        <v>#VALUE!</v>
      </c>
      <c r="GE147" t="e">
        <f>AND('BBP complete'!I1697,"AAAAAH8//ro=")</f>
        <v>#VALUE!</v>
      </c>
      <c r="GF147" t="e">
        <f>AND('BBP complete'!G1696,"AAAAAH8//rs=")</f>
        <v>#VALUE!</v>
      </c>
      <c r="GG147" t="e">
        <f>AND('BBP complete'!#REF!,"AAAAAH8//rw=")</f>
        <v>#REF!</v>
      </c>
      <c r="GH147" t="e">
        <f>AND('BBP complete'!#REF!,"AAAAAH8//r0=")</f>
        <v>#REF!</v>
      </c>
      <c r="GI147" t="e">
        <f>AND('BBP complete'!#REF!,"AAAAAH8//r4=")</f>
        <v>#REF!</v>
      </c>
      <c r="GJ147" t="e">
        <f>AND('BBP complete'!#REF!,"AAAAAH8//r8=")</f>
        <v>#REF!</v>
      </c>
      <c r="GK147" t="e">
        <f>AND('BBP complete'!#REF!,"AAAAAH8//sA=")</f>
        <v>#REF!</v>
      </c>
      <c r="GL147" t="e">
        <f>AND('BBP complete'!#REF!,"AAAAAH8//sE=")</f>
        <v>#REF!</v>
      </c>
      <c r="GM147" t="e">
        <f>AND('BBP complete'!L1694,"AAAAAH8//sI=")</f>
        <v>#VALUE!</v>
      </c>
      <c r="GN147" t="e">
        <f>AND('BBP complete'!C1695,"AAAAAH8//sM=")</f>
        <v>#VALUE!</v>
      </c>
      <c r="GO147" t="e">
        <f>AND('BBP complete'!N1697,"AAAAAH8//sQ=")</f>
        <v>#VALUE!</v>
      </c>
      <c r="GP147" t="e">
        <f>AND('BBP complete'!P1713,"AAAAAH8//sU=")</f>
        <v>#VALUE!</v>
      </c>
      <c r="GQ147" t="e">
        <f>AND('BBP complete'!Q1713,"AAAAAH8//sY=")</f>
        <v>#VALUE!</v>
      </c>
      <c r="GR147" t="e">
        <f>AND('BBP complete'!R1713,"AAAAAH8//sc=")</f>
        <v>#VALUE!</v>
      </c>
      <c r="GS147" t="e">
        <f>AND('BBP complete'!S1713,"AAAAAH8//sg=")</f>
        <v>#VALUE!</v>
      </c>
      <c r="GT147" t="e">
        <f>AND('BBP complete'!A1702,"AAAAAH8//sk=")</f>
        <v>#VALUE!</v>
      </c>
      <c r="GU147" t="e">
        <f>AND('BBP complete'!B1698,"AAAAAH8//so=")</f>
        <v>#VALUE!</v>
      </c>
      <c r="GV147" t="e">
        <f>AND('BBP complete'!H1698,"AAAAAH8//ss=")</f>
        <v>#VALUE!</v>
      </c>
      <c r="GW147" t="e">
        <f>AND('BBP complete'!I1698,"AAAAAH8//sw=")</f>
        <v>#VALUE!</v>
      </c>
      <c r="GX147" t="e">
        <f>AND('BBP complete'!G1697,"AAAAAH8//s0=")</f>
        <v>#VALUE!</v>
      </c>
      <c r="GY147" t="e">
        <f>AND('BBP complete'!#REF!,"AAAAAH8//s4=")</f>
        <v>#REF!</v>
      </c>
      <c r="GZ147" t="e">
        <f>AND('BBP complete'!#REF!,"AAAAAH8//s8=")</f>
        <v>#REF!</v>
      </c>
      <c r="HA147" t="e">
        <f>AND('BBP complete'!#REF!,"AAAAAH8//tA=")</f>
        <v>#REF!</v>
      </c>
      <c r="HB147" t="e">
        <f>AND('BBP complete'!#REF!,"AAAAAH8//tE=")</f>
        <v>#REF!</v>
      </c>
      <c r="HC147" t="e">
        <f>AND('BBP complete'!#REF!,"AAAAAH8//tI=")</f>
        <v>#REF!</v>
      </c>
      <c r="HD147" t="e">
        <f>AND('BBP complete'!#REF!,"AAAAAH8//tM=")</f>
        <v>#REF!</v>
      </c>
      <c r="HE147" t="e">
        <f>AND('BBP complete'!L1695,"AAAAAH8//tQ=")</f>
        <v>#VALUE!</v>
      </c>
      <c r="HF147" t="e">
        <f>AND('BBP complete'!C1696,"AAAAAH8//tU=")</f>
        <v>#VALUE!</v>
      </c>
      <c r="HG147" t="e">
        <f>AND('BBP complete'!N1698,"AAAAAH8//tY=")</f>
        <v>#VALUE!</v>
      </c>
      <c r="HH147" t="e">
        <f>AND('BBP complete'!P1714,"AAAAAH8//tc=")</f>
        <v>#VALUE!</v>
      </c>
      <c r="HI147" t="e">
        <f>AND('BBP complete'!Q1714,"AAAAAH8//tg=")</f>
        <v>#VALUE!</v>
      </c>
      <c r="HJ147" t="e">
        <f>AND('BBP complete'!R1714,"AAAAAH8//tk=")</f>
        <v>#VALUE!</v>
      </c>
      <c r="HK147" t="e">
        <f>AND('BBP complete'!S1714,"AAAAAH8//to=")</f>
        <v>#VALUE!</v>
      </c>
      <c r="HL147" t="e">
        <f>AND('BBP complete'!A1703,"AAAAAH8//ts=")</f>
        <v>#VALUE!</v>
      </c>
      <c r="HM147" t="e">
        <f>AND('BBP complete'!B1699,"AAAAAH8//tw=")</f>
        <v>#VALUE!</v>
      </c>
      <c r="HN147" t="e">
        <f>AND('BBP complete'!H1699,"AAAAAH8//t0=")</f>
        <v>#VALUE!</v>
      </c>
      <c r="HO147" t="e">
        <f>AND('BBP complete'!I1699,"AAAAAH8//t4=")</f>
        <v>#VALUE!</v>
      </c>
      <c r="HP147" t="e">
        <f>AND('BBP complete'!G1698,"AAAAAH8//t8=")</f>
        <v>#VALUE!</v>
      </c>
      <c r="HQ147" t="e">
        <f>AND('BBP complete'!#REF!,"AAAAAH8//uA=")</f>
        <v>#REF!</v>
      </c>
      <c r="HR147" t="e">
        <f>AND('BBP complete'!#REF!,"AAAAAH8//uE=")</f>
        <v>#REF!</v>
      </c>
      <c r="HS147" t="e">
        <f>AND('BBP complete'!#REF!,"AAAAAH8//uI=")</f>
        <v>#REF!</v>
      </c>
      <c r="HT147" t="e">
        <f>AND('BBP complete'!#REF!,"AAAAAH8//uM=")</f>
        <v>#REF!</v>
      </c>
      <c r="HU147" t="e">
        <f>AND('BBP complete'!#REF!,"AAAAAH8//uQ=")</f>
        <v>#REF!</v>
      </c>
      <c r="HV147" t="e">
        <f>AND('BBP complete'!#REF!,"AAAAAH8//uU=")</f>
        <v>#REF!</v>
      </c>
      <c r="HW147" t="e">
        <f>AND('BBP complete'!L1696,"AAAAAH8//uY=")</f>
        <v>#VALUE!</v>
      </c>
      <c r="HX147" t="e">
        <f>AND('BBP complete'!C1697,"AAAAAH8//uc=")</f>
        <v>#VALUE!</v>
      </c>
      <c r="HY147" t="e">
        <f>AND('BBP complete'!N1699,"AAAAAH8//ug=")</f>
        <v>#VALUE!</v>
      </c>
      <c r="HZ147" t="e">
        <f>AND('BBP complete'!P1715,"AAAAAH8//uk=")</f>
        <v>#VALUE!</v>
      </c>
      <c r="IA147" t="e">
        <f>AND('BBP complete'!Q1715,"AAAAAH8//uo=")</f>
        <v>#VALUE!</v>
      </c>
      <c r="IB147" t="e">
        <f>AND('BBP complete'!R1715,"AAAAAH8//us=")</f>
        <v>#VALUE!</v>
      </c>
      <c r="IC147" t="e">
        <f>AND('BBP complete'!S1715,"AAAAAH8//uw=")</f>
        <v>#VALUE!</v>
      </c>
      <c r="ID147" t="e">
        <f>AND('BBP complete'!A1704,"AAAAAH8//u0=")</f>
        <v>#VALUE!</v>
      </c>
      <c r="IE147" t="e">
        <f>AND('BBP complete'!B1700,"AAAAAH8//u4=")</f>
        <v>#VALUE!</v>
      </c>
      <c r="IF147" t="e">
        <f>AND('BBP complete'!H1700,"AAAAAH8//u8=")</f>
        <v>#VALUE!</v>
      </c>
      <c r="IG147" t="e">
        <f>AND('BBP complete'!I1700,"AAAAAH8//vA=")</f>
        <v>#VALUE!</v>
      </c>
      <c r="IH147" t="e">
        <f>AND('BBP complete'!G1699,"AAAAAH8//vE=")</f>
        <v>#VALUE!</v>
      </c>
      <c r="II147" t="e">
        <f>AND('BBP complete'!#REF!,"AAAAAH8//vI=")</f>
        <v>#REF!</v>
      </c>
      <c r="IJ147" t="e">
        <f>AND('BBP complete'!#REF!,"AAAAAH8//vM=")</f>
        <v>#REF!</v>
      </c>
      <c r="IK147" t="e">
        <f>AND('BBP complete'!#REF!,"AAAAAH8//vQ=")</f>
        <v>#REF!</v>
      </c>
      <c r="IL147" t="e">
        <f>AND('BBP complete'!#REF!,"AAAAAH8//vU=")</f>
        <v>#REF!</v>
      </c>
      <c r="IM147" t="e">
        <f>AND('BBP complete'!#REF!,"AAAAAH8//vY=")</f>
        <v>#REF!</v>
      </c>
      <c r="IN147" t="e">
        <f>AND('BBP complete'!#REF!,"AAAAAH8//vc=")</f>
        <v>#REF!</v>
      </c>
      <c r="IO147" t="e">
        <f>AND('BBP complete'!L1697,"AAAAAH8//vg=")</f>
        <v>#VALUE!</v>
      </c>
      <c r="IP147" t="e">
        <f>AND('BBP complete'!C1698,"AAAAAH8//vk=")</f>
        <v>#VALUE!</v>
      </c>
      <c r="IQ147" t="e">
        <f>AND('BBP complete'!N1700,"AAAAAH8//vo=")</f>
        <v>#VALUE!</v>
      </c>
      <c r="IR147" t="e">
        <f>AND('BBP complete'!P1716,"AAAAAH8//vs=")</f>
        <v>#VALUE!</v>
      </c>
      <c r="IS147" t="e">
        <f>AND('BBP complete'!Q1716,"AAAAAH8//vw=")</f>
        <v>#VALUE!</v>
      </c>
      <c r="IT147" t="e">
        <f>AND('BBP complete'!R1716,"AAAAAH8//v0=")</f>
        <v>#VALUE!</v>
      </c>
      <c r="IU147" t="e">
        <f>AND('BBP complete'!S1716,"AAAAAH8//v4=")</f>
        <v>#VALUE!</v>
      </c>
      <c r="IV147" t="e">
        <f>AND('BBP complete'!A1705,"AAAAAH8//v8=")</f>
        <v>#VALUE!</v>
      </c>
    </row>
    <row r="148" spans="1:256" ht="15" customHeight="1" x14ac:dyDescent="0.25">
      <c r="A148" t="e">
        <f>AND('BBP complete'!B1701,"AAAAAG39vQA=")</f>
        <v>#VALUE!</v>
      </c>
      <c r="B148" t="e">
        <f>AND('BBP complete'!H1701,"AAAAAG39vQE=")</f>
        <v>#VALUE!</v>
      </c>
      <c r="C148" t="e">
        <f>AND('BBP complete'!I1701,"AAAAAG39vQI=")</f>
        <v>#VALUE!</v>
      </c>
      <c r="D148" t="e">
        <f>AND('BBP complete'!G1700,"AAAAAG39vQM=")</f>
        <v>#VALUE!</v>
      </c>
      <c r="E148" t="e">
        <f>AND('BBP complete'!#REF!,"AAAAAG39vQQ=")</f>
        <v>#REF!</v>
      </c>
      <c r="F148" t="e">
        <f>AND('BBP complete'!#REF!,"AAAAAG39vQU=")</f>
        <v>#REF!</v>
      </c>
      <c r="G148" t="e">
        <f>AND('BBP complete'!#REF!,"AAAAAG39vQY=")</f>
        <v>#REF!</v>
      </c>
      <c r="H148" t="e">
        <f>AND('BBP complete'!#REF!,"AAAAAG39vQc=")</f>
        <v>#REF!</v>
      </c>
      <c r="I148" t="e">
        <f>AND('BBP complete'!#REF!,"AAAAAG39vQg=")</f>
        <v>#REF!</v>
      </c>
      <c r="J148" t="e">
        <f>AND('BBP complete'!#REF!,"AAAAAG39vQk=")</f>
        <v>#REF!</v>
      </c>
      <c r="K148" t="e">
        <f>AND('BBP complete'!L1698,"AAAAAG39vQo=")</f>
        <v>#VALUE!</v>
      </c>
      <c r="L148" t="e">
        <f>AND('BBP complete'!C1699,"AAAAAG39vQs=")</f>
        <v>#VALUE!</v>
      </c>
      <c r="M148" t="e">
        <f>AND('BBP complete'!N1701,"AAAAAG39vQw=")</f>
        <v>#VALUE!</v>
      </c>
      <c r="N148" t="e">
        <f>AND('BBP complete'!P1717,"AAAAAG39vQ0=")</f>
        <v>#VALUE!</v>
      </c>
      <c r="O148" t="e">
        <f>AND('BBP complete'!Q1717,"AAAAAG39vQ4=")</f>
        <v>#VALUE!</v>
      </c>
      <c r="P148" t="e">
        <f>AND('BBP complete'!R1717,"AAAAAG39vQ8=")</f>
        <v>#VALUE!</v>
      </c>
      <c r="Q148" t="e">
        <f>AND('BBP complete'!S1717,"AAAAAG39vRA=")</f>
        <v>#VALUE!</v>
      </c>
      <c r="R148" t="e">
        <f>AND('BBP complete'!A1706,"AAAAAG39vRE=")</f>
        <v>#VALUE!</v>
      </c>
      <c r="S148" t="e">
        <f>AND('BBP complete'!B1702,"AAAAAG39vRI=")</f>
        <v>#VALUE!</v>
      </c>
      <c r="T148" t="e">
        <f>AND('BBP complete'!H1702,"AAAAAG39vRM=")</f>
        <v>#VALUE!</v>
      </c>
      <c r="U148" t="e">
        <f>AND('BBP complete'!I1702,"AAAAAG39vRQ=")</f>
        <v>#VALUE!</v>
      </c>
      <c r="V148" t="e">
        <f>AND('BBP complete'!G1701,"AAAAAG39vRU=")</f>
        <v>#VALUE!</v>
      </c>
      <c r="W148" t="e">
        <f>AND('BBP complete'!#REF!,"AAAAAG39vRY=")</f>
        <v>#REF!</v>
      </c>
      <c r="X148" t="e">
        <f>AND('BBP complete'!#REF!,"AAAAAG39vRc=")</f>
        <v>#REF!</v>
      </c>
      <c r="Y148" t="e">
        <f>AND('BBP complete'!#REF!,"AAAAAG39vRg=")</f>
        <v>#REF!</v>
      </c>
      <c r="Z148" t="e">
        <f>AND('BBP complete'!#REF!,"AAAAAG39vRk=")</f>
        <v>#REF!</v>
      </c>
      <c r="AA148" t="e">
        <f>AND('BBP complete'!#REF!,"AAAAAG39vRo=")</f>
        <v>#REF!</v>
      </c>
      <c r="AB148" t="e">
        <f>AND('BBP complete'!#REF!,"AAAAAG39vRs=")</f>
        <v>#REF!</v>
      </c>
      <c r="AC148" t="e">
        <f>AND('BBP complete'!L1699,"AAAAAG39vRw=")</f>
        <v>#VALUE!</v>
      </c>
      <c r="AD148" t="e">
        <f>AND('BBP complete'!C1700,"AAAAAG39vR0=")</f>
        <v>#VALUE!</v>
      </c>
      <c r="AE148" t="e">
        <f>AND('BBP complete'!N1702,"AAAAAG39vR4=")</f>
        <v>#VALUE!</v>
      </c>
      <c r="AF148" t="e">
        <f>AND('BBP complete'!P1718,"AAAAAG39vR8=")</f>
        <v>#VALUE!</v>
      </c>
      <c r="AG148" t="e">
        <f>AND('BBP complete'!Q1718,"AAAAAG39vSA=")</f>
        <v>#VALUE!</v>
      </c>
      <c r="AH148" t="e">
        <f>AND('BBP complete'!R1718,"AAAAAG39vSE=")</f>
        <v>#VALUE!</v>
      </c>
      <c r="AI148" t="e">
        <f>AND('BBP complete'!S1718,"AAAAAG39vSI=")</f>
        <v>#VALUE!</v>
      </c>
      <c r="AJ148" t="e">
        <f>AND('BBP complete'!A1707,"AAAAAG39vSM=")</f>
        <v>#VALUE!</v>
      </c>
      <c r="AK148" t="e">
        <f>AND('BBP complete'!B1703,"AAAAAG39vSQ=")</f>
        <v>#VALUE!</v>
      </c>
      <c r="AL148" t="e">
        <f>AND('BBP complete'!H1703,"AAAAAG39vSU=")</f>
        <v>#VALUE!</v>
      </c>
      <c r="AM148" t="e">
        <f>AND('BBP complete'!I1703,"AAAAAG39vSY=")</f>
        <v>#VALUE!</v>
      </c>
      <c r="AN148" t="e">
        <f>AND('BBP complete'!G1702,"AAAAAG39vSc=")</f>
        <v>#VALUE!</v>
      </c>
      <c r="AO148" t="e">
        <f>AND('BBP complete'!#REF!,"AAAAAG39vSg=")</f>
        <v>#REF!</v>
      </c>
      <c r="AP148" t="e">
        <f>AND('BBP complete'!#REF!,"AAAAAG39vSk=")</f>
        <v>#REF!</v>
      </c>
      <c r="AQ148" t="e">
        <f>AND('BBP complete'!#REF!,"AAAAAG39vSo=")</f>
        <v>#REF!</v>
      </c>
      <c r="AR148" t="e">
        <f>AND('BBP complete'!#REF!,"AAAAAG39vSs=")</f>
        <v>#REF!</v>
      </c>
      <c r="AS148" t="e">
        <f>AND('BBP complete'!#REF!,"AAAAAG39vSw=")</f>
        <v>#REF!</v>
      </c>
      <c r="AT148" t="e">
        <f>AND('BBP complete'!#REF!,"AAAAAG39vS0=")</f>
        <v>#REF!</v>
      </c>
      <c r="AU148" t="e">
        <f>AND('BBP complete'!L1700,"AAAAAG39vS4=")</f>
        <v>#VALUE!</v>
      </c>
      <c r="AV148" t="e">
        <f>AND('BBP complete'!C1701,"AAAAAG39vS8=")</f>
        <v>#VALUE!</v>
      </c>
      <c r="AW148" t="e">
        <f>AND('BBP complete'!N1703,"AAAAAG39vTA=")</f>
        <v>#VALUE!</v>
      </c>
      <c r="AX148" t="e">
        <f>AND('BBP complete'!P1719,"AAAAAG39vTE=")</f>
        <v>#VALUE!</v>
      </c>
      <c r="AY148" t="e">
        <f>AND('BBP complete'!Q1719,"AAAAAG39vTI=")</f>
        <v>#VALUE!</v>
      </c>
      <c r="AZ148" t="e">
        <f>AND('BBP complete'!R1719,"AAAAAG39vTM=")</f>
        <v>#VALUE!</v>
      </c>
      <c r="BA148" t="e">
        <f>AND('BBP complete'!S1719,"AAAAAG39vTQ=")</f>
        <v>#VALUE!</v>
      </c>
      <c r="BB148" t="e">
        <f>AND('BBP complete'!A1708,"AAAAAG39vTU=")</f>
        <v>#VALUE!</v>
      </c>
      <c r="BC148" t="e">
        <f>AND('BBP complete'!B1704,"AAAAAG39vTY=")</f>
        <v>#VALUE!</v>
      </c>
      <c r="BD148" t="e">
        <f>AND('BBP complete'!H1704,"AAAAAG39vTc=")</f>
        <v>#VALUE!</v>
      </c>
      <c r="BE148" t="e">
        <f>AND('BBP complete'!I1704,"AAAAAG39vTg=")</f>
        <v>#VALUE!</v>
      </c>
      <c r="BF148" t="e">
        <f>AND('BBP complete'!G1703,"AAAAAG39vTk=")</f>
        <v>#VALUE!</v>
      </c>
      <c r="BG148" t="e">
        <f>AND('BBP complete'!#REF!,"AAAAAG39vTo=")</f>
        <v>#REF!</v>
      </c>
      <c r="BH148" t="e">
        <f>AND('BBP complete'!#REF!,"AAAAAG39vTs=")</f>
        <v>#REF!</v>
      </c>
      <c r="BI148" t="e">
        <f>AND('BBP complete'!#REF!,"AAAAAG39vTw=")</f>
        <v>#REF!</v>
      </c>
      <c r="BJ148" t="e">
        <f>AND('BBP complete'!#REF!,"AAAAAG39vT0=")</f>
        <v>#REF!</v>
      </c>
      <c r="BK148" t="e">
        <f>AND('BBP complete'!#REF!,"AAAAAG39vT4=")</f>
        <v>#REF!</v>
      </c>
      <c r="BL148" t="e">
        <f>AND('BBP complete'!#REF!,"AAAAAG39vT8=")</f>
        <v>#REF!</v>
      </c>
      <c r="BM148" t="e">
        <f>AND('BBP complete'!L1701,"AAAAAG39vUA=")</f>
        <v>#VALUE!</v>
      </c>
      <c r="BN148" t="e">
        <f>AND('BBP complete'!C1702,"AAAAAG39vUE=")</f>
        <v>#VALUE!</v>
      </c>
      <c r="BO148" t="e">
        <f>AND('BBP complete'!N1704,"AAAAAG39vUI=")</f>
        <v>#VALUE!</v>
      </c>
      <c r="BP148" t="e">
        <f>AND('BBP complete'!P1720,"AAAAAG39vUM=")</f>
        <v>#VALUE!</v>
      </c>
      <c r="BQ148" t="e">
        <f>AND('BBP complete'!Q1720,"AAAAAG39vUQ=")</f>
        <v>#VALUE!</v>
      </c>
      <c r="BR148" t="e">
        <f>AND('BBP complete'!R1720,"AAAAAG39vUU=")</f>
        <v>#VALUE!</v>
      </c>
      <c r="BS148" t="e">
        <f>AND('BBP complete'!S1720,"AAAAAG39vUY=")</f>
        <v>#VALUE!</v>
      </c>
      <c r="BT148" t="e">
        <f>AND('BBP complete'!A1709,"AAAAAG39vUc=")</f>
        <v>#VALUE!</v>
      </c>
      <c r="BU148" t="e">
        <f>AND('BBP complete'!B1705,"AAAAAG39vUg=")</f>
        <v>#VALUE!</v>
      </c>
      <c r="BV148" t="e">
        <f>AND('BBP complete'!H1705,"AAAAAG39vUk=")</f>
        <v>#VALUE!</v>
      </c>
      <c r="BW148" t="e">
        <f>AND('BBP complete'!I1705,"AAAAAG39vUo=")</f>
        <v>#VALUE!</v>
      </c>
      <c r="BX148" t="e">
        <f>AND('BBP complete'!G1704,"AAAAAG39vUs=")</f>
        <v>#VALUE!</v>
      </c>
      <c r="BY148" t="e">
        <f>AND('BBP complete'!#REF!,"AAAAAG39vUw=")</f>
        <v>#REF!</v>
      </c>
      <c r="BZ148" t="e">
        <f>AND('BBP complete'!#REF!,"AAAAAG39vU0=")</f>
        <v>#REF!</v>
      </c>
      <c r="CA148" t="e">
        <f>AND('BBP complete'!#REF!,"AAAAAG39vU4=")</f>
        <v>#REF!</v>
      </c>
      <c r="CB148" t="e">
        <f>AND('BBP complete'!#REF!,"AAAAAG39vU8=")</f>
        <v>#REF!</v>
      </c>
      <c r="CC148" t="e">
        <f>AND('BBP complete'!#REF!,"AAAAAG39vVA=")</f>
        <v>#REF!</v>
      </c>
      <c r="CD148" t="e">
        <f>AND('BBP complete'!#REF!,"AAAAAG39vVE=")</f>
        <v>#REF!</v>
      </c>
      <c r="CE148" t="e">
        <f>AND('BBP complete'!L1702,"AAAAAG39vVI=")</f>
        <v>#VALUE!</v>
      </c>
      <c r="CF148" t="e">
        <f>AND('BBP complete'!C1703,"AAAAAG39vVM=")</f>
        <v>#VALUE!</v>
      </c>
      <c r="CG148" t="e">
        <f>AND('BBP complete'!N1705,"AAAAAG39vVQ=")</f>
        <v>#VALUE!</v>
      </c>
      <c r="CH148" t="e">
        <f>AND('BBP complete'!P1721,"AAAAAG39vVU=")</f>
        <v>#VALUE!</v>
      </c>
      <c r="CI148" t="e">
        <f>AND('BBP complete'!Q1721,"AAAAAG39vVY=")</f>
        <v>#VALUE!</v>
      </c>
      <c r="CJ148" t="e">
        <f>AND('BBP complete'!R1721,"AAAAAG39vVc=")</f>
        <v>#VALUE!</v>
      </c>
      <c r="CK148" t="e">
        <f>AND('BBP complete'!S1721,"AAAAAG39vVg=")</f>
        <v>#VALUE!</v>
      </c>
      <c r="CL148" t="e">
        <f>AND('BBP complete'!A1710,"AAAAAG39vVk=")</f>
        <v>#VALUE!</v>
      </c>
      <c r="CM148" t="e">
        <f>AND('BBP complete'!B1706,"AAAAAG39vVo=")</f>
        <v>#VALUE!</v>
      </c>
      <c r="CN148" t="e">
        <f>AND('BBP complete'!H1706,"AAAAAG39vVs=")</f>
        <v>#VALUE!</v>
      </c>
      <c r="CO148" t="e">
        <f>AND('BBP complete'!I1706,"AAAAAG39vVw=")</f>
        <v>#VALUE!</v>
      </c>
      <c r="CP148" t="e">
        <f>AND('BBP complete'!G1705,"AAAAAG39vV0=")</f>
        <v>#VALUE!</v>
      </c>
      <c r="CQ148" t="e">
        <f>AND('BBP complete'!#REF!,"AAAAAG39vV4=")</f>
        <v>#REF!</v>
      </c>
      <c r="CR148" t="e">
        <f>AND('BBP complete'!#REF!,"AAAAAG39vV8=")</f>
        <v>#REF!</v>
      </c>
      <c r="CS148" t="e">
        <f>AND('BBP complete'!#REF!,"AAAAAG39vWA=")</f>
        <v>#REF!</v>
      </c>
      <c r="CT148" t="e">
        <f>AND('BBP complete'!#REF!,"AAAAAG39vWE=")</f>
        <v>#REF!</v>
      </c>
      <c r="CU148" t="e">
        <f>AND('BBP complete'!#REF!,"AAAAAG39vWI=")</f>
        <v>#REF!</v>
      </c>
      <c r="CV148" t="e">
        <f>AND('BBP complete'!#REF!,"AAAAAG39vWM=")</f>
        <v>#REF!</v>
      </c>
      <c r="CW148" t="e">
        <f>AND('BBP complete'!L1703,"AAAAAG39vWQ=")</f>
        <v>#VALUE!</v>
      </c>
      <c r="CX148" t="e">
        <f>AND('BBP complete'!C1704,"AAAAAG39vWU=")</f>
        <v>#VALUE!</v>
      </c>
      <c r="CY148" t="e">
        <f>AND('BBP complete'!N1706,"AAAAAG39vWY=")</f>
        <v>#VALUE!</v>
      </c>
      <c r="CZ148" t="e">
        <f>AND('BBP complete'!P1722,"AAAAAG39vWc=")</f>
        <v>#VALUE!</v>
      </c>
      <c r="DA148" t="e">
        <f>AND('BBP complete'!Q1722,"AAAAAG39vWg=")</f>
        <v>#VALUE!</v>
      </c>
      <c r="DB148" t="e">
        <f>AND('BBP complete'!R1722,"AAAAAG39vWk=")</f>
        <v>#VALUE!</v>
      </c>
      <c r="DC148" t="e">
        <f>AND('BBP complete'!S1722,"AAAAAG39vWo=")</f>
        <v>#VALUE!</v>
      </c>
      <c r="DD148" t="e">
        <f>AND('BBP complete'!A1711,"AAAAAG39vWs=")</f>
        <v>#VALUE!</v>
      </c>
      <c r="DE148" t="e">
        <f>AND('BBP complete'!B1707,"AAAAAG39vWw=")</f>
        <v>#VALUE!</v>
      </c>
      <c r="DF148" t="e">
        <f>AND('BBP complete'!H1707,"AAAAAG39vW0=")</f>
        <v>#VALUE!</v>
      </c>
      <c r="DG148" t="e">
        <f>AND('BBP complete'!I1707,"AAAAAG39vW4=")</f>
        <v>#VALUE!</v>
      </c>
      <c r="DH148" t="e">
        <f>AND('BBP complete'!G1706,"AAAAAG39vW8=")</f>
        <v>#VALUE!</v>
      </c>
      <c r="DI148" t="e">
        <f>AND('BBP complete'!#REF!,"AAAAAG39vXA=")</f>
        <v>#REF!</v>
      </c>
      <c r="DJ148" t="e">
        <f>AND('BBP complete'!#REF!,"AAAAAG39vXE=")</f>
        <v>#REF!</v>
      </c>
      <c r="DK148" t="e">
        <f>AND('BBP complete'!#REF!,"AAAAAG39vXI=")</f>
        <v>#REF!</v>
      </c>
      <c r="DL148" t="e">
        <f>AND('BBP complete'!#REF!,"AAAAAG39vXM=")</f>
        <v>#REF!</v>
      </c>
      <c r="DM148" t="e">
        <f>AND('BBP complete'!#REF!,"AAAAAG39vXQ=")</f>
        <v>#REF!</v>
      </c>
      <c r="DN148" t="e">
        <f>AND('BBP complete'!#REF!,"AAAAAG39vXU=")</f>
        <v>#REF!</v>
      </c>
      <c r="DO148" t="e">
        <f>AND('BBP complete'!L1704,"AAAAAG39vXY=")</f>
        <v>#VALUE!</v>
      </c>
      <c r="DP148" t="e">
        <f>AND('BBP complete'!C1705,"AAAAAG39vXc=")</f>
        <v>#VALUE!</v>
      </c>
      <c r="DQ148" t="e">
        <f>AND('BBP complete'!N1707,"AAAAAG39vXg=")</f>
        <v>#VALUE!</v>
      </c>
      <c r="DR148" t="e">
        <f>AND('BBP complete'!P1723,"AAAAAG39vXk=")</f>
        <v>#VALUE!</v>
      </c>
      <c r="DS148" t="e">
        <f>AND('BBP complete'!Q1723,"AAAAAG39vXo=")</f>
        <v>#VALUE!</v>
      </c>
      <c r="DT148" t="e">
        <f>AND('BBP complete'!R1723,"AAAAAG39vXs=")</f>
        <v>#VALUE!</v>
      </c>
      <c r="DU148" t="e">
        <f>AND('BBP complete'!S1723,"AAAAAG39vXw=")</f>
        <v>#VALUE!</v>
      </c>
      <c r="DV148" t="e">
        <f>AND('BBP complete'!A1712,"AAAAAG39vX0=")</f>
        <v>#VALUE!</v>
      </c>
      <c r="DW148" t="e">
        <f>AND('BBP complete'!B1708,"AAAAAG39vX4=")</f>
        <v>#VALUE!</v>
      </c>
      <c r="DX148" t="e">
        <f>AND('BBP complete'!H1708,"AAAAAG39vX8=")</f>
        <v>#VALUE!</v>
      </c>
      <c r="DY148" t="e">
        <f>AND('BBP complete'!I1708,"AAAAAG39vYA=")</f>
        <v>#VALUE!</v>
      </c>
      <c r="DZ148" t="e">
        <f>AND('BBP complete'!G1707,"AAAAAG39vYE=")</f>
        <v>#VALUE!</v>
      </c>
      <c r="EA148" t="e">
        <f>AND('BBP complete'!#REF!,"AAAAAG39vYI=")</f>
        <v>#REF!</v>
      </c>
      <c r="EB148" t="e">
        <f>AND('BBP complete'!#REF!,"AAAAAG39vYM=")</f>
        <v>#REF!</v>
      </c>
      <c r="EC148" t="e">
        <f>AND('BBP complete'!#REF!,"AAAAAG39vYQ=")</f>
        <v>#REF!</v>
      </c>
      <c r="ED148" t="e">
        <f>AND('BBP complete'!#REF!,"AAAAAG39vYU=")</f>
        <v>#REF!</v>
      </c>
      <c r="EE148" t="e">
        <f>AND('BBP complete'!#REF!,"AAAAAG39vYY=")</f>
        <v>#REF!</v>
      </c>
      <c r="EF148" t="e">
        <f>AND('BBP complete'!#REF!,"AAAAAG39vYc=")</f>
        <v>#REF!</v>
      </c>
      <c r="EG148" t="e">
        <f>AND('BBP complete'!L1705,"AAAAAG39vYg=")</f>
        <v>#VALUE!</v>
      </c>
      <c r="EH148" t="e">
        <f>AND('BBP complete'!C1706,"AAAAAG39vYk=")</f>
        <v>#VALUE!</v>
      </c>
      <c r="EI148" t="e">
        <f>AND('BBP complete'!N1708,"AAAAAG39vYo=")</f>
        <v>#VALUE!</v>
      </c>
      <c r="EJ148" t="e">
        <f>AND('BBP complete'!P1724,"AAAAAG39vYs=")</f>
        <v>#VALUE!</v>
      </c>
      <c r="EK148" t="e">
        <f>AND('BBP complete'!Q1724,"AAAAAG39vYw=")</f>
        <v>#VALUE!</v>
      </c>
      <c r="EL148" t="e">
        <f>AND('BBP complete'!R1724,"AAAAAG39vY0=")</f>
        <v>#VALUE!</v>
      </c>
      <c r="EM148" t="e">
        <f>AND('BBP complete'!S1724,"AAAAAG39vY4=")</f>
        <v>#VALUE!</v>
      </c>
      <c r="EN148" t="e">
        <f>AND('BBP complete'!A1713,"AAAAAG39vY8=")</f>
        <v>#VALUE!</v>
      </c>
      <c r="EO148" t="e">
        <f>AND('BBP complete'!B1709,"AAAAAG39vZA=")</f>
        <v>#VALUE!</v>
      </c>
      <c r="EP148" t="e">
        <f>AND('BBP complete'!H1709,"AAAAAG39vZE=")</f>
        <v>#VALUE!</v>
      </c>
      <c r="EQ148" t="e">
        <f>AND('BBP complete'!I1709,"AAAAAG39vZI=")</f>
        <v>#VALUE!</v>
      </c>
      <c r="ER148" t="e">
        <f>AND('BBP complete'!G1708,"AAAAAG39vZM=")</f>
        <v>#VALUE!</v>
      </c>
      <c r="ES148" t="e">
        <f>AND('BBP complete'!#REF!,"AAAAAG39vZQ=")</f>
        <v>#REF!</v>
      </c>
      <c r="ET148" t="e">
        <f>AND('BBP complete'!#REF!,"AAAAAG39vZU=")</f>
        <v>#REF!</v>
      </c>
      <c r="EU148" t="e">
        <f>AND('BBP complete'!#REF!,"AAAAAG39vZY=")</f>
        <v>#REF!</v>
      </c>
      <c r="EV148" t="e">
        <f>AND('BBP complete'!#REF!,"AAAAAG39vZc=")</f>
        <v>#REF!</v>
      </c>
      <c r="EW148" t="e">
        <f>AND('BBP complete'!#REF!,"AAAAAG39vZg=")</f>
        <v>#REF!</v>
      </c>
      <c r="EX148" t="e">
        <f>AND('BBP complete'!#REF!,"AAAAAG39vZk=")</f>
        <v>#REF!</v>
      </c>
      <c r="EY148" t="e">
        <f>AND('BBP complete'!L1706,"AAAAAG39vZo=")</f>
        <v>#VALUE!</v>
      </c>
      <c r="EZ148" t="e">
        <f>AND('BBP complete'!C1707,"AAAAAG39vZs=")</f>
        <v>#VALUE!</v>
      </c>
      <c r="FA148" t="e">
        <f>AND('BBP complete'!N1709,"AAAAAG39vZw=")</f>
        <v>#VALUE!</v>
      </c>
      <c r="FB148" t="e">
        <f>AND('BBP complete'!P1725,"AAAAAG39vZ0=")</f>
        <v>#VALUE!</v>
      </c>
      <c r="FC148" t="e">
        <f>AND('BBP complete'!Q1725,"AAAAAG39vZ4=")</f>
        <v>#VALUE!</v>
      </c>
      <c r="FD148" t="e">
        <f>AND('BBP complete'!R1725,"AAAAAG39vZ8=")</f>
        <v>#VALUE!</v>
      </c>
      <c r="FE148" t="e">
        <f>AND('BBP complete'!S1725,"AAAAAG39vaA=")</f>
        <v>#VALUE!</v>
      </c>
      <c r="FF148" t="e">
        <f>AND('BBP complete'!A1714,"AAAAAG39vaE=")</f>
        <v>#VALUE!</v>
      </c>
      <c r="FG148" t="e">
        <f>AND('BBP complete'!B1710,"AAAAAG39vaI=")</f>
        <v>#VALUE!</v>
      </c>
      <c r="FH148" t="e">
        <f>AND('BBP complete'!H1710,"AAAAAG39vaM=")</f>
        <v>#VALUE!</v>
      </c>
      <c r="FI148" t="e">
        <f>AND('BBP complete'!I1710,"AAAAAG39vaQ=")</f>
        <v>#VALUE!</v>
      </c>
      <c r="FJ148" t="e">
        <f>AND('BBP complete'!G1709,"AAAAAG39vaU=")</f>
        <v>#VALUE!</v>
      </c>
      <c r="FK148" t="e">
        <f>AND('BBP complete'!#REF!,"AAAAAG39vaY=")</f>
        <v>#REF!</v>
      </c>
      <c r="FL148" t="e">
        <f>AND('BBP complete'!#REF!,"AAAAAG39vac=")</f>
        <v>#REF!</v>
      </c>
      <c r="FM148" t="e">
        <f>AND('BBP complete'!#REF!,"AAAAAG39vag=")</f>
        <v>#REF!</v>
      </c>
      <c r="FN148" t="e">
        <f>AND('BBP complete'!#REF!,"AAAAAG39vak=")</f>
        <v>#REF!</v>
      </c>
      <c r="FO148" t="e">
        <f>AND('BBP complete'!#REF!,"AAAAAG39vao=")</f>
        <v>#REF!</v>
      </c>
      <c r="FP148" t="e">
        <f>AND('BBP complete'!#REF!,"AAAAAG39vas=")</f>
        <v>#REF!</v>
      </c>
      <c r="FQ148" t="e">
        <f>AND('BBP complete'!L1707,"AAAAAG39vaw=")</f>
        <v>#VALUE!</v>
      </c>
      <c r="FR148" t="e">
        <f>AND('BBP complete'!C1708,"AAAAAG39va0=")</f>
        <v>#VALUE!</v>
      </c>
      <c r="FS148" t="e">
        <f>AND('BBP complete'!N1710,"AAAAAG39va4=")</f>
        <v>#VALUE!</v>
      </c>
      <c r="FT148" t="e">
        <f>AND('BBP complete'!P1726,"AAAAAG39va8=")</f>
        <v>#VALUE!</v>
      </c>
      <c r="FU148" t="e">
        <f>AND('BBP complete'!Q1726,"AAAAAG39vbA=")</f>
        <v>#VALUE!</v>
      </c>
      <c r="FV148" t="e">
        <f>AND('BBP complete'!R1726,"AAAAAG39vbE=")</f>
        <v>#VALUE!</v>
      </c>
      <c r="FW148" t="e">
        <f>AND('BBP complete'!S1726,"AAAAAG39vbI=")</f>
        <v>#VALUE!</v>
      </c>
      <c r="FX148" t="e">
        <f>AND('BBP complete'!A1715,"AAAAAG39vbM=")</f>
        <v>#VALUE!</v>
      </c>
      <c r="FY148" t="e">
        <f>AND('BBP complete'!B1711,"AAAAAG39vbQ=")</f>
        <v>#VALUE!</v>
      </c>
      <c r="FZ148" t="e">
        <f>AND('BBP complete'!H1711,"AAAAAG39vbU=")</f>
        <v>#VALUE!</v>
      </c>
      <c r="GA148" t="e">
        <f>AND('BBP complete'!I1711,"AAAAAG39vbY=")</f>
        <v>#VALUE!</v>
      </c>
      <c r="GB148" t="e">
        <f>AND('BBP complete'!G1710,"AAAAAG39vbc=")</f>
        <v>#VALUE!</v>
      </c>
      <c r="GC148" t="e">
        <f>AND('BBP complete'!#REF!,"AAAAAG39vbg=")</f>
        <v>#REF!</v>
      </c>
      <c r="GD148" t="e">
        <f>AND('BBP complete'!#REF!,"AAAAAG39vbk=")</f>
        <v>#REF!</v>
      </c>
      <c r="GE148" t="e">
        <f>AND('BBP complete'!#REF!,"AAAAAG39vbo=")</f>
        <v>#REF!</v>
      </c>
      <c r="GF148" t="e">
        <f>AND('BBP complete'!#REF!,"AAAAAG39vbs=")</f>
        <v>#REF!</v>
      </c>
      <c r="GG148" t="e">
        <f>AND('BBP complete'!#REF!,"AAAAAG39vbw=")</f>
        <v>#REF!</v>
      </c>
      <c r="GH148" t="e">
        <f>AND('BBP complete'!#REF!,"AAAAAG39vb0=")</f>
        <v>#REF!</v>
      </c>
      <c r="GI148" t="e">
        <f>AND('BBP complete'!L1708,"AAAAAG39vb4=")</f>
        <v>#VALUE!</v>
      </c>
      <c r="GJ148" t="e">
        <f>AND('BBP complete'!C1709,"AAAAAG39vb8=")</f>
        <v>#VALUE!</v>
      </c>
      <c r="GK148" t="e">
        <f>AND('BBP complete'!N1711,"AAAAAG39vcA=")</f>
        <v>#VALUE!</v>
      </c>
      <c r="GL148" t="e">
        <f>AND('BBP complete'!P1727,"AAAAAG39vcE=")</f>
        <v>#VALUE!</v>
      </c>
      <c r="GM148" t="e">
        <f>AND('BBP complete'!Q1727,"AAAAAG39vcI=")</f>
        <v>#VALUE!</v>
      </c>
      <c r="GN148" t="e">
        <f>AND('BBP complete'!R1727,"AAAAAG39vcM=")</f>
        <v>#VALUE!</v>
      </c>
      <c r="GO148" t="e">
        <f>AND('BBP complete'!S1727,"AAAAAG39vcQ=")</f>
        <v>#VALUE!</v>
      </c>
      <c r="GP148" t="e">
        <f>AND('BBP complete'!A1716,"AAAAAG39vcU=")</f>
        <v>#VALUE!</v>
      </c>
      <c r="GQ148" t="e">
        <f>AND('BBP complete'!B1712,"AAAAAG39vcY=")</f>
        <v>#VALUE!</v>
      </c>
      <c r="GR148" t="e">
        <f>AND('BBP complete'!H1712,"AAAAAG39vcc=")</f>
        <v>#VALUE!</v>
      </c>
      <c r="GS148" t="e">
        <f>AND('BBP complete'!I1712,"AAAAAG39vcg=")</f>
        <v>#VALUE!</v>
      </c>
      <c r="GT148" t="e">
        <f>AND('BBP complete'!G1711,"AAAAAG39vck=")</f>
        <v>#VALUE!</v>
      </c>
      <c r="GU148" t="e">
        <f>AND('BBP complete'!#REF!,"AAAAAG39vco=")</f>
        <v>#REF!</v>
      </c>
      <c r="GV148" t="e">
        <f>AND('BBP complete'!#REF!,"AAAAAG39vcs=")</f>
        <v>#REF!</v>
      </c>
      <c r="GW148" t="e">
        <f>AND('BBP complete'!#REF!,"AAAAAG39vcw=")</f>
        <v>#REF!</v>
      </c>
      <c r="GX148" t="e">
        <f>AND('BBP complete'!#REF!,"AAAAAG39vc0=")</f>
        <v>#REF!</v>
      </c>
      <c r="GY148" t="e">
        <f>AND('BBP complete'!#REF!,"AAAAAG39vc4=")</f>
        <v>#REF!</v>
      </c>
      <c r="GZ148" t="e">
        <f>AND('BBP complete'!#REF!,"AAAAAG39vc8=")</f>
        <v>#REF!</v>
      </c>
      <c r="HA148" t="e">
        <f>AND('BBP complete'!L1709,"AAAAAG39vdA=")</f>
        <v>#VALUE!</v>
      </c>
      <c r="HB148" t="e">
        <f>AND('BBP complete'!C1710,"AAAAAG39vdE=")</f>
        <v>#VALUE!</v>
      </c>
      <c r="HC148" t="e">
        <f>AND('BBP complete'!N1712,"AAAAAG39vdI=")</f>
        <v>#VALUE!</v>
      </c>
      <c r="HD148" t="e">
        <f>AND('BBP complete'!P1728,"AAAAAG39vdM=")</f>
        <v>#VALUE!</v>
      </c>
      <c r="HE148" t="e">
        <f>AND('BBP complete'!Q1728,"AAAAAG39vdQ=")</f>
        <v>#VALUE!</v>
      </c>
      <c r="HF148" t="e">
        <f>AND('BBP complete'!R1728,"AAAAAG39vdU=")</f>
        <v>#VALUE!</v>
      </c>
      <c r="HG148" t="e">
        <f>AND('BBP complete'!S1728,"AAAAAG39vdY=")</f>
        <v>#VALUE!</v>
      </c>
      <c r="HH148" t="e">
        <f>AND('BBP complete'!A1717,"AAAAAG39vdc=")</f>
        <v>#VALUE!</v>
      </c>
      <c r="HI148" t="e">
        <f>AND('BBP complete'!B1713,"AAAAAG39vdg=")</f>
        <v>#VALUE!</v>
      </c>
      <c r="HJ148" t="e">
        <f>AND('BBP complete'!H1713,"AAAAAG39vdk=")</f>
        <v>#VALUE!</v>
      </c>
      <c r="HK148" t="e">
        <f>AND('BBP complete'!I1713,"AAAAAG39vdo=")</f>
        <v>#VALUE!</v>
      </c>
      <c r="HL148" t="e">
        <f>AND('BBP complete'!G1712,"AAAAAG39vds=")</f>
        <v>#VALUE!</v>
      </c>
      <c r="HM148" t="e">
        <f>AND('BBP complete'!#REF!,"AAAAAG39vdw=")</f>
        <v>#REF!</v>
      </c>
      <c r="HN148" t="e">
        <f>AND('BBP complete'!#REF!,"AAAAAG39vd0=")</f>
        <v>#REF!</v>
      </c>
      <c r="HO148" t="e">
        <f>AND('BBP complete'!#REF!,"AAAAAG39vd4=")</f>
        <v>#REF!</v>
      </c>
      <c r="HP148" t="e">
        <f>AND('BBP complete'!#REF!,"AAAAAG39vd8=")</f>
        <v>#REF!</v>
      </c>
      <c r="HQ148" t="e">
        <f>AND('BBP complete'!#REF!,"AAAAAG39veA=")</f>
        <v>#REF!</v>
      </c>
      <c r="HR148" t="e">
        <f>AND('BBP complete'!#REF!,"AAAAAG39veE=")</f>
        <v>#REF!</v>
      </c>
      <c r="HS148" t="e">
        <f>AND('BBP complete'!L1710,"AAAAAG39veI=")</f>
        <v>#VALUE!</v>
      </c>
      <c r="HT148" t="e">
        <f>AND('BBP complete'!C1711,"AAAAAG39veM=")</f>
        <v>#VALUE!</v>
      </c>
      <c r="HU148" t="e">
        <f>AND('BBP complete'!N1713,"AAAAAG39veQ=")</f>
        <v>#VALUE!</v>
      </c>
      <c r="HV148" t="e">
        <f>AND('BBP complete'!P1729,"AAAAAG39veU=")</f>
        <v>#VALUE!</v>
      </c>
      <c r="HW148" t="e">
        <f>AND('BBP complete'!Q1729,"AAAAAG39veY=")</f>
        <v>#VALUE!</v>
      </c>
      <c r="HX148" t="e">
        <f>AND('BBP complete'!R1729,"AAAAAG39vec=")</f>
        <v>#VALUE!</v>
      </c>
      <c r="HY148" t="e">
        <f>AND('BBP complete'!S1729,"AAAAAG39veg=")</f>
        <v>#VALUE!</v>
      </c>
      <c r="HZ148" t="e">
        <f>AND('BBP complete'!A1718,"AAAAAG39vek=")</f>
        <v>#VALUE!</v>
      </c>
      <c r="IA148" t="e">
        <f>AND('BBP complete'!B1714,"AAAAAG39veo=")</f>
        <v>#VALUE!</v>
      </c>
      <c r="IB148" t="e">
        <f>AND('BBP complete'!H1714,"AAAAAG39ves=")</f>
        <v>#VALUE!</v>
      </c>
      <c r="IC148" t="e">
        <f>AND('BBP complete'!I1714,"AAAAAG39vew=")</f>
        <v>#VALUE!</v>
      </c>
      <c r="ID148" t="e">
        <f>AND('BBP complete'!G1713,"AAAAAG39ve0=")</f>
        <v>#VALUE!</v>
      </c>
      <c r="IE148" t="e">
        <f>AND('BBP complete'!#REF!,"AAAAAG39ve4=")</f>
        <v>#REF!</v>
      </c>
      <c r="IF148" t="e">
        <f>AND('BBP complete'!#REF!,"AAAAAG39ve8=")</f>
        <v>#REF!</v>
      </c>
      <c r="IG148" t="e">
        <f>AND('BBP complete'!#REF!,"AAAAAG39vfA=")</f>
        <v>#REF!</v>
      </c>
      <c r="IH148" t="e">
        <f>AND('BBP complete'!#REF!,"AAAAAG39vfE=")</f>
        <v>#REF!</v>
      </c>
      <c r="II148" t="e">
        <f>AND('BBP complete'!#REF!,"AAAAAG39vfI=")</f>
        <v>#REF!</v>
      </c>
      <c r="IJ148" t="e">
        <f>AND('BBP complete'!#REF!,"AAAAAG39vfM=")</f>
        <v>#REF!</v>
      </c>
      <c r="IK148" t="e">
        <f>AND('BBP complete'!L1711,"AAAAAG39vfQ=")</f>
        <v>#VALUE!</v>
      </c>
      <c r="IL148" t="e">
        <f>AND('BBP complete'!C1712,"AAAAAG39vfU=")</f>
        <v>#VALUE!</v>
      </c>
      <c r="IM148" t="e">
        <f>AND('BBP complete'!N1714,"AAAAAG39vfY=")</f>
        <v>#VALUE!</v>
      </c>
      <c r="IN148" t="e">
        <f>AND('BBP complete'!P1730,"AAAAAG39vfc=")</f>
        <v>#VALUE!</v>
      </c>
      <c r="IO148" t="e">
        <f>AND('BBP complete'!Q1730,"AAAAAG39vfg=")</f>
        <v>#VALUE!</v>
      </c>
      <c r="IP148" t="e">
        <f>AND('BBP complete'!R1730,"AAAAAG39vfk=")</f>
        <v>#VALUE!</v>
      </c>
      <c r="IQ148" t="e">
        <f>AND('BBP complete'!S1730,"AAAAAG39vfo=")</f>
        <v>#VALUE!</v>
      </c>
      <c r="IR148" t="e">
        <f>AND('BBP complete'!A1719,"AAAAAG39vfs=")</f>
        <v>#VALUE!</v>
      </c>
      <c r="IS148" t="e">
        <f>AND('BBP complete'!B1715,"AAAAAG39vfw=")</f>
        <v>#VALUE!</v>
      </c>
      <c r="IT148" t="e">
        <f>AND('BBP complete'!H1715,"AAAAAG39vf0=")</f>
        <v>#VALUE!</v>
      </c>
      <c r="IU148" t="e">
        <f>AND('BBP complete'!I1715,"AAAAAG39vf4=")</f>
        <v>#VALUE!</v>
      </c>
      <c r="IV148" t="e">
        <f>AND('BBP complete'!G1714,"AAAAAG39vf8=")</f>
        <v>#VALUE!</v>
      </c>
    </row>
    <row r="149" spans="1:256" ht="15" customHeight="1" x14ac:dyDescent="0.25">
      <c r="A149" t="e">
        <f>AND('BBP complete'!#REF!,"AAAAAHef/wA=")</f>
        <v>#REF!</v>
      </c>
      <c r="B149" t="e">
        <f>AND('BBP complete'!#REF!,"AAAAAHef/wE=")</f>
        <v>#REF!</v>
      </c>
      <c r="C149" t="e">
        <f>AND('BBP complete'!#REF!,"AAAAAHef/wI=")</f>
        <v>#REF!</v>
      </c>
      <c r="D149" t="e">
        <f>AND('BBP complete'!#REF!,"AAAAAHef/wM=")</f>
        <v>#REF!</v>
      </c>
      <c r="E149" t="e">
        <f>AND('BBP complete'!#REF!,"AAAAAHef/wQ=")</f>
        <v>#REF!</v>
      </c>
      <c r="F149" t="e">
        <f>AND('BBP complete'!#REF!,"AAAAAHef/wU=")</f>
        <v>#REF!</v>
      </c>
      <c r="G149" t="e">
        <f>AND('BBP complete'!L1712,"AAAAAHef/wY=")</f>
        <v>#VALUE!</v>
      </c>
      <c r="H149" t="e">
        <f>AND('BBP complete'!C1713,"AAAAAHef/wc=")</f>
        <v>#VALUE!</v>
      </c>
      <c r="I149" t="e">
        <f>AND('BBP complete'!N1715,"AAAAAHef/wg=")</f>
        <v>#VALUE!</v>
      </c>
      <c r="J149" t="e">
        <f>AND('BBP complete'!P1731,"AAAAAHef/wk=")</f>
        <v>#VALUE!</v>
      </c>
      <c r="K149" t="e">
        <f>AND('BBP complete'!Q1731,"AAAAAHef/wo=")</f>
        <v>#VALUE!</v>
      </c>
      <c r="L149" t="e">
        <f>AND('BBP complete'!R1731,"AAAAAHef/ws=")</f>
        <v>#VALUE!</v>
      </c>
      <c r="M149" t="e">
        <f>AND('BBP complete'!S1731,"AAAAAHef/ww=")</f>
        <v>#VALUE!</v>
      </c>
      <c r="N149" t="e">
        <f>AND('BBP complete'!A1720,"AAAAAHef/w0=")</f>
        <v>#VALUE!</v>
      </c>
      <c r="O149" t="e">
        <f>AND('BBP complete'!B1716,"AAAAAHef/w4=")</f>
        <v>#VALUE!</v>
      </c>
      <c r="P149" t="e">
        <f>AND('BBP complete'!H1716,"AAAAAHef/w8=")</f>
        <v>#VALUE!</v>
      </c>
      <c r="Q149" t="e">
        <f>AND('BBP complete'!I1716,"AAAAAHef/xA=")</f>
        <v>#VALUE!</v>
      </c>
      <c r="R149" t="e">
        <f>AND('BBP complete'!G1715,"AAAAAHef/xE=")</f>
        <v>#VALUE!</v>
      </c>
      <c r="S149" t="e">
        <f>AND('BBP complete'!#REF!,"AAAAAHef/xI=")</f>
        <v>#REF!</v>
      </c>
      <c r="T149" t="e">
        <f>AND('BBP complete'!#REF!,"AAAAAHef/xM=")</f>
        <v>#REF!</v>
      </c>
      <c r="U149" t="e">
        <f>AND('BBP complete'!#REF!,"AAAAAHef/xQ=")</f>
        <v>#REF!</v>
      </c>
      <c r="V149" t="e">
        <f>AND('BBP complete'!#REF!,"AAAAAHef/xU=")</f>
        <v>#REF!</v>
      </c>
      <c r="W149" t="e">
        <f>AND('BBP complete'!#REF!,"AAAAAHef/xY=")</f>
        <v>#REF!</v>
      </c>
      <c r="X149" t="e">
        <f>AND('BBP complete'!#REF!,"AAAAAHef/xc=")</f>
        <v>#REF!</v>
      </c>
      <c r="Y149" t="e">
        <f>AND('BBP complete'!L1713,"AAAAAHef/xg=")</f>
        <v>#VALUE!</v>
      </c>
      <c r="Z149" t="e">
        <f>AND('BBP complete'!C1714,"AAAAAHef/xk=")</f>
        <v>#VALUE!</v>
      </c>
      <c r="AA149" t="e">
        <f>AND('BBP complete'!N1716,"AAAAAHef/xo=")</f>
        <v>#VALUE!</v>
      </c>
      <c r="AB149" t="e">
        <f>AND('BBP complete'!P1732,"AAAAAHef/xs=")</f>
        <v>#VALUE!</v>
      </c>
      <c r="AC149" t="e">
        <f>AND('BBP complete'!Q1732,"AAAAAHef/xw=")</f>
        <v>#VALUE!</v>
      </c>
      <c r="AD149" t="e">
        <f>AND('BBP complete'!R1732,"AAAAAHef/x0=")</f>
        <v>#VALUE!</v>
      </c>
      <c r="AE149" t="e">
        <f>AND('BBP complete'!S1732,"AAAAAHef/x4=")</f>
        <v>#VALUE!</v>
      </c>
      <c r="AF149" t="e">
        <f>AND('BBP complete'!A1721,"AAAAAHef/x8=")</f>
        <v>#VALUE!</v>
      </c>
      <c r="AG149" t="e">
        <f>AND('BBP complete'!B1717,"AAAAAHef/yA=")</f>
        <v>#VALUE!</v>
      </c>
      <c r="AH149" t="e">
        <f>AND('BBP complete'!H1717,"AAAAAHef/yE=")</f>
        <v>#VALUE!</v>
      </c>
      <c r="AI149" t="e">
        <f>AND('BBP complete'!I1717,"AAAAAHef/yI=")</f>
        <v>#VALUE!</v>
      </c>
      <c r="AJ149" t="e">
        <f>AND('BBP complete'!G1716,"AAAAAHef/yM=")</f>
        <v>#VALUE!</v>
      </c>
      <c r="AK149" t="e">
        <f>AND('BBP complete'!#REF!,"AAAAAHef/yQ=")</f>
        <v>#REF!</v>
      </c>
      <c r="AL149" t="e">
        <f>AND('BBP complete'!#REF!,"AAAAAHef/yU=")</f>
        <v>#REF!</v>
      </c>
      <c r="AM149" t="e">
        <f>AND('BBP complete'!#REF!,"AAAAAHef/yY=")</f>
        <v>#REF!</v>
      </c>
      <c r="AN149" t="e">
        <f>AND('BBP complete'!#REF!,"AAAAAHef/yc=")</f>
        <v>#REF!</v>
      </c>
      <c r="AO149" t="e">
        <f>AND('BBP complete'!#REF!,"AAAAAHef/yg=")</f>
        <v>#REF!</v>
      </c>
      <c r="AP149" t="e">
        <f>AND('BBP complete'!#REF!,"AAAAAHef/yk=")</f>
        <v>#REF!</v>
      </c>
      <c r="AQ149" t="e">
        <f>AND('BBP complete'!L1714,"AAAAAHef/yo=")</f>
        <v>#VALUE!</v>
      </c>
      <c r="AR149" t="e">
        <f>AND('BBP complete'!C1715,"AAAAAHef/ys=")</f>
        <v>#VALUE!</v>
      </c>
      <c r="AS149" t="e">
        <f>AND('BBP complete'!N1717,"AAAAAHef/yw=")</f>
        <v>#VALUE!</v>
      </c>
      <c r="AT149" t="e">
        <f>AND('BBP complete'!P1733,"AAAAAHef/y0=")</f>
        <v>#VALUE!</v>
      </c>
      <c r="AU149" t="e">
        <f>AND('BBP complete'!Q1733,"AAAAAHef/y4=")</f>
        <v>#VALUE!</v>
      </c>
      <c r="AV149" t="e">
        <f>AND('BBP complete'!R1733,"AAAAAHef/y8=")</f>
        <v>#VALUE!</v>
      </c>
      <c r="AW149" t="e">
        <f>AND('BBP complete'!S1733,"AAAAAHef/zA=")</f>
        <v>#VALUE!</v>
      </c>
      <c r="AX149" t="e">
        <f>AND('BBP complete'!A1722,"AAAAAHef/zE=")</f>
        <v>#VALUE!</v>
      </c>
      <c r="AY149" t="e">
        <f>AND('BBP complete'!B1718,"AAAAAHef/zI=")</f>
        <v>#VALUE!</v>
      </c>
      <c r="AZ149" t="e">
        <f>AND('BBP complete'!H1718,"AAAAAHef/zM=")</f>
        <v>#VALUE!</v>
      </c>
      <c r="BA149" t="e">
        <f>AND('BBP complete'!I1718,"AAAAAHef/zQ=")</f>
        <v>#VALUE!</v>
      </c>
      <c r="BB149" t="e">
        <f>AND('BBP complete'!G1717,"AAAAAHef/zU=")</f>
        <v>#VALUE!</v>
      </c>
      <c r="BC149" t="e">
        <f>AND('BBP complete'!#REF!,"AAAAAHef/zY=")</f>
        <v>#REF!</v>
      </c>
      <c r="BD149" t="e">
        <f>AND('BBP complete'!#REF!,"AAAAAHef/zc=")</f>
        <v>#REF!</v>
      </c>
      <c r="BE149" t="e">
        <f>AND('BBP complete'!#REF!,"AAAAAHef/zg=")</f>
        <v>#REF!</v>
      </c>
      <c r="BF149" t="e">
        <f>AND('BBP complete'!#REF!,"AAAAAHef/zk=")</f>
        <v>#REF!</v>
      </c>
      <c r="BG149" t="e">
        <f>AND('BBP complete'!#REF!,"AAAAAHef/zo=")</f>
        <v>#REF!</v>
      </c>
      <c r="BH149" t="e">
        <f>AND('BBP complete'!#REF!,"AAAAAHef/zs=")</f>
        <v>#REF!</v>
      </c>
      <c r="BI149" t="e">
        <f>AND('BBP complete'!L1715,"AAAAAHef/zw=")</f>
        <v>#VALUE!</v>
      </c>
      <c r="BJ149" t="e">
        <f>AND('BBP complete'!C1716,"AAAAAHef/z0=")</f>
        <v>#VALUE!</v>
      </c>
      <c r="BK149" t="e">
        <f>AND('BBP complete'!N1718,"AAAAAHef/z4=")</f>
        <v>#VALUE!</v>
      </c>
      <c r="BL149" t="e">
        <f>AND('BBP complete'!P1734,"AAAAAHef/z8=")</f>
        <v>#VALUE!</v>
      </c>
      <c r="BM149" t="e">
        <f>AND('BBP complete'!Q1734,"AAAAAHef/0A=")</f>
        <v>#VALUE!</v>
      </c>
      <c r="BN149" t="e">
        <f>AND('BBP complete'!R1734,"AAAAAHef/0E=")</f>
        <v>#VALUE!</v>
      </c>
      <c r="BO149" t="e">
        <f>AND('BBP complete'!S1734,"AAAAAHef/0I=")</f>
        <v>#VALUE!</v>
      </c>
      <c r="BP149" t="e">
        <f>AND('BBP complete'!A1723,"AAAAAHef/0M=")</f>
        <v>#VALUE!</v>
      </c>
      <c r="BQ149" t="e">
        <f>AND('BBP complete'!B1719,"AAAAAHef/0Q=")</f>
        <v>#VALUE!</v>
      </c>
      <c r="BR149" t="e">
        <f>AND('BBP complete'!H1719,"AAAAAHef/0U=")</f>
        <v>#VALUE!</v>
      </c>
      <c r="BS149" t="e">
        <f>AND('BBP complete'!I1719,"AAAAAHef/0Y=")</f>
        <v>#VALUE!</v>
      </c>
      <c r="BT149" t="e">
        <f>AND('BBP complete'!G1718,"AAAAAHef/0c=")</f>
        <v>#VALUE!</v>
      </c>
      <c r="BU149" t="e">
        <f>AND('BBP complete'!#REF!,"AAAAAHef/0g=")</f>
        <v>#REF!</v>
      </c>
      <c r="BV149" t="e">
        <f>AND('BBP complete'!#REF!,"AAAAAHef/0k=")</f>
        <v>#REF!</v>
      </c>
      <c r="BW149" t="e">
        <f>AND('BBP complete'!#REF!,"AAAAAHef/0o=")</f>
        <v>#REF!</v>
      </c>
      <c r="BX149" t="e">
        <f>AND('BBP complete'!#REF!,"AAAAAHef/0s=")</f>
        <v>#REF!</v>
      </c>
      <c r="BY149" t="e">
        <f>AND('BBP complete'!#REF!,"AAAAAHef/0w=")</f>
        <v>#REF!</v>
      </c>
      <c r="BZ149" t="e">
        <f>AND('BBP complete'!#REF!,"AAAAAHef/00=")</f>
        <v>#REF!</v>
      </c>
      <c r="CA149" t="e">
        <f>AND('BBP complete'!L1716,"AAAAAHef/04=")</f>
        <v>#VALUE!</v>
      </c>
      <c r="CB149" t="e">
        <f>AND('BBP complete'!C1717,"AAAAAHef/08=")</f>
        <v>#VALUE!</v>
      </c>
      <c r="CC149" t="e">
        <f>AND('BBP complete'!N1719,"AAAAAHef/1A=")</f>
        <v>#VALUE!</v>
      </c>
      <c r="CD149" t="e">
        <f>AND('BBP complete'!P1735,"AAAAAHef/1E=")</f>
        <v>#VALUE!</v>
      </c>
      <c r="CE149" t="e">
        <f>AND('BBP complete'!Q1735,"AAAAAHef/1I=")</f>
        <v>#VALUE!</v>
      </c>
      <c r="CF149" t="e">
        <f>AND('BBP complete'!R1735,"AAAAAHef/1M=")</f>
        <v>#VALUE!</v>
      </c>
      <c r="CG149" t="e">
        <f>AND('BBP complete'!S1735,"AAAAAHef/1Q=")</f>
        <v>#VALUE!</v>
      </c>
      <c r="CH149" t="e">
        <f>AND('BBP complete'!A1724,"AAAAAHef/1U=")</f>
        <v>#VALUE!</v>
      </c>
      <c r="CI149" t="e">
        <f>AND('BBP complete'!B1720,"AAAAAHef/1Y=")</f>
        <v>#VALUE!</v>
      </c>
      <c r="CJ149" t="e">
        <f>AND('BBP complete'!H1720,"AAAAAHef/1c=")</f>
        <v>#VALUE!</v>
      </c>
      <c r="CK149" t="e">
        <f>AND('BBP complete'!I1720,"AAAAAHef/1g=")</f>
        <v>#VALUE!</v>
      </c>
      <c r="CL149" t="e">
        <f>AND('BBP complete'!G1719,"AAAAAHef/1k=")</f>
        <v>#VALUE!</v>
      </c>
      <c r="CM149" t="e">
        <f>AND('BBP complete'!#REF!,"AAAAAHef/1o=")</f>
        <v>#REF!</v>
      </c>
      <c r="CN149" t="e">
        <f>AND('BBP complete'!#REF!,"AAAAAHef/1s=")</f>
        <v>#REF!</v>
      </c>
      <c r="CO149" t="e">
        <f>AND('BBP complete'!#REF!,"AAAAAHef/1w=")</f>
        <v>#REF!</v>
      </c>
      <c r="CP149" t="e">
        <f>AND('BBP complete'!#REF!,"AAAAAHef/10=")</f>
        <v>#REF!</v>
      </c>
      <c r="CQ149" t="e">
        <f>AND('BBP complete'!#REF!,"AAAAAHef/14=")</f>
        <v>#REF!</v>
      </c>
      <c r="CR149" t="e">
        <f>AND('BBP complete'!#REF!,"AAAAAHef/18=")</f>
        <v>#REF!</v>
      </c>
      <c r="CS149" t="e">
        <f>AND('BBP complete'!L1717,"AAAAAHef/2A=")</f>
        <v>#VALUE!</v>
      </c>
      <c r="CT149" t="e">
        <f>AND('BBP complete'!C1718,"AAAAAHef/2E=")</f>
        <v>#VALUE!</v>
      </c>
      <c r="CU149" t="e">
        <f>AND('BBP complete'!N1720,"AAAAAHef/2I=")</f>
        <v>#VALUE!</v>
      </c>
      <c r="CV149" t="e">
        <f>AND('BBP complete'!P1736,"AAAAAHef/2M=")</f>
        <v>#VALUE!</v>
      </c>
      <c r="CW149" t="e">
        <f>AND('BBP complete'!Q1736,"AAAAAHef/2Q=")</f>
        <v>#VALUE!</v>
      </c>
      <c r="CX149" t="e">
        <f>AND('BBP complete'!R1736,"AAAAAHef/2U=")</f>
        <v>#VALUE!</v>
      </c>
      <c r="CY149" t="e">
        <f>AND('BBP complete'!S1736,"AAAAAHef/2Y=")</f>
        <v>#VALUE!</v>
      </c>
      <c r="CZ149" t="e">
        <f>AND('BBP complete'!A1725,"AAAAAHef/2c=")</f>
        <v>#VALUE!</v>
      </c>
      <c r="DA149" t="e">
        <f>AND('BBP complete'!B1721,"AAAAAHef/2g=")</f>
        <v>#VALUE!</v>
      </c>
      <c r="DB149" t="e">
        <f>AND('BBP complete'!H1721,"AAAAAHef/2k=")</f>
        <v>#VALUE!</v>
      </c>
      <c r="DC149" t="e">
        <f>AND('BBP complete'!I1721,"AAAAAHef/2o=")</f>
        <v>#VALUE!</v>
      </c>
      <c r="DD149" t="e">
        <f>AND('BBP complete'!G1720,"AAAAAHef/2s=")</f>
        <v>#VALUE!</v>
      </c>
      <c r="DE149" t="e">
        <f>AND('BBP complete'!#REF!,"AAAAAHef/2w=")</f>
        <v>#REF!</v>
      </c>
      <c r="DF149" t="e">
        <f>AND('BBP complete'!#REF!,"AAAAAHef/20=")</f>
        <v>#REF!</v>
      </c>
      <c r="DG149" t="e">
        <f>AND('BBP complete'!#REF!,"AAAAAHef/24=")</f>
        <v>#REF!</v>
      </c>
      <c r="DH149" t="e">
        <f>AND('BBP complete'!#REF!,"AAAAAHef/28=")</f>
        <v>#REF!</v>
      </c>
      <c r="DI149" t="e">
        <f>AND('BBP complete'!#REF!,"AAAAAHef/3A=")</f>
        <v>#REF!</v>
      </c>
      <c r="DJ149" t="e">
        <f>AND('BBP complete'!#REF!,"AAAAAHef/3E=")</f>
        <v>#REF!</v>
      </c>
      <c r="DK149" t="e">
        <f>AND('BBP complete'!#REF!,"AAAAAHef/3I=")</f>
        <v>#REF!</v>
      </c>
      <c r="DL149" t="e">
        <f>AND('BBP complete'!#REF!,"AAAAAHef/3M=")</f>
        <v>#REF!</v>
      </c>
      <c r="DM149" t="e">
        <f>AND('BBP complete'!N1721,"AAAAAHef/3Q=")</f>
        <v>#VALUE!</v>
      </c>
      <c r="DN149" t="e">
        <f>AND('BBP complete'!P1737,"AAAAAHef/3U=")</f>
        <v>#VALUE!</v>
      </c>
      <c r="DO149" t="e">
        <f>AND('BBP complete'!Q1737,"AAAAAHef/3Y=")</f>
        <v>#VALUE!</v>
      </c>
      <c r="DP149" t="e">
        <f>AND('BBP complete'!R1737,"AAAAAHef/3c=")</f>
        <v>#VALUE!</v>
      </c>
      <c r="DQ149" t="e">
        <f>AND('BBP complete'!S1737,"AAAAAHef/3g=")</f>
        <v>#VALUE!</v>
      </c>
      <c r="DR149" t="e">
        <f>AND('BBP complete'!A1726,"AAAAAHef/3k=")</f>
        <v>#VALUE!</v>
      </c>
      <c r="DS149" t="e">
        <f>AND('BBP complete'!B1722,"AAAAAHef/3o=")</f>
        <v>#VALUE!</v>
      </c>
      <c r="DT149" t="e">
        <f>AND('BBP complete'!H1722,"AAAAAHef/3s=")</f>
        <v>#VALUE!</v>
      </c>
      <c r="DU149" t="e">
        <f>AND('BBP complete'!I1722,"AAAAAHef/3w=")</f>
        <v>#VALUE!</v>
      </c>
      <c r="DV149" t="e">
        <f>AND('BBP complete'!G1721,"AAAAAHef/30=")</f>
        <v>#VALUE!</v>
      </c>
      <c r="DW149" t="e">
        <f>AND('BBP complete'!#REF!,"AAAAAHef/34=")</f>
        <v>#REF!</v>
      </c>
      <c r="DX149" t="e">
        <f>AND('BBP complete'!#REF!,"AAAAAHef/38=")</f>
        <v>#REF!</v>
      </c>
      <c r="DY149" t="e">
        <f>AND('BBP complete'!#REF!,"AAAAAHef/4A=")</f>
        <v>#REF!</v>
      </c>
      <c r="DZ149" t="e">
        <f>AND('BBP complete'!#REF!,"AAAAAHef/4E=")</f>
        <v>#REF!</v>
      </c>
      <c r="EA149" t="e">
        <f>AND('BBP complete'!#REF!,"AAAAAHef/4I=")</f>
        <v>#REF!</v>
      </c>
      <c r="EB149" t="e">
        <f>AND('BBP complete'!#REF!,"AAAAAHef/4M=")</f>
        <v>#REF!</v>
      </c>
      <c r="EC149" t="e">
        <f>AND('BBP complete'!L1718,"AAAAAHef/4Q=")</f>
        <v>#VALUE!</v>
      </c>
      <c r="ED149" t="e">
        <f>AND('BBP complete'!C1719,"AAAAAHef/4U=")</f>
        <v>#VALUE!</v>
      </c>
      <c r="EE149" t="e">
        <f>AND('BBP complete'!N1722,"AAAAAHef/4Y=")</f>
        <v>#VALUE!</v>
      </c>
      <c r="EF149" t="e">
        <f>AND('BBP complete'!P1738,"AAAAAHef/4c=")</f>
        <v>#VALUE!</v>
      </c>
      <c r="EG149" t="e">
        <f>AND('BBP complete'!Q1738,"AAAAAHef/4g=")</f>
        <v>#VALUE!</v>
      </c>
      <c r="EH149" t="e">
        <f>AND('BBP complete'!R1738,"AAAAAHef/4k=")</f>
        <v>#VALUE!</v>
      </c>
      <c r="EI149" t="e">
        <f>AND('BBP complete'!S1738,"AAAAAHef/4o=")</f>
        <v>#VALUE!</v>
      </c>
      <c r="EJ149" t="e">
        <f>AND('BBP complete'!A1727,"AAAAAHef/4s=")</f>
        <v>#VALUE!</v>
      </c>
      <c r="EK149" t="e">
        <f>AND('BBP complete'!B1723,"AAAAAHef/4w=")</f>
        <v>#VALUE!</v>
      </c>
      <c r="EL149" t="e">
        <f>AND('BBP complete'!H1723,"AAAAAHef/40=")</f>
        <v>#VALUE!</v>
      </c>
      <c r="EM149" t="e">
        <f>AND('BBP complete'!I1723,"AAAAAHef/44=")</f>
        <v>#VALUE!</v>
      </c>
      <c r="EN149" t="e">
        <f>AND('BBP complete'!G1722,"AAAAAHef/48=")</f>
        <v>#VALUE!</v>
      </c>
      <c r="EO149" t="e">
        <f>AND('BBP complete'!#REF!,"AAAAAHef/5A=")</f>
        <v>#REF!</v>
      </c>
      <c r="EP149" t="e">
        <f>AND('BBP complete'!#REF!,"AAAAAHef/5E=")</f>
        <v>#REF!</v>
      </c>
      <c r="EQ149" t="e">
        <f>AND('BBP complete'!#REF!,"AAAAAHef/5I=")</f>
        <v>#REF!</v>
      </c>
      <c r="ER149" t="e">
        <f>AND('BBP complete'!#REF!,"AAAAAHef/5M=")</f>
        <v>#REF!</v>
      </c>
      <c r="ES149" t="e">
        <f>AND('BBP complete'!#REF!,"AAAAAHef/5Q=")</f>
        <v>#REF!</v>
      </c>
      <c r="ET149" t="e">
        <f>AND('BBP complete'!#REF!,"AAAAAHef/5U=")</f>
        <v>#REF!</v>
      </c>
      <c r="EU149" t="e">
        <f>AND('BBP complete'!L1719,"AAAAAHef/5Y=")</f>
        <v>#VALUE!</v>
      </c>
      <c r="EV149" t="e">
        <f>AND('BBP complete'!C1720,"AAAAAHef/5c=")</f>
        <v>#VALUE!</v>
      </c>
      <c r="EW149" t="e">
        <f>AND('BBP complete'!N1723,"AAAAAHef/5g=")</f>
        <v>#VALUE!</v>
      </c>
      <c r="EX149" t="e">
        <f>AND('BBP complete'!P1739,"AAAAAHef/5k=")</f>
        <v>#VALUE!</v>
      </c>
      <c r="EY149" t="e">
        <f>AND('BBP complete'!Q1739,"AAAAAHef/5o=")</f>
        <v>#VALUE!</v>
      </c>
      <c r="EZ149" t="e">
        <f>AND('BBP complete'!R1739,"AAAAAHef/5s=")</f>
        <v>#VALUE!</v>
      </c>
      <c r="FA149" t="e">
        <f>AND('BBP complete'!S1739,"AAAAAHef/5w=")</f>
        <v>#VALUE!</v>
      </c>
      <c r="FB149" t="e">
        <f>AND('BBP complete'!A1728,"AAAAAHef/50=")</f>
        <v>#VALUE!</v>
      </c>
      <c r="FC149" t="e">
        <f>AND('BBP complete'!B1724,"AAAAAHef/54=")</f>
        <v>#VALUE!</v>
      </c>
      <c r="FD149" t="e">
        <f>AND('BBP complete'!H1724,"AAAAAHef/58=")</f>
        <v>#VALUE!</v>
      </c>
      <c r="FE149" t="e">
        <f>AND('BBP complete'!I1724,"AAAAAHef/6A=")</f>
        <v>#VALUE!</v>
      </c>
      <c r="FF149" t="e">
        <f>AND('BBP complete'!G1723,"AAAAAHef/6E=")</f>
        <v>#VALUE!</v>
      </c>
      <c r="FG149" t="e">
        <f>AND('BBP complete'!#REF!,"AAAAAHef/6I=")</f>
        <v>#REF!</v>
      </c>
      <c r="FH149" t="e">
        <f>AND('BBP complete'!#REF!,"AAAAAHef/6M=")</f>
        <v>#REF!</v>
      </c>
      <c r="FI149" t="e">
        <f>AND('BBP complete'!#REF!,"AAAAAHef/6Q=")</f>
        <v>#REF!</v>
      </c>
      <c r="FJ149" t="e">
        <f>AND('BBP complete'!#REF!,"AAAAAHef/6U=")</f>
        <v>#REF!</v>
      </c>
      <c r="FK149" t="e">
        <f>AND('BBP complete'!#REF!,"AAAAAHef/6Y=")</f>
        <v>#REF!</v>
      </c>
      <c r="FL149" t="e">
        <f>AND('BBP complete'!#REF!,"AAAAAHef/6c=")</f>
        <v>#REF!</v>
      </c>
      <c r="FM149" t="e">
        <f>AND('BBP complete'!L1720,"AAAAAHef/6g=")</f>
        <v>#VALUE!</v>
      </c>
      <c r="FN149" t="e">
        <f>AND('BBP complete'!C1721,"AAAAAHef/6k=")</f>
        <v>#VALUE!</v>
      </c>
      <c r="FO149" t="e">
        <f>AND('BBP complete'!N1724,"AAAAAHef/6o=")</f>
        <v>#VALUE!</v>
      </c>
      <c r="FP149" t="e">
        <f>AND('BBP complete'!P1740,"AAAAAHef/6s=")</f>
        <v>#VALUE!</v>
      </c>
      <c r="FQ149" t="e">
        <f>AND('BBP complete'!Q1740,"AAAAAHef/6w=")</f>
        <v>#VALUE!</v>
      </c>
      <c r="FR149" t="e">
        <f>AND('BBP complete'!R1740,"AAAAAHef/60=")</f>
        <v>#VALUE!</v>
      </c>
      <c r="FS149" t="e">
        <f>AND('BBP complete'!S1740,"AAAAAHef/64=")</f>
        <v>#VALUE!</v>
      </c>
      <c r="FT149" t="e">
        <f>AND('BBP complete'!A1729,"AAAAAHef/68=")</f>
        <v>#VALUE!</v>
      </c>
      <c r="FU149" t="e">
        <f>AND('BBP complete'!B1725,"AAAAAHef/7A=")</f>
        <v>#VALUE!</v>
      </c>
      <c r="FV149" t="e">
        <f>AND('BBP complete'!H1725,"AAAAAHef/7E=")</f>
        <v>#VALUE!</v>
      </c>
      <c r="FW149" t="e">
        <f>AND('BBP complete'!I1725,"AAAAAHef/7I=")</f>
        <v>#VALUE!</v>
      </c>
      <c r="FX149" t="e">
        <f>AND('BBP complete'!G1724,"AAAAAHef/7M=")</f>
        <v>#VALUE!</v>
      </c>
      <c r="FY149" t="e">
        <f>AND('BBP complete'!#REF!,"AAAAAHef/7Q=")</f>
        <v>#REF!</v>
      </c>
      <c r="FZ149" t="e">
        <f>AND('BBP complete'!#REF!,"AAAAAHef/7U=")</f>
        <v>#REF!</v>
      </c>
      <c r="GA149" t="e">
        <f>AND('BBP complete'!#REF!,"AAAAAHef/7Y=")</f>
        <v>#REF!</v>
      </c>
      <c r="GB149" t="e">
        <f>AND('BBP complete'!#REF!,"AAAAAHef/7c=")</f>
        <v>#REF!</v>
      </c>
      <c r="GC149" t="e">
        <f>AND('BBP complete'!#REF!,"AAAAAHef/7g=")</f>
        <v>#REF!</v>
      </c>
      <c r="GD149" t="e">
        <f>AND('BBP complete'!#REF!,"AAAAAHef/7k=")</f>
        <v>#REF!</v>
      </c>
      <c r="GE149" t="e">
        <f>AND('BBP complete'!L1721,"AAAAAHef/7o=")</f>
        <v>#VALUE!</v>
      </c>
      <c r="GF149" t="e">
        <f>AND('BBP complete'!C1722,"AAAAAHef/7s=")</f>
        <v>#VALUE!</v>
      </c>
      <c r="GG149" t="e">
        <f>AND('BBP complete'!N1725,"AAAAAHef/7w=")</f>
        <v>#VALUE!</v>
      </c>
      <c r="GH149" t="e">
        <f>AND('BBP complete'!P1741,"AAAAAHef/70=")</f>
        <v>#VALUE!</v>
      </c>
      <c r="GI149" t="e">
        <f>AND('BBP complete'!Q1741,"AAAAAHef/74=")</f>
        <v>#VALUE!</v>
      </c>
      <c r="GJ149" t="e">
        <f>AND('BBP complete'!R1741,"AAAAAHef/78=")</f>
        <v>#VALUE!</v>
      </c>
      <c r="GK149" t="e">
        <f>AND('BBP complete'!S1741,"AAAAAHef/8A=")</f>
        <v>#VALUE!</v>
      </c>
      <c r="GL149" t="e">
        <f>AND('BBP complete'!A1730,"AAAAAHef/8E=")</f>
        <v>#VALUE!</v>
      </c>
      <c r="GM149" t="e">
        <f>AND('BBP complete'!B1726,"AAAAAHef/8I=")</f>
        <v>#VALUE!</v>
      </c>
      <c r="GN149" t="e">
        <f>AND('BBP complete'!H1726,"AAAAAHef/8M=")</f>
        <v>#VALUE!</v>
      </c>
      <c r="GO149" t="e">
        <f>AND('BBP complete'!I1726,"AAAAAHef/8Q=")</f>
        <v>#VALUE!</v>
      </c>
      <c r="GP149" t="e">
        <f>AND('BBP complete'!G1725,"AAAAAHef/8U=")</f>
        <v>#VALUE!</v>
      </c>
      <c r="GQ149" t="e">
        <f>AND('BBP complete'!#REF!,"AAAAAHef/8Y=")</f>
        <v>#REF!</v>
      </c>
      <c r="GR149" t="e">
        <f>AND('BBP complete'!#REF!,"AAAAAHef/8c=")</f>
        <v>#REF!</v>
      </c>
      <c r="GS149" t="e">
        <f>AND('BBP complete'!#REF!,"AAAAAHef/8g=")</f>
        <v>#REF!</v>
      </c>
      <c r="GT149" t="e">
        <f>AND('BBP complete'!#REF!,"AAAAAHef/8k=")</f>
        <v>#REF!</v>
      </c>
      <c r="GU149" t="e">
        <f>AND('BBP complete'!#REF!,"AAAAAHef/8o=")</f>
        <v>#REF!</v>
      </c>
      <c r="GV149" t="e">
        <f>AND('BBP complete'!#REF!,"AAAAAHef/8s=")</f>
        <v>#REF!</v>
      </c>
      <c r="GW149" t="e">
        <f>AND('BBP complete'!L1722,"AAAAAHef/8w=")</f>
        <v>#VALUE!</v>
      </c>
      <c r="GX149" t="e">
        <f>AND('BBP complete'!C1723,"AAAAAHef/80=")</f>
        <v>#VALUE!</v>
      </c>
      <c r="GY149" t="e">
        <f>AND('BBP complete'!N1726,"AAAAAHef/84=")</f>
        <v>#VALUE!</v>
      </c>
      <c r="GZ149" t="e">
        <f>AND('BBP complete'!P1742,"AAAAAHef/88=")</f>
        <v>#VALUE!</v>
      </c>
      <c r="HA149" t="e">
        <f>AND('BBP complete'!Q1742,"AAAAAHef/9A=")</f>
        <v>#VALUE!</v>
      </c>
      <c r="HB149" t="e">
        <f>AND('BBP complete'!R1742,"AAAAAHef/9E=")</f>
        <v>#VALUE!</v>
      </c>
      <c r="HC149" t="e">
        <f>AND('BBP complete'!S1742,"AAAAAHef/9I=")</f>
        <v>#VALUE!</v>
      </c>
      <c r="HD149" t="e">
        <f>AND('BBP complete'!A1731,"AAAAAHef/9M=")</f>
        <v>#VALUE!</v>
      </c>
      <c r="HE149" t="e">
        <f>AND('BBP complete'!B1727,"AAAAAHef/9Q=")</f>
        <v>#VALUE!</v>
      </c>
      <c r="HF149" t="e">
        <f>AND('BBP complete'!H1727,"AAAAAHef/9U=")</f>
        <v>#VALUE!</v>
      </c>
      <c r="HG149" t="e">
        <f>AND('BBP complete'!I1727,"AAAAAHef/9Y=")</f>
        <v>#VALUE!</v>
      </c>
      <c r="HH149" t="e">
        <f>AND('BBP complete'!G1726,"AAAAAHef/9c=")</f>
        <v>#VALUE!</v>
      </c>
      <c r="HI149" t="e">
        <f>AND('BBP complete'!#REF!,"AAAAAHef/9g=")</f>
        <v>#REF!</v>
      </c>
      <c r="HJ149" t="e">
        <f>AND('BBP complete'!#REF!,"AAAAAHef/9k=")</f>
        <v>#REF!</v>
      </c>
      <c r="HK149" t="e">
        <f>AND('BBP complete'!#REF!,"AAAAAHef/9o=")</f>
        <v>#REF!</v>
      </c>
      <c r="HL149" t="e">
        <f>AND('BBP complete'!#REF!,"AAAAAHef/9s=")</f>
        <v>#REF!</v>
      </c>
      <c r="HM149" t="e">
        <f>AND('BBP complete'!#REF!,"AAAAAHef/9w=")</f>
        <v>#REF!</v>
      </c>
      <c r="HN149" t="e">
        <f>AND('BBP complete'!#REF!,"AAAAAHef/90=")</f>
        <v>#REF!</v>
      </c>
      <c r="HO149" t="e">
        <f>AND('BBP complete'!L1723,"AAAAAHef/94=")</f>
        <v>#VALUE!</v>
      </c>
      <c r="HP149" t="e">
        <f>AND('BBP complete'!C1724,"AAAAAHef/98=")</f>
        <v>#VALUE!</v>
      </c>
      <c r="HQ149" t="e">
        <f>AND('BBP complete'!N1727,"AAAAAHef/+A=")</f>
        <v>#VALUE!</v>
      </c>
      <c r="HR149" t="e">
        <f>AND('BBP complete'!P1743,"AAAAAHef/+E=")</f>
        <v>#VALUE!</v>
      </c>
      <c r="HS149" t="e">
        <f>AND('BBP complete'!Q1743,"AAAAAHef/+I=")</f>
        <v>#VALUE!</v>
      </c>
      <c r="HT149" t="e">
        <f>AND('BBP complete'!R1743,"AAAAAHef/+M=")</f>
        <v>#VALUE!</v>
      </c>
      <c r="HU149" t="e">
        <f>AND('BBP complete'!S1743,"AAAAAHef/+Q=")</f>
        <v>#VALUE!</v>
      </c>
      <c r="HV149" t="e">
        <f>AND('BBP complete'!A1732,"AAAAAHef/+U=")</f>
        <v>#VALUE!</v>
      </c>
      <c r="HW149" t="e">
        <f>AND('BBP complete'!B1728,"AAAAAHef/+Y=")</f>
        <v>#VALUE!</v>
      </c>
      <c r="HX149" t="e">
        <f>AND('BBP complete'!H1728,"AAAAAHef/+c=")</f>
        <v>#VALUE!</v>
      </c>
      <c r="HY149" t="e">
        <f>AND('BBP complete'!I1728,"AAAAAHef/+g=")</f>
        <v>#VALUE!</v>
      </c>
      <c r="HZ149" t="e">
        <f>AND('BBP complete'!G1727,"AAAAAHef/+k=")</f>
        <v>#VALUE!</v>
      </c>
      <c r="IA149" t="e">
        <f>AND('BBP complete'!#REF!,"AAAAAHef/+o=")</f>
        <v>#REF!</v>
      </c>
      <c r="IB149" t="e">
        <f>AND('BBP complete'!#REF!,"AAAAAHef/+s=")</f>
        <v>#REF!</v>
      </c>
      <c r="IC149" t="e">
        <f>AND('BBP complete'!#REF!,"AAAAAHef/+w=")</f>
        <v>#REF!</v>
      </c>
      <c r="ID149" t="e">
        <f>AND('BBP complete'!#REF!,"AAAAAHef/+0=")</f>
        <v>#REF!</v>
      </c>
      <c r="IE149" t="e">
        <f>AND('BBP complete'!#REF!,"AAAAAHef/+4=")</f>
        <v>#REF!</v>
      </c>
      <c r="IF149" t="e">
        <f>AND('BBP complete'!#REF!,"AAAAAHef/+8=")</f>
        <v>#REF!</v>
      </c>
      <c r="IG149" t="e">
        <f>AND('BBP complete'!L1724,"AAAAAHef//A=")</f>
        <v>#VALUE!</v>
      </c>
      <c r="IH149" t="e">
        <f>AND('BBP complete'!C1725,"AAAAAHef//E=")</f>
        <v>#VALUE!</v>
      </c>
      <c r="II149" t="e">
        <f>AND('BBP complete'!N1728,"AAAAAHef//I=")</f>
        <v>#VALUE!</v>
      </c>
      <c r="IJ149" t="e">
        <f>AND('BBP complete'!P1744,"AAAAAHef//M=")</f>
        <v>#VALUE!</v>
      </c>
      <c r="IK149" t="e">
        <f>AND('BBP complete'!Q1744,"AAAAAHef//Q=")</f>
        <v>#VALUE!</v>
      </c>
      <c r="IL149" t="e">
        <f>AND('BBP complete'!R1744,"AAAAAHef//U=")</f>
        <v>#VALUE!</v>
      </c>
      <c r="IM149" t="e">
        <f>AND('BBP complete'!S1744,"AAAAAHef//Y=")</f>
        <v>#VALUE!</v>
      </c>
      <c r="IN149" t="e">
        <f>AND('BBP complete'!A1733,"AAAAAHef//c=")</f>
        <v>#VALUE!</v>
      </c>
      <c r="IO149" t="e">
        <f>AND('BBP complete'!B1729,"AAAAAHef//g=")</f>
        <v>#VALUE!</v>
      </c>
      <c r="IP149" t="e">
        <f>AND('BBP complete'!H1729,"AAAAAHef//k=")</f>
        <v>#VALUE!</v>
      </c>
      <c r="IQ149" t="e">
        <f>AND('BBP complete'!I1729,"AAAAAHef//o=")</f>
        <v>#VALUE!</v>
      </c>
      <c r="IR149" t="e">
        <f>AND('BBP complete'!G1728,"AAAAAHef//s=")</f>
        <v>#VALUE!</v>
      </c>
      <c r="IS149" t="e">
        <f>AND('BBP complete'!#REF!,"AAAAAHef//w=")</f>
        <v>#REF!</v>
      </c>
      <c r="IT149" t="e">
        <f>AND('BBP complete'!#REF!,"AAAAAHef//0=")</f>
        <v>#REF!</v>
      </c>
      <c r="IU149" t="e">
        <f>AND('BBP complete'!#REF!,"AAAAAHef//4=")</f>
        <v>#REF!</v>
      </c>
      <c r="IV149" t="e">
        <f>AND('BBP complete'!#REF!,"AAAAAHef//8=")</f>
        <v>#REF!</v>
      </c>
    </row>
    <row r="150" spans="1:256" ht="15" customHeight="1" x14ac:dyDescent="0.25">
      <c r="A150" t="e">
        <f>AND('BBP complete'!#REF!,"AAAAAB//HwA=")</f>
        <v>#REF!</v>
      </c>
      <c r="B150" t="e">
        <f>AND('BBP complete'!#REF!,"AAAAAB//HwE=")</f>
        <v>#REF!</v>
      </c>
      <c r="C150" t="e">
        <f>AND('BBP complete'!L1725,"AAAAAB//HwI=")</f>
        <v>#VALUE!</v>
      </c>
      <c r="D150" t="e">
        <f>AND('BBP complete'!C1726,"AAAAAB//HwM=")</f>
        <v>#VALUE!</v>
      </c>
      <c r="E150" t="e">
        <f>AND('BBP complete'!N1729,"AAAAAB//HwQ=")</f>
        <v>#VALUE!</v>
      </c>
      <c r="F150" t="e">
        <f>AND('BBP complete'!P1745,"AAAAAB//HwU=")</f>
        <v>#VALUE!</v>
      </c>
      <c r="G150" t="e">
        <f>AND('BBP complete'!Q1745,"AAAAAB//HwY=")</f>
        <v>#VALUE!</v>
      </c>
      <c r="H150" t="e">
        <f>AND('BBP complete'!R1745,"AAAAAB//Hwc=")</f>
        <v>#VALUE!</v>
      </c>
      <c r="I150" t="e">
        <f>AND('BBP complete'!S1745,"AAAAAB//Hwg=")</f>
        <v>#VALUE!</v>
      </c>
      <c r="J150" t="e">
        <f>AND('BBP complete'!A1734,"AAAAAB//Hwk=")</f>
        <v>#VALUE!</v>
      </c>
      <c r="K150" t="e">
        <f>AND('BBP complete'!B1730,"AAAAAB//Hwo=")</f>
        <v>#VALUE!</v>
      </c>
      <c r="L150" t="e">
        <f>AND('BBP complete'!H1730,"AAAAAB//Hws=")</f>
        <v>#VALUE!</v>
      </c>
      <c r="M150" t="e">
        <f>AND('BBP complete'!I1730,"AAAAAB//Hww=")</f>
        <v>#VALUE!</v>
      </c>
      <c r="N150" t="e">
        <f>AND('BBP complete'!G1729,"AAAAAB//Hw0=")</f>
        <v>#VALUE!</v>
      </c>
      <c r="O150" t="e">
        <f>AND('BBP complete'!#REF!,"AAAAAB//Hw4=")</f>
        <v>#REF!</v>
      </c>
      <c r="P150" t="e">
        <f>AND('BBP complete'!#REF!,"AAAAAB//Hw8=")</f>
        <v>#REF!</v>
      </c>
      <c r="Q150" t="e">
        <f>AND('BBP complete'!#REF!,"AAAAAB//HxA=")</f>
        <v>#REF!</v>
      </c>
      <c r="R150" t="e">
        <f>AND('BBP complete'!#REF!,"AAAAAB//HxE=")</f>
        <v>#REF!</v>
      </c>
      <c r="S150" t="e">
        <f>AND('BBP complete'!#REF!,"AAAAAB//HxI=")</f>
        <v>#REF!</v>
      </c>
      <c r="T150" t="e">
        <f>AND('BBP complete'!#REF!,"AAAAAB//HxM=")</f>
        <v>#REF!</v>
      </c>
      <c r="U150" t="e">
        <f>AND('BBP complete'!L1726,"AAAAAB//HxQ=")</f>
        <v>#VALUE!</v>
      </c>
      <c r="V150" t="e">
        <f>AND('BBP complete'!C1727,"AAAAAB//HxU=")</f>
        <v>#VALUE!</v>
      </c>
      <c r="W150" t="e">
        <f>AND('BBP complete'!N1730,"AAAAAB//HxY=")</f>
        <v>#VALUE!</v>
      </c>
      <c r="X150" t="e">
        <f>AND('BBP complete'!P1746,"AAAAAB//Hxc=")</f>
        <v>#VALUE!</v>
      </c>
      <c r="Y150" t="e">
        <f>AND('BBP complete'!Q1746,"AAAAAB//Hxg=")</f>
        <v>#VALUE!</v>
      </c>
      <c r="Z150" t="e">
        <f>AND('BBP complete'!R1746,"AAAAAB//Hxk=")</f>
        <v>#VALUE!</v>
      </c>
      <c r="AA150" t="e">
        <f>AND('BBP complete'!S1746,"AAAAAB//Hxo=")</f>
        <v>#VALUE!</v>
      </c>
      <c r="AB150" t="e">
        <f>AND('BBP complete'!A1735,"AAAAAB//Hxs=")</f>
        <v>#VALUE!</v>
      </c>
      <c r="AC150" t="e">
        <f>AND('BBP complete'!B1731,"AAAAAB//Hxw=")</f>
        <v>#VALUE!</v>
      </c>
      <c r="AD150" t="e">
        <f>AND('BBP complete'!H1731,"AAAAAB//Hx0=")</f>
        <v>#VALUE!</v>
      </c>
      <c r="AE150" t="e">
        <f>AND('BBP complete'!I1731,"AAAAAB//Hx4=")</f>
        <v>#VALUE!</v>
      </c>
      <c r="AF150" t="e">
        <f>AND('BBP complete'!G1730,"AAAAAB//Hx8=")</f>
        <v>#VALUE!</v>
      </c>
      <c r="AG150" t="e">
        <f>AND('BBP complete'!#REF!,"AAAAAB//HyA=")</f>
        <v>#REF!</v>
      </c>
      <c r="AH150" t="e">
        <f>AND('BBP complete'!#REF!,"AAAAAB//HyE=")</f>
        <v>#REF!</v>
      </c>
      <c r="AI150" t="e">
        <f>AND('BBP complete'!#REF!,"AAAAAB//HyI=")</f>
        <v>#REF!</v>
      </c>
      <c r="AJ150" t="e">
        <f>AND('BBP complete'!#REF!,"AAAAAB//HyM=")</f>
        <v>#REF!</v>
      </c>
      <c r="AK150" t="e">
        <f>AND('BBP complete'!#REF!,"AAAAAB//HyQ=")</f>
        <v>#REF!</v>
      </c>
      <c r="AL150" t="e">
        <f>AND('BBP complete'!#REF!,"AAAAAB//HyU=")</f>
        <v>#REF!</v>
      </c>
      <c r="AM150" t="e">
        <f>AND('BBP complete'!L1727,"AAAAAB//HyY=")</f>
        <v>#VALUE!</v>
      </c>
      <c r="AN150" t="e">
        <f>AND('BBP complete'!C1728,"AAAAAB//Hyc=")</f>
        <v>#VALUE!</v>
      </c>
      <c r="AO150" t="e">
        <f>AND('BBP complete'!N1731,"AAAAAB//Hyg=")</f>
        <v>#VALUE!</v>
      </c>
      <c r="AP150" t="e">
        <f>AND('BBP complete'!P1747,"AAAAAB//Hyk=")</f>
        <v>#VALUE!</v>
      </c>
      <c r="AQ150" t="e">
        <f>AND('BBP complete'!Q1747,"AAAAAB//Hyo=")</f>
        <v>#VALUE!</v>
      </c>
      <c r="AR150" t="e">
        <f>AND('BBP complete'!R1747,"AAAAAB//Hys=")</f>
        <v>#VALUE!</v>
      </c>
      <c r="AS150" t="e">
        <f>AND('BBP complete'!S1747,"AAAAAB//Hyw=")</f>
        <v>#VALUE!</v>
      </c>
      <c r="AT150" t="e">
        <f>AND('BBP complete'!A1736,"AAAAAB//Hy0=")</f>
        <v>#VALUE!</v>
      </c>
      <c r="AU150" t="e">
        <f>AND('BBP complete'!B1732,"AAAAAB//Hy4=")</f>
        <v>#VALUE!</v>
      </c>
      <c r="AV150" t="e">
        <f>AND('BBP complete'!H1732,"AAAAAB//Hy8=")</f>
        <v>#VALUE!</v>
      </c>
      <c r="AW150" t="e">
        <f>AND('BBP complete'!I1732,"AAAAAB//HzA=")</f>
        <v>#VALUE!</v>
      </c>
      <c r="AX150" t="e">
        <f>AND('BBP complete'!G1731,"AAAAAB//HzE=")</f>
        <v>#VALUE!</v>
      </c>
      <c r="AY150" t="e">
        <f>AND('BBP complete'!#REF!,"AAAAAB//HzI=")</f>
        <v>#REF!</v>
      </c>
      <c r="AZ150" t="e">
        <f>AND('BBP complete'!#REF!,"AAAAAB//HzM=")</f>
        <v>#REF!</v>
      </c>
      <c r="BA150" t="e">
        <f>AND('BBP complete'!#REF!,"AAAAAB//HzQ=")</f>
        <v>#REF!</v>
      </c>
      <c r="BB150" t="e">
        <f>AND('BBP complete'!#REF!,"AAAAAB//HzU=")</f>
        <v>#REF!</v>
      </c>
      <c r="BC150" t="e">
        <f>AND('BBP complete'!#REF!,"AAAAAB//HzY=")</f>
        <v>#REF!</v>
      </c>
      <c r="BD150" t="e">
        <f>AND('BBP complete'!#REF!,"AAAAAB//Hzc=")</f>
        <v>#REF!</v>
      </c>
      <c r="BE150" t="e">
        <f>AND('BBP complete'!L1728,"AAAAAB//Hzg=")</f>
        <v>#VALUE!</v>
      </c>
      <c r="BF150" t="e">
        <f>AND('BBP complete'!C1729,"AAAAAB//Hzk=")</f>
        <v>#VALUE!</v>
      </c>
      <c r="BG150" t="e">
        <f>AND('BBP complete'!N1732,"AAAAAB//Hzo=")</f>
        <v>#VALUE!</v>
      </c>
      <c r="BH150" t="e">
        <f>AND('BBP complete'!P1748,"AAAAAB//Hzs=")</f>
        <v>#VALUE!</v>
      </c>
      <c r="BI150" t="e">
        <f>AND('BBP complete'!Q1748,"AAAAAB//Hzw=")</f>
        <v>#VALUE!</v>
      </c>
      <c r="BJ150" t="e">
        <f>AND('BBP complete'!R1748,"AAAAAB//Hz0=")</f>
        <v>#VALUE!</v>
      </c>
      <c r="BK150" t="e">
        <f>AND('BBP complete'!S1748,"AAAAAB//Hz4=")</f>
        <v>#VALUE!</v>
      </c>
      <c r="BL150" t="e">
        <f>AND('BBP complete'!A1737,"AAAAAB//Hz8=")</f>
        <v>#VALUE!</v>
      </c>
      <c r="BM150" t="e">
        <f>AND('BBP complete'!B1733,"AAAAAB//H0A=")</f>
        <v>#VALUE!</v>
      </c>
      <c r="BN150" t="e">
        <f>AND('BBP complete'!H1733,"AAAAAB//H0E=")</f>
        <v>#VALUE!</v>
      </c>
      <c r="BO150" t="e">
        <f>AND('BBP complete'!I1733,"AAAAAB//H0I=")</f>
        <v>#VALUE!</v>
      </c>
      <c r="BP150" t="e">
        <f>AND('BBP complete'!G1732,"AAAAAB//H0M=")</f>
        <v>#VALUE!</v>
      </c>
      <c r="BQ150" t="e">
        <f>AND('BBP complete'!#REF!,"AAAAAB//H0Q=")</f>
        <v>#REF!</v>
      </c>
      <c r="BR150" t="e">
        <f>AND('BBP complete'!#REF!,"AAAAAB//H0U=")</f>
        <v>#REF!</v>
      </c>
      <c r="BS150" t="e">
        <f>AND('BBP complete'!#REF!,"AAAAAB//H0Y=")</f>
        <v>#REF!</v>
      </c>
      <c r="BT150" t="e">
        <f>AND('BBP complete'!#REF!,"AAAAAB//H0c=")</f>
        <v>#REF!</v>
      </c>
      <c r="BU150" t="e">
        <f>AND('BBP complete'!#REF!,"AAAAAB//H0g=")</f>
        <v>#REF!</v>
      </c>
      <c r="BV150" t="e">
        <f>AND('BBP complete'!#REF!,"AAAAAB//H0k=")</f>
        <v>#REF!</v>
      </c>
      <c r="BW150" t="e">
        <f>AND('BBP complete'!L1729,"AAAAAB//H0o=")</f>
        <v>#VALUE!</v>
      </c>
      <c r="BX150" t="e">
        <f>AND('BBP complete'!C1730,"AAAAAB//H0s=")</f>
        <v>#VALUE!</v>
      </c>
      <c r="BY150" t="e">
        <f>AND('BBP complete'!N1733,"AAAAAB//H0w=")</f>
        <v>#VALUE!</v>
      </c>
      <c r="BZ150" t="e">
        <f>AND('BBP complete'!P1749,"AAAAAB//H00=")</f>
        <v>#VALUE!</v>
      </c>
      <c r="CA150" t="e">
        <f>AND('BBP complete'!Q1749,"AAAAAB//H04=")</f>
        <v>#VALUE!</v>
      </c>
      <c r="CB150" t="e">
        <f>AND('BBP complete'!R1749,"AAAAAB//H08=")</f>
        <v>#VALUE!</v>
      </c>
      <c r="CC150" t="e">
        <f>AND('BBP complete'!S1749,"AAAAAB//H1A=")</f>
        <v>#VALUE!</v>
      </c>
      <c r="CD150" t="e">
        <f>AND('BBP complete'!A1738,"AAAAAB//H1E=")</f>
        <v>#VALUE!</v>
      </c>
      <c r="CE150" t="e">
        <f>AND('BBP complete'!B1734,"AAAAAB//H1I=")</f>
        <v>#VALUE!</v>
      </c>
      <c r="CF150" t="e">
        <f>AND('BBP complete'!H1734,"AAAAAB//H1M=")</f>
        <v>#VALUE!</v>
      </c>
      <c r="CG150" t="e">
        <f>AND('BBP complete'!I1734,"AAAAAB//H1Q=")</f>
        <v>#VALUE!</v>
      </c>
      <c r="CH150" t="e">
        <f>AND('BBP complete'!G1733,"AAAAAB//H1U=")</f>
        <v>#VALUE!</v>
      </c>
      <c r="CI150" t="e">
        <f>AND('BBP complete'!#REF!,"AAAAAB//H1Y=")</f>
        <v>#REF!</v>
      </c>
      <c r="CJ150" t="e">
        <f>AND('BBP complete'!#REF!,"AAAAAB//H1c=")</f>
        <v>#REF!</v>
      </c>
      <c r="CK150" t="e">
        <f>AND('BBP complete'!#REF!,"AAAAAB//H1g=")</f>
        <v>#REF!</v>
      </c>
      <c r="CL150" t="e">
        <f>AND('BBP complete'!#REF!,"AAAAAB//H1k=")</f>
        <v>#REF!</v>
      </c>
      <c r="CM150" t="e">
        <f>AND('BBP complete'!#REF!,"AAAAAB//H1o=")</f>
        <v>#REF!</v>
      </c>
      <c r="CN150" t="e">
        <f>AND('BBP complete'!#REF!,"AAAAAB//H1s=")</f>
        <v>#REF!</v>
      </c>
      <c r="CO150" t="e">
        <f>AND('BBP complete'!L1730,"AAAAAB//H1w=")</f>
        <v>#VALUE!</v>
      </c>
      <c r="CP150" t="e">
        <f>AND('BBP complete'!C1731,"AAAAAB//H10=")</f>
        <v>#VALUE!</v>
      </c>
      <c r="CQ150" t="e">
        <f>AND('BBP complete'!N1734,"AAAAAB//H14=")</f>
        <v>#VALUE!</v>
      </c>
      <c r="CR150" t="e">
        <f>AND('BBP complete'!P1750,"AAAAAB//H18=")</f>
        <v>#VALUE!</v>
      </c>
      <c r="CS150" t="e">
        <f>AND('BBP complete'!Q1750,"AAAAAB//H2A=")</f>
        <v>#VALUE!</v>
      </c>
      <c r="CT150" t="e">
        <f>AND('BBP complete'!R1750,"AAAAAB//H2E=")</f>
        <v>#VALUE!</v>
      </c>
      <c r="CU150" t="e">
        <f>AND('BBP complete'!S1750,"AAAAAB//H2I=")</f>
        <v>#VALUE!</v>
      </c>
      <c r="CV150" t="e">
        <f>AND('BBP complete'!A1739,"AAAAAB//H2M=")</f>
        <v>#VALUE!</v>
      </c>
      <c r="CW150" t="e">
        <f>AND('BBP complete'!B1735,"AAAAAB//H2Q=")</f>
        <v>#VALUE!</v>
      </c>
      <c r="CX150" t="e">
        <f>AND('BBP complete'!H1735,"AAAAAB//H2U=")</f>
        <v>#VALUE!</v>
      </c>
      <c r="CY150" t="e">
        <f>AND('BBP complete'!I1735,"AAAAAB//H2Y=")</f>
        <v>#VALUE!</v>
      </c>
      <c r="CZ150" t="e">
        <f>AND('BBP complete'!G1734,"AAAAAB//H2c=")</f>
        <v>#VALUE!</v>
      </c>
      <c r="DA150" t="e">
        <f>AND('BBP complete'!#REF!,"AAAAAB//H2g=")</f>
        <v>#REF!</v>
      </c>
      <c r="DB150" t="e">
        <f>AND('BBP complete'!#REF!,"AAAAAB//H2k=")</f>
        <v>#REF!</v>
      </c>
      <c r="DC150" t="e">
        <f>AND('BBP complete'!#REF!,"AAAAAB//H2o=")</f>
        <v>#REF!</v>
      </c>
      <c r="DD150" t="e">
        <f>AND('BBP complete'!#REF!,"AAAAAB//H2s=")</f>
        <v>#REF!</v>
      </c>
      <c r="DE150" t="e">
        <f>AND('BBP complete'!#REF!,"AAAAAB//H2w=")</f>
        <v>#REF!</v>
      </c>
      <c r="DF150" t="e">
        <f>AND('BBP complete'!#REF!,"AAAAAB//H20=")</f>
        <v>#REF!</v>
      </c>
      <c r="DG150" t="e">
        <f>AND('BBP complete'!L1731,"AAAAAB//H24=")</f>
        <v>#VALUE!</v>
      </c>
      <c r="DH150" t="e">
        <f>AND('BBP complete'!C1732,"AAAAAB//H28=")</f>
        <v>#VALUE!</v>
      </c>
      <c r="DI150" t="e">
        <f>AND('BBP complete'!N1735,"AAAAAB//H3A=")</f>
        <v>#VALUE!</v>
      </c>
      <c r="DJ150" t="e">
        <f>AND('BBP complete'!P1751,"AAAAAB//H3E=")</f>
        <v>#VALUE!</v>
      </c>
      <c r="DK150" t="e">
        <f>AND('BBP complete'!Q1751,"AAAAAB//H3I=")</f>
        <v>#VALUE!</v>
      </c>
      <c r="DL150" t="e">
        <f>AND('BBP complete'!R1751,"AAAAAB//H3M=")</f>
        <v>#VALUE!</v>
      </c>
      <c r="DM150" t="e">
        <f>AND('BBP complete'!S1751,"AAAAAB//H3Q=")</f>
        <v>#VALUE!</v>
      </c>
      <c r="DN150" t="e">
        <f>AND('BBP complete'!A1740,"AAAAAB//H3U=")</f>
        <v>#VALUE!</v>
      </c>
      <c r="DO150" t="e">
        <f>AND('BBP complete'!B1736,"AAAAAB//H3Y=")</f>
        <v>#VALUE!</v>
      </c>
      <c r="DP150" t="e">
        <f>AND('BBP complete'!H1736,"AAAAAB//H3c=")</f>
        <v>#VALUE!</v>
      </c>
      <c r="DQ150" t="e">
        <f>AND('BBP complete'!I1736,"AAAAAB//H3g=")</f>
        <v>#VALUE!</v>
      </c>
      <c r="DR150" t="e">
        <f>AND('BBP complete'!G1735,"AAAAAB//H3k=")</f>
        <v>#VALUE!</v>
      </c>
      <c r="DS150" t="e">
        <f>AND('BBP complete'!#REF!,"AAAAAB//H3o=")</f>
        <v>#REF!</v>
      </c>
      <c r="DT150" t="e">
        <f>AND('BBP complete'!#REF!,"AAAAAB//H3s=")</f>
        <v>#REF!</v>
      </c>
      <c r="DU150" t="e">
        <f>AND('BBP complete'!#REF!,"AAAAAB//H3w=")</f>
        <v>#REF!</v>
      </c>
      <c r="DV150" t="e">
        <f>AND('BBP complete'!#REF!,"AAAAAB//H30=")</f>
        <v>#REF!</v>
      </c>
      <c r="DW150" t="e">
        <f>AND('BBP complete'!#REF!,"AAAAAB//H34=")</f>
        <v>#REF!</v>
      </c>
      <c r="DX150" t="e">
        <f>AND('BBP complete'!#REF!,"AAAAAB//H38=")</f>
        <v>#REF!</v>
      </c>
      <c r="DY150" t="e">
        <f>AND('BBP complete'!L1732,"AAAAAB//H4A=")</f>
        <v>#VALUE!</v>
      </c>
      <c r="DZ150" t="e">
        <f>AND('BBP complete'!C1733,"AAAAAB//H4E=")</f>
        <v>#VALUE!</v>
      </c>
      <c r="EA150" t="e">
        <f>AND('BBP complete'!N1736,"AAAAAB//H4I=")</f>
        <v>#VALUE!</v>
      </c>
      <c r="EB150" t="e">
        <f>AND('BBP complete'!P1752,"AAAAAB//H4M=")</f>
        <v>#VALUE!</v>
      </c>
      <c r="EC150" t="e">
        <f>AND('BBP complete'!Q1752,"AAAAAB//H4Q=")</f>
        <v>#VALUE!</v>
      </c>
      <c r="ED150" t="e">
        <f>AND('BBP complete'!R1752,"AAAAAB//H4U=")</f>
        <v>#VALUE!</v>
      </c>
      <c r="EE150" t="e">
        <f>AND('BBP complete'!S1752,"AAAAAB//H4Y=")</f>
        <v>#VALUE!</v>
      </c>
      <c r="EF150" t="e">
        <f>AND('BBP complete'!A1741,"AAAAAB//H4c=")</f>
        <v>#VALUE!</v>
      </c>
      <c r="EG150" t="e">
        <f>AND('BBP complete'!B1737,"AAAAAB//H4g=")</f>
        <v>#VALUE!</v>
      </c>
      <c r="EH150" t="e">
        <f>AND('BBP complete'!H1737,"AAAAAB//H4k=")</f>
        <v>#VALUE!</v>
      </c>
      <c r="EI150" t="e">
        <f>AND('BBP complete'!I1737,"AAAAAB//H4o=")</f>
        <v>#VALUE!</v>
      </c>
      <c r="EJ150" t="e">
        <f>AND('BBP complete'!G1736,"AAAAAB//H4s=")</f>
        <v>#VALUE!</v>
      </c>
      <c r="EK150" t="e">
        <f>AND('BBP complete'!#REF!,"AAAAAB//H4w=")</f>
        <v>#REF!</v>
      </c>
      <c r="EL150" t="e">
        <f>AND('BBP complete'!#REF!,"AAAAAB//H40=")</f>
        <v>#REF!</v>
      </c>
      <c r="EM150" t="e">
        <f>AND('BBP complete'!#REF!,"AAAAAB//H44=")</f>
        <v>#REF!</v>
      </c>
      <c r="EN150" t="e">
        <f>AND('BBP complete'!#REF!,"AAAAAB//H48=")</f>
        <v>#REF!</v>
      </c>
      <c r="EO150" t="e">
        <f>AND('BBP complete'!#REF!,"AAAAAB//H5A=")</f>
        <v>#REF!</v>
      </c>
      <c r="EP150" t="e">
        <f>AND('BBP complete'!#REF!,"AAAAAB//H5E=")</f>
        <v>#REF!</v>
      </c>
      <c r="EQ150" t="e">
        <f>AND('BBP complete'!L1733,"AAAAAB//H5I=")</f>
        <v>#VALUE!</v>
      </c>
      <c r="ER150" t="e">
        <f>AND('BBP complete'!C1734,"AAAAAB//H5M=")</f>
        <v>#VALUE!</v>
      </c>
      <c r="ES150" t="e">
        <f>AND('BBP complete'!N1737,"AAAAAB//H5Q=")</f>
        <v>#VALUE!</v>
      </c>
      <c r="ET150" t="e">
        <f>AND('BBP complete'!P1753,"AAAAAB//H5U=")</f>
        <v>#VALUE!</v>
      </c>
      <c r="EU150" t="e">
        <f>AND('BBP complete'!Q1753,"AAAAAB//H5Y=")</f>
        <v>#VALUE!</v>
      </c>
      <c r="EV150" t="e">
        <f>AND('BBP complete'!R1753,"AAAAAB//H5c=")</f>
        <v>#VALUE!</v>
      </c>
      <c r="EW150" t="e">
        <f>AND('BBP complete'!S1753,"AAAAAB//H5g=")</f>
        <v>#VALUE!</v>
      </c>
      <c r="EX150" t="e">
        <f>AND('BBP complete'!A1742,"AAAAAB//H5k=")</f>
        <v>#VALUE!</v>
      </c>
      <c r="EY150" t="e">
        <f>AND('BBP complete'!B1738,"AAAAAB//H5o=")</f>
        <v>#VALUE!</v>
      </c>
      <c r="EZ150" t="e">
        <f>AND('BBP complete'!H1738,"AAAAAB//H5s=")</f>
        <v>#VALUE!</v>
      </c>
      <c r="FA150" t="e">
        <f>AND('BBP complete'!I1738,"AAAAAB//H5w=")</f>
        <v>#VALUE!</v>
      </c>
      <c r="FB150" t="e">
        <f>AND('BBP complete'!G1737,"AAAAAB//H50=")</f>
        <v>#VALUE!</v>
      </c>
      <c r="FC150" t="e">
        <f>AND('BBP complete'!#REF!,"AAAAAB//H54=")</f>
        <v>#REF!</v>
      </c>
      <c r="FD150" t="e">
        <f>AND('BBP complete'!#REF!,"AAAAAB//H58=")</f>
        <v>#REF!</v>
      </c>
      <c r="FE150" t="e">
        <f>AND('BBP complete'!#REF!,"AAAAAB//H6A=")</f>
        <v>#REF!</v>
      </c>
      <c r="FF150" t="e">
        <f>AND('BBP complete'!#REF!,"AAAAAB//H6E=")</f>
        <v>#REF!</v>
      </c>
      <c r="FG150" t="e">
        <f>AND('BBP complete'!#REF!,"AAAAAB//H6I=")</f>
        <v>#REF!</v>
      </c>
      <c r="FH150" t="e">
        <f>AND('BBP complete'!#REF!,"AAAAAB//H6M=")</f>
        <v>#REF!</v>
      </c>
      <c r="FI150" t="e">
        <f>AND('BBP complete'!L1734,"AAAAAB//H6Q=")</f>
        <v>#VALUE!</v>
      </c>
      <c r="FJ150" t="e">
        <f>AND('BBP complete'!C1735,"AAAAAB//H6U=")</f>
        <v>#VALUE!</v>
      </c>
      <c r="FK150" t="e">
        <f>AND('BBP complete'!N1738,"AAAAAB//H6Y=")</f>
        <v>#VALUE!</v>
      </c>
      <c r="FL150" t="e">
        <f>AND('BBP complete'!P1754,"AAAAAB//H6c=")</f>
        <v>#VALUE!</v>
      </c>
      <c r="FM150" t="e">
        <f>AND('BBP complete'!Q1754,"AAAAAB//H6g=")</f>
        <v>#VALUE!</v>
      </c>
      <c r="FN150" t="e">
        <f>AND('BBP complete'!R1754,"AAAAAB//H6k=")</f>
        <v>#VALUE!</v>
      </c>
      <c r="FO150" t="e">
        <f>AND('BBP complete'!S1754,"AAAAAB//H6o=")</f>
        <v>#VALUE!</v>
      </c>
      <c r="FP150" t="e">
        <f>AND('BBP complete'!A1743,"AAAAAB//H6s=")</f>
        <v>#VALUE!</v>
      </c>
      <c r="FQ150" t="e">
        <f>AND('BBP complete'!B1739,"AAAAAB//H6w=")</f>
        <v>#VALUE!</v>
      </c>
      <c r="FR150" t="e">
        <f>AND('BBP complete'!H1739,"AAAAAB//H60=")</f>
        <v>#VALUE!</v>
      </c>
      <c r="FS150" t="e">
        <f>AND('BBP complete'!I1739,"AAAAAB//H64=")</f>
        <v>#VALUE!</v>
      </c>
      <c r="FT150" t="e">
        <f>AND('BBP complete'!G1738,"AAAAAB//H68=")</f>
        <v>#VALUE!</v>
      </c>
      <c r="FU150" t="e">
        <f>AND('BBP complete'!#REF!,"AAAAAB//H7A=")</f>
        <v>#REF!</v>
      </c>
      <c r="FV150" t="e">
        <f>AND('BBP complete'!#REF!,"AAAAAB//H7E=")</f>
        <v>#REF!</v>
      </c>
      <c r="FW150" t="e">
        <f>AND('BBP complete'!#REF!,"AAAAAB//H7I=")</f>
        <v>#REF!</v>
      </c>
      <c r="FX150" t="e">
        <f>AND('BBP complete'!#REF!,"AAAAAB//H7M=")</f>
        <v>#REF!</v>
      </c>
      <c r="FY150" t="e">
        <f>AND('BBP complete'!#REF!,"AAAAAB//H7Q=")</f>
        <v>#REF!</v>
      </c>
      <c r="FZ150" t="e">
        <f>AND('BBP complete'!#REF!,"AAAAAB//H7U=")</f>
        <v>#REF!</v>
      </c>
      <c r="GA150" t="e">
        <f>AND('BBP complete'!L1735,"AAAAAB//H7Y=")</f>
        <v>#VALUE!</v>
      </c>
      <c r="GB150" t="e">
        <f>AND('BBP complete'!C1736,"AAAAAB//H7c=")</f>
        <v>#VALUE!</v>
      </c>
      <c r="GC150" t="e">
        <f>AND('BBP complete'!N1739,"AAAAAB//H7g=")</f>
        <v>#VALUE!</v>
      </c>
      <c r="GD150" t="e">
        <f>AND('BBP complete'!P1755,"AAAAAB//H7k=")</f>
        <v>#VALUE!</v>
      </c>
      <c r="GE150" t="e">
        <f>AND('BBP complete'!Q1755,"AAAAAB//H7o=")</f>
        <v>#VALUE!</v>
      </c>
      <c r="GF150" t="e">
        <f>AND('BBP complete'!R1755,"AAAAAB//H7s=")</f>
        <v>#VALUE!</v>
      </c>
      <c r="GG150" t="e">
        <f>AND('BBP complete'!S1755,"AAAAAB//H7w=")</f>
        <v>#VALUE!</v>
      </c>
      <c r="GH150" t="e">
        <f>AND('BBP complete'!A1744,"AAAAAB//H70=")</f>
        <v>#VALUE!</v>
      </c>
      <c r="GI150" t="e">
        <f>AND('BBP complete'!B1740,"AAAAAB//H74=")</f>
        <v>#VALUE!</v>
      </c>
      <c r="GJ150" t="e">
        <f>AND('BBP complete'!H1740,"AAAAAB//H78=")</f>
        <v>#VALUE!</v>
      </c>
      <c r="GK150" t="e">
        <f>AND('BBP complete'!I1740,"AAAAAB//H8A=")</f>
        <v>#VALUE!</v>
      </c>
      <c r="GL150" t="e">
        <f>AND('BBP complete'!G1739,"AAAAAB//H8E=")</f>
        <v>#VALUE!</v>
      </c>
      <c r="GM150" t="e">
        <f>AND('BBP complete'!#REF!,"AAAAAB//H8I=")</f>
        <v>#REF!</v>
      </c>
      <c r="GN150" t="e">
        <f>AND('BBP complete'!#REF!,"AAAAAB//H8M=")</f>
        <v>#REF!</v>
      </c>
      <c r="GO150" t="e">
        <f>AND('BBP complete'!#REF!,"AAAAAB//H8Q=")</f>
        <v>#REF!</v>
      </c>
      <c r="GP150" t="e">
        <f>AND('BBP complete'!#REF!,"AAAAAB//H8U=")</f>
        <v>#REF!</v>
      </c>
      <c r="GQ150" t="e">
        <f>AND('BBP complete'!#REF!,"AAAAAB//H8Y=")</f>
        <v>#REF!</v>
      </c>
      <c r="GR150" t="e">
        <f>AND('BBP complete'!#REF!,"AAAAAB//H8c=")</f>
        <v>#REF!</v>
      </c>
      <c r="GS150" t="e">
        <f>AND('BBP complete'!L1736,"AAAAAB//H8g=")</f>
        <v>#VALUE!</v>
      </c>
      <c r="GT150" t="e">
        <f>AND('BBP complete'!C1737,"AAAAAB//H8k=")</f>
        <v>#VALUE!</v>
      </c>
      <c r="GU150" t="e">
        <f>AND('BBP complete'!N1740,"AAAAAB//H8o=")</f>
        <v>#VALUE!</v>
      </c>
      <c r="GV150" t="e">
        <f>AND('BBP complete'!P1756,"AAAAAB//H8s=")</f>
        <v>#VALUE!</v>
      </c>
      <c r="GW150" t="e">
        <f>AND('BBP complete'!Q1756,"AAAAAB//H8w=")</f>
        <v>#VALUE!</v>
      </c>
      <c r="GX150" t="e">
        <f>AND('BBP complete'!R1756,"AAAAAB//H80=")</f>
        <v>#VALUE!</v>
      </c>
      <c r="GY150" t="e">
        <f>AND('BBP complete'!S1756,"AAAAAB//H84=")</f>
        <v>#VALUE!</v>
      </c>
      <c r="GZ150" t="e">
        <f>AND('BBP complete'!A1745,"AAAAAB//H88=")</f>
        <v>#VALUE!</v>
      </c>
      <c r="HA150" t="e">
        <f>AND('BBP complete'!B1741,"AAAAAB//H9A=")</f>
        <v>#VALUE!</v>
      </c>
      <c r="HB150" t="e">
        <f>AND('BBP complete'!H1741,"AAAAAB//H9E=")</f>
        <v>#VALUE!</v>
      </c>
      <c r="HC150" t="e">
        <f>AND('BBP complete'!I1741,"AAAAAB//H9I=")</f>
        <v>#VALUE!</v>
      </c>
      <c r="HD150" t="e">
        <f>AND('BBP complete'!G1740,"AAAAAB//H9M=")</f>
        <v>#VALUE!</v>
      </c>
      <c r="HE150" t="e">
        <f>AND('BBP complete'!#REF!,"AAAAAB//H9Q=")</f>
        <v>#REF!</v>
      </c>
      <c r="HF150" t="e">
        <f>AND('BBP complete'!#REF!,"AAAAAB//H9U=")</f>
        <v>#REF!</v>
      </c>
      <c r="HG150" t="e">
        <f>AND('BBP complete'!#REF!,"AAAAAB//H9Y=")</f>
        <v>#REF!</v>
      </c>
      <c r="HH150" t="e">
        <f>AND('BBP complete'!#REF!,"AAAAAB//H9c=")</f>
        <v>#REF!</v>
      </c>
      <c r="HI150" t="e">
        <f>AND('BBP complete'!#REF!,"AAAAAB//H9g=")</f>
        <v>#REF!</v>
      </c>
      <c r="HJ150" t="e">
        <f>AND('BBP complete'!#REF!,"AAAAAB//H9k=")</f>
        <v>#REF!</v>
      </c>
      <c r="HK150" t="e">
        <f>AND('BBP complete'!L1737,"AAAAAB//H9o=")</f>
        <v>#VALUE!</v>
      </c>
      <c r="HL150" t="e">
        <f>AND('BBP complete'!C1738,"AAAAAB//H9s=")</f>
        <v>#VALUE!</v>
      </c>
      <c r="HM150" t="e">
        <f>AND('BBP complete'!N1741,"AAAAAB//H9w=")</f>
        <v>#VALUE!</v>
      </c>
      <c r="HN150" t="e">
        <f>AND('BBP complete'!P1757,"AAAAAB//H90=")</f>
        <v>#VALUE!</v>
      </c>
      <c r="HO150" t="e">
        <f>AND('BBP complete'!Q1757,"AAAAAB//H94=")</f>
        <v>#VALUE!</v>
      </c>
      <c r="HP150" t="e">
        <f>AND('BBP complete'!R1757,"AAAAAB//H98=")</f>
        <v>#VALUE!</v>
      </c>
      <c r="HQ150" t="e">
        <f>AND('BBP complete'!S1757,"AAAAAB//H+A=")</f>
        <v>#VALUE!</v>
      </c>
      <c r="HR150" t="e">
        <f>AND('BBP complete'!A1746,"AAAAAB//H+E=")</f>
        <v>#VALUE!</v>
      </c>
      <c r="HS150" t="e">
        <f>AND('BBP complete'!B1742,"AAAAAB//H+I=")</f>
        <v>#VALUE!</v>
      </c>
      <c r="HT150" t="e">
        <f>AND('BBP complete'!H1742,"AAAAAB//H+M=")</f>
        <v>#VALUE!</v>
      </c>
      <c r="HU150" t="e">
        <f>AND('BBP complete'!I1742,"AAAAAB//H+Q=")</f>
        <v>#VALUE!</v>
      </c>
      <c r="HV150" t="e">
        <f>AND('BBP complete'!G1741,"AAAAAB//H+U=")</f>
        <v>#VALUE!</v>
      </c>
      <c r="HW150" t="e">
        <f>AND('BBP complete'!#REF!,"AAAAAB//H+Y=")</f>
        <v>#REF!</v>
      </c>
      <c r="HX150" t="e">
        <f>AND('BBP complete'!#REF!,"AAAAAB//H+c=")</f>
        <v>#REF!</v>
      </c>
      <c r="HY150" t="e">
        <f>AND('BBP complete'!#REF!,"AAAAAB//H+g=")</f>
        <v>#REF!</v>
      </c>
      <c r="HZ150" t="e">
        <f>AND('BBP complete'!#REF!,"AAAAAB//H+k=")</f>
        <v>#REF!</v>
      </c>
      <c r="IA150" t="e">
        <f>AND('BBP complete'!#REF!,"AAAAAB//H+o=")</f>
        <v>#REF!</v>
      </c>
      <c r="IB150" t="e">
        <f>AND('BBP complete'!#REF!,"AAAAAB//H+s=")</f>
        <v>#REF!</v>
      </c>
      <c r="IC150" t="e">
        <f>AND('BBP complete'!L1738,"AAAAAB//H+w=")</f>
        <v>#VALUE!</v>
      </c>
      <c r="ID150" t="e">
        <f>AND('BBP complete'!C1739,"AAAAAB//H+0=")</f>
        <v>#VALUE!</v>
      </c>
      <c r="IE150" t="e">
        <f>AND('BBP complete'!N1742,"AAAAAB//H+4=")</f>
        <v>#VALUE!</v>
      </c>
      <c r="IF150" t="e">
        <f>AND('BBP complete'!P1758,"AAAAAB//H+8=")</f>
        <v>#VALUE!</v>
      </c>
      <c r="IG150" t="e">
        <f>AND('BBP complete'!Q1758,"AAAAAB//H/A=")</f>
        <v>#VALUE!</v>
      </c>
      <c r="IH150" t="e">
        <f>AND('BBP complete'!R1758,"AAAAAB//H/E=")</f>
        <v>#VALUE!</v>
      </c>
      <c r="II150" t="e">
        <f>AND('BBP complete'!S1758,"AAAAAB//H/I=")</f>
        <v>#VALUE!</v>
      </c>
      <c r="IJ150" t="e">
        <f>AND('BBP complete'!A1747,"AAAAAB//H/M=")</f>
        <v>#VALUE!</v>
      </c>
      <c r="IK150" t="e">
        <f>AND('BBP complete'!B1743,"AAAAAB//H/Q=")</f>
        <v>#VALUE!</v>
      </c>
      <c r="IL150" t="e">
        <f>AND('BBP complete'!H1743,"AAAAAB//H/U=")</f>
        <v>#VALUE!</v>
      </c>
      <c r="IM150" t="e">
        <f>AND('BBP complete'!I1743,"AAAAAB//H/Y=")</f>
        <v>#VALUE!</v>
      </c>
      <c r="IN150" t="e">
        <f>AND('BBP complete'!G1742,"AAAAAB//H/c=")</f>
        <v>#VALUE!</v>
      </c>
      <c r="IO150" t="e">
        <f>AND('BBP complete'!#REF!,"AAAAAB//H/g=")</f>
        <v>#REF!</v>
      </c>
      <c r="IP150" t="e">
        <f>AND('BBP complete'!#REF!,"AAAAAB//H/k=")</f>
        <v>#REF!</v>
      </c>
      <c r="IQ150" t="e">
        <f>AND('BBP complete'!#REF!,"AAAAAB//H/o=")</f>
        <v>#REF!</v>
      </c>
      <c r="IR150" t="e">
        <f>AND('BBP complete'!#REF!,"AAAAAB//H/s=")</f>
        <v>#REF!</v>
      </c>
      <c r="IS150" t="e">
        <f>AND('BBP complete'!#REF!,"AAAAAB//H/w=")</f>
        <v>#REF!</v>
      </c>
      <c r="IT150" t="e">
        <f>AND('BBP complete'!#REF!,"AAAAAB//H/0=")</f>
        <v>#REF!</v>
      </c>
      <c r="IU150" t="e">
        <f>AND('BBP complete'!L1739,"AAAAAB//H/4=")</f>
        <v>#VALUE!</v>
      </c>
      <c r="IV150" t="e">
        <f>AND('BBP complete'!C1740,"AAAAAB//H/8=")</f>
        <v>#VALUE!</v>
      </c>
    </row>
    <row r="151" spans="1:256" ht="15" customHeight="1" x14ac:dyDescent="0.25">
      <c r="A151" t="e">
        <f>AND('BBP complete'!N1743,"AAAAAB9XugA=")</f>
        <v>#VALUE!</v>
      </c>
      <c r="B151" t="e">
        <f>AND('BBP complete'!P1759,"AAAAAB9XugE=")</f>
        <v>#VALUE!</v>
      </c>
      <c r="C151" t="e">
        <f>AND('BBP complete'!Q1759,"AAAAAB9XugI=")</f>
        <v>#VALUE!</v>
      </c>
      <c r="D151" t="e">
        <f>AND('BBP complete'!R1759,"AAAAAB9XugM=")</f>
        <v>#VALUE!</v>
      </c>
      <c r="E151" t="e">
        <f>AND('BBP complete'!S1759,"AAAAAB9XugQ=")</f>
        <v>#VALUE!</v>
      </c>
      <c r="F151" t="e">
        <f>AND('BBP complete'!A1748,"AAAAAB9XugU=")</f>
        <v>#VALUE!</v>
      </c>
      <c r="G151" t="e">
        <f>AND('BBP complete'!B1744,"AAAAAB9XugY=")</f>
        <v>#VALUE!</v>
      </c>
      <c r="H151" t="e">
        <f>AND('BBP complete'!H1744,"AAAAAB9Xugc=")</f>
        <v>#VALUE!</v>
      </c>
      <c r="I151" t="e">
        <f>AND('BBP complete'!I1744,"AAAAAB9Xugg=")</f>
        <v>#VALUE!</v>
      </c>
      <c r="J151" t="e">
        <f>AND('BBP complete'!G1743,"AAAAAB9Xugk=")</f>
        <v>#VALUE!</v>
      </c>
      <c r="K151" t="e">
        <f>AND('BBP complete'!#REF!,"AAAAAB9Xugo=")</f>
        <v>#REF!</v>
      </c>
      <c r="L151" t="e">
        <f>AND('BBP complete'!#REF!,"AAAAAB9Xugs=")</f>
        <v>#REF!</v>
      </c>
      <c r="M151" t="e">
        <f>AND('BBP complete'!#REF!,"AAAAAB9Xugw=")</f>
        <v>#REF!</v>
      </c>
      <c r="N151" t="e">
        <f>AND('BBP complete'!#REF!,"AAAAAB9Xug0=")</f>
        <v>#REF!</v>
      </c>
      <c r="O151" t="e">
        <f>AND('BBP complete'!#REF!,"AAAAAB9Xug4=")</f>
        <v>#REF!</v>
      </c>
      <c r="P151" t="e">
        <f>AND('BBP complete'!#REF!,"AAAAAB9Xug8=")</f>
        <v>#REF!</v>
      </c>
      <c r="Q151" t="e">
        <f>AND('BBP complete'!L1740,"AAAAAB9XuhA=")</f>
        <v>#VALUE!</v>
      </c>
      <c r="R151" t="e">
        <f>AND('BBP complete'!C1741,"AAAAAB9XuhE=")</f>
        <v>#VALUE!</v>
      </c>
      <c r="S151" t="e">
        <f>AND('BBP complete'!N1744,"AAAAAB9XuhI=")</f>
        <v>#VALUE!</v>
      </c>
      <c r="T151" t="e">
        <f>AND('BBP complete'!P1760,"AAAAAB9XuhM=")</f>
        <v>#VALUE!</v>
      </c>
      <c r="U151" t="e">
        <f>AND('BBP complete'!Q1760,"AAAAAB9XuhQ=")</f>
        <v>#VALUE!</v>
      </c>
      <c r="V151" t="e">
        <f>AND('BBP complete'!R1760,"AAAAAB9XuhU=")</f>
        <v>#VALUE!</v>
      </c>
      <c r="W151" t="e">
        <f>AND('BBP complete'!S1760,"AAAAAB9XuhY=")</f>
        <v>#VALUE!</v>
      </c>
      <c r="X151" t="e">
        <f>AND('BBP complete'!A1749,"AAAAAB9Xuhc=")</f>
        <v>#VALUE!</v>
      </c>
      <c r="Y151" t="e">
        <f>AND('BBP complete'!B1745,"AAAAAB9Xuhg=")</f>
        <v>#VALUE!</v>
      </c>
      <c r="Z151" t="e">
        <f>AND('BBP complete'!H1745,"AAAAAB9Xuhk=")</f>
        <v>#VALUE!</v>
      </c>
      <c r="AA151" t="e">
        <f>AND('BBP complete'!I1745,"AAAAAB9Xuho=")</f>
        <v>#VALUE!</v>
      </c>
      <c r="AB151" t="e">
        <f>AND('BBP complete'!G1744,"AAAAAB9Xuhs=")</f>
        <v>#VALUE!</v>
      </c>
      <c r="AC151" t="e">
        <f>AND('BBP complete'!#REF!,"AAAAAB9Xuhw=")</f>
        <v>#REF!</v>
      </c>
      <c r="AD151" t="e">
        <f>AND('BBP complete'!#REF!,"AAAAAB9Xuh0=")</f>
        <v>#REF!</v>
      </c>
      <c r="AE151" t="e">
        <f>AND('BBP complete'!#REF!,"AAAAAB9Xuh4=")</f>
        <v>#REF!</v>
      </c>
      <c r="AF151" t="e">
        <f>AND('BBP complete'!#REF!,"AAAAAB9Xuh8=")</f>
        <v>#REF!</v>
      </c>
      <c r="AG151" t="e">
        <f>AND('BBP complete'!#REF!,"AAAAAB9XuiA=")</f>
        <v>#REF!</v>
      </c>
      <c r="AH151" t="e">
        <f>AND('BBP complete'!#REF!,"AAAAAB9XuiE=")</f>
        <v>#REF!</v>
      </c>
      <c r="AI151" t="e">
        <f>AND('BBP complete'!L1741,"AAAAAB9XuiI=")</f>
        <v>#VALUE!</v>
      </c>
      <c r="AJ151" t="e">
        <f>AND('BBP complete'!C1742,"AAAAAB9XuiM=")</f>
        <v>#VALUE!</v>
      </c>
      <c r="AK151" t="e">
        <f>AND('BBP complete'!N1745,"AAAAAB9XuiQ=")</f>
        <v>#VALUE!</v>
      </c>
      <c r="AL151" t="e">
        <f>AND('BBP complete'!P1761,"AAAAAB9XuiU=")</f>
        <v>#VALUE!</v>
      </c>
      <c r="AM151" t="e">
        <f>AND('BBP complete'!Q1761,"AAAAAB9XuiY=")</f>
        <v>#VALUE!</v>
      </c>
      <c r="AN151" t="e">
        <f>AND('BBP complete'!R1761,"AAAAAB9Xuic=")</f>
        <v>#VALUE!</v>
      </c>
      <c r="AO151" t="e">
        <f>AND('BBP complete'!S1761,"AAAAAB9Xuig=")</f>
        <v>#VALUE!</v>
      </c>
      <c r="AP151" t="e">
        <f>AND('BBP complete'!A1750,"AAAAAB9Xuik=")</f>
        <v>#VALUE!</v>
      </c>
      <c r="AQ151" t="e">
        <f>AND('BBP complete'!B1746,"AAAAAB9Xuio=")</f>
        <v>#VALUE!</v>
      </c>
      <c r="AR151" t="e">
        <f>AND('BBP complete'!H1746,"AAAAAB9Xuis=")</f>
        <v>#VALUE!</v>
      </c>
      <c r="AS151" t="e">
        <f>AND('BBP complete'!I1746,"AAAAAB9Xuiw=")</f>
        <v>#VALUE!</v>
      </c>
      <c r="AT151" t="e">
        <f>AND('BBP complete'!G1745,"AAAAAB9Xui0=")</f>
        <v>#VALUE!</v>
      </c>
      <c r="AU151" t="e">
        <f>AND('BBP complete'!#REF!,"AAAAAB9Xui4=")</f>
        <v>#REF!</v>
      </c>
      <c r="AV151" t="e">
        <f>AND('BBP complete'!#REF!,"AAAAAB9Xui8=")</f>
        <v>#REF!</v>
      </c>
      <c r="AW151" t="e">
        <f>AND('BBP complete'!#REF!,"AAAAAB9XujA=")</f>
        <v>#REF!</v>
      </c>
      <c r="AX151" t="e">
        <f>AND('BBP complete'!#REF!,"AAAAAB9XujE=")</f>
        <v>#REF!</v>
      </c>
      <c r="AY151" t="e">
        <f>AND('BBP complete'!#REF!,"AAAAAB9XujI=")</f>
        <v>#REF!</v>
      </c>
      <c r="AZ151" t="e">
        <f>AND('BBP complete'!#REF!,"AAAAAB9XujM=")</f>
        <v>#REF!</v>
      </c>
      <c r="BA151" t="e">
        <f>AND('BBP complete'!L1742,"AAAAAB9XujQ=")</f>
        <v>#VALUE!</v>
      </c>
      <c r="BB151" t="e">
        <f>AND('BBP complete'!C1743,"AAAAAB9XujU=")</f>
        <v>#VALUE!</v>
      </c>
      <c r="BC151" t="e">
        <f>AND('BBP complete'!N1746,"AAAAAB9XujY=")</f>
        <v>#VALUE!</v>
      </c>
      <c r="BD151" t="e">
        <f>AND('BBP complete'!P1762,"AAAAAB9Xujc=")</f>
        <v>#VALUE!</v>
      </c>
      <c r="BE151" t="e">
        <f>AND('BBP complete'!Q1762,"AAAAAB9Xujg=")</f>
        <v>#VALUE!</v>
      </c>
      <c r="BF151" t="e">
        <f>AND('BBP complete'!R1762,"AAAAAB9Xujk=")</f>
        <v>#VALUE!</v>
      </c>
      <c r="BG151" t="e">
        <f>AND('BBP complete'!S1762,"AAAAAB9Xujo=")</f>
        <v>#VALUE!</v>
      </c>
      <c r="BH151" t="e">
        <f>AND('BBP complete'!A1751,"AAAAAB9Xujs=")</f>
        <v>#VALUE!</v>
      </c>
      <c r="BI151" t="e">
        <f>AND('BBP complete'!B1747,"AAAAAB9Xujw=")</f>
        <v>#VALUE!</v>
      </c>
      <c r="BJ151" t="e">
        <f>AND('BBP complete'!H1747,"AAAAAB9Xuj0=")</f>
        <v>#VALUE!</v>
      </c>
      <c r="BK151" t="e">
        <f>AND('BBP complete'!I1747,"AAAAAB9Xuj4=")</f>
        <v>#VALUE!</v>
      </c>
      <c r="BL151" t="e">
        <f>AND('BBP complete'!G1746,"AAAAAB9Xuj8=")</f>
        <v>#VALUE!</v>
      </c>
      <c r="BM151" t="e">
        <f>AND('BBP complete'!#REF!,"AAAAAB9XukA=")</f>
        <v>#REF!</v>
      </c>
      <c r="BN151" t="e">
        <f>AND('BBP complete'!#REF!,"AAAAAB9XukE=")</f>
        <v>#REF!</v>
      </c>
      <c r="BO151" t="e">
        <f>AND('BBP complete'!#REF!,"AAAAAB9XukI=")</f>
        <v>#REF!</v>
      </c>
      <c r="BP151" t="e">
        <f>AND('BBP complete'!#REF!,"AAAAAB9XukM=")</f>
        <v>#REF!</v>
      </c>
      <c r="BQ151" t="e">
        <f>AND('BBP complete'!#REF!,"AAAAAB9XukQ=")</f>
        <v>#REF!</v>
      </c>
      <c r="BR151" t="e">
        <f>AND('BBP complete'!#REF!,"AAAAAB9XukU=")</f>
        <v>#REF!</v>
      </c>
      <c r="BS151" t="e">
        <f>AND('BBP complete'!L1743,"AAAAAB9XukY=")</f>
        <v>#VALUE!</v>
      </c>
      <c r="BT151" t="e">
        <f>AND('BBP complete'!C1744,"AAAAAB9Xukc=")</f>
        <v>#VALUE!</v>
      </c>
      <c r="BU151" t="e">
        <f>AND('BBP complete'!N1747,"AAAAAB9Xukg=")</f>
        <v>#VALUE!</v>
      </c>
      <c r="BV151" t="e">
        <f>AND('BBP complete'!P1763,"AAAAAB9Xukk=")</f>
        <v>#VALUE!</v>
      </c>
      <c r="BW151" t="e">
        <f>AND('BBP complete'!Q1763,"AAAAAB9Xuko=")</f>
        <v>#VALUE!</v>
      </c>
      <c r="BX151" t="e">
        <f>AND('BBP complete'!R1763,"AAAAAB9Xuks=")</f>
        <v>#VALUE!</v>
      </c>
      <c r="BY151" t="e">
        <f>AND('BBP complete'!S1763,"AAAAAB9Xukw=")</f>
        <v>#VALUE!</v>
      </c>
      <c r="BZ151" t="e">
        <f>AND('BBP complete'!A1752,"AAAAAB9Xuk0=")</f>
        <v>#VALUE!</v>
      </c>
      <c r="CA151" t="e">
        <f>AND('BBP complete'!B1748,"AAAAAB9Xuk4=")</f>
        <v>#VALUE!</v>
      </c>
      <c r="CB151" t="e">
        <f>AND('BBP complete'!H1748,"AAAAAB9Xuk8=")</f>
        <v>#VALUE!</v>
      </c>
      <c r="CC151" t="e">
        <f>AND('BBP complete'!I1748,"AAAAAB9XulA=")</f>
        <v>#VALUE!</v>
      </c>
      <c r="CD151" t="e">
        <f>AND('BBP complete'!G1747,"AAAAAB9XulE=")</f>
        <v>#VALUE!</v>
      </c>
      <c r="CE151" t="e">
        <f>AND('BBP complete'!#REF!,"AAAAAB9XulI=")</f>
        <v>#REF!</v>
      </c>
      <c r="CF151" t="e">
        <f>AND('BBP complete'!#REF!,"AAAAAB9XulM=")</f>
        <v>#REF!</v>
      </c>
      <c r="CG151" t="e">
        <f>AND('BBP complete'!#REF!,"AAAAAB9XulQ=")</f>
        <v>#REF!</v>
      </c>
      <c r="CH151" t="e">
        <f>AND('BBP complete'!#REF!,"AAAAAB9XulU=")</f>
        <v>#REF!</v>
      </c>
      <c r="CI151" t="e">
        <f>AND('BBP complete'!#REF!,"AAAAAB9XulY=")</f>
        <v>#REF!</v>
      </c>
      <c r="CJ151" t="e">
        <f>AND('BBP complete'!#REF!,"AAAAAB9Xulc=")</f>
        <v>#REF!</v>
      </c>
      <c r="CK151" t="e">
        <f>AND('BBP complete'!L1744,"AAAAAB9Xulg=")</f>
        <v>#VALUE!</v>
      </c>
      <c r="CL151" t="e">
        <f>AND('BBP complete'!C1745,"AAAAAB9Xulk=")</f>
        <v>#VALUE!</v>
      </c>
      <c r="CM151" t="e">
        <f>AND('BBP complete'!N1748,"AAAAAB9Xulo=")</f>
        <v>#VALUE!</v>
      </c>
      <c r="CN151" t="e">
        <f>AND('BBP complete'!P1764,"AAAAAB9Xuls=")</f>
        <v>#VALUE!</v>
      </c>
      <c r="CO151" t="e">
        <f>AND('BBP complete'!Q1764,"AAAAAB9Xulw=")</f>
        <v>#VALUE!</v>
      </c>
      <c r="CP151" t="e">
        <f>AND('BBP complete'!R1764,"AAAAAB9Xul0=")</f>
        <v>#VALUE!</v>
      </c>
      <c r="CQ151" t="e">
        <f>AND('BBP complete'!S1764,"AAAAAB9Xul4=")</f>
        <v>#VALUE!</v>
      </c>
      <c r="CR151" t="e">
        <f>AND('BBP complete'!A1753,"AAAAAB9Xul8=")</f>
        <v>#VALUE!</v>
      </c>
      <c r="CS151" t="e">
        <f>AND('BBP complete'!B1749,"AAAAAB9XumA=")</f>
        <v>#VALUE!</v>
      </c>
      <c r="CT151" t="e">
        <f>AND('BBP complete'!H1749,"AAAAAB9XumE=")</f>
        <v>#VALUE!</v>
      </c>
      <c r="CU151" t="e">
        <f>AND('BBP complete'!I1749,"AAAAAB9XumI=")</f>
        <v>#VALUE!</v>
      </c>
      <c r="CV151" t="e">
        <f>AND('BBP complete'!G1748,"AAAAAB9XumM=")</f>
        <v>#VALUE!</v>
      </c>
      <c r="CW151" t="e">
        <f>AND('BBP complete'!#REF!,"AAAAAB9XumQ=")</f>
        <v>#REF!</v>
      </c>
      <c r="CX151" t="e">
        <f>AND('BBP complete'!#REF!,"AAAAAB9XumU=")</f>
        <v>#REF!</v>
      </c>
      <c r="CY151" t="e">
        <f>AND('BBP complete'!#REF!,"AAAAAB9XumY=")</f>
        <v>#REF!</v>
      </c>
      <c r="CZ151" t="e">
        <f>AND('BBP complete'!#REF!,"AAAAAB9Xumc=")</f>
        <v>#REF!</v>
      </c>
      <c r="DA151" t="e">
        <f>AND('BBP complete'!#REF!,"AAAAAB9Xumg=")</f>
        <v>#REF!</v>
      </c>
      <c r="DB151" t="e">
        <f>AND('BBP complete'!#REF!,"AAAAAB9Xumk=")</f>
        <v>#REF!</v>
      </c>
      <c r="DC151" t="e">
        <f>AND('BBP complete'!L1745,"AAAAAB9Xumo=")</f>
        <v>#VALUE!</v>
      </c>
      <c r="DD151" t="e">
        <f>AND('BBP complete'!C1746,"AAAAAB9Xums=")</f>
        <v>#VALUE!</v>
      </c>
      <c r="DE151" t="e">
        <f>AND('BBP complete'!N1749,"AAAAAB9Xumw=")</f>
        <v>#VALUE!</v>
      </c>
      <c r="DF151" t="e">
        <f>AND('BBP complete'!P1765,"AAAAAB9Xum0=")</f>
        <v>#VALUE!</v>
      </c>
      <c r="DG151" t="e">
        <f>AND('BBP complete'!Q1765,"AAAAAB9Xum4=")</f>
        <v>#VALUE!</v>
      </c>
      <c r="DH151" t="e">
        <f>AND('BBP complete'!R1765,"AAAAAB9Xum8=")</f>
        <v>#VALUE!</v>
      </c>
      <c r="DI151" t="e">
        <f>AND('BBP complete'!S1765,"AAAAAB9XunA=")</f>
        <v>#VALUE!</v>
      </c>
      <c r="DJ151" t="e">
        <f>AND('BBP complete'!A1754,"AAAAAB9XunE=")</f>
        <v>#VALUE!</v>
      </c>
      <c r="DK151" t="e">
        <f>AND('BBP complete'!B1750,"AAAAAB9XunI=")</f>
        <v>#VALUE!</v>
      </c>
      <c r="DL151" t="e">
        <f>AND('BBP complete'!H1750,"AAAAAB9XunM=")</f>
        <v>#VALUE!</v>
      </c>
      <c r="DM151" t="e">
        <f>AND('BBP complete'!I1750,"AAAAAB9XunQ=")</f>
        <v>#VALUE!</v>
      </c>
      <c r="DN151" t="e">
        <f>AND('BBP complete'!G1749,"AAAAAB9XunU=")</f>
        <v>#VALUE!</v>
      </c>
      <c r="DO151" t="e">
        <f>AND('BBP complete'!#REF!,"AAAAAB9XunY=")</f>
        <v>#REF!</v>
      </c>
      <c r="DP151" t="e">
        <f>AND('BBP complete'!#REF!,"AAAAAB9Xunc=")</f>
        <v>#REF!</v>
      </c>
      <c r="DQ151" t="e">
        <f>AND('BBP complete'!#REF!,"AAAAAB9Xung=")</f>
        <v>#REF!</v>
      </c>
      <c r="DR151" t="e">
        <f>AND('BBP complete'!#REF!,"AAAAAB9Xunk=")</f>
        <v>#REF!</v>
      </c>
      <c r="DS151" t="e">
        <f>AND('BBP complete'!#REF!,"AAAAAB9Xuno=")</f>
        <v>#REF!</v>
      </c>
      <c r="DT151" t="e">
        <f>AND('BBP complete'!#REF!,"AAAAAB9Xuns=")</f>
        <v>#REF!</v>
      </c>
      <c r="DU151" t="e">
        <f>AND('BBP complete'!L1746,"AAAAAB9Xunw=")</f>
        <v>#VALUE!</v>
      </c>
      <c r="DV151" t="e">
        <f>AND('BBP complete'!C1747,"AAAAAB9Xun0=")</f>
        <v>#VALUE!</v>
      </c>
      <c r="DW151" t="e">
        <f>AND('BBP complete'!N1750,"AAAAAB9Xun4=")</f>
        <v>#VALUE!</v>
      </c>
      <c r="DX151" t="e">
        <f>AND('BBP complete'!P1766,"AAAAAB9Xun8=")</f>
        <v>#VALUE!</v>
      </c>
      <c r="DY151" t="e">
        <f>AND('BBP complete'!Q1766,"AAAAAB9XuoA=")</f>
        <v>#VALUE!</v>
      </c>
      <c r="DZ151" t="e">
        <f>AND('BBP complete'!R1766,"AAAAAB9XuoE=")</f>
        <v>#VALUE!</v>
      </c>
      <c r="EA151" t="e">
        <f>AND('BBP complete'!S1766,"AAAAAB9XuoI=")</f>
        <v>#VALUE!</v>
      </c>
      <c r="EB151" t="e">
        <f>AND('BBP complete'!A1755,"AAAAAB9XuoM=")</f>
        <v>#VALUE!</v>
      </c>
      <c r="EC151" t="e">
        <f>AND('BBP complete'!B1751,"AAAAAB9XuoQ=")</f>
        <v>#VALUE!</v>
      </c>
      <c r="ED151" t="e">
        <f>AND('BBP complete'!H1751,"AAAAAB9XuoU=")</f>
        <v>#VALUE!</v>
      </c>
      <c r="EE151" t="e">
        <f>AND('BBP complete'!I1751,"AAAAAB9XuoY=")</f>
        <v>#VALUE!</v>
      </c>
      <c r="EF151" t="e">
        <f>AND('BBP complete'!G1750,"AAAAAB9Xuoc=")</f>
        <v>#VALUE!</v>
      </c>
      <c r="EG151" t="e">
        <f>AND('BBP complete'!#REF!,"AAAAAB9Xuog=")</f>
        <v>#REF!</v>
      </c>
      <c r="EH151" t="e">
        <f>AND('BBP complete'!#REF!,"AAAAAB9Xuok=")</f>
        <v>#REF!</v>
      </c>
      <c r="EI151" t="e">
        <f>AND('BBP complete'!#REF!,"AAAAAB9Xuoo=")</f>
        <v>#REF!</v>
      </c>
      <c r="EJ151" t="e">
        <f>AND('BBP complete'!#REF!,"AAAAAB9Xuos=")</f>
        <v>#REF!</v>
      </c>
      <c r="EK151" t="e">
        <f>AND('BBP complete'!#REF!,"AAAAAB9Xuow=")</f>
        <v>#REF!</v>
      </c>
      <c r="EL151" t="e">
        <f>AND('BBP complete'!#REF!,"AAAAAB9Xuo0=")</f>
        <v>#REF!</v>
      </c>
      <c r="EM151" t="e">
        <f>AND('BBP complete'!L1747,"AAAAAB9Xuo4=")</f>
        <v>#VALUE!</v>
      </c>
      <c r="EN151" t="e">
        <f>AND('BBP complete'!C1748,"AAAAAB9Xuo8=")</f>
        <v>#VALUE!</v>
      </c>
      <c r="EO151" t="e">
        <f>AND('BBP complete'!N1751,"AAAAAB9XupA=")</f>
        <v>#VALUE!</v>
      </c>
      <c r="EP151" t="e">
        <f>AND('BBP complete'!P1767,"AAAAAB9XupE=")</f>
        <v>#VALUE!</v>
      </c>
      <c r="EQ151" t="e">
        <f>AND('BBP complete'!Q1767,"AAAAAB9XupI=")</f>
        <v>#VALUE!</v>
      </c>
      <c r="ER151" t="e">
        <f>AND('BBP complete'!R1767,"AAAAAB9XupM=")</f>
        <v>#VALUE!</v>
      </c>
      <c r="ES151" t="e">
        <f>AND('BBP complete'!S1767,"AAAAAB9XupQ=")</f>
        <v>#VALUE!</v>
      </c>
      <c r="ET151" t="e">
        <f>AND('BBP complete'!A1756,"AAAAAB9XupU=")</f>
        <v>#VALUE!</v>
      </c>
      <c r="EU151" t="e">
        <f>AND('BBP complete'!B1752,"AAAAAB9XupY=")</f>
        <v>#VALUE!</v>
      </c>
      <c r="EV151" t="e">
        <f>AND('BBP complete'!H1752,"AAAAAB9Xupc=")</f>
        <v>#VALUE!</v>
      </c>
      <c r="EW151" t="e">
        <f>AND('BBP complete'!I1752,"AAAAAB9Xupg=")</f>
        <v>#VALUE!</v>
      </c>
      <c r="EX151" t="e">
        <f>AND('BBP complete'!G1751,"AAAAAB9Xupk=")</f>
        <v>#VALUE!</v>
      </c>
      <c r="EY151" t="e">
        <f>AND('BBP complete'!#REF!,"AAAAAB9Xupo=")</f>
        <v>#REF!</v>
      </c>
      <c r="EZ151" t="e">
        <f>AND('BBP complete'!#REF!,"AAAAAB9Xups=")</f>
        <v>#REF!</v>
      </c>
      <c r="FA151" t="e">
        <f>AND('BBP complete'!#REF!,"AAAAAB9Xupw=")</f>
        <v>#REF!</v>
      </c>
      <c r="FB151" t="e">
        <f>AND('BBP complete'!#REF!,"AAAAAB9Xup0=")</f>
        <v>#REF!</v>
      </c>
      <c r="FC151" t="e">
        <f>AND('BBP complete'!#REF!,"AAAAAB9Xup4=")</f>
        <v>#REF!</v>
      </c>
      <c r="FD151" t="e">
        <f>AND('BBP complete'!#REF!,"AAAAAB9Xup8=")</f>
        <v>#REF!</v>
      </c>
      <c r="FE151" t="e">
        <f>AND('BBP complete'!L1748,"AAAAAB9XuqA=")</f>
        <v>#VALUE!</v>
      </c>
      <c r="FF151" t="e">
        <f>AND('BBP complete'!C1749,"AAAAAB9XuqE=")</f>
        <v>#VALUE!</v>
      </c>
      <c r="FG151" t="e">
        <f>AND('BBP complete'!N1752,"AAAAAB9XuqI=")</f>
        <v>#VALUE!</v>
      </c>
      <c r="FH151" t="e">
        <f>AND('BBP complete'!P1768,"AAAAAB9XuqM=")</f>
        <v>#VALUE!</v>
      </c>
      <c r="FI151" t="e">
        <f>AND('BBP complete'!Q1768,"AAAAAB9XuqQ=")</f>
        <v>#VALUE!</v>
      </c>
      <c r="FJ151" t="e">
        <f>AND('BBP complete'!R1768,"AAAAAB9XuqU=")</f>
        <v>#VALUE!</v>
      </c>
      <c r="FK151" t="e">
        <f>AND('BBP complete'!S1768,"AAAAAB9XuqY=")</f>
        <v>#VALUE!</v>
      </c>
      <c r="FL151" t="e">
        <f>AND('BBP complete'!A1757,"AAAAAB9Xuqc=")</f>
        <v>#VALUE!</v>
      </c>
      <c r="FM151" t="e">
        <f>AND('BBP complete'!B1753,"AAAAAB9Xuqg=")</f>
        <v>#VALUE!</v>
      </c>
      <c r="FN151" t="e">
        <f>AND('BBP complete'!H1753,"AAAAAB9Xuqk=")</f>
        <v>#VALUE!</v>
      </c>
      <c r="FO151" t="e">
        <f>AND('BBP complete'!I1753,"AAAAAB9Xuqo=")</f>
        <v>#VALUE!</v>
      </c>
      <c r="FP151" t="e">
        <f>AND('BBP complete'!G1752,"AAAAAB9Xuqs=")</f>
        <v>#VALUE!</v>
      </c>
      <c r="FQ151" t="e">
        <f>AND('BBP complete'!#REF!,"AAAAAB9Xuqw=")</f>
        <v>#REF!</v>
      </c>
      <c r="FR151" t="e">
        <f>AND('BBP complete'!#REF!,"AAAAAB9Xuq0=")</f>
        <v>#REF!</v>
      </c>
      <c r="FS151" t="e">
        <f>AND('BBP complete'!#REF!,"AAAAAB9Xuq4=")</f>
        <v>#REF!</v>
      </c>
      <c r="FT151" t="e">
        <f>AND('BBP complete'!#REF!,"AAAAAB9Xuq8=")</f>
        <v>#REF!</v>
      </c>
      <c r="FU151" t="e">
        <f>AND('BBP complete'!#REF!,"AAAAAB9XurA=")</f>
        <v>#REF!</v>
      </c>
      <c r="FV151" t="e">
        <f>AND('BBP complete'!#REF!,"AAAAAB9XurE=")</f>
        <v>#REF!</v>
      </c>
      <c r="FW151" t="e">
        <f>AND('BBP complete'!L1749,"AAAAAB9XurI=")</f>
        <v>#VALUE!</v>
      </c>
      <c r="FX151" t="e">
        <f>AND('BBP complete'!C1750,"AAAAAB9XurM=")</f>
        <v>#VALUE!</v>
      </c>
      <c r="FY151" t="e">
        <f>AND('BBP complete'!N1753,"AAAAAB9XurQ=")</f>
        <v>#VALUE!</v>
      </c>
      <c r="FZ151" t="e">
        <f>AND('BBP complete'!P1769,"AAAAAB9XurU=")</f>
        <v>#VALUE!</v>
      </c>
      <c r="GA151" t="e">
        <f>AND('BBP complete'!Q1769,"AAAAAB9XurY=")</f>
        <v>#VALUE!</v>
      </c>
      <c r="GB151" t="e">
        <f>AND('BBP complete'!R1769,"AAAAAB9Xurc=")</f>
        <v>#VALUE!</v>
      </c>
      <c r="GC151" t="e">
        <f>AND('BBP complete'!S1769,"AAAAAB9Xurg=")</f>
        <v>#VALUE!</v>
      </c>
      <c r="GD151" t="e">
        <f>AND('BBP complete'!A1758,"AAAAAB9Xurk=")</f>
        <v>#VALUE!</v>
      </c>
      <c r="GE151" t="e">
        <f>AND('BBP complete'!B1754,"AAAAAB9Xuro=")</f>
        <v>#VALUE!</v>
      </c>
      <c r="GF151" t="e">
        <f>AND('BBP complete'!H1754,"AAAAAB9Xurs=")</f>
        <v>#VALUE!</v>
      </c>
      <c r="GG151" t="e">
        <f>AND('BBP complete'!I1754,"AAAAAB9Xurw=")</f>
        <v>#VALUE!</v>
      </c>
      <c r="GH151" t="e">
        <f>AND('BBP complete'!G1753,"AAAAAB9Xur0=")</f>
        <v>#VALUE!</v>
      </c>
      <c r="GI151" t="e">
        <f>AND('BBP complete'!#REF!,"AAAAAB9Xur4=")</f>
        <v>#REF!</v>
      </c>
      <c r="GJ151" t="e">
        <f>AND('BBP complete'!#REF!,"AAAAAB9Xur8=")</f>
        <v>#REF!</v>
      </c>
      <c r="GK151" t="e">
        <f>AND('BBP complete'!#REF!,"AAAAAB9XusA=")</f>
        <v>#REF!</v>
      </c>
      <c r="GL151" t="e">
        <f>AND('BBP complete'!#REF!,"AAAAAB9XusE=")</f>
        <v>#REF!</v>
      </c>
      <c r="GM151" t="e">
        <f>AND('BBP complete'!#REF!,"AAAAAB9XusI=")</f>
        <v>#REF!</v>
      </c>
      <c r="GN151" t="e">
        <f>AND('BBP complete'!#REF!,"AAAAAB9XusM=")</f>
        <v>#REF!</v>
      </c>
      <c r="GO151" t="e">
        <f>AND('BBP complete'!L1750,"AAAAAB9XusQ=")</f>
        <v>#VALUE!</v>
      </c>
      <c r="GP151" t="e">
        <f>AND('BBP complete'!C1751,"AAAAAB9XusU=")</f>
        <v>#VALUE!</v>
      </c>
      <c r="GQ151" t="e">
        <f>AND('BBP complete'!N1754,"AAAAAB9XusY=")</f>
        <v>#VALUE!</v>
      </c>
      <c r="GR151" t="e">
        <f>AND('BBP complete'!P1770,"AAAAAB9Xusc=")</f>
        <v>#VALUE!</v>
      </c>
      <c r="GS151" t="e">
        <f>AND('BBP complete'!Q1770,"AAAAAB9Xusg=")</f>
        <v>#VALUE!</v>
      </c>
      <c r="GT151" t="e">
        <f>AND('BBP complete'!R1770,"AAAAAB9Xusk=")</f>
        <v>#VALUE!</v>
      </c>
      <c r="GU151" t="e">
        <f>AND('BBP complete'!S1770,"AAAAAB9Xuso=")</f>
        <v>#VALUE!</v>
      </c>
      <c r="GV151" t="e">
        <f>AND('BBP complete'!A1759,"AAAAAB9Xuss=")</f>
        <v>#VALUE!</v>
      </c>
      <c r="GW151" t="e">
        <f>AND('BBP complete'!B1755,"AAAAAB9Xusw=")</f>
        <v>#VALUE!</v>
      </c>
      <c r="GX151" t="e">
        <f>AND('BBP complete'!H1755,"AAAAAB9Xus0=")</f>
        <v>#VALUE!</v>
      </c>
      <c r="GY151" t="e">
        <f>AND('BBP complete'!I1755,"AAAAAB9Xus4=")</f>
        <v>#VALUE!</v>
      </c>
      <c r="GZ151" t="e">
        <f>AND('BBP complete'!G1754,"AAAAAB9Xus8=")</f>
        <v>#VALUE!</v>
      </c>
      <c r="HA151" t="e">
        <f>AND('BBP complete'!#REF!,"AAAAAB9XutA=")</f>
        <v>#REF!</v>
      </c>
      <c r="HB151" t="e">
        <f>AND('BBP complete'!#REF!,"AAAAAB9XutE=")</f>
        <v>#REF!</v>
      </c>
      <c r="HC151" t="e">
        <f>AND('BBP complete'!#REF!,"AAAAAB9XutI=")</f>
        <v>#REF!</v>
      </c>
      <c r="HD151" t="e">
        <f>AND('BBP complete'!#REF!,"AAAAAB9XutM=")</f>
        <v>#REF!</v>
      </c>
      <c r="HE151" t="e">
        <f>AND('BBP complete'!#REF!,"AAAAAB9XutQ=")</f>
        <v>#REF!</v>
      </c>
      <c r="HF151" t="e">
        <f>AND('BBP complete'!#REF!,"AAAAAB9XutU=")</f>
        <v>#REF!</v>
      </c>
      <c r="HG151" t="e">
        <f>AND('BBP complete'!L1751,"AAAAAB9XutY=")</f>
        <v>#VALUE!</v>
      </c>
      <c r="HH151" t="e">
        <f>AND('BBP complete'!C1752,"AAAAAB9Xutc=")</f>
        <v>#VALUE!</v>
      </c>
      <c r="HI151" t="e">
        <f>AND('BBP complete'!N1755,"AAAAAB9Xutg=")</f>
        <v>#VALUE!</v>
      </c>
      <c r="HJ151" t="e">
        <f>AND('BBP complete'!P1771,"AAAAAB9Xutk=")</f>
        <v>#VALUE!</v>
      </c>
      <c r="HK151" t="e">
        <f>AND('BBP complete'!Q1771,"AAAAAB9Xuto=")</f>
        <v>#VALUE!</v>
      </c>
      <c r="HL151" t="e">
        <f>AND('BBP complete'!R1771,"AAAAAB9Xuts=")</f>
        <v>#VALUE!</v>
      </c>
      <c r="HM151" t="e">
        <f>AND('BBP complete'!S1771,"AAAAAB9Xutw=")</f>
        <v>#VALUE!</v>
      </c>
      <c r="HN151" t="e">
        <f>AND('BBP complete'!A1760,"AAAAAB9Xut0=")</f>
        <v>#VALUE!</v>
      </c>
      <c r="HO151" t="e">
        <f>AND('BBP complete'!B1756,"AAAAAB9Xut4=")</f>
        <v>#VALUE!</v>
      </c>
      <c r="HP151" t="e">
        <f>AND('BBP complete'!H1756,"AAAAAB9Xut8=")</f>
        <v>#VALUE!</v>
      </c>
      <c r="HQ151" t="e">
        <f>AND('BBP complete'!I1756,"AAAAAB9XuuA=")</f>
        <v>#VALUE!</v>
      </c>
      <c r="HR151" t="e">
        <f>AND('BBP complete'!G1755,"AAAAAB9XuuE=")</f>
        <v>#VALUE!</v>
      </c>
      <c r="HS151" t="e">
        <f>AND('BBP complete'!#REF!,"AAAAAB9XuuI=")</f>
        <v>#REF!</v>
      </c>
      <c r="HT151" t="e">
        <f>AND('BBP complete'!#REF!,"AAAAAB9XuuM=")</f>
        <v>#REF!</v>
      </c>
      <c r="HU151" t="e">
        <f>AND('BBP complete'!#REF!,"AAAAAB9XuuQ=")</f>
        <v>#REF!</v>
      </c>
      <c r="HV151" t="e">
        <f>AND('BBP complete'!#REF!,"AAAAAB9XuuU=")</f>
        <v>#REF!</v>
      </c>
      <c r="HW151" t="e">
        <f>AND('BBP complete'!#REF!,"AAAAAB9XuuY=")</f>
        <v>#REF!</v>
      </c>
      <c r="HX151" t="e">
        <f>AND('BBP complete'!#REF!,"AAAAAB9Xuuc=")</f>
        <v>#REF!</v>
      </c>
      <c r="HY151" t="e">
        <f>AND('BBP complete'!L1752,"AAAAAB9Xuug=")</f>
        <v>#VALUE!</v>
      </c>
      <c r="HZ151" t="e">
        <f>AND('BBP complete'!C1753,"AAAAAB9Xuuk=")</f>
        <v>#VALUE!</v>
      </c>
      <c r="IA151" t="e">
        <f>AND('BBP complete'!N1756,"AAAAAB9Xuuo=")</f>
        <v>#VALUE!</v>
      </c>
      <c r="IB151" t="e">
        <f>AND('BBP complete'!P1772,"AAAAAB9Xuus=")</f>
        <v>#VALUE!</v>
      </c>
      <c r="IC151" t="e">
        <f>AND('BBP complete'!Q1772,"AAAAAB9Xuuw=")</f>
        <v>#VALUE!</v>
      </c>
      <c r="ID151" t="e">
        <f>AND('BBP complete'!R1772,"AAAAAB9Xuu0=")</f>
        <v>#VALUE!</v>
      </c>
      <c r="IE151" t="e">
        <f>AND('BBP complete'!S1772,"AAAAAB9Xuu4=")</f>
        <v>#VALUE!</v>
      </c>
      <c r="IF151" t="e">
        <f>AND('BBP complete'!A1761,"AAAAAB9Xuu8=")</f>
        <v>#VALUE!</v>
      </c>
      <c r="IG151" t="e">
        <f>AND('BBP complete'!B1757,"AAAAAB9XuvA=")</f>
        <v>#VALUE!</v>
      </c>
      <c r="IH151" t="e">
        <f>AND('BBP complete'!H1757,"AAAAAB9XuvE=")</f>
        <v>#VALUE!</v>
      </c>
      <c r="II151" t="e">
        <f>AND('BBP complete'!I1757,"AAAAAB9XuvI=")</f>
        <v>#VALUE!</v>
      </c>
      <c r="IJ151" t="e">
        <f>AND('BBP complete'!G1756,"AAAAAB9XuvM=")</f>
        <v>#VALUE!</v>
      </c>
      <c r="IK151" t="e">
        <f>AND('BBP complete'!#REF!,"AAAAAB9XuvQ=")</f>
        <v>#REF!</v>
      </c>
      <c r="IL151" t="e">
        <f>AND('BBP complete'!#REF!,"AAAAAB9XuvU=")</f>
        <v>#REF!</v>
      </c>
      <c r="IM151" t="e">
        <f>AND('BBP complete'!#REF!,"AAAAAB9XuvY=")</f>
        <v>#REF!</v>
      </c>
      <c r="IN151" t="e">
        <f>AND('BBP complete'!#REF!,"AAAAAB9Xuvc=")</f>
        <v>#REF!</v>
      </c>
      <c r="IO151" t="e">
        <f>AND('BBP complete'!#REF!,"AAAAAB9Xuvg=")</f>
        <v>#REF!</v>
      </c>
      <c r="IP151" t="e">
        <f>AND('BBP complete'!#REF!,"AAAAAB9Xuvk=")</f>
        <v>#REF!</v>
      </c>
      <c r="IQ151" t="e">
        <f>AND('BBP complete'!L1753,"AAAAAB9Xuvo=")</f>
        <v>#VALUE!</v>
      </c>
      <c r="IR151" t="e">
        <f>AND('BBP complete'!C1754,"AAAAAB9Xuvs=")</f>
        <v>#VALUE!</v>
      </c>
      <c r="IS151" t="e">
        <f>AND('BBP complete'!N1757,"AAAAAB9Xuvw=")</f>
        <v>#VALUE!</v>
      </c>
      <c r="IT151" t="e">
        <f>AND('BBP complete'!P1773,"AAAAAB9Xuv0=")</f>
        <v>#VALUE!</v>
      </c>
      <c r="IU151" t="e">
        <f>AND('BBP complete'!Q1773,"AAAAAB9Xuv4=")</f>
        <v>#VALUE!</v>
      </c>
      <c r="IV151" t="e">
        <f>AND('BBP complete'!R1773,"AAAAAB9Xuv8=")</f>
        <v>#VALUE!</v>
      </c>
    </row>
    <row r="152" spans="1:256" ht="15" customHeight="1" x14ac:dyDescent="0.25">
      <c r="A152" t="e">
        <f>AND('BBP complete'!S1773,"AAAAAGcTzwA=")</f>
        <v>#VALUE!</v>
      </c>
      <c r="B152" t="e">
        <f>AND('BBP complete'!A1762,"AAAAAGcTzwE=")</f>
        <v>#VALUE!</v>
      </c>
      <c r="C152" t="e">
        <f>AND('BBP complete'!B1758,"AAAAAGcTzwI=")</f>
        <v>#VALUE!</v>
      </c>
      <c r="D152" t="e">
        <f>AND('BBP complete'!H1758,"AAAAAGcTzwM=")</f>
        <v>#VALUE!</v>
      </c>
      <c r="E152" t="e">
        <f>AND('BBP complete'!I1758,"AAAAAGcTzwQ=")</f>
        <v>#VALUE!</v>
      </c>
      <c r="F152" t="e">
        <f>AND('BBP complete'!G1757,"AAAAAGcTzwU=")</f>
        <v>#VALUE!</v>
      </c>
      <c r="G152" t="e">
        <f>AND('BBP complete'!#REF!,"AAAAAGcTzwY=")</f>
        <v>#REF!</v>
      </c>
      <c r="H152" t="e">
        <f>AND('BBP complete'!#REF!,"AAAAAGcTzwc=")</f>
        <v>#REF!</v>
      </c>
      <c r="I152" t="e">
        <f>AND('BBP complete'!#REF!,"AAAAAGcTzwg=")</f>
        <v>#REF!</v>
      </c>
      <c r="J152" t="e">
        <f>AND('BBP complete'!#REF!,"AAAAAGcTzwk=")</f>
        <v>#REF!</v>
      </c>
      <c r="K152" t="e">
        <f>AND('BBP complete'!#REF!,"AAAAAGcTzwo=")</f>
        <v>#REF!</v>
      </c>
      <c r="L152" t="e">
        <f>AND('BBP complete'!#REF!,"AAAAAGcTzws=")</f>
        <v>#REF!</v>
      </c>
      <c r="M152" t="e">
        <f>AND('BBP complete'!L1754,"AAAAAGcTzww=")</f>
        <v>#VALUE!</v>
      </c>
      <c r="N152" t="e">
        <f>AND('BBP complete'!C1755,"AAAAAGcTzw0=")</f>
        <v>#VALUE!</v>
      </c>
      <c r="O152" t="e">
        <f>AND('BBP complete'!N1758,"AAAAAGcTzw4=")</f>
        <v>#VALUE!</v>
      </c>
      <c r="P152" t="e">
        <f>AND('BBP complete'!P1774,"AAAAAGcTzw8=")</f>
        <v>#VALUE!</v>
      </c>
      <c r="Q152" t="e">
        <f>AND('BBP complete'!Q1774,"AAAAAGcTzxA=")</f>
        <v>#VALUE!</v>
      </c>
      <c r="R152" t="e">
        <f>AND('BBP complete'!R1774,"AAAAAGcTzxE=")</f>
        <v>#VALUE!</v>
      </c>
      <c r="S152" t="e">
        <f>AND('BBP complete'!S1774,"AAAAAGcTzxI=")</f>
        <v>#VALUE!</v>
      </c>
      <c r="T152" t="e">
        <f>AND('BBP complete'!A1763,"AAAAAGcTzxM=")</f>
        <v>#VALUE!</v>
      </c>
      <c r="U152" t="e">
        <f>AND('BBP complete'!B1759,"AAAAAGcTzxQ=")</f>
        <v>#VALUE!</v>
      </c>
      <c r="V152" t="e">
        <f>AND('BBP complete'!H1759,"AAAAAGcTzxU=")</f>
        <v>#VALUE!</v>
      </c>
      <c r="W152" t="e">
        <f>AND('BBP complete'!I1759,"AAAAAGcTzxY=")</f>
        <v>#VALUE!</v>
      </c>
      <c r="X152" t="e">
        <f>AND('BBP complete'!G1758,"AAAAAGcTzxc=")</f>
        <v>#VALUE!</v>
      </c>
      <c r="Y152" t="e">
        <f>AND('BBP complete'!#REF!,"AAAAAGcTzxg=")</f>
        <v>#REF!</v>
      </c>
      <c r="Z152" t="e">
        <f>AND('BBP complete'!#REF!,"AAAAAGcTzxk=")</f>
        <v>#REF!</v>
      </c>
      <c r="AA152" t="e">
        <f>AND('BBP complete'!#REF!,"AAAAAGcTzxo=")</f>
        <v>#REF!</v>
      </c>
      <c r="AB152" t="e">
        <f>AND('BBP complete'!#REF!,"AAAAAGcTzxs=")</f>
        <v>#REF!</v>
      </c>
      <c r="AC152" t="e">
        <f>AND('BBP complete'!#REF!,"AAAAAGcTzxw=")</f>
        <v>#REF!</v>
      </c>
      <c r="AD152" t="e">
        <f>AND('BBP complete'!#REF!,"AAAAAGcTzx0=")</f>
        <v>#REF!</v>
      </c>
      <c r="AE152" t="e">
        <f>AND('BBP complete'!L1755,"AAAAAGcTzx4=")</f>
        <v>#VALUE!</v>
      </c>
      <c r="AF152" t="e">
        <f>AND('BBP complete'!C1756,"AAAAAGcTzx8=")</f>
        <v>#VALUE!</v>
      </c>
      <c r="AG152" t="e">
        <f>AND('BBP complete'!N1759,"AAAAAGcTzyA=")</f>
        <v>#VALUE!</v>
      </c>
      <c r="AH152" t="e">
        <f>AND('BBP complete'!P1775,"AAAAAGcTzyE=")</f>
        <v>#VALUE!</v>
      </c>
      <c r="AI152" t="e">
        <f>AND('BBP complete'!Q1775,"AAAAAGcTzyI=")</f>
        <v>#VALUE!</v>
      </c>
      <c r="AJ152" t="e">
        <f>AND('BBP complete'!R1775,"AAAAAGcTzyM=")</f>
        <v>#VALUE!</v>
      </c>
      <c r="AK152" t="e">
        <f>AND('BBP complete'!S1775,"AAAAAGcTzyQ=")</f>
        <v>#VALUE!</v>
      </c>
      <c r="AL152" t="e">
        <f>AND('BBP complete'!A1764,"AAAAAGcTzyU=")</f>
        <v>#VALUE!</v>
      </c>
      <c r="AM152" t="e">
        <f>AND('BBP complete'!B1760,"AAAAAGcTzyY=")</f>
        <v>#VALUE!</v>
      </c>
      <c r="AN152" t="e">
        <f>AND('BBP complete'!H1760,"AAAAAGcTzyc=")</f>
        <v>#VALUE!</v>
      </c>
      <c r="AO152" t="e">
        <f>AND('BBP complete'!I1760,"AAAAAGcTzyg=")</f>
        <v>#VALUE!</v>
      </c>
      <c r="AP152" t="e">
        <f>AND('BBP complete'!G1759,"AAAAAGcTzyk=")</f>
        <v>#VALUE!</v>
      </c>
      <c r="AQ152" t="e">
        <f>AND('BBP complete'!#REF!,"AAAAAGcTzyo=")</f>
        <v>#REF!</v>
      </c>
      <c r="AR152" t="e">
        <f>AND('BBP complete'!#REF!,"AAAAAGcTzys=")</f>
        <v>#REF!</v>
      </c>
      <c r="AS152" t="e">
        <f>AND('BBP complete'!#REF!,"AAAAAGcTzyw=")</f>
        <v>#REF!</v>
      </c>
      <c r="AT152" t="e">
        <f>AND('BBP complete'!#REF!,"AAAAAGcTzy0=")</f>
        <v>#REF!</v>
      </c>
      <c r="AU152" t="e">
        <f>AND('BBP complete'!#REF!,"AAAAAGcTzy4=")</f>
        <v>#REF!</v>
      </c>
      <c r="AV152" t="e">
        <f>AND('BBP complete'!#REF!,"AAAAAGcTzy8=")</f>
        <v>#REF!</v>
      </c>
      <c r="AW152" t="e">
        <f>AND('BBP complete'!L1756,"AAAAAGcTzzA=")</f>
        <v>#VALUE!</v>
      </c>
      <c r="AX152" t="e">
        <f>AND('BBP complete'!C1757,"AAAAAGcTzzE=")</f>
        <v>#VALUE!</v>
      </c>
      <c r="AY152" t="e">
        <f>AND('BBP complete'!N1760,"AAAAAGcTzzI=")</f>
        <v>#VALUE!</v>
      </c>
      <c r="AZ152" t="e">
        <f>AND('BBP complete'!P1776,"AAAAAGcTzzM=")</f>
        <v>#VALUE!</v>
      </c>
      <c r="BA152" t="e">
        <f>AND('BBP complete'!Q1776,"AAAAAGcTzzQ=")</f>
        <v>#VALUE!</v>
      </c>
      <c r="BB152" t="e">
        <f>AND('BBP complete'!R1776,"AAAAAGcTzzU=")</f>
        <v>#VALUE!</v>
      </c>
      <c r="BC152" t="e">
        <f>AND('BBP complete'!S1776,"AAAAAGcTzzY=")</f>
        <v>#VALUE!</v>
      </c>
      <c r="BD152" t="e">
        <f>AND('BBP complete'!A1765,"AAAAAGcTzzc=")</f>
        <v>#VALUE!</v>
      </c>
      <c r="BE152" t="e">
        <f>AND('BBP complete'!B1761,"AAAAAGcTzzg=")</f>
        <v>#VALUE!</v>
      </c>
      <c r="BF152" t="e">
        <f>AND('BBP complete'!H1761,"AAAAAGcTzzk=")</f>
        <v>#VALUE!</v>
      </c>
      <c r="BG152" t="e">
        <f>AND('BBP complete'!I1761,"AAAAAGcTzzo=")</f>
        <v>#VALUE!</v>
      </c>
      <c r="BH152" t="e">
        <f>AND('BBP complete'!G1760,"AAAAAGcTzzs=")</f>
        <v>#VALUE!</v>
      </c>
      <c r="BI152" t="e">
        <f>AND('BBP complete'!#REF!,"AAAAAGcTzzw=")</f>
        <v>#REF!</v>
      </c>
      <c r="BJ152" t="e">
        <f>AND('BBP complete'!#REF!,"AAAAAGcTzz0=")</f>
        <v>#REF!</v>
      </c>
      <c r="BK152" t="e">
        <f>AND('BBP complete'!#REF!,"AAAAAGcTzz4=")</f>
        <v>#REF!</v>
      </c>
      <c r="BL152" t="e">
        <f>AND('BBP complete'!#REF!,"AAAAAGcTzz8=")</f>
        <v>#REF!</v>
      </c>
      <c r="BM152" t="e">
        <f>AND('BBP complete'!#REF!,"AAAAAGcTz0A=")</f>
        <v>#REF!</v>
      </c>
      <c r="BN152" t="e">
        <f>AND('BBP complete'!#REF!,"AAAAAGcTz0E=")</f>
        <v>#REF!</v>
      </c>
      <c r="BO152" t="e">
        <f>AND('BBP complete'!L1757,"AAAAAGcTz0I=")</f>
        <v>#VALUE!</v>
      </c>
      <c r="BP152" t="e">
        <f>AND('BBP complete'!C1758,"AAAAAGcTz0M=")</f>
        <v>#VALUE!</v>
      </c>
      <c r="BQ152" t="e">
        <f>AND('BBP complete'!N1761,"AAAAAGcTz0Q=")</f>
        <v>#VALUE!</v>
      </c>
      <c r="BR152" t="e">
        <f>AND('BBP complete'!P1777,"AAAAAGcTz0U=")</f>
        <v>#VALUE!</v>
      </c>
      <c r="BS152" t="e">
        <f>AND('BBP complete'!Q1777,"AAAAAGcTz0Y=")</f>
        <v>#VALUE!</v>
      </c>
      <c r="BT152" t="e">
        <f>AND('BBP complete'!R1777,"AAAAAGcTz0c=")</f>
        <v>#VALUE!</v>
      </c>
      <c r="BU152" t="e">
        <f>AND('BBP complete'!S1777,"AAAAAGcTz0g=")</f>
        <v>#VALUE!</v>
      </c>
      <c r="BV152" t="e">
        <f>AND('BBP complete'!A1766,"AAAAAGcTz0k=")</f>
        <v>#VALUE!</v>
      </c>
      <c r="BW152" t="e">
        <f>AND('BBP complete'!B1762,"AAAAAGcTz0o=")</f>
        <v>#VALUE!</v>
      </c>
      <c r="BX152" t="e">
        <f>AND('BBP complete'!H1762,"AAAAAGcTz0s=")</f>
        <v>#VALUE!</v>
      </c>
      <c r="BY152" t="e">
        <f>AND('BBP complete'!I1762,"AAAAAGcTz0w=")</f>
        <v>#VALUE!</v>
      </c>
      <c r="BZ152" t="e">
        <f>AND('BBP complete'!G1761,"AAAAAGcTz00=")</f>
        <v>#VALUE!</v>
      </c>
      <c r="CA152" t="e">
        <f>AND('BBP complete'!#REF!,"AAAAAGcTz04=")</f>
        <v>#REF!</v>
      </c>
      <c r="CB152" t="e">
        <f>AND('BBP complete'!#REF!,"AAAAAGcTz08=")</f>
        <v>#REF!</v>
      </c>
      <c r="CC152" t="e">
        <f>AND('BBP complete'!#REF!,"AAAAAGcTz1A=")</f>
        <v>#REF!</v>
      </c>
      <c r="CD152" t="e">
        <f>AND('BBP complete'!#REF!,"AAAAAGcTz1E=")</f>
        <v>#REF!</v>
      </c>
      <c r="CE152" t="e">
        <f>AND('BBP complete'!#REF!,"AAAAAGcTz1I=")</f>
        <v>#REF!</v>
      </c>
      <c r="CF152" t="e">
        <f>AND('BBP complete'!#REF!,"AAAAAGcTz1M=")</f>
        <v>#REF!</v>
      </c>
      <c r="CG152" t="e">
        <f>AND('BBP complete'!L1758,"AAAAAGcTz1Q=")</f>
        <v>#VALUE!</v>
      </c>
      <c r="CH152" t="e">
        <f>AND('BBP complete'!C1759,"AAAAAGcTz1U=")</f>
        <v>#VALUE!</v>
      </c>
      <c r="CI152" t="e">
        <f>AND('BBP complete'!N1762,"AAAAAGcTz1Y=")</f>
        <v>#VALUE!</v>
      </c>
      <c r="CJ152" t="e">
        <f>AND('BBP complete'!P1778,"AAAAAGcTz1c=")</f>
        <v>#VALUE!</v>
      </c>
      <c r="CK152" t="e">
        <f>AND('BBP complete'!Q1778,"AAAAAGcTz1g=")</f>
        <v>#VALUE!</v>
      </c>
      <c r="CL152" t="e">
        <f>AND('BBP complete'!R1778,"AAAAAGcTz1k=")</f>
        <v>#VALUE!</v>
      </c>
      <c r="CM152" t="e">
        <f>AND('BBP complete'!S1778,"AAAAAGcTz1o=")</f>
        <v>#VALUE!</v>
      </c>
      <c r="CN152" t="e">
        <f>AND('BBP complete'!A1767,"AAAAAGcTz1s=")</f>
        <v>#VALUE!</v>
      </c>
      <c r="CO152" t="e">
        <f>AND('BBP complete'!B1763,"AAAAAGcTz1w=")</f>
        <v>#VALUE!</v>
      </c>
      <c r="CP152" t="e">
        <f>AND('BBP complete'!H1763,"AAAAAGcTz10=")</f>
        <v>#VALUE!</v>
      </c>
      <c r="CQ152" t="e">
        <f>AND('BBP complete'!I1763,"AAAAAGcTz14=")</f>
        <v>#VALUE!</v>
      </c>
      <c r="CR152" t="e">
        <f>AND('BBP complete'!G1762,"AAAAAGcTz18=")</f>
        <v>#VALUE!</v>
      </c>
      <c r="CS152" t="e">
        <f>AND('BBP complete'!#REF!,"AAAAAGcTz2A=")</f>
        <v>#REF!</v>
      </c>
      <c r="CT152" t="e">
        <f>AND('BBP complete'!#REF!,"AAAAAGcTz2E=")</f>
        <v>#REF!</v>
      </c>
      <c r="CU152" t="e">
        <f>AND('BBP complete'!#REF!,"AAAAAGcTz2I=")</f>
        <v>#REF!</v>
      </c>
      <c r="CV152" t="e">
        <f>AND('BBP complete'!#REF!,"AAAAAGcTz2M=")</f>
        <v>#REF!</v>
      </c>
      <c r="CW152" t="e">
        <f>AND('BBP complete'!#REF!,"AAAAAGcTz2Q=")</f>
        <v>#REF!</v>
      </c>
      <c r="CX152" t="e">
        <f>AND('BBP complete'!#REF!,"AAAAAGcTz2U=")</f>
        <v>#REF!</v>
      </c>
      <c r="CY152" t="e">
        <f>AND('BBP complete'!L1759,"AAAAAGcTz2Y=")</f>
        <v>#VALUE!</v>
      </c>
      <c r="CZ152" t="e">
        <f>AND('BBP complete'!C1760,"AAAAAGcTz2c=")</f>
        <v>#VALUE!</v>
      </c>
      <c r="DA152" t="e">
        <f>AND('BBP complete'!N1763,"AAAAAGcTz2g=")</f>
        <v>#VALUE!</v>
      </c>
      <c r="DB152" t="e">
        <f>AND('BBP complete'!P1779,"AAAAAGcTz2k=")</f>
        <v>#VALUE!</v>
      </c>
      <c r="DC152" t="e">
        <f>AND('BBP complete'!Q1779,"AAAAAGcTz2o=")</f>
        <v>#VALUE!</v>
      </c>
      <c r="DD152" t="e">
        <f>AND('BBP complete'!R1779,"AAAAAGcTz2s=")</f>
        <v>#VALUE!</v>
      </c>
      <c r="DE152" t="e">
        <f>AND('BBP complete'!S1779,"AAAAAGcTz2w=")</f>
        <v>#VALUE!</v>
      </c>
      <c r="DF152" t="e">
        <f>AND('BBP complete'!A1768,"AAAAAGcTz20=")</f>
        <v>#VALUE!</v>
      </c>
      <c r="DG152" t="e">
        <f>AND('BBP complete'!B1764,"AAAAAGcTz24=")</f>
        <v>#VALUE!</v>
      </c>
      <c r="DH152" t="e">
        <f>AND('BBP complete'!H1764,"AAAAAGcTz28=")</f>
        <v>#VALUE!</v>
      </c>
      <c r="DI152" t="e">
        <f>AND('BBP complete'!I1764,"AAAAAGcTz3A=")</f>
        <v>#VALUE!</v>
      </c>
      <c r="DJ152" t="e">
        <f>AND('BBP complete'!G1763,"AAAAAGcTz3E=")</f>
        <v>#VALUE!</v>
      </c>
      <c r="DK152" t="e">
        <f>AND('BBP complete'!#REF!,"AAAAAGcTz3I=")</f>
        <v>#REF!</v>
      </c>
      <c r="DL152" t="e">
        <f>AND('BBP complete'!#REF!,"AAAAAGcTz3M=")</f>
        <v>#REF!</v>
      </c>
      <c r="DM152" t="e">
        <f>AND('BBP complete'!#REF!,"AAAAAGcTz3Q=")</f>
        <v>#REF!</v>
      </c>
      <c r="DN152" t="e">
        <f>AND('BBP complete'!#REF!,"AAAAAGcTz3U=")</f>
        <v>#REF!</v>
      </c>
      <c r="DO152" t="e">
        <f>AND('BBP complete'!#REF!,"AAAAAGcTz3Y=")</f>
        <v>#REF!</v>
      </c>
      <c r="DP152" t="e">
        <f>AND('BBP complete'!#REF!,"AAAAAGcTz3c=")</f>
        <v>#REF!</v>
      </c>
      <c r="DQ152" t="e">
        <f>AND('BBP complete'!L1760,"AAAAAGcTz3g=")</f>
        <v>#VALUE!</v>
      </c>
      <c r="DR152" t="e">
        <f>AND('BBP complete'!C1761,"AAAAAGcTz3k=")</f>
        <v>#VALUE!</v>
      </c>
      <c r="DS152" t="e">
        <f>AND('BBP complete'!N1764,"AAAAAGcTz3o=")</f>
        <v>#VALUE!</v>
      </c>
      <c r="DT152" t="e">
        <f>AND('BBP complete'!P1780,"AAAAAGcTz3s=")</f>
        <v>#VALUE!</v>
      </c>
      <c r="DU152" t="e">
        <f>AND('BBP complete'!Q1780,"AAAAAGcTz3w=")</f>
        <v>#VALUE!</v>
      </c>
      <c r="DV152" t="e">
        <f>AND('BBP complete'!R1780,"AAAAAGcTz30=")</f>
        <v>#VALUE!</v>
      </c>
      <c r="DW152" t="e">
        <f>AND('BBP complete'!S1780,"AAAAAGcTz34=")</f>
        <v>#VALUE!</v>
      </c>
      <c r="DX152" t="e">
        <f>AND('BBP complete'!A1769,"AAAAAGcTz38=")</f>
        <v>#VALUE!</v>
      </c>
      <c r="DY152" t="e">
        <f>AND('BBP complete'!B1765,"AAAAAGcTz4A=")</f>
        <v>#VALUE!</v>
      </c>
      <c r="DZ152" t="e">
        <f>AND('BBP complete'!H1765,"AAAAAGcTz4E=")</f>
        <v>#VALUE!</v>
      </c>
      <c r="EA152" t="e">
        <f>AND('BBP complete'!I1765,"AAAAAGcTz4I=")</f>
        <v>#VALUE!</v>
      </c>
      <c r="EB152" t="e">
        <f>AND('BBP complete'!G1764,"AAAAAGcTz4M=")</f>
        <v>#VALUE!</v>
      </c>
      <c r="EC152" t="e">
        <f>AND('BBP complete'!#REF!,"AAAAAGcTz4Q=")</f>
        <v>#REF!</v>
      </c>
      <c r="ED152" t="e">
        <f>AND('BBP complete'!#REF!,"AAAAAGcTz4U=")</f>
        <v>#REF!</v>
      </c>
      <c r="EE152" t="e">
        <f>AND('BBP complete'!#REF!,"AAAAAGcTz4Y=")</f>
        <v>#REF!</v>
      </c>
      <c r="EF152" t="e">
        <f>AND('BBP complete'!#REF!,"AAAAAGcTz4c=")</f>
        <v>#REF!</v>
      </c>
      <c r="EG152" t="e">
        <f>AND('BBP complete'!#REF!,"AAAAAGcTz4g=")</f>
        <v>#REF!</v>
      </c>
      <c r="EH152" t="e">
        <f>AND('BBP complete'!#REF!,"AAAAAGcTz4k=")</f>
        <v>#REF!</v>
      </c>
      <c r="EI152" t="e">
        <f>AND('BBP complete'!L1761,"AAAAAGcTz4o=")</f>
        <v>#VALUE!</v>
      </c>
      <c r="EJ152" t="e">
        <f>AND('BBP complete'!C1762,"AAAAAGcTz4s=")</f>
        <v>#VALUE!</v>
      </c>
      <c r="EK152" t="e">
        <f>AND('BBP complete'!N1765,"AAAAAGcTz4w=")</f>
        <v>#VALUE!</v>
      </c>
      <c r="EL152" t="e">
        <f>AND('BBP complete'!P1781,"AAAAAGcTz40=")</f>
        <v>#VALUE!</v>
      </c>
      <c r="EM152" t="e">
        <f>AND('BBP complete'!Q1781,"AAAAAGcTz44=")</f>
        <v>#VALUE!</v>
      </c>
      <c r="EN152" t="e">
        <f>AND('BBP complete'!R1781,"AAAAAGcTz48=")</f>
        <v>#VALUE!</v>
      </c>
      <c r="EO152" t="e">
        <f>AND('BBP complete'!S1781,"AAAAAGcTz5A=")</f>
        <v>#VALUE!</v>
      </c>
      <c r="EP152" t="e">
        <f>AND('BBP complete'!A1770,"AAAAAGcTz5E=")</f>
        <v>#VALUE!</v>
      </c>
      <c r="EQ152" t="e">
        <f>AND('BBP complete'!B1766,"AAAAAGcTz5I=")</f>
        <v>#VALUE!</v>
      </c>
      <c r="ER152" t="e">
        <f>AND('BBP complete'!H1766,"AAAAAGcTz5M=")</f>
        <v>#VALUE!</v>
      </c>
      <c r="ES152" t="e">
        <f>AND('BBP complete'!I1766,"AAAAAGcTz5Q=")</f>
        <v>#VALUE!</v>
      </c>
      <c r="ET152" t="e">
        <f>AND('BBP complete'!G1765,"AAAAAGcTz5U=")</f>
        <v>#VALUE!</v>
      </c>
      <c r="EU152" t="e">
        <f>AND('BBP complete'!#REF!,"AAAAAGcTz5Y=")</f>
        <v>#REF!</v>
      </c>
      <c r="EV152" t="e">
        <f>AND('BBP complete'!#REF!,"AAAAAGcTz5c=")</f>
        <v>#REF!</v>
      </c>
      <c r="EW152" t="e">
        <f>AND('BBP complete'!#REF!,"AAAAAGcTz5g=")</f>
        <v>#REF!</v>
      </c>
      <c r="EX152" t="e">
        <f>AND('BBP complete'!#REF!,"AAAAAGcTz5k=")</f>
        <v>#REF!</v>
      </c>
      <c r="EY152" t="e">
        <f>AND('BBP complete'!#REF!,"AAAAAGcTz5o=")</f>
        <v>#REF!</v>
      </c>
      <c r="EZ152" t="e">
        <f>AND('BBP complete'!#REF!,"AAAAAGcTz5s=")</f>
        <v>#REF!</v>
      </c>
      <c r="FA152" t="e">
        <f>AND('BBP complete'!L1762,"AAAAAGcTz5w=")</f>
        <v>#VALUE!</v>
      </c>
      <c r="FB152" t="e">
        <f>AND('BBP complete'!C1763,"AAAAAGcTz50=")</f>
        <v>#VALUE!</v>
      </c>
      <c r="FC152" t="e">
        <f>AND('BBP complete'!N1766,"AAAAAGcTz54=")</f>
        <v>#VALUE!</v>
      </c>
      <c r="FD152" t="e">
        <f>AND('BBP complete'!P1782,"AAAAAGcTz58=")</f>
        <v>#VALUE!</v>
      </c>
      <c r="FE152" t="e">
        <f>AND('BBP complete'!Q1782,"AAAAAGcTz6A=")</f>
        <v>#VALUE!</v>
      </c>
      <c r="FF152" t="e">
        <f>AND('BBP complete'!R1782,"AAAAAGcTz6E=")</f>
        <v>#VALUE!</v>
      </c>
      <c r="FG152" t="e">
        <f>AND('BBP complete'!S1782,"AAAAAGcTz6I=")</f>
        <v>#VALUE!</v>
      </c>
      <c r="FH152" t="e">
        <f>AND('BBP complete'!A1771,"AAAAAGcTz6M=")</f>
        <v>#VALUE!</v>
      </c>
      <c r="FI152" t="e">
        <f>AND('BBP complete'!B1767,"AAAAAGcTz6Q=")</f>
        <v>#VALUE!</v>
      </c>
      <c r="FJ152" t="e">
        <f>AND('BBP complete'!H1767,"AAAAAGcTz6U=")</f>
        <v>#VALUE!</v>
      </c>
      <c r="FK152" t="e">
        <f>AND('BBP complete'!I1767,"AAAAAGcTz6Y=")</f>
        <v>#VALUE!</v>
      </c>
      <c r="FL152" t="e">
        <f>AND('BBP complete'!G1766,"AAAAAGcTz6c=")</f>
        <v>#VALUE!</v>
      </c>
      <c r="FM152" t="e">
        <f>AND('BBP complete'!#REF!,"AAAAAGcTz6g=")</f>
        <v>#REF!</v>
      </c>
      <c r="FN152" t="e">
        <f>AND('BBP complete'!#REF!,"AAAAAGcTz6k=")</f>
        <v>#REF!</v>
      </c>
      <c r="FO152" t="e">
        <f>AND('BBP complete'!#REF!,"AAAAAGcTz6o=")</f>
        <v>#REF!</v>
      </c>
      <c r="FP152" t="e">
        <f>AND('BBP complete'!#REF!,"AAAAAGcTz6s=")</f>
        <v>#REF!</v>
      </c>
      <c r="FQ152" t="e">
        <f>AND('BBP complete'!#REF!,"AAAAAGcTz6w=")</f>
        <v>#REF!</v>
      </c>
      <c r="FR152" t="e">
        <f>AND('BBP complete'!#REF!,"AAAAAGcTz60=")</f>
        <v>#REF!</v>
      </c>
      <c r="FS152" t="e">
        <f>AND('BBP complete'!L1763,"AAAAAGcTz64=")</f>
        <v>#VALUE!</v>
      </c>
      <c r="FT152" t="e">
        <f>AND('BBP complete'!C1764,"AAAAAGcTz68=")</f>
        <v>#VALUE!</v>
      </c>
      <c r="FU152" t="e">
        <f>AND('BBP complete'!N1767,"AAAAAGcTz7A=")</f>
        <v>#VALUE!</v>
      </c>
      <c r="FV152" t="e">
        <f>AND('BBP complete'!P1783,"AAAAAGcTz7E=")</f>
        <v>#VALUE!</v>
      </c>
      <c r="FW152" t="e">
        <f>AND('BBP complete'!Q1783,"AAAAAGcTz7I=")</f>
        <v>#VALUE!</v>
      </c>
      <c r="FX152" t="e">
        <f>AND('BBP complete'!R1783,"AAAAAGcTz7M=")</f>
        <v>#VALUE!</v>
      </c>
      <c r="FY152" t="e">
        <f>AND('BBP complete'!S1783,"AAAAAGcTz7Q=")</f>
        <v>#VALUE!</v>
      </c>
      <c r="FZ152" t="e">
        <f>AND('BBP complete'!A1772,"AAAAAGcTz7U=")</f>
        <v>#VALUE!</v>
      </c>
      <c r="GA152" t="e">
        <f>AND('BBP complete'!B1768,"AAAAAGcTz7Y=")</f>
        <v>#VALUE!</v>
      </c>
      <c r="GB152" t="e">
        <f>AND('BBP complete'!H1768,"AAAAAGcTz7c=")</f>
        <v>#VALUE!</v>
      </c>
      <c r="GC152" t="e">
        <f>AND('BBP complete'!I1768,"AAAAAGcTz7g=")</f>
        <v>#VALUE!</v>
      </c>
      <c r="GD152" t="e">
        <f>AND('BBP complete'!G1767,"AAAAAGcTz7k=")</f>
        <v>#VALUE!</v>
      </c>
      <c r="GE152" t="e">
        <f>AND('BBP complete'!#REF!,"AAAAAGcTz7o=")</f>
        <v>#REF!</v>
      </c>
      <c r="GF152" t="e">
        <f>AND('BBP complete'!#REF!,"AAAAAGcTz7s=")</f>
        <v>#REF!</v>
      </c>
      <c r="GG152" t="e">
        <f>AND('BBP complete'!#REF!,"AAAAAGcTz7w=")</f>
        <v>#REF!</v>
      </c>
      <c r="GH152" t="e">
        <f>AND('BBP complete'!#REF!,"AAAAAGcTz70=")</f>
        <v>#REF!</v>
      </c>
      <c r="GI152" t="e">
        <f>AND('BBP complete'!#REF!,"AAAAAGcTz74=")</f>
        <v>#REF!</v>
      </c>
      <c r="GJ152" t="e">
        <f>AND('BBP complete'!#REF!,"AAAAAGcTz78=")</f>
        <v>#REF!</v>
      </c>
      <c r="GK152" t="e">
        <f>AND('BBP complete'!L1764,"AAAAAGcTz8A=")</f>
        <v>#VALUE!</v>
      </c>
      <c r="GL152" t="e">
        <f>AND('BBP complete'!C1765,"AAAAAGcTz8E=")</f>
        <v>#VALUE!</v>
      </c>
      <c r="GM152" t="e">
        <f>AND('BBP complete'!N1768,"AAAAAGcTz8I=")</f>
        <v>#VALUE!</v>
      </c>
      <c r="GN152" t="e">
        <f>AND('BBP complete'!P1784,"AAAAAGcTz8M=")</f>
        <v>#VALUE!</v>
      </c>
      <c r="GO152" t="e">
        <f>AND('BBP complete'!Q1784,"AAAAAGcTz8Q=")</f>
        <v>#VALUE!</v>
      </c>
      <c r="GP152" t="e">
        <f>AND('BBP complete'!R1784,"AAAAAGcTz8U=")</f>
        <v>#VALUE!</v>
      </c>
      <c r="GQ152" t="e">
        <f>AND('BBP complete'!S1784,"AAAAAGcTz8Y=")</f>
        <v>#VALUE!</v>
      </c>
      <c r="GR152" t="e">
        <f>AND('BBP complete'!A1773,"AAAAAGcTz8c=")</f>
        <v>#VALUE!</v>
      </c>
      <c r="GS152" t="e">
        <f>AND('BBP complete'!B1769,"AAAAAGcTz8g=")</f>
        <v>#VALUE!</v>
      </c>
      <c r="GT152" t="e">
        <f>AND('BBP complete'!H1769,"AAAAAGcTz8k=")</f>
        <v>#VALUE!</v>
      </c>
      <c r="GU152" t="e">
        <f>AND('BBP complete'!I1769,"AAAAAGcTz8o=")</f>
        <v>#VALUE!</v>
      </c>
      <c r="GV152" t="e">
        <f>AND('BBP complete'!G1768,"AAAAAGcTz8s=")</f>
        <v>#VALUE!</v>
      </c>
      <c r="GW152" t="e">
        <f>AND('BBP complete'!#REF!,"AAAAAGcTz8w=")</f>
        <v>#REF!</v>
      </c>
      <c r="GX152" t="e">
        <f>AND('BBP complete'!#REF!,"AAAAAGcTz80=")</f>
        <v>#REF!</v>
      </c>
      <c r="GY152" t="e">
        <f>AND('BBP complete'!#REF!,"AAAAAGcTz84=")</f>
        <v>#REF!</v>
      </c>
      <c r="GZ152" t="e">
        <f>AND('BBP complete'!#REF!,"AAAAAGcTz88=")</f>
        <v>#REF!</v>
      </c>
      <c r="HA152" t="e">
        <f>AND('BBP complete'!#REF!,"AAAAAGcTz9A=")</f>
        <v>#REF!</v>
      </c>
      <c r="HB152" t="e">
        <f>AND('BBP complete'!#REF!,"AAAAAGcTz9E=")</f>
        <v>#REF!</v>
      </c>
      <c r="HC152" t="e">
        <f>AND('BBP complete'!L1765,"AAAAAGcTz9I=")</f>
        <v>#VALUE!</v>
      </c>
      <c r="HD152" t="e">
        <f>AND('BBP complete'!C1766,"AAAAAGcTz9M=")</f>
        <v>#VALUE!</v>
      </c>
      <c r="HE152" t="e">
        <f>AND('BBP complete'!N1769,"AAAAAGcTz9Q=")</f>
        <v>#VALUE!</v>
      </c>
      <c r="HF152" t="e">
        <f>AND('BBP complete'!P1785,"AAAAAGcTz9U=")</f>
        <v>#VALUE!</v>
      </c>
      <c r="HG152" t="e">
        <f>AND('BBP complete'!Q1785,"AAAAAGcTz9Y=")</f>
        <v>#VALUE!</v>
      </c>
      <c r="HH152" t="e">
        <f>AND('BBP complete'!R1785,"AAAAAGcTz9c=")</f>
        <v>#VALUE!</v>
      </c>
      <c r="HI152" t="e">
        <f>AND('BBP complete'!S1785,"AAAAAGcTz9g=")</f>
        <v>#VALUE!</v>
      </c>
      <c r="HJ152" t="e">
        <f>AND('BBP complete'!A1774,"AAAAAGcTz9k=")</f>
        <v>#VALUE!</v>
      </c>
      <c r="HK152" t="e">
        <f>AND('BBP complete'!B1770,"AAAAAGcTz9o=")</f>
        <v>#VALUE!</v>
      </c>
      <c r="HL152" t="e">
        <f>AND('BBP complete'!H1770,"AAAAAGcTz9s=")</f>
        <v>#VALUE!</v>
      </c>
      <c r="HM152" t="e">
        <f>AND('BBP complete'!I1770,"AAAAAGcTz9w=")</f>
        <v>#VALUE!</v>
      </c>
      <c r="HN152" t="e">
        <f>AND('BBP complete'!G1769,"AAAAAGcTz90=")</f>
        <v>#VALUE!</v>
      </c>
      <c r="HO152" t="e">
        <f>AND('BBP complete'!#REF!,"AAAAAGcTz94=")</f>
        <v>#REF!</v>
      </c>
      <c r="HP152" t="e">
        <f>AND('BBP complete'!#REF!,"AAAAAGcTz98=")</f>
        <v>#REF!</v>
      </c>
      <c r="HQ152" t="e">
        <f>AND('BBP complete'!#REF!,"AAAAAGcTz+A=")</f>
        <v>#REF!</v>
      </c>
      <c r="HR152" t="e">
        <f>AND('BBP complete'!#REF!,"AAAAAGcTz+E=")</f>
        <v>#REF!</v>
      </c>
      <c r="HS152" t="e">
        <f>AND('BBP complete'!#REF!,"AAAAAGcTz+I=")</f>
        <v>#REF!</v>
      </c>
      <c r="HT152" t="e">
        <f>AND('BBP complete'!#REF!,"AAAAAGcTz+M=")</f>
        <v>#REF!</v>
      </c>
      <c r="HU152" t="e">
        <f>AND('BBP complete'!L1766,"AAAAAGcTz+Q=")</f>
        <v>#VALUE!</v>
      </c>
      <c r="HV152" t="e">
        <f>AND('BBP complete'!C1767,"AAAAAGcTz+U=")</f>
        <v>#VALUE!</v>
      </c>
      <c r="HW152" t="e">
        <f>AND('BBP complete'!N1770,"AAAAAGcTz+Y=")</f>
        <v>#VALUE!</v>
      </c>
      <c r="HX152" t="e">
        <f>AND('BBP complete'!P1786,"AAAAAGcTz+c=")</f>
        <v>#VALUE!</v>
      </c>
      <c r="HY152" t="e">
        <f>AND('BBP complete'!Q1786,"AAAAAGcTz+g=")</f>
        <v>#VALUE!</v>
      </c>
      <c r="HZ152" t="e">
        <f>AND('BBP complete'!R1786,"AAAAAGcTz+k=")</f>
        <v>#VALUE!</v>
      </c>
      <c r="IA152" t="e">
        <f>AND('BBP complete'!S1786,"AAAAAGcTz+o=")</f>
        <v>#VALUE!</v>
      </c>
      <c r="IB152" t="e">
        <f>AND('BBP complete'!A1775,"AAAAAGcTz+s=")</f>
        <v>#VALUE!</v>
      </c>
      <c r="IC152" t="e">
        <f>AND('BBP complete'!B1771,"AAAAAGcTz+w=")</f>
        <v>#VALUE!</v>
      </c>
      <c r="ID152" t="e">
        <f>AND('BBP complete'!H1771,"AAAAAGcTz+0=")</f>
        <v>#VALUE!</v>
      </c>
      <c r="IE152" t="e">
        <f>AND('BBP complete'!I1771,"AAAAAGcTz+4=")</f>
        <v>#VALUE!</v>
      </c>
      <c r="IF152" t="e">
        <f>AND('BBP complete'!G1770,"AAAAAGcTz+8=")</f>
        <v>#VALUE!</v>
      </c>
      <c r="IG152" t="e">
        <f>AND('BBP complete'!#REF!,"AAAAAGcTz/A=")</f>
        <v>#REF!</v>
      </c>
      <c r="IH152" t="e">
        <f>AND('BBP complete'!#REF!,"AAAAAGcTz/E=")</f>
        <v>#REF!</v>
      </c>
      <c r="II152" t="e">
        <f>AND('BBP complete'!#REF!,"AAAAAGcTz/I=")</f>
        <v>#REF!</v>
      </c>
      <c r="IJ152" t="e">
        <f>AND('BBP complete'!#REF!,"AAAAAGcTz/M=")</f>
        <v>#REF!</v>
      </c>
      <c r="IK152" t="e">
        <f>AND('BBP complete'!#REF!,"AAAAAGcTz/Q=")</f>
        <v>#REF!</v>
      </c>
      <c r="IL152" t="e">
        <f>AND('BBP complete'!#REF!,"AAAAAGcTz/U=")</f>
        <v>#REF!</v>
      </c>
      <c r="IM152" t="e">
        <f>AND('BBP complete'!L1767,"AAAAAGcTz/Y=")</f>
        <v>#VALUE!</v>
      </c>
      <c r="IN152" t="e">
        <f>AND('BBP complete'!C1768,"AAAAAGcTz/c=")</f>
        <v>#VALUE!</v>
      </c>
      <c r="IO152" t="e">
        <f>AND('BBP complete'!N1771,"AAAAAGcTz/g=")</f>
        <v>#VALUE!</v>
      </c>
      <c r="IP152" t="e">
        <f>AND('BBP complete'!P1787,"AAAAAGcTz/k=")</f>
        <v>#VALUE!</v>
      </c>
      <c r="IQ152" t="e">
        <f>AND('BBP complete'!Q1787,"AAAAAGcTz/o=")</f>
        <v>#VALUE!</v>
      </c>
      <c r="IR152" t="e">
        <f>AND('BBP complete'!R1787,"AAAAAGcTz/s=")</f>
        <v>#VALUE!</v>
      </c>
      <c r="IS152" t="e">
        <f>AND('BBP complete'!S1787,"AAAAAGcTz/w=")</f>
        <v>#VALUE!</v>
      </c>
      <c r="IT152" t="e">
        <f>AND('BBP complete'!A1776,"AAAAAGcTz/0=")</f>
        <v>#VALUE!</v>
      </c>
      <c r="IU152" t="e">
        <f>AND('BBP complete'!B1772,"AAAAAGcTz/4=")</f>
        <v>#VALUE!</v>
      </c>
      <c r="IV152" t="e">
        <f>AND('BBP complete'!H1772,"AAAAAGcTz/8=")</f>
        <v>#VALUE!</v>
      </c>
    </row>
    <row r="153" spans="1:256" ht="15" customHeight="1" x14ac:dyDescent="0.25">
      <c r="A153" t="e">
        <f>AND('BBP complete'!I1772,"AAAAAD9s6QA=")</f>
        <v>#VALUE!</v>
      </c>
      <c r="B153" t="e">
        <f>AND('BBP complete'!G1771,"AAAAAD9s6QE=")</f>
        <v>#VALUE!</v>
      </c>
      <c r="C153" t="e">
        <f>AND('BBP complete'!#REF!,"AAAAAD9s6QI=")</f>
        <v>#REF!</v>
      </c>
      <c r="D153" t="e">
        <f>AND('BBP complete'!#REF!,"AAAAAD9s6QM=")</f>
        <v>#REF!</v>
      </c>
      <c r="E153" t="e">
        <f>AND('BBP complete'!#REF!,"AAAAAD9s6QQ=")</f>
        <v>#REF!</v>
      </c>
      <c r="F153" t="e">
        <f>AND('BBP complete'!#REF!,"AAAAAD9s6QU=")</f>
        <v>#REF!</v>
      </c>
      <c r="G153" t="e">
        <f>AND('BBP complete'!#REF!,"AAAAAD9s6QY=")</f>
        <v>#REF!</v>
      </c>
      <c r="H153" t="e">
        <f>AND('BBP complete'!#REF!,"AAAAAD9s6Qc=")</f>
        <v>#REF!</v>
      </c>
      <c r="I153" t="e">
        <f>AND('BBP complete'!L1768,"AAAAAD9s6Qg=")</f>
        <v>#VALUE!</v>
      </c>
      <c r="J153" t="e">
        <f>AND('BBP complete'!C1769,"AAAAAD9s6Qk=")</f>
        <v>#VALUE!</v>
      </c>
      <c r="K153" t="e">
        <f>AND('BBP complete'!N1772,"AAAAAD9s6Qo=")</f>
        <v>#VALUE!</v>
      </c>
      <c r="L153" t="e">
        <f>AND('BBP complete'!P1788,"AAAAAD9s6Qs=")</f>
        <v>#VALUE!</v>
      </c>
      <c r="M153" t="e">
        <f>AND('BBP complete'!Q1788,"AAAAAD9s6Qw=")</f>
        <v>#VALUE!</v>
      </c>
      <c r="N153" t="e">
        <f>AND('BBP complete'!R1788,"AAAAAD9s6Q0=")</f>
        <v>#VALUE!</v>
      </c>
      <c r="O153" t="e">
        <f>AND('BBP complete'!S1788,"AAAAAD9s6Q4=")</f>
        <v>#VALUE!</v>
      </c>
      <c r="P153" t="e">
        <f>AND('BBP complete'!A1777,"AAAAAD9s6Q8=")</f>
        <v>#VALUE!</v>
      </c>
      <c r="Q153" t="e">
        <f>AND('BBP complete'!B1773,"AAAAAD9s6RA=")</f>
        <v>#VALUE!</v>
      </c>
      <c r="R153" t="e">
        <f>AND('BBP complete'!H1773,"AAAAAD9s6RE=")</f>
        <v>#VALUE!</v>
      </c>
      <c r="S153" t="e">
        <f>AND('BBP complete'!I1773,"AAAAAD9s6RI=")</f>
        <v>#VALUE!</v>
      </c>
      <c r="T153" t="e">
        <f>AND('BBP complete'!G1772,"AAAAAD9s6RM=")</f>
        <v>#VALUE!</v>
      </c>
      <c r="U153" t="e">
        <f>AND('BBP complete'!#REF!,"AAAAAD9s6RQ=")</f>
        <v>#REF!</v>
      </c>
      <c r="V153" t="e">
        <f>AND('BBP complete'!#REF!,"AAAAAD9s6RU=")</f>
        <v>#REF!</v>
      </c>
      <c r="W153" t="e">
        <f>AND('BBP complete'!#REF!,"AAAAAD9s6RY=")</f>
        <v>#REF!</v>
      </c>
      <c r="X153" t="e">
        <f>AND('BBP complete'!#REF!,"AAAAAD9s6Rc=")</f>
        <v>#REF!</v>
      </c>
      <c r="Y153" t="e">
        <f>AND('BBP complete'!#REF!,"AAAAAD9s6Rg=")</f>
        <v>#REF!</v>
      </c>
      <c r="Z153" t="e">
        <f>AND('BBP complete'!#REF!,"AAAAAD9s6Rk=")</f>
        <v>#REF!</v>
      </c>
      <c r="AA153" t="e">
        <f>AND('BBP complete'!L1769,"AAAAAD9s6Ro=")</f>
        <v>#VALUE!</v>
      </c>
      <c r="AB153" t="e">
        <f>AND('BBP complete'!C1770,"AAAAAD9s6Rs=")</f>
        <v>#VALUE!</v>
      </c>
      <c r="AC153" t="e">
        <f>AND('BBP complete'!N1773,"AAAAAD9s6Rw=")</f>
        <v>#VALUE!</v>
      </c>
      <c r="AD153" t="e">
        <f>AND('BBP complete'!P1789,"AAAAAD9s6R0=")</f>
        <v>#VALUE!</v>
      </c>
      <c r="AE153" t="e">
        <f>AND('BBP complete'!Q1789,"AAAAAD9s6R4=")</f>
        <v>#VALUE!</v>
      </c>
      <c r="AF153" t="e">
        <f>AND('BBP complete'!R1789,"AAAAAD9s6R8=")</f>
        <v>#VALUE!</v>
      </c>
      <c r="AG153" t="e">
        <f>AND('BBP complete'!S1789,"AAAAAD9s6SA=")</f>
        <v>#VALUE!</v>
      </c>
      <c r="AH153" t="e">
        <f>AND('BBP complete'!A1778,"AAAAAD9s6SE=")</f>
        <v>#VALUE!</v>
      </c>
      <c r="AI153" t="e">
        <f>AND('BBP complete'!B1774,"AAAAAD9s6SI=")</f>
        <v>#VALUE!</v>
      </c>
      <c r="AJ153" t="e">
        <f>AND('BBP complete'!H1774,"AAAAAD9s6SM=")</f>
        <v>#VALUE!</v>
      </c>
      <c r="AK153" t="e">
        <f>AND('BBP complete'!I1774,"AAAAAD9s6SQ=")</f>
        <v>#VALUE!</v>
      </c>
      <c r="AL153" t="e">
        <f>AND('BBP complete'!G1773,"AAAAAD9s6SU=")</f>
        <v>#VALUE!</v>
      </c>
      <c r="AM153" t="e">
        <f>AND('BBP complete'!#REF!,"AAAAAD9s6SY=")</f>
        <v>#REF!</v>
      </c>
      <c r="AN153" t="e">
        <f>AND('BBP complete'!#REF!,"AAAAAD9s6Sc=")</f>
        <v>#REF!</v>
      </c>
      <c r="AO153" t="e">
        <f>AND('BBP complete'!#REF!,"AAAAAD9s6Sg=")</f>
        <v>#REF!</v>
      </c>
      <c r="AP153" t="e">
        <f>AND('BBP complete'!#REF!,"AAAAAD9s6Sk=")</f>
        <v>#REF!</v>
      </c>
      <c r="AQ153" t="e">
        <f>AND('BBP complete'!#REF!,"AAAAAD9s6So=")</f>
        <v>#REF!</v>
      </c>
      <c r="AR153" t="e">
        <f>AND('BBP complete'!#REF!,"AAAAAD9s6Ss=")</f>
        <v>#REF!</v>
      </c>
      <c r="AS153" t="e">
        <f>AND('BBP complete'!L1770,"AAAAAD9s6Sw=")</f>
        <v>#VALUE!</v>
      </c>
      <c r="AT153" t="e">
        <f>AND('BBP complete'!C1771,"AAAAAD9s6S0=")</f>
        <v>#VALUE!</v>
      </c>
      <c r="AU153" t="e">
        <f>AND('BBP complete'!N1774,"AAAAAD9s6S4=")</f>
        <v>#VALUE!</v>
      </c>
      <c r="AV153" t="e">
        <f>AND('BBP complete'!P1790,"AAAAAD9s6S8=")</f>
        <v>#VALUE!</v>
      </c>
      <c r="AW153" t="e">
        <f>AND('BBP complete'!Q1790,"AAAAAD9s6TA=")</f>
        <v>#VALUE!</v>
      </c>
      <c r="AX153" t="e">
        <f>AND('BBP complete'!R1790,"AAAAAD9s6TE=")</f>
        <v>#VALUE!</v>
      </c>
      <c r="AY153" t="e">
        <f>AND('BBP complete'!S1790,"AAAAAD9s6TI=")</f>
        <v>#VALUE!</v>
      </c>
      <c r="AZ153" t="e">
        <f>AND('BBP complete'!A1779,"AAAAAD9s6TM=")</f>
        <v>#VALUE!</v>
      </c>
      <c r="BA153" t="e">
        <f>AND('BBP complete'!B1775,"AAAAAD9s6TQ=")</f>
        <v>#VALUE!</v>
      </c>
      <c r="BB153" t="e">
        <f>AND('BBP complete'!H1775,"AAAAAD9s6TU=")</f>
        <v>#VALUE!</v>
      </c>
      <c r="BC153" t="e">
        <f>AND('BBP complete'!I1775,"AAAAAD9s6TY=")</f>
        <v>#VALUE!</v>
      </c>
      <c r="BD153" t="e">
        <f>AND('BBP complete'!G1774,"AAAAAD9s6Tc=")</f>
        <v>#VALUE!</v>
      </c>
      <c r="BE153" t="e">
        <f>AND('BBP complete'!#REF!,"AAAAAD9s6Tg=")</f>
        <v>#REF!</v>
      </c>
      <c r="BF153" t="e">
        <f>AND('BBP complete'!#REF!,"AAAAAD9s6Tk=")</f>
        <v>#REF!</v>
      </c>
      <c r="BG153" t="e">
        <f>AND('BBP complete'!#REF!,"AAAAAD9s6To=")</f>
        <v>#REF!</v>
      </c>
      <c r="BH153" t="e">
        <f>AND('BBP complete'!#REF!,"AAAAAD9s6Ts=")</f>
        <v>#REF!</v>
      </c>
      <c r="BI153" t="e">
        <f>AND('BBP complete'!#REF!,"AAAAAD9s6Tw=")</f>
        <v>#REF!</v>
      </c>
      <c r="BJ153" t="e">
        <f>AND('BBP complete'!#REF!,"AAAAAD9s6T0=")</f>
        <v>#REF!</v>
      </c>
      <c r="BK153" t="e">
        <f>AND('BBP complete'!L1771,"AAAAAD9s6T4=")</f>
        <v>#VALUE!</v>
      </c>
      <c r="BL153" t="e">
        <f>AND('BBP complete'!C1772,"AAAAAD9s6T8=")</f>
        <v>#VALUE!</v>
      </c>
      <c r="BM153" t="e">
        <f>AND('BBP complete'!N1775,"AAAAAD9s6UA=")</f>
        <v>#VALUE!</v>
      </c>
      <c r="BN153" t="e">
        <f>AND('BBP complete'!P1791,"AAAAAD9s6UE=")</f>
        <v>#VALUE!</v>
      </c>
      <c r="BO153" t="e">
        <f>AND('BBP complete'!Q1791,"AAAAAD9s6UI=")</f>
        <v>#VALUE!</v>
      </c>
      <c r="BP153" t="e">
        <f>AND('BBP complete'!R1791,"AAAAAD9s6UM=")</f>
        <v>#VALUE!</v>
      </c>
      <c r="BQ153" t="e">
        <f>AND('BBP complete'!S1791,"AAAAAD9s6UQ=")</f>
        <v>#VALUE!</v>
      </c>
      <c r="BR153" t="e">
        <f>AND('BBP complete'!A1780,"AAAAAD9s6UU=")</f>
        <v>#VALUE!</v>
      </c>
      <c r="BS153" t="e">
        <f>AND('BBP complete'!B1776,"AAAAAD9s6UY=")</f>
        <v>#VALUE!</v>
      </c>
      <c r="BT153" t="e">
        <f>AND('BBP complete'!H1776,"AAAAAD9s6Uc=")</f>
        <v>#VALUE!</v>
      </c>
      <c r="BU153" t="e">
        <f>AND('BBP complete'!I1776,"AAAAAD9s6Ug=")</f>
        <v>#VALUE!</v>
      </c>
      <c r="BV153" t="e">
        <f>AND('BBP complete'!G1775,"AAAAAD9s6Uk=")</f>
        <v>#VALUE!</v>
      </c>
      <c r="BW153" t="e">
        <f>AND('BBP complete'!#REF!,"AAAAAD9s6Uo=")</f>
        <v>#REF!</v>
      </c>
      <c r="BX153" t="e">
        <f>AND('BBP complete'!#REF!,"AAAAAD9s6Us=")</f>
        <v>#REF!</v>
      </c>
      <c r="BY153" t="e">
        <f>AND('BBP complete'!#REF!,"AAAAAD9s6Uw=")</f>
        <v>#REF!</v>
      </c>
      <c r="BZ153" t="e">
        <f>AND('BBP complete'!#REF!,"AAAAAD9s6U0=")</f>
        <v>#REF!</v>
      </c>
      <c r="CA153" t="e">
        <f>AND('BBP complete'!#REF!,"AAAAAD9s6U4=")</f>
        <v>#REF!</v>
      </c>
      <c r="CB153" t="e">
        <f>AND('BBP complete'!#REF!,"AAAAAD9s6U8=")</f>
        <v>#REF!</v>
      </c>
      <c r="CC153" t="e">
        <f>AND('BBP complete'!L1772,"AAAAAD9s6VA=")</f>
        <v>#VALUE!</v>
      </c>
      <c r="CD153" t="e">
        <f>AND('BBP complete'!C1773,"AAAAAD9s6VE=")</f>
        <v>#VALUE!</v>
      </c>
      <c r="CE153" t="e">
        <f>AND('BBP complete'!N1776,"AAAAAD9s6VI=")</f>
        <v>#VALUE!</v>
      </c>
      <c r="CF153" t="e">
        <f>AND('BBP complete'!P1792,"AAAAAD9s6VM=")</f>
        <v>#VALUE!</v>
      </c>
      <c r="CG153" t="e">
        <f>AND('BBP complete'!Q1792,"AAAAAD9s6VQ=")</f>
        <v>#VALUE!</v>
      </c>
      <c r="CH153" t="e">
        <f>AND('BBP complete'!R1792,"AAAAAD9s6VU=")</f>
        <v>#VALUE!</v>
      </c>
      <c r="CI153" t="e">
        <f>AND('BBP complete'!S1792,"AAAAAD9s6VY=")</f>
        <v>#VALUE!</v>
      </c>
      <c r="CJ153" t="e">
        <f>AND('BBP complete'!A1781,"AAAAAD9s6Vc=")</f>
        <v>#VALUE!</v>
      </c>
      <c r="CK153" t="e">
        <f>AND('BBP complete'!B1777,"AAAAAD9s6Vg=")</f>
        <v>#VALUE!</v>
      </c>
      <c r="CL153" t="e">
        <f>AND('BBP complete'!H1777,"AAAAAD9s6Vk=")</f>
        <v>#VALUE!</v>
      </c>
      <c r="CM153" t="e">
        <f>AND('BBP complete'!I1777,"AAAAAD9s6Vo=")</f>
        <v>#VALUE!</v>
      </c>
      <c r="CN153" t="e">
        <f>AND('BBP complete'!G1776,"AAAAAD9s6Vs=")</f>
        <v>#VALUE!</v>
      </c>
      <c r="CO153" t="e">
        <f>AND('BBP complete'!#REF!,"AAAAAD9s6Vw=")</f>
        <v>#REF!</v>
      </c>
      <c r="CP153" t="e">
        <f>AND('BBP complete'!#REF!,"AAAAAD9s6V0=")</f>
        <v>#REF!</v>
      </c>
      <c r="CQ153" t="e">
        <f>AND('BBP complete'!#REF!,"AAAAAD9s6V4=")</f>
        <v>#REF!</v>
      </c>
      <c r="CR153" t="e">
        <f>AND('BBP complete'!#REF!,"AAAAAD9s6V8=")</f>
        <v>#REF!</v>
      </c>
      <c r="CS153" t="e">
        <f>AND('BBP complete'!#REF!,"AAAAAD9s6WA=")</f>
        <v>#REF!</v>
      </c>
      <c r="CT153" t="e">
        <f>AND('BBP complete'!#REF!,"AAAAAD9s6WE=")</f>
        <v>#REF!</v>
      </c>
      <c r="CU153" t="e">
        <f>AND('BBP complete'!L1773,"AAAAAD9s6WI=")</f>
        <v>#VALUE!</v>
      </c>
      <c r="CV153" t="e">
        <f>AND('BBP complete'!C1774,"AAAAAD9s6WM=")</f>
        <v>#VALUE!</v>
      </c>
      <c r="CW153" t="e">
        <f>AND('BBP complete'!N1777,"AAAAAD9s6WQ=")</f>
        <v>#VALUE!</v>
      </c>
      <c r="CX153" t="e">
        <f>AND('BBP complete'!P1793,"AAAAAD9s6WU=")</f>
        <v>#VALUE!</v>
      </c>
      <c r="CY153" t="e">
        <f>AND('BBP complete'!Q1793,"AAAAAD9s6WY=")</f>
        <v>#VALUE!</v>
      </c>
      <c r="CZ153" t="e">
        <f>AND('BBP complete'!R1793,"AAAAAD9s6Wc=")</f>
        <v>#VALUE!</v>
      </c>
      <c r="DA153" t="e">
        <f>AND('BBP complete'!S1793,"AAAAAD9s6Wg=")</f>
        <v>#VALUE!</v>
      </c>
      <c r="DB153" t="e">
        <f>AND('BBP complete'!A1782,"AAAAAD9s6Wk=")</f>
        <v>#VALUE!</v>
      </c>
      <c r="DC153" t="e">
        <f>AND('BBP complete'!B1778,"AAAAAD9s6Wo=")</f>
        <v>#VALUE!</v>
      </c>
      <c r="DD153" t="e">
        <f>AND('BBP complete'!H1778,"AAAAAD9s6Ws=")</f>
        <v>#VALUE!</v>
      </c>
      <c r="DE153" t="e">
        <f>AND('BBP complete'!I1778,"AAAAAD9s6Ww=")</f>
        <v>#VALUE!</v>
      </c>
      <c r="DF153" t="e">
        <f>AND('BBP complete'!G1777,"AAAAAD9s6W0=")</f>
        <v>#VALUE!</v>
      </c>
      <c r="DG153" t="e">
        <f>AND('BBP complete'!#REF!,"AAAAAD9s6W4=")</f>
        <v>#REF!</v>
      </c>
      <c r="DH153" t="e">
        <f>AND('BBP complete'!#REF!,"AAAAAD9s6W8=")</f>
        <v>#REF!</v>
      </c>
      <c r="DI153" t="e">
        <f>AND('BBP complete'!#REF!,"AAAAAD9s6XA=")</f>
        <v>#REF!</v>
      </c>
      <c r="DJ153" t="e">
        <f>AND('BBP complete'!#REF!,"AAAAAD9s6XE=")</f>
        <v>#REF!</v>
      </c>
      <c r="DK153" t="e">
        <f>AND('BBP complete'!#REF!,"AAAAAD9s6XI=")</f>
        <v>#REF!</v>
      </c>
      <c r="DL153" t="e">
        <f>AND('BBP complete'!#REF!,"AAAAAD9s6XM=")</f>
        <v>#REF!</v>
      </c>
      <c r="DM153" t="e">
        <f>AND('BBP complete'!L1774,"AAAAAD9s6XQ=")</f>
        <v>#VALUE!</v>
      </c>
      <c r="DN153" t="e">
        <f>AND('BBP complete'!C1775,"AAAAAD9s6XU=")</f>
        <v>#VALUE!</v>
      </c>
      <c r="DO153" t="e">
        <f>AND('BBP complete'!N1778,"AAAAAD9s6XY=")</f>
        <v>#VALUE!</v>
      </c>
      <c r="DP153" t="e">
        <f>AND('BBP complete'!P1794,"AAAAAD9s6Xc=")</f>
        <v>#VALUE!</v>
      </c>
      <c r="DQ153" t="e">
        <f>AND('BBP complete'!Q1794,"AAAAAD9s6Xg=")</f>
        <v>#VALUE!</v>
      </c>
      <c r="DR153" t="e">
        <f>AND('BBP complete'!R1794,"AAAAAD9s6Xk=")</f>
        <v>#VALUE!</v>
      </c>
      <c r="DS153" t="e">
        <f>AND('BBP complete'!S1794,"AAAAAD9s6Xo=")</f>
        <v>#VALUE!</v>
      </c>
      <c r="DT153" t="e">
        <f>AND('BBP complete'!A1783,"AAAAAD9s6Xs=")</f>
        <v>#VALUE!</v>
      </c>
      <c r="DU153" t="e">
        <f>AND('BBP complete'!B1779,"AAAAAD9s6Xw=")</f>
        <v>#VALUE!</v>
      </c>
      <c r="DV153" t="e">
        <f>AND('BBP complete'!H1779,"AAAAAD9s6X0=")</f>
        <v>#VALUE!</v>
      </c>
      <c r="DW153" t="e">
        <f>AND('BBP complete'!I1779,"AAAAAD9s6X4=")</f>
        <v>#VALUE!</v>
      </c>
      <c r="DX153" t="e">
        <f>AND('BBP complete'!G1778,"AAAAAD9s6X8=")</f>
        <v>#VALUE!</v>
      </c>
      <c r="DY153" t="e">
        <f>AND('BBP complete'!#REF!,"AAAAAD9s6YA=")</f>
        <v>#REF!</v>
      </c>
      <c r="DZ153" t="e">
        <f>AND('BBP complete'!#REF!,"AAAAAD9s6YE=")</f>
        <v>#REF!</v>
      </c>
      <c r="EA153" t="e">
        <f>AND('BBP complete'!#REF!,"AAAAAD9s6YI=")</f>
        <v>#REF!</v>
      </c>
      <c r="EB153" t="e">
        <f>AND('BBP complete'!#REF!,"AAAAAD9s6YM=")</f>
        <v>#REF!</v>
      </c>
      <c r="EC153" t="e">
        <f>AND('BBP complete'!#REF!,"AAAAAD9s6YQ=")</f>
        <v>#REF!</v>
      </c>
      <c r="ED153" t="e">
        <f>AND('BBP complete'!#REF!,"AAAAAD9s6YU=")</f>
        <v>#REF!</v>
      </c>
      <c r="EE153" t="e">
        <f>AND('BBP complete'!L1775,"AAAAAD9s6YY=")</f>
        <v>#VALUE!</v>
      </c>
      <c r="EF153" t="e">
        <f>AND('BBP complete'!C1776,"AAAAAD9s6Yc=")</f>
        <v>#VALUE!</v>
      </c>
      <c r="EG153" t="e">
        <f>AND('BBP complete'!N1779,"AAAAAD9s6Yg=")</f>
        <v>#VALUE!</v>
      </c>
      <c r="EH153" t="e">
        <f>AND('BBP complete'!P1795,"AAAAAD9s6Yk=")</f>
        <v>#VALUE!</v>
      </c>
      <c r="EI153" t="e">
        <f>AND('BBP complete'!Q1795,"AAAAAD9s6Yo=")</f>
        <v>#VALUE!</v>
      </c>
      <c r="EJ153" t="e">
        <f>AND('BBP complete'!R1795,"AAAAAD9s6Ys=")</f>
        <v>#VALUE!</v>
      </c>
      <c r="EK153" t="e">
        <f>AND('BBP complete'!S1795,"AAAAAD9s6Yw=")</f>
        <v>#VALUE!</v>
      </c>
      <c r="EL153" t="e">
        <f>AND('BBP complete'!A1784,"AAAAAD9s6Y0=")</f>
        <v>#VALUE!</v>
      </c>
      <c r="EM153" t="e">
        <f>AND('BBP complete'!B1780,"AAAAAD9s6Y4=")</f>
        <v>#VALUE!</v>
      </c>
      <c r="EN153" t="e">
        <f>AND('BBP complete'!H1780,"AAAAAD9s6Y8=")</f>
        <v>#VALUE!</v>
      </c>
      <c r="EO153" t="e">
        <f>AND('BBP complete'!I1780,"AAAAAD9s6ZA=")</f>
        <v>#VALUE!</v>
      </c>
      <c r="EP153" t="e">
        <f>AND('BBP complete'!G1779,"AAAAAD9s6ZE=")</f>
        <v>#VALUE!</v>
      </c>
      <c r="EQ153" t="e">
        <f>AND('BBP complete'!#REF!,"AAAAAD9s6ZI=")</f>
        <v>#REF!</v>
      </c>
      <c r="ER153" t="e">
        <f>AND('BBP complete'!#REF!,"AAAAAD9s6ZM=")</f>
        <v>#REF!</v>
      </c>
      <c r="ES153" t="e">
        <f>AND('BBP complete'!#REF!,"AAAAAD9s6ZQ=")</f>
        <v>#REF!</v>
      </c>
      <c r="ET153" t="e">
        <f>AND('BBP complete'!#REF!,"AAAAAD9s6ZU=")</f>
        <v>#REF!</v>
      </c>
      <c r="EU153" t="e">
        <f>AND('BBP complete'!#REF!,"AAAAAD9s6ZY=")</f>
        <v>#REF!</v>
      </c>
      <c r="EV153" t="e">
        <f>AND('BBP complete'!#REF!,"AAAAAD9s6Zc=")</f>
        <v>#REF!</v>
      </c>
      <c r="EW153" t="e">
        <f>AND('BBP complete'!L1776,"AAAAAD9s6Zg=")</f>
        <v>#VALUE!</v>
      </c>
      <c r="EX153" t="e">
        <f>AND('BBP complete'!C1777,"AAAAAD9s6Zk=")</f>
        <v>#VALUE!</v>
      </c>
      <c r="EY153" t="e">
        <f>AND('BBP complete'!N1780,"AAAAAD9s6Zo=")</f>
        <v>#VALUE!</v>
      </c>
      <c r="EZ153" t="e">
        <f>AND('BBP complete'!P1796,"AAAAAD9s6Zs=")</f>
        <v>#VALUE!</v>
      </c>
      <c r="FA153" t="e">
        <f>AND('BBP complete'!Q1796,"AAAAAD9s6Zw=")</f>
        <v>#VALUE!</v>
      </c>
      <c r="FB153" t="e">
        <f>AND('BBP complete'!R1796,"AAAAAD9s6Z0=")</f>
        <v>#VALUE!</v>
      </c>
      <c r="FC153" t="e">
        <f>AND('BBP complete'!S1796,"AAAAAD9s6Z4=")</f>
        <v>#VALUE!</v>
      </c>
      <c r="FD153" t="e">
        <f>AND('BBP complete'!A1785,"AAAAAD9s6Z8=")</f>
        <v>#VALUE!</v>
      </c>
      <c r="FE153" t="e">
        <f>AND('BBP complete'!B1781,"AAAAAD9s6aA=")</f>
        <v>#VALUE!</v>
      </c>
      <c r="FF153" t="e">
        <f>AND('BBP complete'!H1781,"AAAAAD9s6aE=")</f>
        <v>#VALUE!</v>
      </c>
      <c r="FG153" t="e">
        <f>AND('BBP complete'!I1781,"AAAAAD9s6aI=")</f>
        <v>#VALUE!</v>
      </c>
      <c r="FH153" t="e">
        <f>AND('BBP complete'!G1780,"AAAAAD9s6aM=")</f>
        <v>#VALUE!</v>
      </c>
      <c r="FI153" t="e">
        <f>AND('BBP complete'!#REF!,"AAAAAD9s6aQ=")</f>
        <v>#REF!</v>
      </c>
      <c r="FJ153" t="e">
        <f>AND('BBP complete'!#REF!,"AAAAAD9s6aU=")</f>
        <v>#REF!</v>
      </c>
      <c r="FK153" t="e">
        <f>AND('BBP complete'!#REF!,"AAAAAD9s6aY=")</f>
        <v>#REF!</v>
      </c>
      <c r="FL153" t="e">
        <f>AND('BBP complete'!#REF!,"AAAAAD9s6ac=")</f>
        <v>#REF!</v>
      </c>
      <c r="FM153" t="e">
        <f>AND('BBP complete'!#REF!,"AAAAAD9s6ag=")</f>
        <v>#REF!</v>
      </c>
      <c r="FN153" t="e">
        <f>AND('BBP complete'!#REF!,"AAAAAD9s6ak=")</f>
        <v>#REF!</v>
      </c>
      <c r="FO153" t="e">
        <f>AND('BBP complete'!L1777,"AAAAAD9s6ao=")</f>
        <v>#VALUE!</v>
      </c>
      <c r="FP153" t="e">
        <f>AND('BBP complete'!C1778,"AAAAAD9s6as=")</f>
        <v>#VALUE!</v>
      </c>
      <c r="FQ153" t="e">
        <f>AND('BBP complete'!N1781,"AAAAAD9s6aw=")</f>
        <v>#VALUE!</v>
      </c>
      <c r="FR153" t="e">
        <f>AND('BBP complete'!P1797,"AAAAAD9s6a0=")</f>
        <v>#VALUE!</v>
      </c>
      <c r="FS153" t="e">
        <f>AND('BBP complete'!Q1797,"AAAAAD9s6a4=")</f>
        <v>#VALUE!</v>
      </c>
      <c r="FT153" t="e">
        <f>AND('BBP complete'!R1797,"AAAAAD9s6a8=")</f>
        <v>#VALUE!</v>
      </c>
      <c r="FU153" t="e">
        <f>AND('BBP complete'!S1797,"AAAAAD9s6bA=")</f>
        <v>#VALUE!</v>
      </c>
      <c r="FV153" t="e">
        <f>AND('BBP complete'!A1786,"AAAAAD9s6bE=")</f>
        <v>#VALUE!</v>
      </c>
      <c r="FW153" t="e">
        <f>AND('BBP complete'!B1782,"AAAAAD9s6bI=")</f>
        <v>#VALUE!</v>
      </c>
      <c r="FX153" t="e">
        <f>AND('BBP complete'!H1782,"AAAAAD9s6bM=")</f>
        <v>#VALUE!</v>
      </c>
      <c r="FY153" t="e">
        <f>AND('BBP complete'!I1782,"AAAAAD9s6bQ=")</f>
        <v>#VALUE!</v>
      </c>
      <c r="FZ153" t="e">
        <f>AND('BBP complete'!G1781,"AAAAAD9s6bU=")</f>
        <v>#VALUE!</v>
      </c>
      <c r="GA153" t="e">
        <f>AND('BBP complete'!#REF!,"AAAAAD9s6bY=")</f>
        <v>#REF!</v>
      </c>
      <c r="GB153" t="e">
        <f>AND('BBP complete'!#REF!,"AAAAAD9s6bc=")</f>
        <v>#REF!</v>
      </c>
      <c r="GC153" t="e">
        <f>AND('BBP complete'!#REF!,"AAAAAD9s6bg=")</f>
        <v>#REF!</v>
      </c>
      <c r="GD153" t="e">
        <f>AND('BBP complete'!#REF!,"AAAAAD9s6bk=")</f>
        <v>#REF!</v>
      </c>
      <c r="GE153" t="e">
        <f>AND('BBP complete'!#REF!,"AAAAAD9s6bo=")</f>
        <v>#REF!</v>
      </c>
      <c r="GF153" t="e">
        <f>AND('BBP complete'!#REF!,"AAAAAD9s6bs=")</f>
        <v>#REF!</v>
      </c>
      <c r="GG153" t="e">
        <f>AND('BBP complete'!L1778,"AAAAAD9s6bw=")</f>
        <v>#VALUE!</v>
      </c>
      <c r="GH153" t="e">
        <f>AND('BBP complete'!C1779,"AAAAAD9s6b0=")</f>
        <v>#VALUE!</v>
      </c>
      <c r="GI153" t="e">
        <f>AND('BBP complete'!N1782,"AAAAAD9s6b4=")</f>
        <v>#VALUE!</v>
      </c>
      <c r="GJ153" t="e">
        <f>AND('BBP complete'!P1798,"AAAAAD9s6b8=")</f>
        <v>#VALUE!</v>
      </c>
      <c r="GK153" t="e">
        <f>AND('BBP complete'!Q1798,"AAAAAD9s6cA=")</f>
        <v>#VALUE!</v>
      </c>
      <c r="GL153" t="e">
        <f>AND('BBP complete'!R1798,"AAAAAD9s6cE=")</f>
        <v>#VALUE!</v>
      </c>
      <c r="GM153" t="e">
        <f>AND('BBP complete'!S1798,"AAAAAD9s6cI=")</f>
        <v>#VALUE!</v>
      </c>
      <c r="GN153" t="e">
        <f>AND('BBP complete'!A1787,"AAAAAD9s6cM=")</f>
        <v>#VALUE!</v>
      </c>
      <c r="GO153" t="e">
        <f>AND('BBP complete'!B1783,"AAAAAD9s6cQ=")</f>
        <v>#VALUE!</v>
      </c>
      <c r="GP153" t="e">
        <f>AND('BBP complete'!H1783,"AAAAAD9s6cU=")</f>
        <v>#VALUE!</v>
      </c>
      <c r="GQ153" t="e">
        <f>AND('BBP complete'!I1783,"AAAAAD9s6cY=")</f>
        <v>#VALUE!</v>
      </c>
      <c r="GR153" t="e">
        <f>AND('BBP complete'!G1782,"AAAAAD9s6cc=")</f>
        <v>#VALUE!</v>
      </c>
      <c r="GS153" t="e">
        <f>AND('BBP complete'!#REF!,"AAAAAD9s6cg=")</f>
        <v>#REF!</v>
      </c>
      <c r="GT153" t="e">
        <f>AND('BBP complete'!#REF!,"AAAAAD9s6ck=")</f>
        <v>#REF!</v>
      </c>
      <c r="GU153" t="e">
        <f>AND('BBP complete'!#REF!,"AAAAAD9s6co=")</f>
        <v>#REF!</v>
      </c>
      <c r="GV153" t="e">
        <f>AND('BBP complete'!#REF!,"AAAAAD9s6cs=")</f>
        <v>#REF!</v>
      </c>
      <c r="GW153" t="e">
        <f>AND('BBP complete'!#REF!,"AAAAAD9s6cw=")</f>
        <v>#REF!</v>
      </c>
      <c r="GX153" t="e">
        <f>AND('BBP complete'!#REF!,"AAAAAD9s6c0=")</f>
        <v>#REF!</v>
      </c>
      <c r="GY153" t="e">
        <f>AND('BBP complete'!#REF!,"AAAAAD9s6c4=")</f>
        <v>#REF!</v>
      </c>
      <c r="GZ153" t="e">
        <f>AND('BBP complete'!#REF!,"AAAAAD9s6c8=")</f>
        <v>#REF!</v>
      </c>
      <c r="HA153" t="e">
        <f>AND('BBP complete'!N1783,"AAAAAD9s6dA=")</f>
        <v>#VALUE!</v>
      </c>
      <c r="HB153" t="e">
        <f>AND('BBP complete'!P1799,"AAAAAD9s6dE=")</f>
        <v>#VALUE!</v>
      </c>
      <c r="HC153" t="e">
        <f>AND('BBP complete'!Q1799,"AAAAAD9s6dI=")</f>
        <v>#VALUE!</v>
      </c>
      <c r="HD153" t="e">
        <f>AND('BBP complete'!R1799,"AAAAAD9s6dM=")</f>
        <v>#VALUE!</v>
      </c>
      <c r="HE153" t="e">
        <f>AND('BBP complete'!S1799,"AAAAAD9s6dQ=")</f>
        <v>#VALUE!</v>
      </c>
      <c r="HF153" t="e">
        <f>AND('BBP complete'!A1788,"AAAAAD9s6dU=")</f>
        <v>#VALUE!</v>
      </c>
      <c r="HG153" t="e">
        <f>AND('BBP complete'!B1784,"AAAAAD9s6dY=")</f>
        <v>#VALUE!</v>
      </c>
      <c r="HH153" t="e">
        <f>AND('BBP complete'!H1784,"AAAAAD9s6dc=")</f>
        <v>#VALUE!</v>
      </c>
      <c r="HI153" t="e">
        <f>AND('BBP complete'!I1784,"AAAAAD9s6dg=")</f>
        <v>#VALUE!</v>
      </c>
      <c r="HJ153" t="e">
        <f>AND('BBP complete'!G1783,"AAAAAD9s6dk=")</f>
        <v>#VALUE!</v>
      </c>
      <c r="HK153" t="e">
        <f>AND('BBP complete'!#REF!,"AAAAAD9s6do=")</f>
        <v>#REF!</v>
      </c>
      <c r="HL153" t="e">
        <f>AND('BBP complete'!#REF!,"AAAAAD9s6ds=")</f>
        <v>#REF!</v>
      </c>
      <c r="HM153" t="e">
        <f>AND('BBP complete'!#REF!,"AAAAAD9s6dw=")</f>
        <v>#REF!</v>
      </c>
      <c r="HN153" t="e">
        <f>AND('BBP complete'!#REF!,"AAAAAD9s6d0=")</f>
        <v>#REF!</v>
      </c>
      <c r="HO153" t="e">
        <f>AND('BBP complete'!#REF!,"AAAAAD9s6d4=")</f>
        <v>#REF!</v>
      </c>
      <c r="HP153" t="e">
        <f>AND('BBP complete'!#REF!,"AAAAAD9s6d8=")</f>
        <v>#REF!</v>
      </c>
      <c r="HQ153" t="e">
        <f>AND('BBP complete'!L1779,"AAAAAD9s6eA=")</f>
        <v>#VALUE!</v>
      </c>
      <c r="HR153" t="e">
        <f>AND('BBP complete'!C1780,"AAAAAD9s6eE=")</f>
        <v>#VALUE!</v>
      </c>
      <c r="HS153" t="e">
        <f>AND('BBP complete'!N1784,"AAAAAD9s6eI=")</f>
        <v>#VALUE!</v>
      </c>
      <c r="HT153" t="e">
        <f>AND('BBP complete'!P1800,"AAAAAD9s6eM=")</f>
        <v>#VALUE!</v>
      </c>
      <c r="HU153" t="e">
        <f>AND('BBP complete'!Q1800,"AAAAAD9s6eQ=")</f>
        <v>#VALUE!</v>
      </c>
      <c r="HV153" t="e">
        <f>AND('BBP complete'!R1800,"AAAAAD9s6eU=")</f>
        <v>#VALUE!</v>
      </c>
      <c r="HW153" t="e">
        <f>AND('BBP complete'!S1800,"AAAAAD9s6eY=")</f>
        <v>#VALUE!</v>
      </c>
      <c r="HX153" t="e">
        <f>AND('BBP complete'!A1789,"AAAAAD9s6ec=")</f>
        <v>#VALUE!</v>
      </c>
      <c r="HY153" t="e">
        <f>AND('BBP complete'!B1785,"AAAAAD9s6eg=")</f>
        <v>#VALUE!</v>
      </c>
      <c r="HZ153" t="e">
        <f>AND('BBP complete'!H1785,"AAAAAD9s6ek=")</f>
        <v>#VALUE!</v>
      </c>
      <c r="IA153" t="e">
        <f>AND('BBP complete'!I1785,"AAAAAD9s6eo=")</f>
        <v>#VALUE!</v>
      </c>
      <c r="IB153" t="e">
        <f>AND('BBP complete'!G1784,"AAAAAD9s6es=")</f>
        <v>#VALUE!</v>
      </c>
      <c r="IC153" t="e">
        <f>AND('BBP complete'!#REF!,"AAAAAD9s6ew=")</f>
        <v>#REF!</v>
      </c>
      <c r="ID153" t="e">
        <f>AND('BBP complete'!#REF!,"AAAAAD9s6e0=")</f>
        <v>#REF!</v>
      </c>
      <c r="IE153" t="e">
        <f>AND('BBP complete'!#REF!,"AAAAAD9s6e4=")</f>
        <v>#REF!</v>
      </c>
      <c r="IF153" t="e">
        <f>AND('BBP complete'!#REF!,"AAAAAD9s6e8=")</f>
        <v>#REF!</v>
      </c>
      <c r="IG153" t="e">
        <f>AND('BBP complete'!#REF!,"AAAAAD9s6fA=")</f>
        <v>#REF!</v>
      </c>
      <c r="IH153" t="e">
        <f>AND('BBP complete'!#REF!,"AAAAAD9s6fE=")</f>
        <v>#REF!</v>
      </c>
      <c r="II153" t="e">
        <f>AND('BBP complete'!L1780,"AAAAAD9s6fI=")</f>
        <v>#VALUE!</v>
      </c>
      <c r="IJ153" t="e">
        <f>AND('BBP complete'!C1781,"AAAAAD9s6fM=")</f>
        <v>#VALUE!</v>
      </c>
      <c r="IK153" t="e">
        <f>AND('BBP complete'!N1785,"AAAAAD9s6fQ=")</f>
        <v>#VALUE!</v>
      </c>
      <c r="IL153" t="e">
        <f>AND('BBP complete'!P1801,"AAAAAD9s6fU=")</f>
        <v>#VALUE!</v>
      </c>
      <c r="IM153" t="e">
        <f>AND('BBP complete'!Q1801,"AAAAAD9s6fY=")</f>
        <v>#VALUE!</v>
      </c>
      <c r="IN153" t="e">
        <f>AND('BBP complete'!R1801,"AAAAAD9s6fc=")</f>
        <v>#VALUE!</v>
      </c>
      <c r="IO153" t="e">
        <f>AND('BBP complete'!S1801,"AAAAAD9s6fg=")</f>
        <v>#VALUE!</v>
      </c>
      <c r="IP153" t="e">
        <f>AND('BBP complete'!A1790,"AAAAAD9s6fk=")</f>
        <v>#VALUE!</v>
      </c>
      <c r="IQ153" t="e">
        <f>AND('BBP complete'!B1786,"AAAAAD9s6fo=")</f>
        <v>#VALUE!</v>
      </c>
      <c r="IR153" t="e">
        <f>AND('BBP complete'!H1786,"AAAAAD9s6fs=")</f>
        <v>#VALUE!</v>
      </c>
      <c r="IS153" t="e">
        <f>AND('BBP complete'!I1786,"AAAAAD9s6fw=")</f>
        <v>#VALUE!</v>
      </c>
      <c r="IT153" t="e">
        <f>AND('BBP complete'!G1785,"AAAAAD9s6f0=")</f>
        <v>#VALUE!</v>
      </c>
      <c r="IU153" t="e">
        <f>AND('BBP complete'!#REF!,"AAAAAD9s6f4=")</f>
        <v>#REF!</v>
      </c>
      <c r="IV153" t="e">
        <f>AND('BBP complete'!#REF!,"AAAAAD9s6f8=")</f>
        <v>#REF!</v>
      </c>
    </row>
    <row r="154" spans="1:256" ht="15" customHeight="1" x14ac:dyDescent="0.25">
      <c r="A154" t="e">
        <f>AND('BBP complete'!#REF!,"AAAAAH2b3gA=")</f>
        <v>#REF!</v>
      </c>
      <c r="B154" t="e">
        <f>AND('BBP complete'!#REF!,"AAAAAH2b3gE=")</f>
        <v>#REF!</v>
      </c>
      <c r="C154" t="e">
        <f>AND('BBP complete'!#REF!,"AAAAAH2b3gI=")</f>
        <v>#REF!</v>
      </c>
      <c r="D154" t="e">
        <f>AND('BBP complete'!#REF!,"AAAAAH2b3gM=")</f>
        <v>#REF!</v>
      </c>
      <c r="E154" t="e">
        <f>AND('BBP complete'!L1781,"AAAAAH2b3gQ=")</f>
        <v>#VALUE!</v>
      </c>
      <c r="F154" t="e">
        <f>AND('BBP complete'!C1782,"AAAAAH2b3gU=")</f>
        <v>#VALUE!</v>
      </c>
      <c r="G154" t="e">
        <f>AND('BBP complete'!N1786,"AAAAAH2b3gY=")</f>
        <v>#VALUE!</v>
      </c>
      <c r="H154" t="e">
        <f>AND('BBP complete'!P1802,"AAAAAH2b3gc=")</f>
        <v>#VALUE!</v>
      </c>
      <c r="I154" t="e">
        <f>AND('BBP complete'!Q1802,"AAAAAH2b3gg=")</f>
        <v>#VALUE!</v>
      </c>
      <c r="J154" t="e">
        <f>AND('BBP complete'!R1802,"AAAAAH2b3gk=")</f>
        <v>#VALUE!</v>
      </c>
      <c r="K154" t="e">
        <f>AND('BBP complete'!S1802,"AAAAAH2b3go=")</f>
        <v>#VALUE!</v>
      </c>
      <c r="L154" t="e">
        <f>AND('BBP complete'!A1791,"AAAAAH2b3gs=")</f>
        <v>#VALUE!</v>
      </c>
      <c r="M154" t="e">
        <f>AND('BBP complete'!B1787,"AAAAAH2b3gw=")</f>
        <v>#VALUE!</v>
      </c>
      <c r="N154" t="e">
        <f>AND('BBP complete'!H1787,"AAAAAH2b3g0=")</f>
        <v>#VALUE!</v>
      </c>
      <c r="O154" t="e">
        <f>AND('BBP complete'!I1787,"AAAAAH2b3g4=")</f>
        <v>#VALUE!</v>
      </c>
      <c r="P154" t="e">
        <f>AND('BBP complete'!G1786,"AAAAAH2b3g8=")</f>
        <v>#VALUE!</v>
      </c>
      <c r="Q154" t="e">
        <f>AND('BBP complete'!#REF!,"AAAAAH2b3hA=")</f>
        <v>#REF!</v>
      </c>
      <c r="R154" t="e">
        <f>AND('BBP complete'!#REF!,"AAAAAH2b3hE=")</f>
        <v>#REF!</v>
      </c>
      <c r="S154" t="e">
        <f>AND('BBP complete'!#REF!,"AAAAAH2b3hI=")</f>
        <v>#REF!</v>
      </c>
      <c r="T154" t="e">
        <f>AND('BBP complete'!#REF!,"AAAAAH2b3hM=")</f>
        <v>#REF!</v>
      </c>
      <c r="U154" t="e">
        <f>AND('BBP complete'!#REF!,"AAAAAH2b3hQ=")</f>
        <v>#REF!</v>
      </c>
      <c r="V154" t="e">
        <f>AND('BBP complete'!#REF!,"AAAAAH2b3hU=")</f>
        <v>#REF!</v>
      </c>
      <c r="W154" t="e">
        <f>AND('BBP complete'!L1782,"AAAAAH2b3hY=")</f>
        <v>#VALUE!</v>
      </c>
      <c r="X154" t="e">
        <f>AND('BBP complete'!C1783,"AAAAAH2b3hc=")</f>
        <v>#VALUE!</v>
      </c>
      <c r="Y154" t="e">
        <f>AND('BBP complete'!N1787,"AAAAAH2b3hg=")</f>
        <v>#VALUE!</v>
      </c>
      <c r="Z154" t="e">
        <f>AND('BBP complete'!P1803,"AAAAAH2b3hk=")</f>
        <v>#VALUE!</v>
      </c>
      <c r="AA154" t="e">
        <f>AND('BBP complete'!Q1803,"AAAAAH2b3ho=")</f>
        <v>#VALUE!</v>
      </c>
      <c r="AB154" t="e">
        <f>AND('BBP complete'!R1803,"AAAAAH2b3hs=")</f>
        <v>#VALUE!</v>
      </c>
      <c r="AC154" t="e">
        <f>AND('BBP complete'!S1803,"AAAAAH2b3hw=")</f>
        <v>#VALUE!</v>
      </c>
      <c r="AD154" t="e">
        <f>AND('BBP complete'!A1792,"AAAAAH2b3h0=")</f>
        <v>#VALUE!</v>
      </c>
      <c r="AE154" t="e">
        <f>AND('BBP complete'!B1788,"AAAAAH2b3h4=")</f>
        <v>#VALUE!</v>
      </c>
      <c r="AF154" t="e">
        <f>AND('BBP complete'!H1788,"AAAAAH2b3h8=")</f>
        <v>#VALUE!</v>
      </c>
      <c r="AG154" t="e">
        <f>AND('BBP complete'!I1788,"AAAAAH2b3iA=")</f>
        <v>#VALUE!</v>
      </c>
      <c r="AH154" t="e">
        <f>AND('BBP complete'!G1787,"AAAAAH2b3iE=")</f>
        <v>#VALUE!</v>
      </c>
      <c r="AI154" t="e">
        <f>AND('BBP complete'!#REF!,"AAAAAH2b3iI=")</f>
        <v>#REF!</v>
      </c>
      <c r="AJ154" t="e">
        <f>AND('BBP complete'!#REF!,"AAAAAH2b3iM=")</f>
        <v>#REF!</v>
      </c>
      <c r="AK154" t="e">
        <f>AND('BBP complete'!#REF!,"AAAAAH2b3iQ=")</f>
        <v>#REF!</v>
      </c>
      <c r="AL154" t="e">
        <f>AND('BBP complete'!#REF!,"AAAAAH2b3iU=")</f>
        <v>#REF!</v>
      </c>
      <c r="AM154" t="e">
        <f>AND('BBP complete'!#REF!,"AAAAAH2b3iY=")</f>
        <v>#REF!</v>
      </c>
      <c r="AN154" t="e">
        <f>AND('BBP complete'!#REF!,"AAAAAH2b3ic=")</f>
        <v>#REF!</v>
      </c>
      <c r="AO154" t="e">
        <f>AND('BBP complete'!L1783,"AAAAAH2b3ig=")</f>
        <v>#VALUE!</v>
      </c>
      <c r="AP154" t="e">
        <f>AND('BBP complete'!C1784,"AAAAAH2b3ik=")</f>
        <v>#VALUE!</v>
      </c>
      <c r="AQ154" t="e">
        <f>AND('BBP complete'!N1788,"AAAAAH2b3io=")</f>
        <v>#VALUE!</v>
      </c>
      <c r="AR154" t="e">
        <f>AND('BBP complete'!P1804,"AAAAAH2b3is=")</f>
        <v>#VALUE!</v>
      </c>
      <c r="AS154" t="e">
        <f>AND('BBP complete'!Q1804,"AAAAAH2b3iw=")</f>
        <v>#VALUE!</v>
      </c>
      <c r="AT154" t="e">
        <f>AND('BBP complete'!R1804,"AAAAAH2b3i0=")</f>
        <v>#VALUE!</v>
      </c>
      <c r="AU154" t="e">
        <f>AND('BBP complete'!S1804,"AAAAAH2b3i4=")</f>
        <v>#VALUE!</v>
      </c>
      <c r="AV154" t="e">
        <f>AND('BBP complete'!A1793,"AAAAAH2b3i8=")</f>
        <v>#VALUE!</v>
      </c>
      <c r="AW154" t="e">
        <f>AND('BBP complete'!B1789,"AAAAAH2b3jA=")</f>
        <v>#VALUE!</v>
      </c>
      <c r="AX154" t="e">
        <f>AND('BBP complete'!H1789,"AAAAAH2b3jE=")</f>
        <v>#VALUE!</v>
      </c>
      <c r="AY154" t="e">
        <f>AND('BBP complete'!I1789,"AAAAAH2b3jI=")</f>
        <v>#VALUE!</v>
      </c>
      <c r="AZ154" t="e">
        <f>AND('BBP complete'!G1788,"AAAAAH2b3jM=")</f>
        <v>#VALUE!</v>
      </c>
      <c r="BA154" t="e">
        <f>AND('BBP complete'!#REF!,"AAAAAH2b3jQ=")</f>
        <v>#REF!</v>
      </c>
      <c r="BB154" t="e">
        <f>AND('BBP complete'!#REF!,"AAAAAH2b3jU=")</f>
        <v>#REF!</v>
      </c>
      <c r="BC154" t="e">
        <f>AND('BBP complete'!#REF!,"AAAAAH2b3jY=")</f>
        <v>#REF!</v>
      </c>
      <c r="BD154" t="e">
        <f>AND('BBP complete'!#REF!,"AAAAAH2b3jc=")</f>
        <v>#REF!</v>
      </c>
      <c r="BE154" t="e">
        <f>AND('BBP complete'!#REF!,"AAAAAH2b3jg=")</f>
        <v>#REF!</v>
      </c>
      <c r="BF154" t="e">
        <f>AND('BBP complete'!#REF!,"AAAAAH2b3jk=")</f>
        <v>#REF!</v>
      </c>
      <c r="BG154" t="e">
        <f>AND('BBP complete'!L1784,"AAAAAH2b3jo=")</f>
        <v>#VALUE!</v>
      </c>
      <c r="BH154" t="e">
        <f>AND('BBP complete'!C1785,"AAAAAH2b3js=")</f>
        <v>#VALUE!</v>
      </c>
      <c r="BI154" t="e">
        <f>AND('BBP complete'!N1789,"AAAAAH2b3jw=")</f>
        <v>#VALUE!</v>
      </c>
      <c r="BJ154" t="e">
        <f>AND('BBP complete'!P1805,"AAAAAH2b3j0=")</f>
        <v>#VALUE!</v>
      </c>
      <c r="BK154" t="e">
        <f>AND('BBP complete'!Q1805,"AAAAAH2b3j4=")</f>
        <v>#VALUE!</v>
      </c>
      <c r="BL154" t="e">
        <f>AND('BBP complete'!R1805,"AAAAAH2b3j8=")</f>
        <v>#VALUE!</v>
      </c>
      <c r="BM154" t="e">
        <f>AND('BBP complete'!S1805,"AAAAAH2b3kA=")</f>
        <v>#VALUE!</v>
      </c>
      <c r="BN154" t="e">
        <f>AND('BBP complete'!A1794,"AAAAAH2b3kE=")</f>
        <v>#VALUE!</v>
      </c>
      <c r="BO154" t="e">
        <f>AND('BBP complete'!B1790,"AAAAAH2b3kI=")</f>
        <v>#VALUE!</v>
      </c>
      <c r="BP154" t="e">
        <f>AND('BBP complete'!H1790,"AAAAAH2b3kM=")</f>
        <v>#VALUE!</v>
      </c>
      <c r="BQ154" t="e">
        <f>AND('BBP complete'!I1790,"AAAAAH2b3kQ=")</f>
        <v>#VALUE!</v>
      </c>
      <c r="BR154" t="e">
        <f>AND('BBP complete'!G1789,"AAAAAH2b3kU=")</f>
        <v>#VALUE!</v>
      </c>
      <c r="BS154" t="e">
        <f>AND('BBP complete'!#REF!,"AAAAAH2b3kY=")</f>
        <v>#REF!</v>
      </c>
      <c r="BT154" t="e">
        <f>AND('BBP complete'!#REF!,"AAAAAH2b3kc=")</f>
        <v>#REF!</v>
      </c>
      <c r="BU154" t="e">
        <f>AND('BBP complete'!#REF!,"AAAAAH2b3kg=")</f>
        <v>#REF!</v>
      </c>
      <c r="BV154" t="e">
        <f>AND('BBP complete'!#REF!,"AAAAAH2b3kk=")</f>
        <v>#REF!</v>
      </c>
      <c r="BW154" t="e">
        <f>AND('BBP complete'!#REF!,"AAAAAH2b3ko=")</f>
        <v>#REF!</v>
      </c>
      <c r="BX154" t="e">
        <f>AND('BBP complete'!#REF!,"AAAAAH2b3ks=")</f>
        <v>#REF!</v>
      </c>
      <c r="BY154" t="e">
        <f>AND('BBP complete'!L1785,"AAAAAH2b3kw=")</f>
        <v>#VALUE!</v>
      </c>
      <c r="BZ154" t="e">
        <f>AND('BBP complete'!C1786,"AAAAAH2b3k0=")</f>
        <v>#VALUE!</v>
      </c>
      <c r="CA154" t="e">
        <f>AND('BBP complete'!N1790,"AAAAAH2b3k4=")</f>
        <v>#VALUE!</v>
      </c>
      <c r="CB154" t="e">
        <f>AND('BBP complete'!P1806,"AAAAAH2b3k8=")</f>
        <v>#VALUE!</v>
      </c>
      <c r="CC154" t="e">
        <f>AND('BBP complete'!Q1806,"AAAAAH2b3lA=")</f>
        <v>#VALUE!</v>
      </c>
      <c r="CD154" t="e">
        <f>AND('BBP complete'!R1806,"AAAAAH2b3lE=")</f>
        <v>#VALUE!</v>
      </c>
      <c r="CE154" t="e">
        <f>AND('BBP complete'!S1806,"AAAAAH2b3lI=")</f>
        <v>#VALUE!</v>
      </c>
      <c r="CF154" t="e">
        <f>AND('BBP complete'!A1795,"AAAAAH2b3lM=")</f>
        <v>#VALUE!</v>
      </c>
      <c r="CG154" t="e">
        <f>AND('BBP complete'!B1791,"AAAAAH2b3lQ=")</f>
        <v>#VALUE!</v>
      </c>
      <c r="CH154" t="e">
        <f>AND('BBP complete'!H1791,"AAAAAH2b3lU=")</f>
        <v>#VALUE!</v>
      </c>
      <c r="CI154" t="e">
        <f>AND('BBP complete'!I1791,"AAAAAH2b3lY=")</f>
        <v>#VALUE!</v>
      </c>
      <c r="CJ154" t="e">
        <f>AND('BBP complete'!G1790,"AAAAAH2b3lc=")</f>
        <v>#VALUE!</v>
      </c>
      <c r="CK154" t="e">
        <f>AND('BBP complete'!#REF!,"AAAAAH2b3lg=")</f>
        <v>#REF!</v>
      </c>
      <c r="CL154" t="e">
        <f>AND('BBP complete'!#REF!,"AAAAAH2b3lk=")</f>
        <v>#REF!</v>
      </c>
      <c r="CM154" t="e">
        <f>AND('BBP complete'!#REF!,"AAAAAH2b3lo=")</f>
        <v>#REF!</v>
      </c>
      <c r="CN154" t="e">
        <f>AND('BBP complete'!#REF!,"AAAAAH2b3ls=")</f>
        <v>#REF!</v>
      </c>
      <c r="CO154" t="e">
        <f>AND('BBP complete'!#REF!,"AAAAAH2b3lw=")</f>
        <v>#REF!</v>
      </c>
      <c r="CP154" t="e">
        <f>AND('BBP complete'!#REF!,"AAAAAH2b3l0=")</f>
        <v>#REF!</v>
      </c>
      <c r="CQ154" t="e">
        <f>AND('BBP complete'!L1786,"AAAAAH2b3l4=")</f>
        <v>#VALUE!</v>
      </c>
      <c r="CR154" t="e">
        <f>AND('BBP complete'!C1787,"AAAAAH2b3l8=")</f>
        <v>#VALUE!</v>
      </c>
      <c r="CS154" t="e">
        <f>AND('BBP complete'!N1791,"AAAAAH2b3mA=")</f>
        <v>#VALUE!</v>
      </c>
      <c r="CT154" t="e">
        <f>AND('BBP complete'!P1807,"AAAAAH2b3mE=")</f>
        <v>#VALUE!</v>
      </c>
      <c r="CU154" t="e">
        <f>AND('BBP complete'!Q1807,"AAAAAH2b3mI=")</f>
        <v>#VALUE!</v>
      </c>
      <c r="CV154" t="e">
        <f>AND('BBP complete'!R1807,"AAAAAH2b3mM=")</f>
        <v>#VALUE!</v>
      </c>
      <c r="CW154" t="e">
        <f>AND('BBP complete'!S1807,"AAAAAH2b3mQ=")</f>
        <v>#VALUE!</v>
      </c>
      <c r="CX154" t="e">
        <f>AND('BBP complete'!A1796,"AAAAAH2b3mU=")</f>
        <v>#VALUE!</v>
      </c>
      <c r="CY154" t="e">
        <f>AND('BBP complete'!B1792,"AAAAAH2b3mY=")</f>
        <v>#VALUE!</v>
      </c>
      <c r="CZ154" t="e">
        <f>AND('BBP complete'!H1792,"AAAAAH2b3mc=")</f>
        <v>#VALUE!</v>
      </c>
      <c r="DA154" t="e">
        <f>AND('BBP complete'!I1792,"AAAAAH2b3mg=")</f>
        <v>#VALUE!</v>
      </c>
      <c r="DB154" t="e">
        <f>AND('BBP complete'!G1791,"AAAAAH2b3mk=")</f>
        <v>#VALUE!</v>
      </c>
      <c r="DC154" t="e">
        <f>AND('BBP complete'!#REF!,"AAAAAH2b3mo=")</f>
        <v>#REF!</v>
      </c>
      <c r="DD154" t="e">
        <f>AND('BBP complete'!#REF!,"AAAAAH2b3ms=")</f>
        <v>#REF!</v>
      </c>
      <c r="DE154" t="e">
        <f>AND('BBP complete'!#REF!,"AAAAAH2b3mw=")</f>
        <v>#REF!</v>
      </c>
      <c r="DF154" t="e">
        <f>AND('BBP complete'!#REF!,"AAAAAH2b3m0=")</f>
        <v>#REF!</v>
      </c>
      <c r="DG154" t="e">
        <f>AND('BBP complete'!#REF!,"AAAAAH2b3m4=")</f>
        <v>#REF!</v>
      </c>
      <c r="DH154" t="e">
        <f>AND('BBP complete'!#REF!,"AAAAAH2b3m8=")</f>
        <v>#REF!</v>
      </c>
      <c r="DI154" t="e">
        <f>AND('BBP complete'!L1787,"AAAAAH2b3nA=")</f>
        <v>#VALUE!</v>
      </c>
      <c r="DJ154" t="e">
        <f>AND('BBP complete'!C1788,"AAAAAH2b3nE=")</f>
        <v>#VALUE!</v>
      </c>
      <c r="DK154" t="e">
        <f>AND('BBP complete'!N1792,"AAAAAH2b3nI=")</f>
        <v>#VALUE!</v>
      </c>
      <c r="DL154" t="e">
        <f>AND('BBP complete'!P1808,"AAAAAH2b3nM=")</f>
        <v>#VALUE!</v>
      </c>
      <c r="DM154" t="e">
        <f>AND('BBP complete'!Q1808,"AAAAAH2b3nQ=")</f>
        <v>#VALUE!</v>
      </c>
      <c r="DN154" t="e">
        <f>AND('BBP complete'!R1808,"AAAAAH2b3nU=")</f>
        <v>#VALUE!</v>
      </c>
      <c r="DO154" t="e">
        <f>AND('BBP complete'!S1808,"AAAAAH2b3nY=")</f>
        <v>#VALUE!</v>
      </c>
      <c r="DP154" t="e">
        <f>AND('BBP complete'!A1797,"AAAAAH2b3nc=")</f>
        <v>#VALUE!</v>
      </c>
      <c r="DQ154" t="e">
        <f>AND('BBP complete'!B1793,"AAAAAH2b3ng=")</f>
        <v>#VALUE!</v>
      </c>
      <c r="DR154" t="e">
        <f>AND('BBP complete'!H1793,"AAAAAH2b3nk=")</f>
        <v>#VALUE!</v>
      </c>
      <c r="DS154" t="e">
        <f>AND('BBP complete'!I1793,"AAAAAH2b3no=")</f>
        <v>#VALUE!</v>
      </c>
      <c r="DT154" t="e">
        <f>AND('BBP complete'!G1792,"AAAAAH2b3ns=")</f>
        <v>#VALUE!</v>
      </c>
      <c r="DU154" t="e">
        <f>AND('BBP complete'!#REF!,"AAAAAH2b3nw=")</f>
        <v>#REF!</v>
      </c>
      <c r="DV154" t="e">
        <f>AND('BBP complete'!#REF!,"AAAAAH2b3n0=")</f>
        <v>#REF!</v>
      </c>
      <c r="DW154" t="e">
        <f>AND('BBP complete'!#REF!,"AAAAAH2b3n4=")</f>
        <v>#REF!</v>
      </c>
      <c r="DX154" t="e">
        <f>AND('BBP complete'!#REF!,"AAAAAH2b3n8=")</f>
        <v>#REF!</v>
      </c>
      <c r="DY154" t="e">
        <f>AND('BBP complete'!#REF!,"AAAAAH2b3oA=")</f>
        <v>#REF!</v>
      </c>
      <c r="DZ154" t="e">
        <f>AND('BBP complete'!#REF!,"AAAAAH2b3oE=")</f>
        <v>#REF!</v>
      </c>
      <c r="EA154" t="e">
        <f>AND('BBP complete'!L1788,"AAAAAH2b3oI=")</f>
        <v>#VALUE!</v>
      </c>
      <c r="EB154" t="e">
        <f>AND('BBP complete'!C1789,"AAAAAH2b3oM=")</f>
        <v>#VALUE!</v>
      </c>
      <c r="EC154" t="e">
        <f>AND('BBP complete'!N1793,"AAAAAH2b3oQ=")</f>
        <v>#VALUE!</v>
      </c>
      <c r="ED154" t="e">
        <f>AND('BBP complete'!P1809,"AAAAAH2b3oU=")</f>
        <v>#VALUE!</v>
      </c>
      <c r="EE154" t="e">
        <f>AND('BBP complete'!Q1809,"AAAAAH2b3oY=")</f>
        <v>#VALUE!</v>
      </c>
      <c r="EF154" t="e">
        <f>AND('BBP complete'!R1809,"AAAAAH2b3oc=")</f>
        <v>#VALUE!</v>
      </c>
      <c r="EG154" t="e">
        <f>AND('BBP complete'!S1809,"AAAAAH2b3og=")</f>
        <v>#VALUE!</v>
      </c>
      <c r="EH154" t="e">
        <f>AND('BBP complete'!A1798,"AAAAAH2b3ok=")</f>
        <v>#VALUE!</v>
      </c>
      <c r="EI154" t="e">
        <f>AND('BBP complete'!B1794,"AAAAAH2b3oo=")</f>
        <v>#VALUE!</v>
      </c>
      <c r="EJ154" t="e">
        <f>AND('BBP complete'!H1794,"AAAAAH2b3os=")</f>
        <v>#VALUE!</v>
      </c>
      <c r="EK154" t="e">
        <f>AND('BBP complete'!I1794,"AAAAAH2b3ow=")</f>
        <v>#VALUE!</v>
      </c>
      <c r="EL154" t="e">
        <f>AND('BBP complete'!G1793,"AAAAAH2b3o0=")</f>
        <v>#VALUE!</v>
      </c>
      <c r="EM154" t="e">
        <f>AND('BBP complete'!#REF!,"AAAAAH2b3o4=")</f>
        <v>#REF!</v>
      </c>
      <c r="EN154" t="e">
        <f>AND('BBP complete'!#REF!,"AAAAAH2b3o8=")</f>
        <v>#REF!</v>
      </c>
      <c r="EO154" t="e">
        <f>AND('BBP complete'!#REF!,"AAAAAH2b3pA=")</f>
        <v>#REF!</v>
      </c>
      <c r="EP154" t="e">
        <f>AND('BBP complete'!#REF!,"AAAAAH2b3pE=")</f>
        <v>#REF!</v>
      </c>
      <c r="EQ154" t="e">
        <f>AND('BBP complete'!#REF!,"AAAAAH2b3pI=")</f>
        <v>#REF!</v>
      </c>
      <c r="ER154" t="e">
        <f>AND('BBP complete'!#REF!,"AAAAAH2b3pM=")</f>
        <v>#REF!</v>
      </c>
      <c r="ES154" t="e">
        <f>AND('BBP complete'!L1789,"AAAAAH2b3pQ=")</f>
        <v>#VALUE!</v>
      </c>
      <c r="ET154" t="e">
        <f>AND('BBP complete'!C1790,"AAAAAH2b3pU=")</f>
        <v>#VALUE!</v>
      </c>
      <c r="EU154" t="e">
        <f>AND('BBP complete'!N1794,"AAAAAH2b3pY=")</f>
        <v>#VALUE!</v>
      </c>
      <c r="EV154" t="e">
        <f>AND('BBP complete'!P1810,"AAAAAH2b3pc=")</f>
        <v>#VALUE!</v>
      </c>
      <c r="EW154" t="e">
        <f>AND('BBP complete'!Q1810,"AAAAAH2b3pg=")</f>
        <v>#VALUE!</v>
      </c>
      <c r="EX154" t="e">
        <f>AND('BBP complete'!R1810,"AAAAAH2b3pk=")</f>
        <v>#VALUE!</v>
      </c>
      <c r="EY154" t="e">
        <f>AND('BBP complete'!S1810,"AAAAAH2b3po=")</f>
        <v>#VALUE!</v>
      </c>
      <c r="EZ154" t="e">
        <f>AND('BBP complete'!A1799,"AAAAAH2b3ps=")</f>
        <v>#VALUE!</v>
      </c>
      <c r="FA154" t="e">
        <f>AND('BBP complete'!B1795,"AAAAAH2b3pw=")</f>
        <v>#VALUE!</v>
      </c>
      <c r="FB154" t="e">
        <f>AND('BBP complete'!H1795,"AAAAAH2b3p0=")</f>
        <v>#VALUE!</v>
      </c>
      <c r="FC154" t="e">
        <f>AND('BBP complete'!I1795,"AAAAAH2b3p4=")</f>
        <v>#VALUE!</v>
      </c>
      <c r="FD154" t="e">
        <f>AND('BBP complete'!G1794,"AAAAAH2b3p8=")</f>
        <v>#VALUE!</v>
      </c>
      <c r="FE154" t="e">
        <f>AND('BBP complete'!#REF!,"AAAAAH2b3qA=")</f>
        <v>#REF!</v>
      </c>
      <c r="FF154" t="e">
        <f>AND('BBP complete'!#REF!,"AAAAAH2b3qE=")</f>
        <v>#REF!</v>
      </c>
      <c r="FG154" t="e">
        <f>AND('BBP complete'!#REF!,"AAAAAH2b3qI=")</f>
        <v>#REF!</v>
      </c>
      <c r="FH154" t="e">
        <f>AND('BBP complete'!#REF!,"AAAAAH2b3qM=")</f>
        <v>#REF!</v>
      </c>
      <c r="FI154" t="e">
        <f>AND('BBP complete'!#REF!,"AAAAAH2b3qQ=")</f>
        <v>#REF!</v>
      </c>
      <c r="FJ154" t="e">
        <f>AND('BBP complete'!#REF!,"AAAAAH2b3qU=")</f>
        <v>#REF!</v>
      </c>
      <c r="FK154" t="e">
        <f>AND('BBP complete'!L1790,"AAAAAH2b3qY=")</f>
        <v>#VALUE!</v>
      </c>
      <c r="FL154" t="e">
        <f>AND('BBP complete'!C1791,"AAAAAH2b3qc=")</f>
        <v>#VALUE!</v>
      </c>
      <c r="FM154" t="e">
        <f>AND('BBP complete'!N1795,"AAAAAH2b3qg=")</f>
        <v>#VALUE!</v>
      </c>
      <c r="FN154" t="e">
        <f>AND('BBP complete'!P1811,"AAAAAH2b3qk=")</f>
        <v>#VALUE!</v>
      </c>
      <c r="FO154" t="e">
        <f>AND('BBP complete'!Q1811,"AAAAAH2b3qo=")</f>
        <v>#VALUE!</v>
      </c>
      <c r="FP154" t="e">
        <f>AND('BBP complete'!R1811,"AAAAAH2b3qs=")</f>
        <v>#VALUE!</v>
      </c>
      <c r="FQ154" t="e">
        <f>AND('BBP complete'!S1811,"AAAAAH2b3qw=")</f>
        <v>#VALUE!</v>
      </c>
      <c r="FR154" t="e">
        <f>AND('BBP complete'!A1800,"AAAAAH2b3q0=")</f>
        <v>#VALUE!</v>
      </c>
      <c r="FS154" t="e">
        <f>AND('BBP complete'!B1796,"AAAAAH2b3q4=")</f>
        <v>#VALUE!</v>
      </c>
      <c r="FT154" t="e">
        <f>AND('BBP complete'!H1796,"AAAAAH2b3q8=")</f>
        <v>#VALUE!</v>
      </c>
      <c r="FU154" t="e">
        <f>AND('BBP complete'!I1796,"AAAAAH2b3rA=")</f>
        <v>#VALUE!</v>
      </c>
      <c r="FV154" t="e">
        <f>AND('BBP complete'!G1795,"AAAAAH2b3rE=")</f>
        <v>#VALUE!</v>
      </c>
      <c r="FW154" t="e">
        <f>AND('BBP complete'!#REF!,"AAAAAH2b3rI=")</f>
        <v>#REF!</v>
      </c>
      <c r="FX154" t="e">
        <f>AND('BBP complete'!#REF!,"AAAAAH2b3rM=")</f>
        <v>#REF!</v>
      </c>
      <c r="FY154" t="e">
        <f>AND('BBP complete'!#REF!,"AAAAAH2b3rQ=")</f>
        <v>#REF!</v>
      </c>
      <c r="FZ154" t="e">
        <f>AND('BBP complete'!#REF!,"AAAAAH2b3rU=")</f>
        <v>#REF!</v>
      </c>
      <c r="GA154" t="e">
        <f>AND('BBP complete'!#REF!,"AAAAAH2b3rY=")</f>
        <v>#REF!</v>
      </c>
      <c r="GB154" t="e">
        <f>AND('BBP complete'!#REF!,"AAAAAH2b3rc=")</f>
        <v>#REF!</v>
      </c>
      <c r="GC154" t="e">
        <f>AND('BBP complete'!L1791,"AAAAAH2b3rg=")</f>
        <v>#VALUE!</v>
      </c>
      <c r="GD154" t="e">
        <f>AND('BBP complete'!C1792,"AAAAAH2b3rk=")</f>
        <v>#VALUE!</v>
      </c>
      <c r="GE154" t="e">
        <f>AND('BBP complete'!N1796,"AAAAAH2b3ro=")</f>
        <v>#VALUE!</v>
      </c>
      <c r="GF154" t="e">
        <f>AND('BBP complete'!P1812,"AAAAAH2b3rs=")</f>
        <v>#VALUE!</v>
      </c>
      <c r="GG154" t="e">
        <f>AND('BBP complete'!Q1812,"AAAAAH2b3rw=")</f>
        <v>#VALUE!</v>
      </c>
      <c r="GH154" t="e">
        <f>AND('BBP complete'!R1812,"AAAAAH2b3r0=")</f>
        <v>#VALUE!</v>
      </c>
      <c r="GI154" t="e">
        <f>AND('BBP complete'!S1812,"AAAAAH2b3r4=")</f>
        <v>#VALUE!</v>
      </c>
      <c r="GJ154" t="e">
        <f>AND('BBP complete'!A1801,"AAAAAH2b3r8=")</f>
        <v>#VALUE!</v>
      </c>
      <c r="GK154" t="e">
        <f>AND('BBP complete'!B1797,"AAAAAH2b3sA=")</f>
        <v>#VALUE!</v>
      </c>
      <c r="GL154" t="e">
        <f>AND('BBP complete'!H1797,"AAAAAH2b3sE=")</f>
        <v>#VALUE!</v>
      </c>
      <c r="GM154" t="e">
        <f>AND('BBP complete'!I1797,"AAAAAH2b3sI=")</f>
        <v>#VALUE!</v>
      </c>
      <c r="GN154" t="e">
        <f>AND('BBP complete'!G1796,"AAAAAH2b3sM=")</f>
        <v>#VALUE!</v>
      </c>
      <c r="GO154" t="e">
        <f>AND('BBP complete'!#REF!,"AAAAAH2b3sQ=")</f>
        <v>#REF!</v>
      </c>
      <c r="GP154" t="e">
        <f>AND('BBP complete'!#REF!,"AAAAAH2b3sU=")</f>
        <v>#REF!</v>
      </c>
      <c r="GQ154" t="e">
        <f>AND('BBP complete'!#REF!,"AAAAAH2b3sY=")</f>
        <v>#REF!</v>
      </c>
      <c r="GR154" t="e">
        <f>AND('BBP complete'!#REF!,"AAAAAH2b3sc=")</f>
        <v>#REF!</v>
      </c>
      <c r="GS154" t="e">
        <f>AND('BBP complete'!#REF!,"AAAAAH2b3sg=")</f>
        <v>#REF!</v>
      </c>
      <c r="GT154" t="e">
        <f>AND('BBP complete'!#REF!,"AAAAAH2b3sk=")</f>
        <v>#REF!</v>
      </c>
      <c r="GU154" t="e">
        <f>AND('BBP complete'!L1792,"AAAAAH2b3so=")</f>
        <v>#VALUE!</v>
      </c>
      <c r="GV154" t="e">
        <f>AND('BBP complete'!C1793,"AAAAAH2b3ss=")</f>
        <v>#VALUE!</v>
      </c>
      <c r="GW154" t="e">
        <f>AND('BBP complete'!N1797,"AAAAAH2b3sw=")</f>
        <v>#VALUE!</v>
      </c>
      <c r="GX154" t="e">
        <f>AND('BBP complete'!P1813,"AAAAAH2b3s0=")</f>
        <v>#VALUE!</v>
      </c>
      <c r="GY154" t="e">
        <f>AND('BBP complete'!Q1813,"AAAAAH2b3s4=")</f>
        <v>#VALUE!</v>
      </c>
      <c r="GZ154" t="e">
        <f>AND('BBP complete'!R1813,"AAAAAH2b3s8=")</f>
        <v>#VALUE!</v>
      </c>
      <c r="HA154" t="e">
        <f>AND('BBP complete'!S1813,"AAAAAH2b3tA=")</f>
        <v>#VALUE!</v>
      </c>
      <c r="HB154" t="e">
        <f>AND('BBP complete'!A1802,"AAAAAH2b3tE=")</f>
        <v>#VALUE!</v>
      </c>
      <c r="HC154" t="e">
        <f>AND('BBP complete'!B1798,"AAAAAH2b3tI=")</f>
        <v>#VALUE!</v>
      </c>
      <c r="HD154" t="e">
        <f>AND('BBP complete'!H1798,"AAAAAH2b3tM=")</f>
        <v>#VALUE!</v>
      </c>
      <c r="HE154" t="e">
        <f>AND('BBP complete'!I1798,"AAAAAH2b3tQ=")</f>
        <v>#VALUE!</v>
      </c>
      <c r="HF154" t="e">
        <f>AND('BBP complete'!G1797,"AAAAAH2b3tU=")</f>
        <v>#VALUE!</v>
      </c>
      <c r="HG154" t="e">
        <f>AND('BBP complete'!#REF!,"AAAAAH2b3tY=")</f>
        <v>#REF!</v>
      </c>
      <c r="HH154" t="e">
        <f>AND('BBP complete'!#REF!,"AAAAAH2b3tc=")</f>
        <v>#REF!</v>
      </c>
      <c r="HI154" t="e">
        <f>AND('BBP complete'!#REF!,"AAAAAH2b3tg=")</f>
        <v>#REF!</v>
      </c>
      <c r="HJ154" t="e">
        <f>AND('BBP complete'!#REF!,"AAAAAH2b3tk=")</f>
        <v>#REF!</v>
      </c>
      <c r="HK154" t="e">
        <f>AND('BBP complete'!#REF!,"AAAAAH2b3to=")</f>
        <v>#REF!</v>
      </c>
      <c r="HL154" t="e">
        <f>AND('BBP complete'!#REF!,"AAAAAH2b3ts=")</f>
        <v>#REF!</v>
      </c>
      <c r="HM154" t="e">
        <f>AND('BBP complete'!L1793,"AAAAAH2b3tw=")</f>
        <v>#VALUE!</v>
      </c>
      <c r="HN154" t="e">
        <f>AND('BBP complete'!C1794,"AAAAAH2b3t0=")</f>
        <v>#VALUE!</v>
      </c>
      <c r="HO154" t="e">
        <f>AND('BBP complete'!N1798,"AAAAAH2b3t4=")</f>
        <v>#VALUE!</v>
      </c>
      <c r="HP154" t="e">
        <f>AND('BBP complete'!P1814,"AAAAAH2b3t8=")</f>
        <v>#VALUE!</v>
      </c>
      <c r="HQ154" t="e">
        <f>AND('BBP complete'!Q1814,"AAAAAH2b3uA=")</f>
        <v>#VALUE!</v>
      </c>
      <c r="HR154" t="e">
        <f>AND('BBP complete'!R1814,"AAAAAH2b3uE=")</f>
        <v>#VALUE!</v>
      </c>
      <c r="HS154" t="e">
        <f>AND('BBP complete'!S1814,"AAAAAH2b3uI=")</f>
        <v>#VALUE!</v>
      </c>
      <c r="HT154" t="e">
        <f>AND('BBP complete'!A1803,"AAAAAH2b3uM=")</f>
        <v>#VALUE!</v>
      </c>
      <c r="HU154" t="e">
        <f>AND('BBP complete'!B1799,"AAAAAH2b3uQ=")</f>
        <v>#VALUE!</v>
      </c>
      <c r="HV154" t="e">
        <f>AND('BBP complete'!H1799,"AAAAAH2b3uU=")</f>
        <v>#VALUE!</v>
      </c>
      <c r="HW154" t="e">
        <f>AND('BBP complete'!I1799,"AAAAAH2b3uY=")</f>
        <v>#VALUE!</v>
      </c>
      <c r="HX154" t="e">
        <f>AND('BBP complete'!G1798,"AAAAAH2b3uc=")</f>
        <v>#VALUE!</v>
      </c>
      <c r="HY154" t="e">
        <f>AND('BBP complete'!#REF!,"AAAAAH2b3ug=")</f>
        <v>#REF!</v>
      </c>
      <c r="HZ154" t="e">
        <f>AND('BBP complete'!#REF!,"AAAAAH2b3uk=")</f>
        <v>#REF!</v>
      </c>
      <c r="IA154" t="e">
        <f>AND('BBP complete'!#REF!,"AAAAAH2b3uo=")</f>
        <v>#REF!</v>
      </c>
      <c r="IB154" t="e">
        <f>AND('BBP complete'!#REF!,"AAAAAH2b3us=")</f>
        <v>#REF!</v>
      </c>
      <c r="IC154" t="e">
        <f>AND('BBP complete'!#REF!,"AAAAAH2b3uw=")</f>
        <v>#REF!</v>
      </c>
      <c r="ID154" t="e">
        <f>AND('BBP complete'!#REF!,"AAAAAH2b3u0=")</f>
        <v>#REF!</v>
      </c>
      <c r="IE154" t="e">
        <f>AND('BBP complete'!L1794,"AAAAAH2b3u4=")</f>
        <v>#VALUE!</v>
      </c>
      <c r="IF154" t="e">
        <f>AND('BBP complete'!C1795,"AAAAAH2b3u8=")</f>
        <v>#VALUE!</v>
      </c>
      <c r="IG154" t="e">
        <f>AND('BBP complete'!N1799,"AAAAAH2b3vA=")</f>
        <v>#VALUE!</v>
      </c>
      <c r="IH154" t="e">
        <f>AND('BBP complete'!P1815,"AAAAAH2b3vE=")</f>
        <v>#VALUE!</v>
      </c>
      <c r="II154" t="e">
        <f>AND('BBP complete'!Q1815,"AAAAAH2b3vI=")</f>
        <v>#VALUE!</v>
      </c>
      <c r="IJ154" t="e">
        <f>AND('BBP complete'!R1815,"AAAAAH2b3vM=")</f>
        <v>#VALUE!</v>
      </c>
      <c r="IK154" t="e">
        <f>AND('BBP complete'!S1815,"AAAAAH2b3vQ=")</f>
        <v>#VALUE!</v>
      </c>
      <c r="IL154" t="e">
        <f>AND('BBP complete'!A1804,"AAAAAH2b3vU=")</f>
        <v>#VALUE!</v>
      </c>
      <c r="IM154" t="e">
        <f>AND('BBP complete'!B1800,"AAAAAH2b3vY=")</f>
        <v>#VALUE!</v>
      </c>
      <c r="IN154" t="e">
        <f>AND('BBP complete'!H1800,"AAAAAH2b3vc=")</f>
        <v>#VALUE!</v>
      </c>
      <c r="IO154" t="e">
        <f>AND('BBP complete'!I1800,"AAAAAH2b3vg=")</f>
        <v>#VALUE!</v>
      </c>
      <c r="IP154" t="e">
        <f>AND('BBP complete'!G1799,"AAAAAH2b3vk=")</f>
        <v>#VALUE!</v>
      </c>
      <c r="IQ154" t="e">
        <f>AND('BBP complete'!#REF!,"AAAAAH2b3vo=")</f>
        <v>#REF!</v>
      </c>
      <c r="IR154" t="e">
        <f>AND('BBP complete'!#REF!,"AAAAAH2b3vs=")</f>
        <v>#REF!</v>
      </c>
      <c r="IS154" t="e">
        <f>AND('BBP complete'!#REF!,"AAAAAH2b3vw=")</f>
        <v>#REF!</v>
      </c>
      <c r="IT154" t="e">
        <f>AND('BBP complete'!#REF!,"AAAAAH2b3v0=")</f>
        <v>#REF!</v>
      </c>
      <c r="IU154" t="e">
        <f>AND('BBP complete'!#REF!,"AAAAAH2b3v4=")</f>
        <v>#REF!</v>
      </c>
      <c r="IV154" t="e">
        <f>AND('BBP complete'!#REF!,"AAAAAH2b3v8=")</f>
        <v>#REF!</v>
      </c>
    </row>
    <row r="155" spans="1:256" ht="15" customHeight="1" x14ac:dyDescent="0.25">
      <c r="A155" t="e">
        <f>AND('BBP complete'!L1795,"AAAAAB/+9wA=")</f>
        <v>#VALUE!</v>
      </c>
      <c r="B155" t="e">
        <f>AND('BBP complete'!C1796,"AAAAAB/+9wE=")</f>
        <v>#VALUE!</v>
      </c>
      <c r="C155" t="e">
        <f>AND('BBP complete'!N1800,"AAAAAB/+9wI=")</f>
        <v>#VALUE!</v>
      </c>
      <c r="D155" t="e">
        <f>AND('BBP complete'!P1816,"AAAAAB/+9wM=")</f>
        <v>#VALUE!</v>
      </c>
      <c r="E155" t="e">
        <f>AND('BBP complete'!Q1816,"AAAAAB/+9wQ=")</f>
        <v>#VALUE!</v>
      </c>
      <c r="F155" t="e">
        <f>AND('BBP complete'!R1816,"AAAAAB/+9wU=")</f>
        <v>#VALUE!</v>
      </c>
      <c r="G155" t="e">
        <f>AND('BBP complete'!S1816,"AAAAAB/+9wY=")</f>
        <v>#VALUE!</v>
      </c>
      <c r="H155" t="e">
        <f>AND('BBP complete'!A1805,"AAAAAB/+9wc=")</f>
        <v>#VALUE!</v>
      </c>
      <c r="I155" t="e">
        <f>AND('BBP complete'!B1801,"AAAAAB/+9wg=")</f>
        <v>#VALUE!</v>
      </c>
      <c r="J155" t="e">
        <f>AND('BBP complete'!H1801,"AAAAAB/+9wk=")</f>
        <v>#VALUE!</v>
      </c>
      <c r="K155" t="e">
        <f>AND('BBP complete'!I1801,"AAAAAB/+9wo=")</f>
        <v>#VALUE!</v>
      </c>
      <c r="L155" t="e">
        <f>AND('BBP complete'!G1800,"AAAAAB/+9ws=")</f>
        <v>#VALUE!</v>
      </c>
      <c r="M155" t="e">
        <f>AND('BBP complete'!#REF!,"AAAAAB/+9ww=")</f>
        <v>#REF!</v>
      </c>
      <c r="N155" t="e">
        <f>AND('BBP complete'!#REF!,"AAAAAB/+9w0=")</f>
        <v>#REF!</v>
      </c>
      <c r="O155" t="e">
        <f>AND('BBP complete'!#REF!,"AAAAAB/+9w4=")</f>
        <v>#REF!</v>
      </c>
      <c r="P155" t="e">
        <f>AND('BBP complete'!#REF!,"AAAAAB/+9w8=")</f>
        <v>#REF!</v>
      </c>
      <c r="Q155" t="e">
        <f>AND('BBP complete'!#REF!,"AAAAAB/+9xA=")</f>
        <v>#REF!</v>
      </c>
      <c r="R155" t="e">
        <f>AND('BBP complete'!#REF!,"AAAAAB/+9xE=")</f>
        <v>#REF!</v>
      </c>
      <c r="S155" t="e">
        <f>AND('BBP complete'!L1796,"AAAAAB/+9xI=")</f>
        <v>#VALUE!</v>
      </c>
      <c r="T155" t="e">
        <f>AND('BBP complete'!C1797,"AAAAAB/+9xM=")</f>
        <v>#VALUE!</v>
      </c>
      <c r="U155" t="e">
        <f>AND('BBP complete'!N1801,"AAAAAB/+9xQ=")</f>
        <v>#VALUE!</v>
      </c>
      <c r="V155" t="e">
        <f>AND('BBP complete'!P1817,"AAAAAB/+9xU=")</f>
        <v>#VALUE!</v>
      </c>
      <c r="W155" t="e">
        <f>AND('BBP complete'!Q1817,"AAAAAB/+9xY=")</f>
        <v>#VALUE!</v>
      </c>
      <c r="X155" t="e">
        <f>AND('BBP complete'!R1817,"AAAAAB/+9xc=")</f>
        <v>#VALUE!</v>
      </c>
      <c r="Y155" t="e">
        <f>AND('BBP complete'!S1817,"AAAAAB/+9xg=")</f>
        <v>#VALUE!</v>
      </c>
      <c r="Z155" t="e">
        <f>AND('BBP complete'!A1806,"AAAAAB/+9xk=")</f>
        <v>#VALUE!</v>
      </c>
      <c r="AA155" t="e">
        <f>AND('BBP complete'!B1802,"AAAAAB/+9xo=")</f>
        <v>#VALUE!</v>
      </c>
      <c r="AB155" t="e">
        <f>AND('BBP complete'!H1802,"AAAAAB/+9xs=")</f>
        <v>#VALUE!</v>
      </c>
      <c r="AC155" t="e">
        <f>AND('BBP complete'!I1802,"AAAAAB/+9xw=")</f>
        <v>#VALUE!</v>
      </c>
      <c r="AD155" t="e">
        <f>AND('BBP complete'!G1801,"AAAAAB/+9x0=")</f>
        <v>#VALUE!</v>
      </c>
      <c r="AE155" t="e">
        <f>AND('BBP complete'!#REF!,"AAAAAB/+9x4=")</f>
        <v>#REF!</v>
      </c>
      <c r="AF155" t="e">
        <f>AND('BBP complete'!#REF!,"AAAAAB/+9x8=")</f>
        <v>#REF!</v>
      </c>
      <c r="AG155" t="e">
        <f>AND('BBP complete'!#REF!,"AAAAAB/+9yA=")</f>
        <v>#REF!</v>
      </c>
      <c r="AH155" t="e">
        <f>AND('BBP complete'!#REF!,"AAAAAB/+9yE=")</f>
        <v>#REF!</v>
      </c>
      <c r="AI155" t="e">
        <f>AND('BBP complete'!#REF!,"AAAAAB/+9yI=")</f>
        <v>#REF!</v>
      </c>
      <c r="AJ155" t="e">
        <f>AND('BBP complete'!#REF!,"AAAAAB/+9yM=")</f>
        <v>#REF!</v>
      </c>
      <c r="AK155" t="e">
        <f>AND('BBP complete'!L1797,"AAAAAB/+9yQ=")</f>
        <v>#VALUE!</v>
      </c>
      <c r="AL155" t="e">
        <f>AND('BBP complete'!C1798,"AAAAAB/+9yU=")</f>
        <v>#VALUE!</v>
      </c>
      <c r="AM155" t="e">
        <f>AND('BBP complete'!N1802,"AAAAAB/+9yY=")</f>
        <v>#VALUE!</v>
      </c>
      <c r="AN155" t="e">
        <f>AND('BBP complete'!P1818,"AAAAAB/+9yc=")</f>
        <v>#VALUE!</v>
      </c>
      <c r="AO155" t="e">
        <f>AND('BBP complete'!Q1818,"AAAAAB/+9yg=")</f>
        <v>#VALUE!</v>
      </c>
      <c r="AP155" t="e">
        <f>AND('BBP complete'!R1818,"AAAAAB/+9yk=")</f>
        <v>#VALUE!</v>
      </c>
      <c r="AQ155" t="e">
        <f>AND('BBP complete'!S1818,"AAAAAB/+9yo=")</f>
        <v>#VALUE!</v>
      </c>
      <c r="AR155" t="e">
        <f>AND('BBP complete'!A1807,"AAAAAB/+9ys=")</f>
        <v>#VALUE!</v>
      </c>
      <c r="AS155" t="e">
        <f>AND('BBP complete'!B1803,"AAAAAB/+9yw=")</f>
        <v>#VALUE!</v>
      </c>
      <c r="AT155" t="e">
        <f>AND('BBP complete'!H1803,"AAAAAB/+9y0=")</f>
        <v>#VALUE!</v>
      </c>
      <c r="AU155" t="e">
        <f>AND('BBP complete'!I1803,"AAAAAB/+9y4=")</f>
        <v>#VALUE!</v>
      </c>
      <c r="AV155" t="e">
        <f>AND('BBP complete'!G1802,"AAAAAB/+9y8=")</f>
        <v>#VALUE!</v>
      </c>
      <c r="AW155" t="e">
        <f>AND('BBP complete'!#REF!,"AAAAAB/+9zA=")</f>
        <v>#REF!</v>
      </c>
      <c r="AX155" t="e">
        <f>AND('BBP complete'!#REF!,"AAAAAB/+9zE=")</f>
        <v>#REF!</v>
      </c>
      <c r="AY155" t="e">
        <f>AND('BBP complete'!#REF!,"AAAAAB/+9zI=")</f>
        <v>#REF!</v>
      </c>
      <c r="AZ155" t="e">
        <f>AND('BBP complete'!#REF!,"AAAAAB/+9zM=")</f>
        <v>#REF!</v>
      </c>
      <c r="BA155" t="e">
        <f>AND('BBP complete'!#REF!,"AAAAAB/+9zQ=")</f>
        <v>#REF!</v>
      </c>
      <c r="BB155" t="e">
        <f>AND('BBP complete'!#REF!,"AAAAAB/+9zU=")</f>
        <v>#REF!</v>
      </c>
      <c r="BC155" t="e">
        <f>AND('BBP complete'!L1798,"AAAAAB/+9zY=")</f>
        <v>#VALUE!</v>
      </c>
      <c r="BD155" t="e">
        <f>AND('BBP complete'!C1799,"AAAAAB/+9zc=")</f>
        <v>#VALUE!</v>
      </c>
      <c r="BE155" t="e">
        <f>AND('BBP complete'!N1803,"AAAAAB/+9zg=")</f>
        <v>#VALUE!</v>
      </c>
      <c r="BF155" t="e">
        <f>AND('BBP complete'!P1819,"AAAAAB/+9zk=")</f>
        <v>#VALUE!</v>
      </c>
      <c r="BG155" t="e">
        <f>AND('BBP complete'!Q1819,"AAAAAB/+9zo=")</f>
        <v>#VALUE!</v>
      </c>
      <c r="BH155" t="e">
        <f>AND('BBP complete'!R1819,"AAAAAB/+9zs=")</f>
        <v>#VALUE!</v>
      </c>
      <c r="BI155" t="e">
        <f>AND('BBP complete'!S1819,"AAAAAB/+9zw=")</f>
        <v>#VALUE!</v>
      </c>
      <c r="BJ155" t="e">
        <f>AND('BBP complete'!A1808,"AAAAAB/+9z0=")</f>
        <v>#VALUE!</v>
      </c>
      <c r="BK155" t="e">
        <f>AND('BBP complete'!B1804,"AAAAAB/+9z4=")</f>
        <v>#VALUE!</v>
      </c>
      <c r="BL155" t="e">
        <f>AND('BBP complete'!H1804,"AAAAAB/+9z8=")</f>
        <v>#VALUE!</v>
      </c>
      <c r="BM155" t="e">
        <f>AND('BBP complete'!I1804,"AAAAAB/+90A=")</f>
        <v>#VALUE!</v>
      </c>
      <c r="BN155" t="e">
        <f>AND('BBP complete'!G1803,"AAAAAB/+90E=")</f>
        <v>#VALUE!</v>
      </c>
      <c r="BO155" t="e">
        <f>AND('BBP complete'!#REF!,"AAAAAB/+90I=")</f>
        <v>#REF!</v>
      </c>
      <c r="BP155" t="e">
        <f>AND('BBP complete'!#REF!,"AAAAAB/+90M=")</f>
        <v>#REF!</v>
      </c>
      <c r="BQ155" t="e">
        <f>AND('BBP complete'!#REF!,"AAAAAB/+90Q=")</f>
        <v>#REF!</v>
      </c>
      <c r="BR155" t="e">
        <f>AND('BBP complete'!#REF!,"AAAAAB/+90U=")</f>
        <v>#REF!</v>
      </c>
      <c r="BS155" t="e">
        <f>AND('BBP complete'!#REF!,"AAAAAB/+90Y=")</f>
        <v>#REF!</v>
      </c>
      <c r="BT155" t="e">
        <f>AND('BBP complete'!#REF!,"AAAAAB/+90c=")</f>
        <v>#REF!</v>
      </c>
      <c r="BU155" t="e">
        <f>AND('BBP complete'!L1799,"AAAAAB/+90g=")</f>
        <v>#VALUE!</v>
      </c>
      <c r="BV155" t="e">
        <f>AND('BBP complete'!C1800,"AAAAAB/+90k=")</f>
        <v>#VALUE!</v>
      </c>
      <c r="BW155" t="e">
        <f>AND('BBP complete'!N1804,"AAAAAB/+90o=")</f>
        <v>#VALUE!</v>
      </c>
      <c r="BX155" t="e">
        <f>AND('BBP complete'!P1820,"AAAAAB/+90s=")</f>
        <v>#VALUE!</v>
      </c>
      <c r="BY155" t="e">
        <f>AND('BBP complete'!Q1820,"AAAAAB/+90w=")</f>
        <v>#VALUE!</v>
      </c>
      <c r="BZ155" t="e">
        <f>AND('BBP complete'!R1820,"AAAAAB/+900=")</f>
        <v>#VALUE!</v>
      </c>
      <c r="CA155" t="e">
        <f>AND('BBP complete'!S1820,"AAAAAB/+904=")</f>
        <v>#VALUE!</v>
      </c>
      <c r="CB155" t="e">
        <f>AND('BBP complete'!A1809,"AAAAAB/+908=")</f>
        <v>#VALUE!</v>
      </c>
      <c r="CC155" t="e">
        <f>AND('BBP complete'!B1805,"AAAAAB/+91A=")</f>
        <v>#VALUE!</v>
      </c>
      <c r="CD155" t="e">
        <f>AND('BBP complete'!H1805,"AAAAAB/+91E=")</f>
        <v>#VALUE!</v>
      </c>
      <c r="CE155" t="e">
        <f>AND('BBP complete'!I1805,"AAAAAB/+91I=")</f>
        <v>#VALUE!</v>
      </c>
      <c r="CF155" t="e">
        <f>AND('BBP complete'!G1804,"AAAAAB/+91M=")</f>
        <v>#VALUE!</v>
      </c>
      <c r="CG155" t="e">
        <f>AND('BBP complete'!#REF!,"AAAAAB/+91Q=")</f>
        <v>#REF!</v>
      </c>
      <c r="CH155" t="e">
        <f>AND('BBP complete'!#REF!,"AAAAAB/+91U=")</f>
        <v>#REF!</v>
      </c>
      <c r="CI155" t="e">
        <f>AND('BBP complete'!#REF!,"AAAAAB/+91Y=")</f>
        <v>#REF!</v>
      </c>
      <c r="CJ155" t="e">
        <f>AND('BBP complete'!#REF!,"AAAAAB/+91c=")</f>
        <v>#REF!</v>
      </c>
      <c r="CK155" t="e">
        <f>AND('BBP complete'!#REF!,"AAAAAB/+91g=")</f>
        <v>#REF!</v>
      </c>
      <c r="CL155" t="e">
        <f>AND('BBP complete'!#REF!,"AAAAAB/+91k=")</f>
        <v>#REF!</v>
      </c>
      <c r="CM155" t="e">
        <f>AND('BBP complete'!L1800,"AAAAAB/+91o=")</f>
        <v>#VALUE!</v>
      </c>
      <c r="CN155" t="e">
        <f>AND('BBP complete'!C1801,"AAAAAB/+91s=")</f>
        <v>#VALUE!</v>
      </c>
      <c r="CO155" t="e">
        <f>AND('BBP complete'!N1805,"AAAAAB/+91w=")</f>
        <v>#VALUE!</v>
      </c>
      <c r="CP155" t="e">
        <f>AND('BBP complete'!P1821,"AAAAAB/+910=")</f>
        <v>#VALUE!</v>
      </c>
      <c r="CQ155" t="e">
        <f>AND('BBP complete'!Q1821,"AAAAAB/+914=")</f>
        <v>#VALUE!</v>
      </c>
      <c r="CR155" t="e">
        <f>AND('BBP complete'!R1821,"AAAAAB/+918=")</f>
        <v>#VALUE!</v>
      </c>
      <c r="CS155" t="e">
        <f>AND('BBP complete'!S1821,"AAAAAB/+92A=")</f>
        <v>#VALUE!</v>
      </c>
      <c r="CT155" t="e">
        <f>AND('BBP complete'!A1810,"AAAAAB/+92E=")</f>
        <v>#VALUE!</v>
      </c>
      <c r="CU155" t="e">
        <f>AND('BBP complete'!B1806,"AAAAAB/+92I=")</f>
        <v>#VALUE!</v>
      </c>
      <c r="CV155" t="e">
        <f>AND('BBP complete'!H1806,"AAAAAB/+92M=")</f>
        <v>#VALUE!</v>
      </c>
      <c r="CW155" t="e">
        <f>AND('BBP complete'!I1806,"AAAAAB/+92Q=")</f>
        <v>#VALUE!</v>
      </c>
      <c r="CX155" t="e">
        <f>AND('BBP complete'!G1805,"AAAAAB/+92U=")</f>
        <v>#VALUE!</v>
      </c>
      <c r="CY155" t="e">
        <f>AND('BBP complete'!#REF!,"AAAAAB/+92Y=")</f>
        <v>#REF!</v>
      </c>
      <c r="CZ155" t="e">
        <f>AND('BBP complete'!#REF!,"AAAAAB/+92c=")</f>
        <v>#REF!</v>
      </c>
      <c r="DA155" t="e">
        <f>AND('BBP complete'!#REF!,"AAAAAB/+92g=")</f>
        <v>#REF!</v>
      </c>
      <c r="DB155" t="e">
        <f>AND('BBP complete'!#REF!,"AAAAAB/+92k=")</f>
        <v>#REF!</v>
      </c>
      <c r="DC155" t="e">
        <f>AND('BBP complete'!#REF!,"AAAAAB/+92o=")</f>
        <v>#REF!</v>
      </c>
      <c r="DD155" t="e">
        <f>AND('BBP complete'!#REF!,"AAAAAB/+92s=")</f>
        <v>#REF!</v>
      </c>
      <c r="DE155" t="e">
        <f>AND('BBP complete'!L1801,"AAAAAB/+92w=")</f>
        <v>#VALUE!</v>
      </c>
      <c r="DF155" t="e">
        <f>AND('BBP complete'!C1802,"AAAAAB/+920=")</f>
        <v>#VALUE!</v>
      </c>
      <c r="DG155" t="e">
        <f>AND('BBP complete'!N1806,"AAAAAB/+924=")</f>
        <v>#VALUE!</v>
      </c>
      <c r="DH155" t="e">
        <f>AND('BBP complete'!P1822,"AAAAAB/+928=")</f>
        <v>#VALUE!</v>
      </c>
      <c r="DI155" t="e">
        <f>AND('BBP complete'!Q1822,"AAAAAB/+93A=")</f>
        <v>#VALUE!</v>
      </c>
      <c r="DJ155" t="e">
        <f>AND('BBP complete'!R1822,"AAAAAB/+93E=")</f>
        <v>#VALUE!</v>
      </c>
      <c r="DK155" t="e">
        <f>AND('BBP complete'!S1822,"AAAAAB/+93I=")</f>
        <v>#VALUE!</v>
      </c>
      <c r="DL155" t="e">
        <f>AND('BBP complete'!A1811,"AAAAAB/+93M=")</f>
        <v>#VALUE!</v>
      </c>
      <c r="DM155" t="e">
        <f>AND('BBP complete'!B1807,"AAAAAB/+93Q=")</f>
        <v>#VALUE!</v>
      </c>
      <c r="DN155" t="e">
        <f>AND('BBP complete'!H1807,"AAAAAB/+93U=")</f>
        <v>#VALUE!</v>
      </c>
      <c r="DO155" t="e">
        <f>AND('BBP complete'!I1807,"AAAAAB/+93Y=")</f>
        <v>#VALUE!</v>
      </c>
      <c r="DP155" t="e">
        <f>AND('BBP complete'!G1806,"AAAAAB/+93c=")</f>
        <v>#VALUE!</v>
      </c>
      <c r="DQ155" t="e">
        <f>AND('BBP complete'!#REF!,"AAAAAB/+93g=")</f>
        <v>#REF!</v>
      </c>
      <c r="DR155" t="e">
        <f>AND('BBP complete'!#REF!,"AAAAAB/+93k=")</f>
        <v>#REF!</v>
      </c>
      <c r="DS155" t="e">
        <f>AND('BBP complete'!#REF!,"AAAAAB/+93o=")</f>
        <v>#REF!</v>
      </c>
      <c r="DT155" t="e">
        <f>AND('BBP complete'!#REF!,"AAAAAB/+93s=")</f>
        <v>#REF!</v>
      </c>
      <c r="DU155" t="e">
        <f>AND('BBP complete'!#REF!,"AAAAAB/+93w=")</f>
        <v>#REF!</v>
      </c>
      <c r="DV155" t="e">
        <f>AND('BBP complete'!#REF!,"AAAAAB/+930=")</f>
        <v>#REF!</v>
      </c>
      <c r="DW155" t="e">
        <f>AND('BBP complete'!L1802,"AAAAAB/+934=")</f>
        <v>#VALUE!</v>
      </c>
      <c r="DX155" t="e">
        <f>AND('BBP complete'!C1803,"AAAAAB/+938=")</f>
        <v>#VALUE!</v>
      </c>
      <c r="DY155" t="e">
        <f>AND('BBP complete'!N1807,"AAAAAB/+94A=")</f>
        <v>#VALUE!</v>
      </c>
      <c r="DZ155" t="e">
        <f>AND('BBP complete'!P1823,"AAAAAB/+94E=")</f>
        <v>#VALUE!</v>
      </c>
      <c r="EA155" t="e">
        <f>AND('BBP complete'!Q1823,"AAAAAB/+94I=")</f>
        <v>#VALUE!</v>
      </c>
      <c r="EB155" t="e">
        <f>AND('BBP complete'!R1823,"AAAAAB/+94M=")</f>
        <v>#VALUE!</v>
      </c>
      <c r="EC155" t="e">
        <f>AND('BBP complete'!S1823,"AAAAAB/+94Q=")</f>
        <v>#VALUE!</v>
      </c>
      <c r="ED155" t="e">
        <f>AND('BBP complete'!A1812,"AAAAAB/+94U=")</f>
        <v>#VALUE!</v>
      </c>
      <c r="EE155" t="e">
        <f>AND('BBP complete'!B1808,"AAAAAB/+94Y=")</f>
        <v>#VALUE!</v>
      </c>
      <c r="EF155" t="e">
        <f>AND('BBP complete'!H1808,"AAAAAB/+94c=")</f>
        <v>#VALUE!</v>
      </c>
      <c r="EG155" t="e">
        <f>AND('BBP complete'!I1808,"AAAAAB/+94g=")</f>
        <v>#VALUE!</v>
      </c>
      <c r="EH155" t="e">
        <f>AND('BBP complete'!G1807,"AAAAAB/+94k=")</f>
        <v>#VALUE!</v>
      </c>
      <c r="EI155" t="e">
        <f>AND('BBP complete'!#REF!,"AAAAAB/+94o=")</f>
        <v>#REF!</v>
      </c>
      <c r="EJ155" t="e">
        <f>AND('BBP complete'!#REF!,"AAAAAB/+94s=")</f>
        <v>#REF!</v>
      </c>
      <c r="EK155" t="e">
        <f>AND('BBP complete'!#REF!,"AAAAAB/+94w=")</f>
        <v>#REF!</v>
      </c>
      <c r="EL155" t="e">
        <f>AND('BBP complete'!#REF!,"AAAAAB/+940=")</f>
        <v>#REF!</v>
      </c>
      <c r="EM155" t="e">
        <f>AND('BBP complete'!#REF!,"AAAAAB/+944=")</f>
        <v>#REF!</v>
      </c>
      <c r="EN155" t="e">
        <f>AND('BBP complete'!#REF!,"AAAAAB/+948=")</f>
        <v>#REF!</v>
      </c>
      <c r="EO155" t="e">
        <f>AND('BBP complete'!L1803,"AAAAAB/+95A=")</f>
        <v>#VALUE!</v>
      </c>
      <c r="EP155" t="e">
        <f>AND('BBP complete'!C1804,"AAAAAB/+95E=")</f>
        <v>#VALUE!</v>
      </c>
      <c r="EQ155" t="e">
        <f>AND('BBP complete'!N1808,"AAAAAB/+95I=")</f>
        <v>#VALUE!</v>
      </c>
      <c r="ER155" t="e">
        <f>AND('BBP complete'!P1824,"AAAAAB/+95M=")</f>
        <v>#VALUE!</v>
      </c>
      <c r="ES155" t="e">
        <f>AND('BBP complete'!Q1824,"AAAAAB/+95Q=")</f>
        <v>#VALUE!</v>
      </c>
      <c r="ET155" t="e">
        <f>AND('BBP complete'!R1824,"AAAAAB/+95U=")</f>
        <v>#VALUE!</v>
      </c>
      <c r="EU155" t="e">
        <f>AND('BBP complete'!S1824,"AAAAAB/+95Y=")</f>
        <v>#VALUE!</v>
      </c>
      <c r="EV155" t="e">
        <f>AND('BBP complete'!A1813,"AAAAAB/+95c=")</f>
        <v>#VALUE!</v>
      </c>
      <c r="EW155" t="e">
        <f>AND('BBP complete'!B1809,"AAAAAB/+95g=")</f>
        <v>#VALUE!</v>
      </c>
      <c r="EX155" t="e">
        <f>AND('BBP complete'!H1809,"AAAAAB/+95k=")</f>
        <v>#VALUE!</v>
      </c>
      <c r="EY155" t="e">
        <f>AND('BBP complete'!I1809,"AAAAAB/+95o=")</f>
        <v>#VALUE!</v>
      </c>
      <c r="EZ155" t="e">
        <f>AND('BBP complete'!G1808,"AAAAAB/+95s=")</f>
        <v>#VALUE!</v>
      </c>
      <c r="FA155" t="e">
        <f>AND('BBP complete'!#REF!,"AAAAAB/+95w=")</f>
        <v>#REF!</v>
      </c>
      <c r="FB155" t="e">
        <f>AND('BBP complete'!#REF!,"AAAAAB/+950=")</f>
        <v>#REF!</v>
      </c>
      <c r="FC155" t="e">
        <f>AND('BBP complete'!#REF!,"AAAAAB/+954=")</f>
        <v>#REF!</v>
      </c>
      <c r="FD155" t="e">
        <f>AND('BBP complete'!#REF!,"AAAAAB/+958=")</f>
        <v>#REF!</v>
      </c>
      <c r="FE155" t="e">
        <f>AND('BBP complete'!#REF!,"AAAAAB/+96A=")</f>
        <v>#REF!</v>
      </c>
      <c r="FF155" t="e">
        <f>AND('BBP complete'!#REF!,"AAAAAB/+96E=")</f>
        <v>#REF!</v>
      </c>
      <c r="FG155" t="e">
        <f>AND('BBP complete'!L1804,"AAAAAB/+96I=")</f>
        <v>#VALUE!</v>
      </c>
      <c r="FH155" t="e">
        <f>AND('BBP complete'!C1805,"AAAAAB/+96M=")</f>
        <v>#VALUE!</v>
      </c>
      <c r="FI155" t="e">
        <f>AND('BBP complete'!N1809,"AAAAAB/+96Q=")</f>
        <v>#VALUE!</v>
      </c>
      <c r="FJ155" t="e">
        <f>AND('BBP complete'!P1825,"AAAAAB/+96U=")</f>
        <v>#VALUE!</v>
      </c>
      <c r="FK155" t="e">
        <f>AND('BBP complete'!Q1825,"AAAAAB/+96Y=")</f>
        <v>#VALUE!</v>
      </c>
      <c r="FL155" t="e">
        <f>AND('BBP complete'!R1825,"AAAAAB/+96c=")</f>
        <v>#VALUE!</v>
      </c>
      <c r="FM155" t="e">
        <f>AND('BBP complete'!S1825,"AAAAAB/+96g=")</f>
        <v>#VALUE!</v>
      </c>
      <c r="FN155" t="e">
        <f>AND('BBP complete'!A1814,"AAAAAB/+96k=")</f>
        <v>#VALUE!</v>
      </c>
      <c r="FO155" t="e">
        <f>AND('BBP complete'!B1810,"AAAAAB/+96o=")</f>
        <v>#VALUE!</v>
      </c>
      <c r="FP155" t="e">
        <f>AND('BBP complete'!H1810,"AAAAAB/+96s=")</f>
        <v>#VALUE!</v>
      </c>
      <c r="FQ155" t="e">
        <f>AND('BBP complete'!I1810,"AAAAAB/+96w=")</f>
        <v>#VALUE!</v>
      </c>
      <c r="FR155" t="e">
        <f>AND('BBP complete'!G1809,"AAAAAB/+960=")</f>
        <v>#VALUE!</v>
      </c>
      <c r="FS155" t="e">
        <f>AND('BBP complete'!#REF!,"AAAAAB/+964=")</f>
        <v>#REF!</v>
      </c>
      <c r="FT155" t="e">
        <f>AND('BBP complete'!#REF!,"AAAAAB/+968=")</f>
        <v>#REF!</v>
      </c>
      <c r="FU155" t="e">
        <f>AND('BBP complete'!#REF!,"AAAAAB/+97A=")</f>
        <v>#REF!</v>
      </c>
      <c r="FV155" t="e">
        <f>AND('BBP complete'!#REF!,"AAAAAB/+97E=")</f>
        <v>#REF!</v>
      </c>
      <c r="FW155" t="e">
        <f>AND('BBP complete'!#REF!,"AAAAAB/+97I=")</f>
        <v>#REF!</v>
      </c>
      <c r="FX155" t="e">
        <f>AND('BBP complete'!#REF!,"AAAAAB/+97M=")</f>
        <v>#REF!</v>
      </c>
      <c r="FY155" t="e">
        <f>AND('BBP complete'!L1805,"AAAAAB/+97Q=")</f>
        <v>#VALUE!</v>
      </c>
      <c r="FZ155" t="e">
        <f>AND('BBP complete'!C1806,"AAAAAB/+97U=")</f>
        <v>#VALUE!</v>
      </c>
      <c r="GA155" t="e">
        <f>AND('BBP complete'!N1810,"AAAAAB/+97Y=")</f>
        <v>#VALUE!</v>
      </c>
      <c r="GB155" t="e">
        <f>AND('BBP complete'!P1826,"AAAAAB/+97c=")</f>
        <v>#VALUE!</v>
      </c>
      <c r="GC155" t="e">
        <f>AND('BBP complete'!Q1826,"AAAAAB/+97g=")</f>
        <v>#VALUE!</v>
      </c>
      <c r="GD155" t="e">
        <f>AND('BBP complete'!R1826,"AAAAAB/+97k=")</f>
        <v>#VALUE!</v>
      </c>
      <c r="GE155" t="e">
        <f>AND('BBP complete'!S1826,"AAAAAB/+97o=")</f>
        <v>#VALUE!</v>
      </c>
      <c r="GF155" t="e">
        <f>AND('BBP complete'!A1815,"AAAAAB/+97s=")</f>
        <v>#VALUE!</v>
      </c>
      <c r="GG155" t="e">
        <f>AND('BBP complete'!B1811,"AAAAAB/+97w=")</f>
        <v>#VALUE!</v>
      </c>
      <c r="GH155" t="e">
        <f>AND('BBP complete'!H1811,"AAAAAB/+970=")</f>
        <v>#VALUE!</v>
      </c>
      <c r="GI155" t="e">
        <f>AND('BBP complete'!I1811,"AAAAAB/+974=")</f>
        <v>#VALUE!</v>
      </c>
      <c r="GJ155" t="e">
        <f>AND('BBP complete'!G1810,"AAAAAB/+978=")</f>
        <v>#VALUE!</v>
      </c>
      <c r="GK155" t="e">
        <f>AND('BBP complete'!#REF!,"AAAAAB/+98A=")</f>
        <v>#REF!</v>
      </c>
      <c r="GL155" t="e">
        <f>AND('BBP complete'!#REF!,"AAAAAB/+98E=")</f>
        <v>#REF!</v>
      </c>
      <c r="GM155" t="e">
        <f>AND('BBP complete'!#REF!,"AAAAAB/+98I=")</f>
        <v>#REF!</v>
      </c>
      <c r="GN155" t="e">
        <f>AND('BBP complete'!#REF!,"AAAAAB/+98M=")</f>
        <v>#REF!</v>
      </c>
      <c r="GO155" t="e">
        <f>AND('BBP complete'!#REF!,"AAAAAB/+98Q=")</f>
        <v>#REF!</v>
      </c>
      <c r="GP155" t="e">
        <f>AND('BBP complete'!#REF!,"AAAAAB/+98U=")</f>
        <v>#REF!</v>
      </c>
      <c r="GQ155" t="e">
        <f>AND('BBP complete'!L1806,"AAAAAB/+98Y=")</f>
        <v>#VALUE!</v>
      </c>
      <c r="GR155" t="e">
        <f>AND('BBP complete'!C1807,"AAAAAB/+98c=")</f>
        <v>#VALUE!</v>
      </c>
      <c r="GS155" t="e">
        <f>AND('BBP complete'!N1811,"AAAAAB/+98g=")</f>
        <v>#VALUE!</v>
      </c>
      <c r="GT155" t="e">
        <f>AND('BBP complete'!P1827,"AAAAAB/+98k=")</f>
        <v>#VALUE!</v>
      </c>
      <c r="GU155" t="e">
        <f>AND('BBP complete'!Q1827,"AAAAAB/+98o=")</f>
        <v>#VALUE!</v>
      </c>
      <c r="GV155" t="e">
        <f>AND('BBP complete'!R1827,"AAAAAB/+98s=")</f>
        <v>#VALUE!</v>
      </c>
      <c r="GW155" t="e">
        <f>AND('BBP complete'!S1827,"AAAAAB/+98w=")</f>
        <v>#VALUE!</v>
      </c>
      <c r="GX155" t="e">
        <f>AND('BBP complete'!A1816,"AAAAAB/+980=")</f>
        <v>#VALUE!</v>
      </c>
      <c r="GY155" t="e">
        <f>AND('BBP complete'!B1812,"AAAAAB/+984=")</f>
        <v>#VALUE!</v>
      </c>
      <c r="GZ155" t="e">
        <f>AND('BBP complete'!H1812,"AAAAAB/+988=")</f>
        <v>#VALUE!</v>
      </c>
      <c r="HA155" t="e">
        <f>AND('BBP complete'!I1812,"AAAAAB/+99A=")</f>
        <v>#VALUE!</v>
      </c>
      <c r="HB155" t="e">
        <f>AND('BBP complete'!G1811,"AAAAAB/+99E=")</f>
        <v>#VALUE!</v>
      </c>
      <c r="HC155" t="e">
        <f>AND('BBP complete'!#REF!,"AAAAAB/+99I=")</f>
        <v>#REF!</v>
      </c>
      <c r="HD155" t="e">
        <f>AND('BBP complete'!#REF!,"AAAAAB/+99M=")</f>
        <v>#REF!</v>
      </c>
      <c r="HE155" t="e">
        <f>AND('BBP complete'!#REF!,"AAAAAB/+99Q=")</f>
        <v>#REF!</v>
      </c>
      <c r="HF155" t="e">
        <f>AND('BBP complete'!#REF!,"AAAAAB/+99U=")</f>
        <v>#REF!</v>
      </c>
      <c r="HG155" t="e">
        <f>AND('BBP complete'!#REF!,"AAAAAB/+99Y=")</f>
        <v>#REF!</v>
      </c>
      <c r="HH155" t="e">
        <f>AND('BBP complete'!#REF!,"AAAAAB/+99c=")</f>
        <v>#REF!</v>
      </c>
      <c r="HI155" t="e">
        <f>AND('BBP complete'!L1807,"AAAAAB/+99g=")</f>
        <v>#VALUE!</v>
      </c>
      <c r="HJ155" t="e">
        <f>AND('BBP complete'!C1808,"AAAAAB/+99k=")</f>
        <v>#VALUE!</v>
      </c>
      <c r="HK155" t="e">
        <f>AND('BBP complete'!N1812,"AAAAAB/+99o=")</f>
        <v>#VALUE!</v>
      </c>
      <c r="HL155" t="e">
        <f>AND('BBP complete'!P1828,"AAAAAB/+99s=")</f>
        <v>#VALUE!</v>
      </c>
      <c r="HM155" t="e">
        <f>AND('BBP complete'!Q1828,"AAAAAB/+99w=")</f>
        <v>#VALUE!</v>
      </c>
      <c r="HN155" t="e">
        <f>AND('BBP complete'!R1828,"AAAAAB/+990=")</f>
        <v>#VALUE!</v>
      </c>
      <c r="HO155" t="e">
        <f>AND('BBP complete'!S1828,"AAAAAB/+994=")</f>
        <v>#VALUE!</v>
      </c>
      <c r="HP155" t="e">
        <f>AND('BBP complete'!A1817,"AAAAAB/+998=")</f>
        <v>#VALUE!</v>
      </c>
      <c r="HQ155" t="e">
        <f>AND('BBP complete'!B1813,"AAAAAB/+9+A=")</f>
        <v>#VALUE!</v>
      </c>
      <c r="HR155" t="e">
        <f>AND('BBP complete'!H1813,"AAAAAB/+9+E=")</f>
        <v>#VALUE!</v>
      </c>
      <c r="HS155" t="e">
        <f>AND('BBP complete'!I1813,"AAAAAB/+9+I=")</f>
        <v>#VALUE!</v>
      </c>
      <c r="HT155" t="e">
        <f>AND('BBP complete'!G1812,"AAAAAB/+9+M=")</f>
        <v>#VALUE!</v>
      </c>
      <c r="HU155" t="e">
        <f>AND('BBP complete'!#REF!,"AAAAAB/+9+Q=")</f>
        <v>#REF!</v>
      </c>
      <c r="HV155" t="e">
        <f>AND('BBP complete'!#REF!,"AAAAAB/+9+U=")</f>
        <v>#REF!</v>
      </c>
      <c r="HW155" t="e">
        <f>AND('BBP complete'!#REF!,"AAAAAB/+9+Y=")</f>
        <v>#REF!</v>
      </c>
      <c r="HX155" t="e">
        <f>AND('BBP complete'!#REF!,"AAAAAB/+9+c=")</f>
        <v>#REF!</v>
      </c>
      <c r="HY155" t="e">
        <f>AND('BBP complete'!#REF!,"AAAAAB/+9+g=")</f>
        <v>#REF!</v>
      </c>
      <c r="HZ155" t="e">
        <f>AND('BBP complete'!#REF!,"AAAAAB/+9+k=")</f>
        <v>#REF!</v>
      </c>
      <c r="IA155" t="e">
        <f>AND('BBP complete'!L1808,"AAAAAB/+9+o=")</f>
        <v>#VALUE!</v>
      </c>
      <c r="IB155" t="e">
        <f>AND('BBP complete'!C1809,"AAAAAB/+9+s=")</f>
        <v>#VALUE!</v>
      </c>
      <c r="IC155" t="e">
        <f>AND('BBP complete'!N1813,"AAAAAB/+9+w=")</f>
        <v>#VALUE!</v>
      </c>
      <c r="ID155" t="e">
        <f>AND('BBP complete'!P1829,"AAAAAB/+9+0=")</f>
        <v>#VALUE!</v>
      </c>
      <c r="IE155" t="e">
        <f>AND('BBP complete'!Q1829,"AAAAAB/+9+4=")</f>
        <v>#VALUE!</v>
      </c>
      <c r="IF155" t="e">
        <f>AND('BBP complete'!R1829,"AAAAAB/+9+8=")</f>
        <v>#VALUE!</v>
      </c>
      <c r="IG155" t="e">
        <f>AND('BBP complete'!S1829,"AAAAAB/+9/A=")</f>
        <v>#VALUE!</v>
      </c>
      <c r="IH155" t="e">
        <f>AND('BBP complete'!A1818,"AAAAAB/+9/E=")</f>
        <v>#VALUE!</v>
      </c>
      <c r="II155" t="e">
        <f>AND('BBP complete'!B1814,"AAAAAB/+9/I=")</f>
        <v>#VALUE!</v>
      </c>
      <c r="IJ155" t="e">
        <f>AND('BBP complete'!H1814,"AAAAAB/+9/M=")</f>
        <v>#VALUE!</v>
      </c>
      <c r="IK155" t="e">
        <f>AND('BBP complete'!I1814,"AAAAAB/+9/Q=")</f>
        <v>#VALUE!</v>
      </c>
      <c r="IL155" t="e">
        <f>AND('BBP complete'!G1813,"AAAAAB/+9/U=")</f>
        <v>#VALUE!</v>
      </c>
      <c r="IM155" t="e">
        <f>AND('BBP complete'!#REF!,"AAAAAB/+9/Y=")</f>
        <v>#REF!</v>
      </c>
      <c r="IN155" t="e">
        <f>AND('BBP complete'!#REF!,"AAAAAB/+9/c=")</f>
        <v>#REF!</v>
      </c>
      <c r="IO155" t="e">
        <f>AND('BBP complete'!#REF!,"AAAAAB/+9/g=")</f>
        <v>#REF!</v>
      </c>
      <c r="IP155" t="e">
        <f>AND('BBP complete'!#REF!,"AAAAAB/+9/k=")</f>
        <v>#REF!</v>
      </c>
      <c r="IQ155" t="e">
        <f>AND('BBP complete'!#REF!,"AAAAAB/+9/o=")</f>
        <v>#REF!</v>
      </c>
      <c r="IR155" t="e">
        <f>AND('BBP complete'!#REF!,"AAAAAB/+9/s=")</f>
        <v>#REF!</v>
      </c>
      <c r="IS155" t="e">
        <f>AND('BBP complete'!L1809,"AAAAAB/+9/w=")</f>
        <v>#VALUE!</v>
      </c>
      <c r="IT155" t="e">
        <f>AND('BBP complete'!C1810,"AAAAAB/+9/0=")</f>
        <v>#VALUE!</v>
      </c>
      <c r="IU155" t="e">
        <f>AND('BBP complete'!N1814,"AAAAAB/+9/4=")</f>
        <v>#VALUE!</v>
      </c>
      <c r="IV155" t="e">
        <f>AND('BBP complete'!P1830,"AAAAAB/+9/8=")</f>
        <v>#VALUE!</v>
      </c>
    </row>
    <row r="156" spans="1:256" ht="15" customHeight="1" x14ac:dyDescent="0.25">
      <c r="A156" t="e">
        <f>AND('BBP complete'!Q1830,"AAAAAE/Y9wA=")</f>
        <v>#VALUE!</v>
      </c>
      <c r="B156" t="e">
        <f>AND('BBP complete'!R1830,"AAAAAE/Y9wE=")</f>
        <v>#VALUE!</v>
      </c>
      <c r="C156" t="e">
        <f>AND('BBP complete'!S1830,"AAAAAE/Y9wI=")</f>
        <v>#VALUE!</v>
      </c>
      <c r="D156" t="e">
        <f>AND('BBP complete'!A1819,"AAAAAE/Y9wM=")</f>
        <v>#VALUE!</v>
      </c>
      <c r="E156" t="e">
        <f>AND('BBP complete'!B1815,"AAAAAE/Y9wQ=")</f>
        <v>#VALUE!</v>
      </c>
      <c r="F156" t="e">
        <f>AND('BBP complete'!H1815,"AAAAAE/Y9wU=")</f>
        <v>#VALUE!</v>
      </c>
      <c r="G156" t="e">
        <f>AND('BBP complete'!I1815,"AAAAAE/Y9wY=")</f>
        <v>#VALUE!</v>
      </c>
      <c r="H156" t="e">
        <f>AND('BBP complete'!G1814,"AAAAAE/Y9wc=")</f>
        <v>#VALUE!</v>
      </c>
      <c r="I156" t="e">
        <f>AND('BBP complete'!#REF!,"AAAAAE/Y9wg=")</f>
        <v>#REF!</v>
      </c>
      <c r="J156" t="e">
        <f>AND('BBP complete'!#REF!,"AAAAAE/Y9wk=")</f>
        <v>#REF!</v>
      </c>
      <c r="K156" t="e">
        <f>AND('BBP complete'!#REF!,"AAAAAE/Y9wo=")</f>
        <v>#REF!</v>
      </c>
      <c r="L156" t="e">
        <f>AND('BBP complete'!#REF!,"AAAAAE/Y9ws=")</f>
        <v>#REF!</v>
      </c>
      <c r="M156" t="e">
        <f>AND('BBP complete'!#REF!,"AAAAAE/Y9ww=")</f>
        <v>#REF!</v>
      </c>
      <c r="N156" t="e">
        <f>AND('BBP complete'!#REF!,"AAAAAE/Y9w0=")</f>
        <v>#REF!</v>
      </c>
      <c r="O156" t="e">
        <f>AND('BBP complete'!L1810,"AAAAAE/Y9w4=")</f>
        <v>#VALUE!</v>
      </c>
      <c r="P156" t="e">
        <f>AND('BBP complete'!C1811,"AAAAAE/Y9w8=")</f>
        <v>#VALUE!</v>
      </c>
      <c r="Q156" t="e">
        <f>AND('BBP complete'!N1815,"AAAAAE/Y9xA=")</f>
        <v>#VALUE!</v>
      </c>
      <c r="R156" t="e">
        <f>AND('BBP complete'!P1831,"AAAAAE/Y9xE=")</f>
        <v>#VALUE!</v>
      </c>
      <c r="S156" t="e">
        <f>AND('BBP complete'!Q1831,"AAAAAE/Y9xI=")</f>
        <v>#VALUE!</v>
      </c>
      <c r="T156" t="e">
        <f>AND('BBP complete'!R1831,"AAAAAE/Y9xM=")</f>
        <v>#VALUE!</v>
      </c>
      <c r="U156" t="e">
        <f>AND('BBP complete'!S1831,"AAAAAE/Y9xQ=")</f>
        <v>#VALUE!</v>
      </c>
      <c r="V156" t="e">
        <f>AND('BBP complete'!A1820,"AAAAAE/Y9xU=")</f>
        <v>#VALUE!</v>
      </c>
      <c r="W156" t="e">
        <f>AND('BBP complete'!B1816,"AAAAAE/Y9xY=")</f>
        <v>#VALUE!</v>
      </c>
      <c r="X156" t="e">
        <f>AND('BBP complete'!H1816,"AAAAAE/Y9xc=")</f>
        <v>#VALUE!</v>
      </c>
      <c r="Y156" t="e">
        <f>AND('BBP complete'!I1816,"AAAAAE/Y9xg=")</f>
        <v>#VALUE!</v>
      </c>
      <c r="Z156" t="e">
        <f>AND('BBP complete'!G1815,"AAAAAE/Y9xk=")</f>
        <v>#VALUE!</v>
      </c>
      <c r="AA156" t="e">
        <f>AND('BBP complete'!#REF!,"AAAAAE/Y9xo=")</f>
        <v>#REF!</v>
      </c>
      <c r="AB156" t="e">
        <f>AND('BBP complete'!#REF!,"AAAAAE/Y9xs=")</f>
        <v>#REF!</v>
      </c>
      <c r="AC156" t="e">
        <f>AND('BBP complete'!#REF!,"AAAAAE/Y9xw=")</f>
        <v>#REF!</v>
      </c>
      <c r="AD156" t="e">
        <f>AND('BBP complete'!#REF!,"AAAAAE/Y9x0=")</f>
        <v>#REF!</v>
      </c>
      <c r="AE156" t="e">
        <f>AND('BBP complete'!#REF!,"AAAAAE/Y9x4=")</f>
        <v>#REF!</v>
      </c>
      <c r="AF156" t="e">
        <f>AND('BBP complete'!#REF!,"AAAAAE/Y9x8=")</f>
        <v>#REF!</v>
      </c>
      <c r="AG156" t="e">
        <f>AND('BBP complete'!L1811,"AAAAAE/Y9yA=")</f>
        <v>#VALUE!</v>
      </c>
      <c r="AH156" t="e">
        <f>AND('BBP complete'!C1812,"AAAAAE/Y9yE=")</f>
        <v>#VALUE!</v>
      </c>
      <c r="AI156" t="e">
        <f>AND('BBP complete'!N1816,"AAAAAE/Y9yI=")</f>
        <v>#VALUE!</v>
      </c>
      <c r="AJ156" t="e">
        <f>AND('BBP complete'!P1832,"AAAAAE/Y9yM=")</f>
        <v>#VALUE!</v>
      </c>
      <c r="AK156" t="e">
        <f>AND('BBP complete'!Q1832,"AAAAAE/Y9yQ=")</f>
        <v>#VALUE!</v>
      </c>
      <c r="AL156" t="e">
        <f>AND('BBP complete'!R1832,"AAAAAE/Y9yU=")</f>
        <v>#VALUE!</v>
      </c>
      <c r="AM156" t="e">
        <f>AND('BBP complete'!S1832,"AAAAAE/Y9yY=")</f>
        <v>#VALUE!</v>
      </c>
      <c r="AN156" t="e">
        <f>AND('BBP complete'!A1821,"AAAAAE/Y9yc=")</f>
        <v>#VALUE!</v>
      </c>
      <c r="AO156" t="e">
        <f>AND('BBP complete'!B1817,"AAAAAE/Y9yg=")</f>
        <v>#VALUE!</v>
      </c>
      <c r="AP156" t="e">
        <f>AND('BBP complete'!H1817,"AAAAAE/Y9yk=")</f>
        <v>#VALUE!</v>
      </c>
      <c r="AQ156" t="e">
        <f>AND('BBP complete'!I1817,"AAAAAE/Y9yo=")</f>
        <v>#VALUE!</v>
      </c>
      <c r="AR156" t="e">
        <f>AND('BBP complete'!G1816,"AAAAAE/Y9ys=")</f>
        <v>#VALUE!</v>
      </c>
      <c r="AS156" t="e">
        <f>AND('BBP complete'!#REF!,"AAAAAE/Y9yw=")</f>
        <v>#REF!</v>
      </c>
      <c r="AT156" t="e">
        <f>AND('BBP complete'!#REF!,"AAAAAE/Y9y0=")</f>
        <v>#REF!</v>
      </c>
      <c r="AU156" t="e">
        <f>AND('BBP complete'!#REF!,"AAAAAE/Y9y4=")</f>
        <v>#REF!</v>
      </c>
      <c r="AV156" t="e">
        <f>AND('BBP complete'!#REF!,"AAAAAE/Y9y8=")</f>
        <v>#REF!</v>
      </c>
      <c r="AW156" t="e">
        <f>AND('BBP complete'!#REF!,"AAAAAE/Y9zA=")</f>
        <v>#REF!</v>
      </c>
      <c r="AX156" t="e">
        <f>AND('BBP complete'!#REF!,"AAAAAE/Y9zE=")</f>
        <v>#REF!</v>
      </c>
      <c r="AY156" t="e">
        <f>AND('BBP complete'!L1812,"AAAAAE/Y9zI=")</f>
        <v>#VALUE!</v>
      </c>
      <c r="AZ156" t="e">
        <f>AND('BBP complete'!C1813,"AAAAAE/Y9zM=")</f>
        <v>#VALUE!</v>
      </c>
      <c r="BA156" t="e">
        <f>AND('BBP complete'!N1817,"AAAAAE/Y9zQ=")</f>
        <v>#VALUE!</v>
      </c>
      <c r="BB156" t="e">
        <f>AND('BBP complete'!P1833,"AAAAAE/Y9zU=")</f>
        <v>#VALUE!</v>
      </c>
      <c r="BC156" t="e">
        <f>AND('BBP complete'!Q1833,"AAAAAE/Y9zY=")</f>
        <v>#VALUE!</v>
      </c>
      <c r="BD156" t="e">
        <f>AND('BBP complete'!R1833,"AAAAAE/Y9zc=")</f>
        <v>#VALUE!</v>
      </c>
      <c r="BE156" t="e">
        <f>AND('BBP complete'!S1833,"AAAAAE/Y9zg=")</f>
        <v>#VALUE!</v>
      </c>
      <c r="BF156" t="e">
        <f>AND('BBP complete'!A1822,"AAAAAE/Y9zk=")</f>
        <v>#VALUE!</v>
      </c>
      <c r="BG156" t="e">
        <f>AND('BBP complete'!B1818,"AAAAAE/Y9zo=")</f>
        <v>#VALUE!</v>
      </c>
      <c r="BH156" t="e">
        <f>AND('BBP complete'!H1818,"AAAAAE/Y9zs=")</f>
        <v>#VALUE!</v>
      </c>
      <c r="BI156" t="e">
        <f>AND('BBP complete'!I1818,"AAAAAE/Y9zw=")</f>
        <v>#VALUE!</v>
      </c>
      <c r="BJ156" t="e">
        <f>AND('BBP complete'!G1817,"AAAAAE/Y9z0=")</f>
        <v>#VALUE!</v>
      </c>
      <c r="BK156" t="e">
        <f>AND('BBP complete'!#REF!,"AAAAAE/Y9z4=")</f>
        <v>#REF!</v>
      </c>
      <c r="BL156" t="e">
        <f>AND('BBP complete'!#REF!,"AAAAAE/Y9z8=")</f>
        <v>#REF!</v>
      </c>
      <c r="BM156" t="e">
        <f>AND('BBP complete'!#REF!,"AAAAAE/Y90A=")</f>
        <v>#REF!</v>
      </c>
      <c r="BN156" t="e">
        <f>AND('BBP complete'!#REF!,"AAAAAE/Y90E=")</f>
        <v>#REF!</v>
      </c>
      <c r="BO156" t="e">
        <f>AND('BBP complete'!#REF!,"AAAAAE/Y90I=")</f>
        <v>#REF!</v>
      </c>
      <c r="BP156" t="e">
        <f>AND('BBP complete'!#REF!,"AAAAAE/Y90M=")</f>
        <v>#REF!</v>
      </c>
      <c r="BQ156" t="e">
        <f>AND('BBP complete'!L1813,"AAAAAE/Y90Q=")</f>
        <v>#VALUE!</v>
      </c>
      <c r="BR156" t="e">
        <f>AND('BBP complete'!C1814,"AAAAAE/Y90U=")</f>
        <v>#VALUE!</v>
      </c>
      <c r="BS156" t="e">
        <f>AND('BBP complete'!N1818,"AAAAAE/Y90Y=")</f>
        <v>#VALUE!</v>
      </c>
      <c r="BT156" t="e">
        <f>AND('BBP complete'!P1834,"AAAAAE/Y90c=")</f>
        <v>#VALUE!</v>
      </c>
      <c r="BU156" t="e">
        <f>AND('BBP complete'!Q1834,"AAAAAE/Y90g=")</f>
        <v>#VALUE!</v>
      </c>
      <c r="BV156" t="e">
        <f>AND('BBP complete'!R1834,"AAAAAE/Y90k=")</f>
        <v>#VALUE!</v>
      </c>
      <c r="BW156" t="e">
        <f>AND('BBP complete'!S1834,"AAAAAE/Y90o=")</f>
        <v>#VALUE!</v>
      </c>
      <c r="BX156" t="e">
        <f>AND('BBP complete'!A1823,"AAAAAE/Y90s=")</f>
        <v>#VALUE!</v>
      </c>
      <c r="BY156" t="e">
        <f>AND('BBP complete'!B1819,"AAAAAE/Y90w=")</f>
        <v>#VALUE!</v>
      </c>
      <c r="BZ156" t="e">
        <f>AND('BBP complete'!H1819,"AAAAAE/Y900=")</f>
        <v>#VALUE!</v>
      </c>
      <c r="CA156" t="e">
        <f>AND('BBP complete'!I1819,"AAAAAE/Y904=")</f>
        <v>#VALUE!</v>
      </c>
      <c r="CB156" t="e">
        <f>AND('BBP complete'!G1818,"AAAAAE/Y908=")</f>
        <v>#VALUE!</v>
      </c>
      <c r="CC156" t="e">
        <f>AND('BBP complete'!#REF!,"AAAAAE/Y91A=")</f>
        <v>#REF!</v>
      </c>
      <c r="CD156" t="e">
        <f>AND('BBP complete'!#REF!,"AAAAAE/Y91E=")</f>
        <v>#REF!</v>
      </c>
      <c r="CE156" t="e">
        <f>AND('BBP complete'!#REF!,"AAAAAE/Y91I=")</f>
        <v>#REF!</v>
      </c>
      <c r="CF156" t="e">
        <f>AND('BBP complete'!#REF!,"AAAAAE/Y91M=")</f>
        <v>#REF!</v>
      </c>
      <c r="CG156" t="e">
        <f>AND('BBP complete'!#REF!,"AAAAAE/Y91Q=")</f>
        <v>#REF!</v>
      </c>
      <c r="CH156" t="e">
        <f>AND('BBP complete'!#REF!,"AAAAAE/Y91U=")</f>
        <v>#REF!</v>
      </c>
      <c r="CI156" t="e">
        <f>AND('BBP complete'!L1814,"AAAAAE/Y91Y=")</f>
        <v>#VALUE!</v>
      </c>
      <c r="CJ156" t="e">
        <f>AND('BBP complete'!C1815,"AAAAAE/Y91c=")</f>
        <v>#VALUE!</v>
      </c>
      <c r="CK156" t="e">
        <f>AND('BBP complete'!N1819,"AAAAAE/Y91g=")</f>
        <v>#VALUE!</v>
      </c>
      <c r="CL156" t="e">
        <f>AND('BBP complete'!P1835,"AAAAAE/Y91k=")</f>
        <v>#VALUE!</v>
      </c>
      <c r="CM156" t="e">
        <f>AND('BBP complete'!Q1835,"AAAAAE/Y91o=")</f>
        <v>#VALUE!</v>
      </c>
      <c r="CN156" t="e">
        <f>AND('BBP complete'!R1835,"AAAAAE/Y91s=")</f>
        <v>#VALUE!</v>
      </c>
      <c r="CO156" t="e">
        <f>AND('BBP complete'!S1835,"AAAAAE/Y91w=")</f>
        <v>#VALUE!</v>
      </c>
      <c r="CP156" t="e">
        <f>AND('BBP complete'!A1824,"AAAAAE/Y910=")</f>
        <v>#VALUE!</v>
      </c>
      <c r="CQ156" t="e">
        <f>AND('BBP complete'!B1820,"AAAAAE/Y914=")</f>
        <v>#VALUE!</v>
      </c>
      <c r="CR156" t="e">
        <f>AND('BBP complete'!H1820,"AAAAAE/Y918=")</f>
        <v>#VALUE!</v>
      </c>
      <c r="CS156" t="e">
        <f>AND('BBP complete'!I1820,"AAAAAE/Y92A=")</f>
        <v>#VALUE!</v>
      </c>
      <c r="CT156" t="e">
        <f>AND('BBP complete'!G1819,"AAAAAE/Y92E=")</f>
        <v>#VALUE!</v>
      </c>
      <c r="CU156" t="e">
        <f>AND('BBP complete'!#REF!,"AAAAAE/Y92I=")</f>
        <v>#REF!</v>
      </c>
      <c r="CV156" t="e">
        <f>AND('BBP complete'!#REF!,"AAAAAE/Y92M=")</f>
        <v>#REF!</v>
      </c>
      <c r="CW156" t="e">
        <f>AND('BBP complete'!#REF!,"AAAAAE/Y92Q=")</f>
        <v>#REF!</v>
      </c>
      <c r="CX156" t="e">
        <f>AND('BBP complete'!#REF!,"AAAAAE/Y92U=")</f>
        <v>#REF!</v>
      </c>
      <c r="CY156" t="e">
        <f>AND('BBP complete'!#REF!,"AAAAAE/Y92Y=")</f>
        <v>#REF!</v>
      </c>
      <c r="CZ156" t="e">
        <f>AND('BBP complete'!#REF!,"AAAAAE/Y92c=")</f>
        <v>#REF!</v>
      </c>
      <c r="DA156" t="e">
        <f>AND('BBP complete'!L1815,"AAAAAE/Y92g=")</f>
        <v>#VALUE!</v>
      </c>
      <c r="DB156" t="e">
        <f>AND('BBP complete'!C1816,"AAAAAE/Y92k=")</f>
        <v>#VALUE!</v>
      </c>
      <c r="DC156" t="e">
        <f>AND('BBP complete'!N1820,"AAAAAE/Y92o=")</f>
        <v>#VALUE!</v>
      </c>
      <c r="DD156" t="e">
        <f>AND('BBP complete'!P1836,"AAAAAE/Y92s=")</f>
        <v>#VALUE!</v>
      </c>
      <c r="DE156" t="e">
        <f>AND('BBP complete'!Q1836,"AAAAAE/Y92w=")</f>
        <v>#VALUE!</v>
      </c>
      <c r="DF156" t="e">
        <f>AND('BBP complete'!R1836,"AAAAAE/Y920=")</f>
        <v>#VALUE!</v>
      </c>
      <c r="DG156" t="e">
        <f>AND('BBP complete'!S1836,"AAAAAE/Y924=")</f>
        <v>#VALUE!</v>
      </c>
      <c r="DH156" t="e">
        <f>AND('BBP complete'!A1825,"AAAAAE/Y928=")</f>
        <v>#VALUE!</v>
      </c>
      <c r="DI156" t="e">
        <f>AND('BBP complete'!B1821,"AAAAAE/Y93A=")</f>
        <v>#VALUE!</v>
      </c>
      <c r="DJ156" t="e">
        <f>AND('BBP complete'!H1821,"AAAAAE/Y93E=")</f>
        <v>#VALUE!</v>
      </c>
      <c r="DK156" t="e">
        <f>AND('BBP complete'!I1821,"AAAAAE/Y93I=")</f>
        <v>#VALUE!</v>
      </c>
      <c r="DL156" t="e">
        <f>AND('BBP complete'!G1820,"AAAAAE/Y93M=")</f>
        <v>#VALUE!</v>
      </c>
      <c r="DM156" t="e">
        <f>AND('BBP complete'!#REF!,"AAAAAE/Y93Q=")</f>
        <v>#REF!</v>
      </c>
      <c r="DN156" t="e">
        <f>AND('BBP complete'!#REF!,"AAAAAE/Y93U=")</f>
        <v>#REF!</v>
      </c>
      <c r="DO156" t="e">
        <f>AND('BBP complete'!#REF!,"AAAAAE/Y93Y=")</f>
        <v>#REF!</v>
      </c>
      <c r="DP156" t="e">
        <f>AND('BBP complete'!#REF!,"AAAAAE/Y93c=")</f>
        <v>#REF!</v>
      </c>
      <c r="DQ156" t="e">
        <f>AND('BBP complete'!#REF!,"AAAAAE/Y93g=")</f>
        <v>#REF!</v>
      </c>
      <c r="DR156" t="e">
        <f>AND('BBP complete'!#REF!,"AAAAAE/Y93k=")</f>
        <v>#REF!</v>
      </c>
      <c r="DS156" t="e">
        <f>AND('BBP complete'!L1816,"AAAAAE/Y93o=")</f>
        <v>#VALUE!</v>
      </c>
      <c r="DT156" t="e">
        <f>AND('BBP complete'!C1817,"AAAAAE/Y93s=")</f>
        <v>#VALUE!</v>
      </c>
      <c r="DU156" t="e">
        <f>AND('BBP complete'!N1821,"AAAAAE/Y93w=")</f>
        <v>#VALUE!</v>
      </c>
      <c r="DV156" t="e">
        <f>AND('BBP complete'!P1837,"AAAAAE/Y930=")</f>
        <v>#VALUE!</v>
      </c>
      <c r="DW156" t="e">
        <f>AND('BBP complete'!Q1837,"AAAAAE/Y934=")</f>
        <v>#VALUE!</v>
      </c>
      <c r="DX156" t="e">
        <f>AND('BBP complete'!R1837,"AAAAAE/Y938=")</f>
        <v>#VALUE!</v>
      </c>
      <c r="DY156" t="e">
        <f>AND('BBP complete'!S1837,"AAAAAE/Y94A=")</f>
        <v>#VALUE!</v>
      </c>
      <c r="DZ156" t="e">
        <f>AND('BBP complete'!A1826,"AAAAAE/Y94E=")</f>
        <v>#VALUE!</v>
      </c>
      <c r="EA156" t="e">
        <f>AND('BBP complete'!B1822,"AAAAAE/Y94I=")</f>
        <v>#VALUE!</v>
      </c>
      <c r="EB156" t="e">
        <f>AND('BBP complete'!H1822,"AAAAAE/Y94M=")</f>
        <v>#VALUE!</v>
      </c>
      <c r="EC156" t="e">
        <f>AND('BBP complete'!I1822,"AAAAAE/Y94Q=")</f>
        <v>#VALUE!</v>
      </c>
      <c r="ED156" t="e">
        <f>AND('BBP complete'!G1821,"AAAAAE/Y94U=")</f>
        <v>#VALUE!</v>
      </c>
      <c r="EE156" t="e">
        <f>AND('BBP complete'!#REF!,"AAAAAE/Y94Y=")</f>
        <v>#REF!</v>
      </c>
      <c r="EF156" t="e">
        <f>AND('BBP complete'!#REF!,"AAAAAE/Y94c=")</f>
        <v>#REF!</v>
      </c>
      <c r="EG156" t="e">
        <f>AND('BBP complete'!#REF!,"AAAAAE/Y94g=")</f>
        <v>#REF!</v>
      </c>
      <c r="EH156" t="e">
        <f>AND('BBP complete'!#REF!,"AAAAAE/Y94k=")</f>
        <v>#REF!</v>
      </c>
      <c r="EI156" t="e">
        <f>AND('BBP complete'!#REF!,"AAAAAE/Y94o=")</f>
        <v>#REF!</v>
      </c>
      <c r="EJ156" t="e">
        <f>AND('BBP complete'!#REF!,"AAAAAE/Y94s=")</f>
        <v>#REF!</v>
      </c>
      <c r="EK156" t="e">
        <f>AND('BBP complete'!L1817,"AAAAAE/Y94w=")</f>
        <v>#VALUE!</v>
      </c>
      <c r="EL156" t="e">
        <f>AND('BBP complete'!C1818,"AAAAAE/Y940=")</f>
        <v>#VALUE!</v>
      </c>
      <c r="EM156" t="e">
        <f>AND('BBP complete'!N1822,"AAAAAE/Y944=")</f>
        <v>#VALUE!</v>
      </c>
      <c r="EN156" t="e">
        <f>AND('BBP complete'!P1838,"AAAAAE/Y948=")</f>
        <v>#VALUE!</v>
      </c>
      <c r="EO156" t="e">
        <f>AND('BBP complete'!Q1838,"AAAAAE/Y95A=")</f>
        <v>#VALUE!</v>
      </c>
      <c r="EP156" t="e">
        <f>AND('BBP complete'!R1838,"AAAAAE/Y95E=")</f>
        <v>#VALUE!</v>
      </c>
      <c r="EQ156" t="e">
        <f>AND('BBP complete'!S1838,"AAAAAE/Y95I=")</f>
        <v>#VALUE!</v>
      </c>
      <c r="ER156" t="e">
        <f>AND('BBP complete'!A1827,"AAAAAE/Y95M=")</f>
        <v>#VALUE!</v>
      </c>
      <c r="ES156" t="e">
        <f>AND('BBP complete'!B1823,"AAAAAE/Y95Q=")</f>
        <v>#VALUE!</v>
      </c>
      <c r="ET156" t="e">
        <f>AND('BBP complete'!H1823,"AAAAAE/Y95U=")</f>
        <v>#VALUE!</v>
      </c>
      <c r="EU156" t="e">
        <f>AND('BBP complete'!I1823,"AAAAAE/Y95Y=")</f>
        <v>#VALUE!</v>
      </c>
      <c r="EV156" t="e">
        <f>AND('BBP complete'!G1822,"AAAAAE/Y95c=")</f>
        <v>#VALUE!</v>
      </c>
      <c r="EW156" t="e">
        <f>AND('BBP complete'!#REF!,"AAAAAE/Y95g=")</f>
        <v>#REF!</v>
      </c>
      <c r="EX156" t="e">
        <f>AND('BBP complete'!#REF!,"AAAAAE/Y95k=")</f>
        <v>#REF!</v>
      </c>
      <c r="EY156" t="e">
        <f>AND('BBP complete'!#REF!,"AAAAAE/Y95o=")</f>
        <v>#REF!</v>
      </c>
      <c r="EZ156" t="e">
        <f>AND('BBP complete'!#REF!,"AAAAAE/Y95s=")</f>
        <v>#REF!</v>
      </c>
      <c r="FA156" t="e">
        <f>AND('BBP complete'!#REF!,"AAAAAE/Y95w=")</f>
        <v>#REF!</v>
      </c>
      <c r="FB156" t="e">
        <f>AND('BBP complete'!#REF!,"AAAAAE/Y950=")</f>
        <v>#REF!</v>
      </c>
      <c r="FC156" t="e">
        <f>AND('BBP complete'!L1818,"AAAAAE/Y954=")</f>
        <v>#VALUE!</v>
      </c>
      <c r="FD156" t="e">
        <f>AND('BBP complete'!C1819,"AAAAAE/Y958=")</f>
        <v>#VALUE!</v>
      </c>
      <c r="FE156" t="e">
        <f>AND('BBP complete'!N1823,"AAAAAE/Y96A=")</f>
        <v>#VALUE!</v>
      </c>
      <c r="FF156" t="e">
        <f>AND('BBP complete'!P1839,"AAAAAE/Y96E=")</f>
        <v>#VALUE!</v>
      </c>
      <c r="FG156" t="e">
        <f>AND('BBP complete'!Q1839,"AAAAAE/Y96I=")</f>
        <v>#VALUE!</v>
      </c>
      <c r="FH156" t="e">
        <f>AND('BBP complete'!R1839,"AAAAAE/Y96M=")</f>
        <v>#VALUE!</v>
      </c>
      <c r="FI156" t="e">
        <f>AND('BBP complete'!S1839,"AAAAAE/Y96Q=")</f>
        <v>#VALUE!</v>
      </c>
      <c r="FJ156" t="e">
        <f>AND('BBP complete'!A1828,"AAAAAE/Y96U=")</f>
        <v>#VALUE!</v>
      </c>
      <c r="FK156" t="e">
        <f>AND('BBP complete'!B1824,"AAAAAE/Y96Y=")</f>
        <v>#VALUE!</v>
      </c>
      <c r="FL156" t="e">
        <f>AND('BBP complete'!H1824,"AAAAAE/Y96c=")</f>
        <v>#VALUE!</v>
      </c>
      <c r="FM156" t="e">
        <f>AND('BBP complete'!I1824,"AAAAAE/Y96g=")</f>
        <v>#VALUE!</v>
      </c>
      <c r="FN156" t="e">
        <f>AND('BBP complete'!G1823,"AAAAAE/Y96k=")</f>
        <v>#VALUE!</v>
      </c>
      <c r="FO156" t="e">
        <f>AND('BBP complete'!#REF!,"AAAAAE/Y96o=")</f>
        <v>#REF!</v>
      </c>
      <c r="FP156" t="e">
        <f>AND('BBP complete'!#REF!,"AAAAAE/Y96s=")</f>
        <v>#REF!</v>
      </c>
      <c r="FQ156" t="e">
        <f>AND('BBP complete'!#REF!,"AAAAAE/Y96w=")</f>
        <v>#REF!</v>
      </c>
      <c r="FR156" t="e">
        <f>AND('BBP complete'!#REF!,"AAAAAE/Y960=")</f>
        <v>#REF!</v>
      </c>
      <c r="FS156" t="e">
        <f>AND('BBP complete'!#REF!,"AAAAAE/Y964=")</f>
        <v>#REF!</v>
      </c>
      <c r="FT156" t="e">
        <f>AND('BBP complete'!#REF!,"AAAAAE/Y968=")</f>
        <v>#REF!</v>
      </c>
      <c r="FU156" t="e">
        <f>AND('BBP complete'!L1819,"AAAAAE/Y97A=")</f>
        <v>#VALUE!</v>
      </c>
      <c r="FV156" t="e">
        <f>AND('BBP complete'!C1820,"AAAAAE/Y97E=")</f>
        <v>#VALUE!</v>
      </c>
      <c r="FW156" t="e">
        <f>AND('BBP complete'!N1824,"AAAAAE/Y97I=")</f>
        <v>#VALUE!</v>
      </c>
      <c r="FX156" t="e">
        <f>AND('BBP complete'!P1840,"AAAAAE/Y97M=")</f>
        <v>#VALUE!</v>
      </c>
      <c r="FY156" t="e">
        <f>AND('BBP complete'!Q1840,"AAAAAE/Y97Q=")</f>
        <v>#VALUE!</v>
      </c>
      <c r="FZ156" t="e">
        <f>AND('BBP complete'!R1840,"AAAAAE/Y97U=")</f>
        <v>#VALUE!</v>
      </c>
      <c r="GA156" t="e">
        <f>AND('BBP complete'!S1840,"AAAAAE/Y97Y=")</f>
        <v>#VALUE!</v>
      </c>
      <c r="GB156" t="e">
        <f>AND('BBP complete'!A1829,"AAAAAE/Y97c=")</f>
        <v>#VALUE!</v>
      </c>
      <c r="GC156" t="e">
        <f>AND('BBP complete'!B1825,"AAAAAE/Y97g=")</f>
        <v>#VALUE!</v>
      </c>
      <c r="GD156" t="e">
        <f>AND('BBP complete'!H1825,"AAAAAE/Y97k=")</f>
        <v>#VALUE!</v>
      </c>
      <c r="GE156" t="e">
        <f>AND('BBP complete'!I1825,"AAAAAE/Y97o=")</f>
        <v>#VALUE!</v>
      </c>
      <c r="GF156" t="e">
        <f>AND('BBP complete'!G1824,"AAAAAE/Y97s=")</f>
        <v>#VALUE!</v>
      </c>
      <c r="GG156" t="e">
        <f>AND('BBP complete'!#REF!,"AAAAAE/Y97w=")</f>
        <v>#REF!</v>
      </c>
      <c r="GH156" t="e">
        <f>AND('BBP complete'!#REF!,"AAAAAE/Y970=")</f>
        <v>#REF!</v>
      </c>
      <c r="GI156" t="e">
        <f>AND('BBP complete'!#REF!,"AAAAAE/Y974=")</f>
        <v>#REF!</v>
      </c>
      <c r="GJ156" t="e">
        <f>AND('BBP complete'!#REF!,"AAAAAE/Y978=")</f>
        <v>#REF!</v>
      </c>
      <c r="GK156" t="e">
        <f>AND('BBP complete'!#REF!,"AAAAAE/Y98A=")</f>
        <v>#REF!</v>
      </c>
      <c r="GL156" t="e">
        <f>AND('BBP complete'!#REF!,"AAAAAE/Y98E=")</f>
        <v>#REF!</v>
      </c>
      <c r="GM156" t="e">
        <f>AND('BBP complete'!L1820,"AAAAAE/Y98I=")</f>
        <v>#VALUE!</v>
      </c>
      <c r="GN156" t="e">
        <f>AND('BBP complete'!C1821,"AAAAAE/Y98M=")</f>
        <v>#VALUE!</v>
      </c>
      <c r="GO156" t="e">
        <f>AND('BBP complete'!N1825,"AAAAAE/Y98Q=")</f>
        <v>#VALUE!</v>
      </c>
      <c r="GP156" t="e">
        <f>AND('BBP complete'!P1841,"AAAAAE/Y98U=")</f>
        <v>#VALUE!</v>
      </c>
      <c r="GQ156" t="e">
        <f>AND('BBP complete'!Q1841,"AAAAAE/Y98Y=")</f>
        <v>#VALUE!</v>
      </c>
      <c r="GR156" t="e">
        <f>AND('BBP complete'!R1841,"AAAAAE/Y98c=")</f>
        <v>#VALUE!</v>
      </c>
      <c r="GS156" t="e">
        <f>AND('BBP complete'!S1841,"AAAAAE/Y98g=")</f>
        <v>#VALUE!</v>
      </c>
      <c r="GT156" t="e">
        <f>AND('BBP complete'!A1830,"AAAAAE/Y98k=")</f>
        <v>#VALUE!</v>
      </c>
      <c r="GU156" t="e">
        <f>AND('BBP complete'!B1826,"AAAAAE/Y98o=")</f>
        <v>#VALUE!</v>
      </c>
      <c r="GV156" t="e">
        <f>AND('BBP complete'!H1826,"AAAAAE/Y98s=")</f>
        <v>#VALUE!</v>
      </c>
      <c r="GW156" t="e">
        <f>AND('BBP complete'!I1826,"AAAAAE/Y98w=")</f>
        <v>#VALUE!</v>
      </c>
      <c r="GX156" t="e">
        <f>AND('BBP complete'!G1825,"AAAAAE/Y980=")</f>
        <v>#VALUE!</v>
      </c>
      <c r="GY156" t="e">
        <f>AND('BBP complete'!#REF!,"AAAAAE/Y984=")</f>
        <v>#REF!</v>
      </c>
      <c r="GZ156" t="e">
        <f>AND('BBP complete'!#REF!,"AAAAAE/Y988=")</f>
        <v>#REF!</v>
      </c>
      <c r="HA156" t="e">
        <f>AND('BBP complete'!#REF!,"AAAAAE/Y99A=")</f>
        <v>#REF!</v>
      </c>
      <c r="HB156" t="e">
        <f>AND('BBP complete'!#REF!,"AAAAAE/Y99E=")</f>
        <v>#REF!</v>
      </c>
      <c r="HC156" t="e">
        <f>AND('BBP complete'!#REF!,"AAAAAE/Y99I=")</f>
        <v>#REF!</v>
      </c>
      <c r="HD156" t="e">
        <f>AND('BBP complete'!#REF!,"AAAAAE/Y99M=")</f>
        <v>#REF!</v>
      </c>
      <c r="HE156" t="e">
        <f>AND('BBP complete'!L1821,"AAAAAE/Y99Q=")</f>
        <v>#VALUE!</v>
      </c>
      <c r="HF156" t="e">
        <f>AND('BBP complete'!C1822,"AAAAAE/Y99U=")</f>
        <v>#VALUE!</v>
      </c>
      <c r="HG156" t="e">
        <f>AND('BBP complete'!N1826,"AAAAAE/Y99Y=")</f>
        <v>#VALUE!</v>
      </c>
      <c r="HH156" t="e">
        <f>AND('BBP complete'!P1842,"AAAAAE/Y99c=")</f>
        <v>#VALUE!</v>
      </c>
      <c r="HI156" t="e">
        <f>AND('BBP complete'!Q1842,"AAAAAE/Y99g=")</f>
        <v>#VALUE!</v>
      </c>
      <c r="HJ156" t="e">
        <f>AND('BBP complete'!R1842,"AAAAAE/Y99k=")</f>
        <v>#VALUE!</v>
      </c>
      <c r="HK156" t="e">
        <f>AND('BBP complete'!S1842,"AAAAAE/Y99o=")</f>
        <v>#VALUE!</v>
      </c>
      <c r="HL156" t="e">
        <f>AND('BBP complete'!A1831,"AAAAAE/Y99s=")</f>
        <v>#VALUE!</v>
      </c>
      <c r="HM156" t="e">
        <f>AND('BBP complete'!B1827,"AAAAAE/Y99w=")</f>
        <v>#VALUE!</v>
      </c>
      <c r="HN156" t="e">
        <f>AND('BBP complete'!H1827,"AAAAAE/Y990=")</f>
        <v>#VALUE!</v>
      </c>
      <c r="HO156" t="e">
        <f>AND('BBP complete'!I1827,"AAAAAE/Y994=")</f>
        <v>#VALUE!</v>
      </c>
      <c r="HP156" t="e">
        <f>AND('BBP complete'!G1826,"AAAAAE/Y998=")</f>
        <v>#VALUE!</v>
      </c>
      <c r="HQ156" t="e">
        <f>AND('BBP complete'!#REF!,"AAAAAE/Y9+A=")</f>
        <v>#REF!</v>
      </c>
      <c r="HR156" t="e">
        <f>AND('BBP complete'!#REF!,"AAAAAE/Y9+E=")</f>
        <v>#REF!</v>
      </c>
      <c r="HS156" t="e">
        <f>AND('BBP complete'!#REF!,"AAAAAE/Y9+I=")</f>
        <v>#REF!</v>
      </c>
      <c r="HT156" t="e">
        <f>AND('BBP complete'!#REF!,"AAAAAE/Y9+M=")</f>
        <v>#REF!</v>
      </c>
      <c r="HU156" t="e">
        <f>AND('BBP complete'!#REF!,"AAAAAE/Y9+Q=")</f>
        <v>#REF!</v>
      </c>
      <c r="HV156" t="e">
        <f>AND('BBP complete'!#REF!,"AAAAAE/Y9+U=")</f>
        <v>#REF!</v>
      </c>
      <c r="HW156" t="e">
        <f>AND('BBP complete'!L1822,"AAAAAE/Y9+Y=")</f>
        <v>#VALUE!</v>
      </c>
      <c r="HX156" t="e">
        <f>AND('BBP complete'!C1823,"AAAAAE/Y9+c=")</f>
        <v>#VALUE!</v>
      </c>
      <c r="HY156" t="e">
        <f>AND('BBP complete'!N1827,"AAAAAE/Y9+g=")</f>
        <v>#VALUE!</v>
      </c>
      <c r="HZ156" t="e">
        <f>AND('BBP complete'!P1843,"AAAAAE/Y9+k=")</f>
        <v>#VALUE!</v>
      </c>
      <c r="IA156" t="e">
        <f>AND('BBP complete'!Q1843,"AAAAAE/Y9+o=")</f>
        <v>#VALUE!</v>
      </c>
      <c r="IB156" t="e">
        <f>AND('BBP complete'!R1843,"AAAAAE/Y9+s=")</f>
        <v>#VALUE!</v>
      </c>
      <c r="IC156" t="e">
        <f>AND('BBP complete'!S1843,"AAAAAE/Y9+w=")</f>
        <v>#VALUE!</v>
      </c>
      <c r="ID156" t="e">
        <f>AND('BBP complete'!A1832,"AAAAAE/Y9+0=")</f>
        <v>#VALUE!</v>
      </c>
      <c r="IE156" t="e">
        <f>AND('BBP complete'!B1828,"AAAAAE/Y9+4=")</f>
        <v>#VALUE!</v>
      </c>
      <c r="IF156" t="e">
        <f>AND('BBP complete'!H1828,"AAAAAE/Y9+8=")</f>
        <v>#VALUE!</v>
      </c>
      <c r="IG156" t="e">
        <f>AND('BBP complete'!I1828,"AAAAAE/Y9/A=")</f>
        <v>#VALUE!</v>
      </c>
      <c r="IH156" t="e">
        <f>AND('BBP complete'!G1827,"AAAAAE/Y9/E=")</f>
        <v>#VALUE!</v>
      </c>
      <c r="II156" t="e">
        <f>AND('BBP complete'!#REF!,"AAAAAE/Y9/I=")</f>
        <v>#REF!</v>
      </c>
      <c r="IJ156" t="e">
        <f>AND('BBP complete'!#REF!,"AAAAAE/Y9/M=")</f>
        <v>#REF!</v>
      </c>
      <c r="IK156" t="e">
        <f>AND('BBP complete'!#REF!,"AAAAAE/Y9/Q=")</f>
        <v>#REF!</v>
      </c>
      <c r="IL156" t="e">
        <f>AND('BBP complete'!#REF!,"AAAAAE/Y9/U=")</f>
        <v>#REF!</v>
      </c>
      <c r="IM156" t="e">
        <f>AND('BBP complete'!#REF!,"AAAAAE/Y9/Y=")</f>
        <v>#REF!</v>
      </c>
      <c r="IN156" t="e">
        <f>AND('BBP complete'!#REF!,"AAAAAE/Y9/c=")</f>
        <v>#REF!</v>
      </c>
      <c r="IO156" t="e">
        <f>AND('BBP complete'!L1823,"AAAAAE/Y9/g=")</f>
        <v>#VALUE!</v>
      </c>
      <c r="IP156" t="e">
        <f>AND('BBP complete'!C1824,"AAAAAE/Y9/k=")</f>
        <v>#VALUE!</v>
      </c>
      <c r="IQ156" t="e">
        <f>AND('BBP complete'!N1828,"AAAAAE/Y9/o=")</f>
        <v>#VALUE!</v>
      </c>
      <c r="IR156" t="e">
        <f>AND('BBP complete'!P1844,"AAAAAE/Y9/s=")</f>
        <v>#VALUE!</v>
      </c>
      <c r="IS156" t="e">
        <f>AND('BBP complete'!Q1844,"AAAAAE/Y9/w=")</f>
        <v>#VALUE!</v>
      </c>
      <c r="IT156" t="e">
        <f>AND('BBP complete'!R1844,"AAAAAE/Y9/0=")</f>
        <v>#VALUE!</v>
      </c>
      <c r="IU156" t="e">
        <f>AND('BBP complete'!S1844,"AAAAAE/Y9/4=")</f>
        <v>#VALUE!</v>
      </c>
      <c r="IV156" t="e">
        <f>AND('BBP complete'!A1833,"AAAAAE/Y9/8=")</f>
        <v>#VALUE!</v>
      </c>
    </row>
    <row r="157" spans="1:256" ht="15" customHeight="1" x14ac:dyDescent="0.25">
      <c r="A157" t="e">
        <f>AND('BBP complete'!B1829,"AAAAAH3yvwA=")</f>
        <v>#VALUE!</v>
      </c>
      <c r="B157" t="e">
        <f>AND('BBP complete'!H1829,"AAAAAH3yvwE=")</f>
        <v>#VALUE!</v>
      </c>
      <c r="C157" t="e">
        <f>AND('BBP complete'!I1829,"AAAAAH3yvwI=")</f>
        <v>#VALUE!</v>
      </c>
      <c r="D157" t="e">
        <f>AND('BBP complete'!G1828,"AAAAAH3yvwM=")</f>
        <v>#VALUE!</v>
      </c>
      <c r="E157" t="e">
        <f>AND('BBP complete'!#REF!,"AAAAAH3yvwQ=")</f>
        <v>#REF!</v>
      </c>
      <c r="F157" t="e">
        <f>AND('BBP complete'!#REF!,"AAAAAH3yvwU=")</f>
        <v>#REF!</v>
      </c>
      <c r="G157" t="e">
        <f>AND('BBP complete'!#REF!,"AAAAAH3yvwY=")</f>
        <v>#REF!</v>
      </c>
      <c r="H157" t="e">
        <f>AND('BBP complete'!#REF!,"AAAAAH3yvwc=")</f>
        <v>#REF!</v>
      </c>
      <c r="I157" t="e">
        <f>AND('BBP complete'!#REF!,"AAAAAH3yvwg=")</f>
        <v>#REF!</v>
      </c>
      <c r="J157" t="e">
        <f>AND('BBP complete'!#REF!,"AAAAAH3yvwk=")</f>
        <v>#REF!</v>
      </c>
      <c r="K157" t="e">
        <f>AND('BBP complete'!#REF!,"AAAAAH3yvwo=")</f>
        <v>#REF!</v>
      </c>
      <c r="L157" t="e">
        <f>AND('BBP complete'!#REF!,"AAAAAH3yvws=")</f>
        <v>#REF!</v>
      </c>
      <c r="M157" t="e">
        <f>AND('BBP complete'!N1829,"AAAAAH3yvww=")</f>
        <v>#VALUE!</v>
      </c>
      <c r="N157" t="e">
        <f>AND('BBP complete'!P1845,"AAAAAH3yvw0=")</f>
        <v>#VALUE!</v>
      </c>
      <c r="O157" t="e">
        <f>AND('BBP complete'!Q1845,"AAAAAH3yvw4=")</f>
        <v>#VALUE!</v>
      </c>
      <c r="P157" t="e">
        <f>AND('BBP complete'!R1845,"AAAAAH3yvw8=")</f>
        <v>#VALUE!</v>
      </c>
      <c r="Q157" t="e">
        <f>AND('BBP complete'!S1845,"AAAAAH3yvxA=")</f>
        <v>#VALUE!</v>
      </c>
      <c r="R157" t="e">
        <f>AND('BBP complete'!A1834,"AAAAAH3yvxE=")</f>
        <v>#VALUE!</v>
      </c>
      <c r="S157" t="e">
        <f>AND('BBP complete'!B1830,"AAAAAH3yvxI=")</f>
        <v>#VALUE!</v>
      </c>
      <c r="T157" t="e">
        <f>AND('BBP complete'!H1830,"AAAAAH3yvxM=")</f>
        <v>#VALUE!</v>
      </c>
      <c r="U157" t="e">
        <f>AND('BBP complete'!I1830,"AAAAAH3yvxQ=")</f>
        <v>#VALUE!</v>
      </c>
      <c r="V157" t="e">
        <f>AND('BBP complete'!G1829,"AAAAAH3yvxU=")</f>
        <v>#VALUE!</v>
      </c>
      <c r="W157" t="e">
        <f>AND('BBP complete'!#REF!,"AAAAAH3yvxY=")</f>
        <v>#REF!</v>
      </c>
      <c r="X157" t="e">
        <f>AND('BBP complete'!#REF!,"AAAAAH3yvxc=")</f>
        <v>#REF!</v>
      </c>
      <c r="Y157" t="e">
        <f>AND('BBP complete'!#REF!,"AAAAAH3yvxg=")</f>
        <v>#REF!</v>
      </c>
      <c r="Z157" t="e">
        <f>AND('BBP complete'!#REF!,"AAAAAH3yvxk=")</f>
        <v>#REF!</v>
      </c>
      <c r="AA157" t="e">
        <f>AND('BBP complete'!#REF!,"AAAAAH3yvxo=")</f>
        <v>#REF!</v>
      </c>
      <c r="AB157" t="e">
        <f>AND('BBP complete'!#REF!,"AAAAAH3yvxs=")</f>
        <v>#REF!</v>
      </c>
      <c r="AC157" t="e">
        <f>AND('BBP complete'!L1824,"AAAAAH3yvxw=")</f>
        <v>#VALUE!</v>
      </c>
      <c r="AD157" t="e">
        <f>AND('BBP complete'!C1825,"AAAAAH3yvx0=")</f>
        <v>#VALUE!</v>
      </c>
      <c r="AE157" t="e">
        <f>AND('BBP complete'!N1830,"AAAAAH3yvx4=")</f>
        <v>#VALUE!</v>
      </c>
      <c r="AF157" t="e">
        <f>AND('BBP complete'!P1846,"AAAAAH3yvx8=")</f>
        <v>#VALUE!</v>
      </c>
      <c r="AG157" t="e">
        <f>AND('BBP complete'!Q1846,"AAAAAH3yvyA=")</f>
        <v>#VALUE!</v>
      </c>
      <c r="AH157" t="e">
        <f>AND('BBP complete'!R1846,"AAAAAH3yvyE=")</f>
        <v>#VALUE!</v>
      </c>
      <c r="AI157" t="e">
        <f>AND('BBP complete'!S1846,"AAAAAH3yvyI=")</f>
        <v>#VALUE!</v>
      </c>
      <c r="AJ157" t="e">
        <f>AND('BBP complete'!A1835,"AAAAAH3yvyM=")</f>
        <v>#VALUE!</v>
      </c>
      <c r="AK157" t="e">
        <f>AND('BBP complete'!B1831,"AAAAAH3yvyQ=")</f>
        <v>#VALUE!</v>
      </c>
      <c r="AL157" t="e">
        <f>AND('BBP complete'!H1831,"AAAAAH3yvyU=")</f>
        <v>#VALUE!</v>
      </c>
      <c r="AM157" t="e">
        <f>AND('BBP complete'!I1831,"AAAAAH3yvyY=")</f>
        <v>#VALUE!</v>
      </c>
      <c r="AN157" t="e">
        <f>AND('BBP complete'!G1830,"AAAAAH3yvyc=")</f>
        <v>#VALUE!</v>
      </c>
      <c r="AO157" t="e">
        <f>AND('BBP complete'!#REF!,"AAAAAH3yvyg=")</f>
        <v>#REF!</v>
      </c>
      <c r="AP157" t="e">
        <f>AND('BBP complete'!#REF!,"AAAAAH3yvyk=")</f>
        <v>#REF!</v>
      </c>
      <c r="AQ157" t="e">
        <f>AND('BBP complete'!#REF!,"AAAAAH3yvyo=")</f>
        <v>#REF!</v>
      </c>
      <c r="AR157" t="e">
        <f>AND('BBP complete'!#REF!,"AAAAAH3yvys=")</f>
        <v>#REF!</v>
      </c>
      <c r="AS157" t="e">
        <f>AND('BBP complete'!#REF!,"AAAAAH3yvyw=")</f>
        <v>#REF!</v>
      </c>
      <c r="AT157" t="e">
        <f>AND('BBP complete'!#REF!,"AAAAAH3yvy0=")</f>
        <v>#REF!</v>
      </c>
      <c r="AU157" t="e">
        <f>AND('BBP complete'!L1825,"AAAAAH3yvy4=")</f>
        <v>#VALUE!</v>
      </c>
      <c r="AV157" t="e">
        <f>AND('BBP complete'!C1826,"AAAAAH3yvy8=")</f>
        <v>#VALUE!</v>
      </c>
      <c r="AW157" t="e">
        <f>AND('BBP complete'!N1831,"AAAAAH3yvzA=")</f>
        <v>#VALUE!</v>
      </c>
      <c r="AX157" t="e">
        <f>AND('BBP complete'!P1847,"AAAAAH3yvzE=")</f>
        <v>#VALUE!</v>
      </c>
      <c r="AY157" t="e">
        <f>AND('BBP complete'!Q1847,"AAAAAH3yvzI=")</f>
        <v>#VALUE!</v>
      </c>
      <c r="AZ157" t="e">
        <f>AND('BBP complete'!R1847,"AAAAAH3yvzM=")</f>
        <v>#VALUE!</v>
      </c>
      <c r="BA157" t="e">
        <f>AND('BBP complete'!S1847,"AAAAAH3yvzQ=")</f>
        <v>#VALUE!</v>
      </c>
      <c r="BB157" t="e">
        <f>AND('BBP complete'!A1836,"AAAAAH3yvzU=")</f>
        <v>#VALUE!</v>
      </c>
      <c r="BC157" t="e">
        <f>AND('BBP complete'!B1832,"AAAAAH3yvzY=")</f>
        <v>#VALUE!</v>
      </c>
      <c r="BD157" t="e">
        <f>AND('BBP complete'!H1832,"AAAAAH3yvzc=")</f>
        <v>#VALUE!</v>
      </c>
      <c r="BE157" t="e">
        <f>AND('BBP complete'!I1832,"AAAAAH3yvzg=")</f>
        <v>#VALUE!</v>
      </c>
      <c r="BF157" t="e">
        <f>AND('BBP complete'!G1831,"AAAAAH3yvzk=")</f>
        <v>#VALUE!</v>
      </c>
      <c r="BG157" t="e">
        <f>AND('BBP complete'!#REF!,"AAAAAH3yvzo=")</f>
        <v>#REF!</v>
      </c>
      <c r="BH157" t="e">
        <f>AND('BBP complete'!#REF!,"AAAAAH3yvzs=")</f>
        <v>#REF!</v>
      </c>
      <c r="BI157" t="e">
        <f>AND('BBP complete'!#REF!,"AAAAAH3yvzw=")</f>
        <v>#REF!</v>
      </c>
      <c r="BJ157" t="e">
        <f>AND('BBP complete'!#REF!,"AAAAAH3yvz0=")</f>
        <v>#REF!</v>
      </c>
      <c r="BK157" t="e">
        <f>AND('BBP complete'!#REF!,"AAAAAH3yvz4=")</f>
        <v>#REF!</v>
      </c>
      <c r="BL157" t="e">
        <f>AND('BBP complete'!#REF!,"AAAAAH3yvz8=")</f>
        <v>#REF!</v>
      </c>
      <c r="BM157" t="e">
        <f>AND('BBP complete'!L1826,"AAAAAH3yv0A=")</f>
        <v>#VALUE!</v>
      </c>
      <c r="BN157" t="e">
        <f>AND('BBP complete'!C1827,"AAAAAH3yv0E=")</f>
        <v>#VALUE!</v>
      </c>
      <c r="BO157" t="e">
        <f>AND('BBP complete'!N1832,"AAAAAH3yv0I=")</f>
        <v>#VALUE!</v>
      </c>
      <c r="BP157" t="e">
        <f>AND('BBP complete'!P1848,"AAAAAH3yv0M=")</f>
        <v>#VALUE!</v>
      </c>
      <c r="BQ157" t="e">
        <f>AND('BBP complete'!Q1848,"AAAAAH3yv0Q=")</f>
        <v>#VALUE!</v>
      </c>
      <c r="BR157" t="e">
        <f>AND('BBP complete'!R1848,"AAAAAH3yv0U=")</f>
        <v>#VALUE!</v>
      </c>
      <c r="BS157" t="e">
        <f>AND('BBP complete'!S1848,"AAAAAH3yv0Y=")</f>
        <v>#VALUE!</v>
      </c>
      <c r="BT157" t="e">
        <f>AND('BBP complete'!A1837,"AAAAAH3yv0c=")</f>
        <v>#VALUE!</v>
      </c>
      <c r="BU157" t="e">
        <f>AND('BBP complete'!B1833,"AAAAAH3yv0g=")</f>
        <v>#VALUE!</v>
      </c>
      <c r="BV157" t="e">
        <f>AND('BBP complete'!H1833,"AAAAAH3yv0k=")</f>
        <v>#VALUE!</v>
      </c>
      <c r="BW157" t="e">
        <f>AND('BBP complete'!I1833,"AAAAAH3yv0o=")</f>
        <v>#VALUE!</v>
      </c>
      <c r="BX157" t="e">
        <f>AND('BBP complete'!G1832,"AAAAAH3yv0s=")</f>
        <v>#VALUE!</v>
      </c>
      <c r="BY157" t="e">
        <f>AND('BBP complete'!#REF!,"AAAAAH3yv0w=")</f>
        <v>#REF!</v>
      </c>
      <c r="BZ157" t="e">
        <f>AND('BBP complete'!#REF!,"AAAAAH3yv00=")</f>
        <v>#REF!</v>
      </c>
      <c r="CA157" t="e">
        <f>AND('BBP complete'!#REF!,"AAAAAH3yv04=")</f>
        <v>#REF!</v>
      </c>
      <c r="CB157" t="e">
        <f>AND('BBP complete'!#REF!,"AAAAAH3yv08=")</f>
        <v>#REF!</v>
      </c>
      <c r="CC157" t="e">
        <f>AND('BBP complete'!#REF!,"AAAAAH3yv1A=")</f>
        <v>#REF!</v>
      </c>
      <c r="CD157" t="e">
        <f>AND('BBP complete'!#REF!,"AAAAAH3yv1E=")</f>
        <v>#REF!</v>
      </c>
      <c r="CE157" t="e">
        <f>AND('BBP complete'!L1827,"AAAAAH3yv1I=")</f>
        <v>#VALUE!</v>
      </c>
      <c r="CF157" t="e">
        <f>AND('BBP complete'!C1828,"AAAAAH3yv1M=")</f>
        <v>#VALUE!</v>
      </c>
      <c r="CG157" t="e">
        <f>AND('BBP complete'!N1833,"AAAAAH3yv1Q=")</f>
        <v>#VALUE!</v>
      </c>
      <c r="CH157" t="e">
        <f>AND('BBP complete'!P1849,"AAAAAH3yv1U=")</f>
        <v>#VALUE!</v>
      </c>
      <c r="CI157" t="e">
        <f>AND('BBP complete'!Q1849,"AAAAAH3yv1Y=")</f>
        <v>#VALUE!</v>
      </c>
      <c r="CJ157" t="e">
        <f>AND('BBP complete'!R1849,"AAAAAH3yv1c=")</f>
        <v>#VALUE!</v>
      </c>
      <c r="CK157" t="e">
        <f>AND('BBP complete'!S1849,"AAAAAH3yv1g=")</f>
        <v>#VALUE!</v>
      </c>
      <c r="CL157" t="e">
        <f>AND('BBP complete'!A1838,"AAAAAH3yv1k=")</f>
        <v>#VALUE!</v>
      </c>
      <c r="CM157" t="e">
        <f>AND('BBP complete'!B1834,"AAAAAH3yv1o=")</f>
        <v>#VALUE!</v>
      </c>
      <c r="CN157" t="e">
        <f>AND('BBP complete'!H1834,"AAAAAH3yv1s=")</f>
        <v>#VALUE!</v>
      </c>
      <c r="CO157" t="e">
        <f>AND('BBP complete'!I1834,"AAAAAH3yv1w=")</f>
        <v>#VALUE!</v>
      </c>
      <c r="CP157" t="e">
        <f>AND('BBP complete'!G1833,"AAAAAH3yv10=")</f>
        <v>#VALUE!</v>
      </c>
      <c r="CQ157" t="e">
        <f>AND('BBP complete'!#REF!,"AAAAAH3yv14=")</f>
        <v>#REF!</v>
      </c>
      <c r="CR157" t="e">
        <f>AND('BBP complete'!#REF!,"AAAAAH3yv18=")</f>
        <v>#REF!</v>
      </c>
      <c r="CS157" t="e">
        <f>AND('BBP complete'!#REF!,"AAAAAH3yv2A=")</f>
        <v>#REF!</v>
      </c>
      <c r="CT157" t="e">
        <f>AND('BBP complete'!#REF!,"AAAAAH3yv2E=")</f>
        <v>#REF!</v>
      </c>
      <c r="CU157" t="e">
        <f>AND('BBP complete'!#REF!,"AAAAAH3yv2I=")</f>
        <v>#REF!</v>
      </c>
      <c r="CV157" t="e">
        <f>AND('BBP complete'!#REF!,"AAAAAH3yv2M=")</f>
        <v>#REF!</v>
      </c>
      <c r="CW157" t="e">
        <f>AND('BBP complete'!L1828,"AAAAAH3yv2Q=")</f>
        <v>#VALUE!</v>
      </c>
      <c r="CX157" t="e">
        <f>AND('BBP complete'!C1829,"AAAAAH3yv2U=")</f>
        <v>#VALUE!</v>
      </c>
      <c r="CY157" t="e">
        <f>AND('BBP complete'!N1834,"AAAAAH3yv2Y=")</f>
        <v>#VALUE!</v>
      </c>
      <c r="CZ157" t="e">
        <f>AND('BBP complete'!P1850,"AAAAAH3yv2c=")</f>
        <v>#VALUE!</v>
      </c>
      <c r="DA157" t="e">
        <f>AND('BBP complete'!Q1850,"AAAAAH3yv2g=")</f>
        <v>#VALUE!</v>
      </c>
      <c r="DB157" t="e">
        <f>AND('BBP complete'!R1850,"AAAAAH3yv2k=")</f>
        <v>#VALUE!</v>
      </c>
      <c r="DC157" t="e">
        <f>AND('BBP complete'!S1850,"AAAAAH3yv2o=")</f>
        <v>#VALUE!</v>
      </c>
      <c r="DD157" t="e">
        <f>AND('BBP complete'!A1839,"AAAAAH3yv2s=")</f>
        <v>#VALUE!</v>
      </c>
      <c r="DE157" t="e">
        <f>AND('BBP complete'!B1835,"AAAAAH3yv2w=")</f>
        <v>#VALUE!</v>
      </c>
      <c r="DF157" t="e">
        <f>AND('BBP complete'!H1835,"AAAAAH3yv20=")</f>
        <v>#VALUE!</v>
      </c>
      <c r="DG157" t="e">
        <f>AND('BBP complete'!I1835,"AAAAAH3yv24=")</f>
        <v>#VALUE!</v>
      </c>
      <c r="DH157" t="e">
        <f>AND('BBP complete'!G1834,"AAAAAH3yv28=")</f>
        <v>#VALUE!</v>
      </c>
      <c r="DI157" t="e">
        <f>AND('BBP complete'!#REF!,"AAAAAH3yv3A=")</f>
        <v>#REF!</v>
      </c>
      <c r="DJ157" t="e">
        <f>AND('BBP complete'!#REF!,"AAAAAH3yv3E=")</f>
        <v>#REF!</v>
      </c>
      <c r="DK157" t="e">
        <f>AND('BBP complete'!#REF!,"AAAAAH3yv3I=")</f>
        <v>#REF!</v>
      </c>
      <c r="DL157" t="e">
        <f>AND('BBP complete'!#REF!,"AAAAAH3yv3M=")</f>
        <v>#REF!</v>
      </c>
      <c r="DM157" t="e">
        <f>AND('BBP complete'!#REF!,"AAAAAH3yv3Q=")</f>
        <v>#REF!</v>
      </c>
      <c r="DN157" t="e">
        <f>AND('BBP complete'!#REF!,"AAAAAH3yv3U=")</f>
        <v>#REF!</v>
      </c>
      <c r="DO157" t="e">
        <f>AND('BBP complete'!L1829,"AAAAAH3yv3Y=")</f>
        <v>#VALUE!</v>
      </c>
      <c r="DP157" t="e">
        <f>AND('BBP complete'!C1830,"AAAAAH3yv3c=")</f>
        <v>#VALUE!</v>
      </c>
      <c r="DQ157" t="e">
        <f>AND('BBP complete'!N1835,"AAAAAH3yv3g=")</f>
        <v>#VALUE!</v>
      </c>
      <c r="DR157" t="e">
        <f>AND('BBP complete'!P1851,"AAAAAH3yv3k=")</f>
        <v>#VALUE!</v>
      </c>
      <c r="DS157" t="e">
        <f>AND('BBP complete'!Q1851,"AAAAAH3yv3o=")</f>
        <v>#VALUE!</v>
      </c>
      <c r="DT157" t="e">
        <f>AND('BBP complete'!R1851,"AAAAAH3yv3s=")</f>
        <v>#VALUE!</v>
      </c>
      <c r="DU157" t="e">
        <f>AND('BBP complete'!S1851,"AAAAAH3yv3w=")</f>
        <v>#VALUE!</v>
      </c>
      <c r="DV157" t="e">
        <f>AND('BBP complete'!A1840,"AAAAAH3yv30=")</f>
        <v>#VALUE!</v>
      </c>
      <c r="DW157" t="e">
        <f>AND('BBP complete'!B1836,"AAAAAH3yv34=")</f>
        <v>#VALUE!</v>
      </c>
      <c r="DX157" t="e">
        <f>AND('BBP complete'!H1836,"AAAAAH3yv38=")</f>
        <v>#VALUE!</v>
      </c>
      <c r="DY157" t="e">
        <f>AND('BBP complete'!I1836,"AAAAAH3yv4A=")</f>
        <v>#VALUE!</v>
      </c>
      <c r="DZ157" t="e">
        <f>AND('BBP complete'!G1835,"AAAAAH3yv4E=")</f>
        <v>#VALUE!</v>
      </c>
      <c r="EA157" t="e">
        <f>AND('BBP complete'!#REF!,"AAAAAH3yv4I=")</f>
        <v>#REF!</v>
      </c>
      <c r="EB157" t="e">
        <f>AND('BBP complete'!#REF!,"AAAAAH3yv4M=")</f>
        <v>#REF!</v>
      </c>
      <c r="EC157" t="e">
        <f>AND('BBP complete'!#REF!,"AAAAAH3yv4Q=")</f>
        <v>#REF!</v>
      </c>
      <c r="ED157" t="e">
        <f>AND('BBP complete'!#REF!,"AAAAAH3yv4U=")</f>
        <v>#REF!</v>
      </c>
      <c r="EE157" t="e">
        <f>AND('BBP complete'!#REF!,"AAAAAH3yv4Y=")</f>
        <v>#REF!</v>
      </c>
      <c r="EF157" t="e">
        <f>AND('BBP complete'!#REF!,"AAAAAH3yv4c=")</f>
        <v>#REF!</v>
      </c>
      <c r="EG157" t="e">
        <f>AND('BBP complete'!L1830,"AAAAAH3yv4g=")</f>
        <v>#VALUE!</v>
      </c>
      <c r="EH157" t="e">
        <f>AND('BBP complete'!C1831,"AAAAAH3yv4k=")</f>
        <v>#VALUE!</v>
      </c>
      <c r="EI157" t="e">
        <f>AND('BBP complete'!N1836,"AAAAAH3yv4o=")</f>
        <v>#VALUE!</v>
      </c>
      <c r="EJ157" t="e">
        <f>AND('BBP complete'!P1852,"AAAAAH3yv4s=")</f>
        <v>#VALUE!</v>
      </c>
      <c r="EK157" t="e">
        <f>AND('BBP complete'!Q1852,"AAAAAH3yv4w=")</f>
        <v>#VALUE!</v>
      </c>
      <c r="EL157" t="e">
        <f>AND('BBP complete'!R1852,"AAAAAH3yv40=")</f>
        <v>#VALUE!</v>
      </c>
      <c r="EM157" t="e">
        <f>AND('BBP complete'!S1852,"AAAAAH3yv44=")</f>
        <v>#VALUE!</v>
      </c>
      <c r="EN157" t="e">
        <f>AND('BBP complete'!A1841,"AAAAAH3yv48=")</f>
        <v>#VALUE!</v>
      </c>
      <c r="EO157" t="e">
        <f>AND('BBP complete'!B1837,"AAAAAH3yv5A=")</f>
        <v>#VALUE!</v>
      </c>
      <c r="EP157" t="e">
        <f>AND('BBP complete'!H1837,"AAAAAH3yv5E=")</f>
        <v>#VALUE!</v>
      </c>
      <c r="EQ157" t="e">
        <f>AND('BBP complete'!I1837,"AAAAAH3yv5I=")</f>
        <v>#VALUE!</v>
      </c>
      <c r="ER157" t="e">
        <f>AND('BBP complete'!G1836,"AAAAAH3yv5M=")</f>
        <v>#VALUE!</v>
      </c>
      <c r="ES157" t="e">
        <f>AND('BBP complete'!#REF!,"AAAAAH3yv5Q=")</f>
        <v>#REF!</v>
      </c>
      <c r="ET157" t="e">
        <f>AND('BBP complete'!#REF!,"AAAAAH3yv5U=")</f>
        <v>#REF!</v>
      </c>
      <c r="EU157" t="e">
        <f>AND('BBP complete'!#REF!,"AAAAAH3yv5Y=")</f>
        <v>#REF!</v>
      </c>
      <c r="EV157" t="e">
        <f>AND('BBP complete'!#REF!,"AAAAAH3yv5c=")</f>
        <v>#REF!</v>
      </c>
      <c r="EW157" t="e">
        <f>AND('BBP complete'!#REF!,"AAAAAH3yv5g=")</f>
        <v>#REF!</v>
      </c>
      <c r="EX157" t="e">
        <f>AND('BBP complete'!#REF!,"AAAAAH3yv5k=")</f>
        <v>#REF!</v>
      </c>
      <c r="EY157" t="e">
        <f>AND('BBP complete'!L1831,"AAAAAH3yv5o=")</f>
        <v>#VALUE!</v>
      </c>
      <c r="EZ157" t="e">
        <f>AND('BBP complete'!C1832,"AAAAAH3yv5s=")</f>
        <v>#VALUE!</v>
      </c>
      <c r="FA157" t="e">
        <f>AND('BBP complete'!N1837,"AAAAAH3yv5w=")</f>
        <v>#VALUE!</v>
      </c>
      <c r="FB157" t="e">
        <f>AND('BBP complete'!P1853,"AAAAAH3yv50=")</f>
        <v>#VALUE!</v>
      </c>
      <c r="FC157" t="e">
        <f>AND('BBP complete'!Q1853,"AAAAAH3yv54=")</f>
        <v>#VALUE!</v>
      </c>
      <c r="FD157" t="e">
        <f>AND('BBP complete'!R1853,"AAAAAH3yv58=")</f>
        <v>#VALUE!</v>
      </c>
      <c r="FE157" t="e">
        <f>AND('BBP complete'!S1853,"AAAAAH3yv6A=")</f>
        <v>#VALUE!</v>
      </c>
      <c r="FF157" t="e">
        <f>AND('BBP complete'!A1842,"AAAAAH3yv6E=")</f>
        <v>#VALUE!</v>
      </c>
      <c r="FG157" t="e">
        <f>AND('BBP complete'!B1838,"AAAAAH3yv6I=")</f>
        <v>#VALUE!</v>
      </c>
      <c r="FH157" t="e">
        <f>AND('BBP complete'!H1838,"AAAAAH3yv6M=")</f>
        <v>#VALUE!</v>
      </c>
      <c r="FI157" t="e">
        <f>AND('BBP complete'!I1838,"AAAAAH3yv6Q=")</f>
        <v>#VALUE!</v>
      </c>
      <c r="FJ157" t="e">
        <f>AND('BBP complete'!G1837,"AAAAAH3yv6U=")</f>
        <v>#VALUE!</v>
      </c>
      <c r="FK157" t="e">
        <f>AND('BBP complete'!#REF!,"AAAAAH3yv6Y=")</f>
        <v>#REF!</v>
      </c>
      <c r="FL157" t="e">
        <f>AND('BBP complete'!#REF!,"AAAAAH3yv6c=")</f>
        <v>#REF!</v>
      </c>
      <c r="FM157" t="e">
        <f>AND('BBP complete'!#REF!,"AAAAAH3yv6g=")</f>
        <v>#REF!</v>
      </c>
      <c r="FN157" t="e">
        <f>AND('BBP complete'!#REF!,"AAAAAH3yv6k=")</f>
        <v>#REF!</v>
      </c>
      <c r="FO157" t="e">
        <f>AND('BBP complete'!#REF!,"AAAAAH3yv6o=")</f>
        <v>#REF!</v>
      </c>
      <c r="FP157" t="e">
        <f>AND('BBP complete'!#REF!,"AAAAAH3yv6s=")</f>
        <v>#REF!</v>
      </c>
      <c r="FQ157" t="e">
        <f>AND('BBP complete'!L1832,"AAAAAH3yv6w=")</f>
        <v>#VALUE!</v>
      </c>
      <c r="FR157" t="e">
        <f>AND('BBP complete'!C1833,"AAAAAH3yv60=")</f>
        <v>#VALUE!</v>
      </c>
      <c r="FS157" t="e">
        <f>AND('BBP complete'!N1838,"AAAAAH3yv64=")</f>
        <v>#VALUE!</v>
      </c>
      <c r="FT157" t="e">
        <f>AND('BBP complete'!P1854,"AAAAAH3yv68=")</f>
        <v>#VALUE!</v>
      </c>
      <c r="FU157" t="e">
        <f>AND('BBP complete'!Q1854,"AAAAAH3yv7A=")</f>
        <v>#VALUE!</v>
      </c>
      <c r="FV157" t="e">
        <f>AND('BBP complete'!R1854,"AAAAAH3yv7E=")</f>
        <v>#VALUE!</v>
      </c>
      <c r="FW157" t="e">
        <f>AND('BBP complete'!S1854,"AAAAAH3yv7I=")</f>
        <v>#VALUE!</v>
      </c>
      <c r="FX157" t="e">
        <f>AND('BBP complete'!A1843,"AAAAAH3yv7M=")</f>
        <v>#VALUE!</v>
      </c>
      <c r="FY157" t="e">
        <f>AND('BBP complete'!B1839,"AAAAAH3yv7Q=")</f>
        <v>#VALUE!</v>
      </c>
      <c r="FZ157" t="e">
        <f>AND('BBP complete'!H1839,"AAAAAH3yv7U=")</f>
        <v>#VALUE!</v>
      </c>
      <c r="GA157" t="e">
        <f>AND('BBP complete'!I1839,"AAAAAH3yv7Y=")</f>
        <v>#VALUE!</v>
      </c>
      <c r="GB157" t="e">
        <f>AND('BBP complete'!G1838,"AAAAAH3yv7c=")</f>
        <v>#VALUE!</v>
      </c>
      <c r="GC157" t="e">
        <f>AND('BBP complete'!#REF!,"AAAAAH3yv7g=")</f>
        <v>#REF!</v>
      </c>
      <c r="GD157" t="e">
        <f>AND('BBP complete'!#REF!,"AAAAAH3yv7k=")</f>
        <v>#REF!</v>
      </c>
      <c r="GE157" t="e">
        <f>AND('BBP complete'!#REF!,"AAAAAH3yv7o=")</f>
        <v>#REF!</v>
      </c>
      <c r="GF157" t="e">
        <f>AND('BBP complete'!#REF!,"AAAAAH3yv7s=")</f>
        <v>#REF!</v>
      </c>
      <c r="GG157" t="e">
        <f>AND('BBP complete'!#REF!,"AAAAAH3yv7w=")</f>
        <v>#REF!</v>
      </c>
      <c r="GH157" t="e">
        <f>AND('BBP complete'!#REF!,"AAAAAH3yv70=")</f>
        <v>#REF!</v>
      </c>
      <c r="GI157" t="e">
        <f>AND('BBP complete'!L1833,"AAAAAH3yv74=")</f>
        <v>#VALUE!</v>
      </c>
      <c r="GJ157" t="e">
        <f>AND('BBP complete'!C1834,"AAAAAH3yv78=")</f>
        <v>#VALUE!</v>
      </c>
      <c r="GK157" t="e">
        <f>AND('BBP complete'!N1839,"AAAAAH3yv8A=")</f>
        <v>#VALUE!</v>
      </c>
      <c r="GL157" t="e">
        <f>AND('BBP complete'!P1855,"AAAAAH3yv8E=")</f>
        <v>#VALUE!</v>
      </c>
      <c r="GM157" t="e">
        <f>AND('BBP complete'!Q1855,"AAAAAH3yv8I=")</f>
        <v>#VALUE!</v>
      </c>
      <c r="GN157" t="e">
        <f>AND('BBP complete'!R1855,"AAAAAH3yv8M=")</f>
        <v>#VALUE!</v>
      </c>
      <c r="GO157" t="e">
        <f>AND('BBP complete'!S1855,"AAAAAH3yv8Q=")</f>
        <v>#VALUE!</v>
      </c>
      <c r="GP157" t="e">
        <f>AND('BBP complete'!A1844,"AAAAAH3yv8U=")</f>
        <v>#VALUE!</v>
      </c>
      <c r="GQ157" t="e">
        <f>AND('BBP complete'!B1840,"AAAAAH3yv8Y=")</f>
        <v>#VALUE!</v>
      </c>
      <c r="GR157" t="e">
        <f>AND('BBP complete'!H1840,"AAAAAH3yv8c=")</f>
        <v>#VALUE!</v>
      </c>
      <c r="GS157" t="e">
        <f>AND('BBP complete'!I1840,"AAAAAH3yv8g=")</f>
        <v>#VALUE!</v>
      </c>
      <c r="GT157" t="e">
        <f>AND('BBP complete'!G1839,"AAAAAH3yv8k=")</f>
        <v>#VALUE!</v>
      </c>
      <c r="GU157" t="e">
        <f>AND('BBP complete'!#REF!,"AAAAAH3yv8o=")</f>
        <v>#REF!</v>
      </c>
      <c r="GV157" t="e">
        <f>AND('BBP complete'!#REF!,"AAAAAH3yv8s=")</f>
        <v>#REF!</v>
      </c>
      <c r="GW157" t="e">
        <f>AND('BBP complete'!#REF!,"AAAAAH3yv8w=")</f>
        <v>#REF!</v>
      </c>
      <c r="GX157" t="e">
        <f>AND('BBP complete'!#REF!,"AAAAAH3yv80=")</f>
        <v>#REF!</v>
      </c>
      <c r="GY157" t="e">
        <f>AND('BBP complete'!#REF!,"AAAAAH3yv84=")</f>
        <v>#REF!</v>
      </c>
      <c r="GZ157" t="e">
        <f>AND('BBP complete'!#REF!,"AAAAAH3yv88=")</f>
        <v>#REF!</v>
      </c>
      <c r="HA157" t="e">
        <f>AND('BBP complete'!L1834,"AAAAAH3yv9A=")</f>
        <v>#VALUE!</v>
      </c>
      <c r="HB157" t="e">
        <f>AND('BBP complete'!C1835,"AAAAAH3yv9E=")</f>
        <v>#VALUE!</v>
      </c>
      <c r="HC157" t="e">
        <f>AND('BBP complete'!N1840,"AAAAAH3yv9I=")</f>
        <v>#VALUE!</v>
      </c>
      <c r="HD157" t="e">
        <f>AND('BBP complete'!P1856,"AAAAAH3yv9M=")</f>
        <v>#VALUE!</v>
      </c>
      <c r="HE157" t="e">
        <f>AND('BBP complete'!Q1856,"AAAAAH3yv9Q=")</f>
        <v>#VALUE!</v>
      </c>
      <c r="HF157" t="e">
        <f>AND('BBP complete'!R1856,"AAAAAH3yv9U=")</f>
        <v>#VALUE!</v>
      </c>
      <c r="HG157" t="e">
        <f>AND('BBP complete'!S1856,"AAAAAH3yv9Y=")</f>
        <v>#VALUE!</v>
      </c>
      <c r="HH157" t="e">
        <f>AND('BBP complete'!A1845,"AAAAAH3yv9c=")</f>
        <v>#VALUE!</v>
      </c>
      <c r="HI157" t="e">
        <f>AND('BBP complete'!B1841,"AAAAAH3yv9g=")</f>
        <v>#VALUE!</v>
      </c>
      <c r="HJ157" t="e">
        <f>AND('BBP complete'!H1841,"AAAAAH3yv9k=")</f>
        <v>#VALUE!</v>
      </c>
      <c r="HK157" t="e">
        <f>AND('BBP complete'!I1841,"AAAAAH3yv9o=")</f>
        <v>#VALUE!</v>
      </c>
      <c r="HL157" t="e">
        <f>AND('BBP complete'!G1840,"AAAAAH3yv9s=")</f>
        <v>#VALUE!</v>
      </c>
      <c r="HM157" t="e">
        <f>AND('BBP complete'!#REF!,"AAAAAH3yv9w=")</f>
        <v>#REF!</v>
      </c>
      <c r="HN157" t="e">
        <f>AND('BBP complete'!#REF!,"AAAAAH3yv90=")</f>
        <v>#REF!</v>
      </c>
      <c r="HO157" t="e">
        <f>AND('BBP complete'!#REF!,"AAAAAH3yv94=")</f>
        <v>#REF!</v>
      </c>
      <c r="HP157" t="e">
        <f>AND('BBP complete'!#REF!,"AAAAAH3yv98=")</f>
        <v>#REF!</v>
      </c>
      <c r="HQ157" t="e">
        <f>AND('BBP complete'!#REF!,"AAAAAH3yv+A=")</f>
        <v>#REF!</v>
      </c>
      <c r="HR157" t="e">
        <f>AND('BBP complete'!#REF!,"AAAAAH3yv+E=")</f>
        <v>#REF!</v>
      </c>
      <c r="HS157" t="e">
        <f>AND('BBP complete'!L1835,"AAAAAH3yv+I=")</f>
        <v>#VALUE!</v>
      </c>
      <c r="HT157" t="e">
        <f>AND('BBP complete'!C1836,"AAAAAH3yv+M=")</f>
        <v>#VALUE!</v>
      </c>
      <c r="HU157" t="e">
        <f>AND('BBP complete'!N1841,"AAAAAH3yv+Q=")</f>
        <v>#VALUE!</v>
      </c>
      <c r="HV157" t="e">
        <f>AND('BBP complete'!P1857,"AAAAAH3yv+U=")</f>
        <v>#VALUE!</v>
      </c>
      <c r="HW157" t="e">
        <f>AND('BBP complete'!Q1857,"AAAAAH3yv+Y=")</f>
        <v>#VALUE!</v>
      </c>
      <c r="HX157" t="e">
        <f>AND('BBP complete'!R1857,"AAAAAH3yv+c=")</f>
        <v>#VALUE!</v>
      </c>
      <c r="HY157" t="e">
        <f>AND('BBP complete'!S1857,"AAAAAH3yv+g=")</f>
        <v>#VALUE!</v>
      </c>
      <c r="HZ157" t="e">
        <f>AND('BBP complete'!A1846,"AAAAAH3yv+k=")</f>
        <v>#VALUE!</v>
      </c>
      <c r="IA157" t="e">
        <f>AND('BBP complete'!B1842,"AAAAAH3yv+o=")</f>
        <v>#VALUE!</v>
      </c>
      <c r="IB157" t="e">
        <f>AND('BBP complete'!H1842,"AAAAAH3yv+s=")</f>
        <v>#VALUE!</v>
      </c>
      <c r="IC157" t="e">
        <f>AND('BBP complete'!I1842,"AAAAAH3yv+w=")</f>
        <v>#VALUE!</v>
      </c>
      <c r="ID157" t="e">
        <f>AND('BBP complete'!G1841,"AAAAAH3yv+0=")</f>
        <v>#VALUE!</v>
      </c>
      <c r="IE157" t="e">
        <f>AND('BBP complete'!#REF!,"AAAAAH3yv+4=")</f>
        <v>#REF!</v>
      </c>
      <c r="IF157" t="e">
        <f>AND('BBP complete'!#REF!,"AAAAAH3yv+8=")</f>
        <v>#REF!</v>
      </c>
      <c r="IG157" t="e">
        <f>AND('BBP complete'!#REF!,"AAAAAH3yv/A=")</f>
        <v>#REF!</v>
      </c>
      <c r="IH157" t="e">
        <f>AND('BBP complete'!#REF!,"AAAAAH3yv/E=")</f>
        <v>#REF!</v>
      </c>
      <c r="II157" t="e">
        <f>AND('BBP complete'!#REF!,"AAAAAH3yv/I=")</f>
        <v>#REF!</v>
      </c>
      <c r="IJ157" t="e">
        <f>AND('BBP complete'!#REF!,"AAAAAH3yv/M=")</f>
        <v>#REF!</v>
      </c>
      <c r="IK157" t="e">
        <f>AND('BBP complete'!L1836,"AAAAAH3yv/Q=")</f>
        <v>#VALUE!</v>
      </c>
      <c r="IL157" t="e">
        <f>AND('BBP complete'!C1837,"AAAAAH3yv/U=")</f>
        <v>#VALUE!</v>
      </c>
      <c r="IM157" t="e">
        <f>AND('BBP complete'!N1842,"AAAAAH3yv/Y=")</f>
        <v>#VALUE!</v>
      </c>
      <c r="IN157" t="e">
        <f>AND('BBP complete'!P1858,"AAAAAH3yv/c=")</f>
        <v>#VALUE!</v>
      </c>
      <c r="IO157" t="e">
        <f>AND('BBP complete'!Q1858,"AAAAAH3yv/g=")</f>
        <v>#VALUE!</v>
      </c>
      <c r="IP157" t="e">
        <f>AND('BBP complete'!R1858,"AAAAAH3yv/k=")</f>
        <v>#VALUE!</v>
      </c>
      <c r="IQ157" t="e">
        <f>AND('BBP complete'!S1858,"AAAAAH3yv/o=")</f>
        <v>#VALUE!</v>
      </c>
      <c r="IR157" t="e">
        <f>AND('BBP complete'!A1847,"AAAAAH3yv/s=")</f>
        <v>#VALUE!</v>
      </c>
      <c r="IS157" t="e">
        <f>AND('BBP complete'!B1843,"AAAAAH3yv/w=")</f>
        <v>#VALUE!</v>
      </c>
      <c r="IT157" t="e">
        <f>AND('BBP complete'!H1843,"AAAAAH3yv/0=")</f>
        <v>#VALUE!</v>
      </c>
      <c r="IU157" t="e">
        <f>AND('BBP complete'!I1843,"AAAAAH3yv/4=")</f>
        <v>#VALUE!</v>
      </c>
      <c r="IV157" t="e">
        <f>AND('BBP complete'!G1842,"AAAAAH3yv/8=")</f>
        <v>#VALUE!</v>
      </c>
    </row>
    <row r="158" spans="1:256" ht="15" customHeight="1" x14ac:dyDescent="0.25">
      <c r="A158" t="e">
        <f>AND('BBP complete'!#REF!,"AAAAAG+3fwA=")</f>
        <v>#REF!</v>
      </c>
      <c r="B158" t="e">
        <f>AND('BBP complete'!#REF!,"AAAAAG+3fwE=")</f>
        <v>#REF!</v>
      </c>
      <c r="C158" t="e">
        <f>AND('BBP complete'!#REF!,"AAAAAG+3fwI=")</f>
        <v>#REF!</v>
      </c>
      <c r="D158" t="e">
        <f>AND('BBP complete'!#REF!,"AAAAAG+3fwM=")</f>
        <v>#REF!</v>
      </c>
      <c r="E158" t="e">
        <f>AND('BBP complete'!#REF!,"AAAAAG+3fwQ=")</f>
        <v>#REF!</v>
      </c>
      <c r="F158" t="e">
        <f>AND('BBP complete'!#REF!,"AAAAAG+3fwU=")</f>
        <v>#REF!</v>
      </c>
      <c r="G158" t="e">
        <f>AND('BBP complete'!L1837,"AAAAAG+3fwY=")</f>
        <v>#VALUE!</v>
      </c>
      <c r="H158" t="e">
        <f>AND('BBP complete'!C1838,"AAAAAG+3fwc=")</f>
        <v>#VALUE!</v>
      </c>
      <c r="I158" t="e">
        <f>AND('BBP complete'!N1843,"AAAAAG+3fwg=")</f>
        <v>#VALUE!</v>
      </c>
      <c r="J158" t="e">
        <f>AND('BBP complete'!P1859,"AAAAAG+3fwk=")</f>
        <v>#VALUE!</v>
      </c>
      <c r="K158" t="e">
        <f>AND('BBP complete'!Q1859,"AAAAAG+3fwo=")</f>
        <v>#VALUE!</v>
      </c>
      <c r="L158" t="e">
        <f>AND('BBP complete'!R1859,"AAAAAG+3fws=")</f>
        <v>#VALUE!</v>
      </c>
      <c r="M158" t="e">
        <f>AND('BBP complete'!S1859,"AAAAAG+3fww=")</f>
        <v>#VALUE!</v>
      </c>
      <c r="N158" t="e">
        <f>AND('BBP complete'!A1848,"AAAAAG+3fw0=")</f>
        <v>#VALUE!</v>
      </c>
      <c r="O158" t="e">
        <f>AND('BBP complete'!B1844,"AAAAAG+3fw4=")</f>
        <v>#VALUE!</v>
      </c>
      <c r="P158" t="e">
        <f>AND('BBP complete'!H1844,"AAAAAG+3fw8=")</f>
        <v>#VALUE!</v>
      </c>
      <c r="Q158" t="e">
        <f>AND('BBP complete'!I1844,"AAAAAG+3fxA=")</f>
        <v>#VALUE!</v>
      </c>
      <c r="R158" t="e">
        <f>AND('BBP complete'!G1843,"AAAAAG+3fxE=")</f>
        <v>#VALUE!</v>
      </c>
      <c r="S158" t="e">
        <f>AND('BBP complete'!#REF!,"AAAAAG+3fxI=")</f>
        <v>#REF!</v>
      </c>
      <c r="T158" t="e">
        <f>AND('BBP complete'!#REF!,"AAAAAG+3fxM=")</f>
        <v>#REF!</v>
      </c>
      <c r="U158" t="e">
        <f>AND('BBP complete'!#REF!,"AAAAAG+3fxQ=")</f>
        <v>#REF!</v>
      </c>
      <c r="V158" t="e">
        <f>AND('BBP complete'!#REF!,"AAAAAG+3fxU=")</f>
        <v>#REF!</v>
      </c>
      <c r="W158" t="e">
        <f>AND('BBP complete'!#REF!,"AAAAAG+3fxY=")</f>
        <v>#REF!</v>
      </c>
      <c r="X158" t="e">
        <f>AND('BBP complete'!#REF!,"AAAAAG+3fxc=")</f>
        <v>#REF!</v>
      </c>
      <c r="Y158" t="e">
        <f>AND('BBP complete'!L1838,"AAAAAG+3fxg=")</f>
        <v>#VALUE!</v>
      </c>
      <c r="Z158" t="e">
        <f>AND('BBP complete'!C1839,"AAAAAG+3fxk=")</f>
        <v>#VALUE!</v>
      </c>
      <c r="AA158" t="e">
        <f>AND('BBP complete'!N1844,"AAAAAG+3fxo=")</f>
        <v>#VALUE!</v>
      </c>
      <c r="AB158" t="e">
        <f>AND('BBP complete'!P1860,"AAAAAG+3fxs=")</f>
        <v>#VALUE!</v>
      </c>
      <c r="AC158" t="e">
        <f>AND('BBP complete'!Q1860,"AAAAAG+3fxw=")</f>
        <v>#VALUE!</v>
      </c>
      <c r="AD158" t="e">
        <f>AND('BBP complete'!R1860,"AAAAAG+3fx0=")</f>
        <v>#VALUE!</v>
      </c>
      <c r="AE158" t="e">
        <f>AND('BBP complete'!S1860,"AAAAAG+3fx4=")</f>
        <v>#VALUE!</v>
      </c>
      <c r="AF158" t="e">
        <f>AND('BBP complete'!A1849,"AAAAAG+3fx8=")</f>
        <v>#VALUE!</v>
      </c>
      <c r="AG158" t="e">
        <f>AND('BBP complete'!B1845,"AAAAAG+3fyA=")</f>
        <v>#VALUE!</v>
      </c>
      <c r="AH158" t="e">
        <f>AND('BBP complete'!H1845,"AAAAAG+3fyE=")</f>
        <v>#VALUE!</v>
      </c>
      <c r="AI158" t="e">
        <f>AND('BBP complete'!I1845,"AAAAAG+3fyI=")</f>
        <v>#VALUE!</v>
      </c>
      <c r="AJ158" t="e">
        <f>AND('BBP complete'!G1844,"AAAAAG+3fyM=")</f>
        <v>#VALUE!</v>
      </c>
      <c r="AK158" t="e">
        <f>AND('BBP complete'!#REF!,"AAAAAG+3fyQ=")</f>
        <v>#REF!</v>
      </c>
      <c r="AL158" t="e">
        <f>AND('BBP complete'!#REF!,"AAAAAG+3fyU=")</f>
        <v>#REF!</v>
      </c>
      <c r="AM158" t="e">
        <f>AND('BBP complete'!#REF!,"AAAAAG+3fyY=")</f>
        <v>#REF!</v>
      </c>
      <c r="AN158" t="e">
        <f>AND('BBP complete'!#REF!,"AAAAAG+3fyc=")</f>
        <v>#REF!</v>
      </c>
      <c r="AO158" t="e">
        <f>AND('BBP complete'!#REF!,"AAAAAG+3fyg=")</f>
        <v>#REF!</v>
      </c>
      <c r="AP158" t="e">
        <f>AND('BBP complete'!#REF!,"AAAAAG+3fyk=")</f>
        <v>#REF!</v>
      </c>
      <c r="AQ158" t="e">
        <f>AND('BBP complete'!L1839,"AAAAAG+3fyo=")</f>
        <v>#VALUE!</v>
      </c>
      <c r="AR158" t="e">
        <f>AND('BBP complete'!C1840,"AAAAAG+3fys=")</f>
        <v>#VALUE!</v>
      </c>
      <c r="AS158" t="e">
        <f>AND('BBP complete'!N1845,"AAAAAG+3fyw=")</f>
        <v>#VALUE!</v>
      </c>
      <c r="AT158" t="e">
        <f>AND('BBP complete'!P1861,"AAAAAG+3fy0=")</f>
        <v>#VALUE!</v>
      </c>
      <c r="AU158" t="e">
        <f>AND('BBP complete'!Q1861,"AAAAAG+3fy4=")</f>
        <v>#VALUE!</v>
      </c>
      <c r="AV158" t="e">
        <f>AND('BBP complete'!R1861,"AAAAAG+3fy8=")</f>
        <v>#VALUE!</v>
      </c>
      <c r="AW158" t="e">
        <f>AND('BBP complete'!S1861,"AAAAAG+3fzA=")</f>
        <v>#VALUE!</v>
      </c>
      <c r="AX158" t="e">
        <f>AND('BBP complete'!A1850,"AAAAAG+3fzE=")</f>
        <v>#VALUE!</v>
      </c>
      <c r="AY158" t="e">
        <f>AND('BBP complete'!B1846,"AAAAAG+3fzI=")</f>
        <v>#VALUE!</v>
      </c>
      <c r="AZ158" t="e">
        <f>AND('BBP complete'!H1846,"AAAAAG+3fzM=")</f>
        <v>#VALUE!</v>
      </c>
      <c r="BA158" t="e">
        <f>AND('BBP complete'!I1846,"AAAAAG+3fzQ=")</f>
        <v>#VALUE!</v>
      </c>
      <c r="BB158" t="e">
        <f>AND('BBP complete'!G1845,"AAAAAG+3fzU=")</f>
        <v>#VALUE!</v>
      </c>
      <c r="BC158" t="e">
        <f>AND('BBP complete'!#REF!,"AAAAAG+3fzY=")</f>
        <v>#REF!</v>
      </c>
      <c r="BD158" t="e">
        <f>AND('BBP complete'!#REF!,"AAAAAG+3fzc=")</f>
        <v>#REF!</v>
      </c>
      <c r="BE158" t="e">
        <f>AND('BBP complete'!#REF!,"AAAAAG+3fzg=")</f>
        <v>#REF!</v>
      </c>
      <c r="BF158" t="e">
        <f>AND('BBP complete'!#REF!,"AAAAAG+3fzk=")</f>
        <v>#REF!</v>
      </c>
      <c r="BG158" t="e">
        <f>AND('BBP complete'!#REF!,"AAAAAG+3fzo=")</f>
        <v>#REF!</v>
      </c>
      <c r="BH158" t="e">
        <f>AND('BBP complete'!#REF!,"AAAAAG+3fzs=")</f>
        <v>#REF!</v>
      </c>
      <c r="BI158" t="e">
        <f>AND('BBP complete'!L1840,"AAAAAG+3fzw=")</f>
        <v>#VALUE!</v>
      </c>
      <c r="BJ158" t="e">
        <f>AND('BBP complete'!C1841,"AAAAAG+3fz0=")</f>
        <v>#VALUE!</v>
      </c>
      <c r="BK158" t="e">
        <f>AND('BBP complete'!N1846,"AAAAAG+3fz4=")</f>
        <v>#VALUE!</v>
      </c>
      <c r="BL158" t="e">
        <f>AND('BBP complete'!P1862,"AAAAAG+3fz8=")</f>
        <v>#VALUE!</v>
      </c>
      <c r="BM158" t="e">
        <f>AND('BBP complete'!Q1862,"AAAAAG+3f0A=")</f>
        <v>#VALUE!</v>
      </c>
      <c r="BN158" t="e">
        <f>AND('BBP complete'!R1862,"AAAAAG+3f0E=")</f>
        <v>#VALUE!</v>
      </c>
      <c r="BO158" t="e">
        <f>AND('BBP complete'!S1862,"AAAAAG+3f0I=")</f>
        <v>#VALUE!</v>
      </c>
      <c r="BP158" t="e">
        <f>AND('BBP complete'!A1851,"AAAAAG+3f0M=")</f>
        <v>#VALUE!</v>
      </c>
      <c r="BQ158" t="e">
        <f>AND('BBP complete'!B1847,"AAAAAG+3f0Q=")</f>
        <v>#VALUE!</v>
      </c>
      <c r="BR158" t="e">
        <f>AND('BBP complete'!H1847,"AAAAAG+3f0U=")</f>
        <v>#VALUE!</v>
      </c>
      <c r="BS158" t="e">
        <f>AND('BBP complete'!I1847,"AAAAAG+3f0Y=")</f>
        <v>#VALUE!</v>
      </c>
      <c r="BT158" t="e">
        <f>AND('BBP complete'!G1846,"AAAAAG+3f0c=")</f>
        <v>#VALUE!</v>
      </c>
      <c r="BU158" t="e">
        <f>AND('BBP complete'!#REF!,"AAAAAG+3f0g=")</f>
        <v>#REF!</v>
      </c>
      <c r="BV158" t="e">
        <f>AND('BBP complete'!#REF!,"AAAAAG+3f0k=")</f>
        <v>#REF!</v>
      </c>
      <c r="BW158" t="e">
        <f>AND('BBP complete'!#REF!,"AAAAAG+3f0o=")</f>
        <v>#REF!</v>
      </c>
      <c r="BX158" t="e">
        <f>AND('BBP complete'!#REF!,"AAAAAG+3f0s=")</f>
        <v>#REF!</v>
      </c>
      <c r="BY158" t="e">
        <f>AND('BBP complete'!#REF!,"AAAAAG+3f0w=")</f>
        <v>#REF!</v>
      </c>
      <c r="BZ158" t="e">
        <f>AND('BBP complete'!#REF!,"AAAAAG+3f00=")</f>
        <v>#REF!</v>
      </c>
      <c r="CA158" t="e">
        <f>AND('BBP complete'!L1841,"AAAAAG+3f04=")</f>
        <v>#VALUE!</v>
      </c>
      <c r="CB158" t="e">
        <f>AND('BBP complete'!C1842,"AAAAAG+3f08=")</f>
        <v>#VALUE!</v>
      </c>
      <c r="CC158" t="e">
        <f>AND('BBP complete'!N1847,"AAAAAG+3f1A=")</f>
        <v>#VALUE!</v>
      </c>
      <c r="CD158" t="e">
        <f>AND('BBP complete'!P1863,"AAAAAG+3f1E=")</f>
        <v>#VALUE!</v>
      </c>
      <c r="CE158" t="e">
        <f>AND('BBP complete'!Q1863,"AAAAAG+3f1I=")</f>
        <v>#VALUE!</v>
      </c>
      <c r="CF158" t="e">
        <f>AND('BBP complete'!R1863,"AAAAAG+3f1M=")</f>
        <v>#VALUE!</v>
      </c>
      <c r="CG158" t="e">
        <f>AND('BBP complete'!S1863,"AAAAAG+3f1Q=")</f>
        <v>#VALUE!</v>
      </c>
      <c r="CH158" t="e">
        <f>AND('BBP complete'!A1852,"AAAAAG+3f1U=")</f>
        <v>#VALUE!</v>
      </c>
      <c r="CI158" t="e">
        <f>AND('BBP complete'!B1848,"AAAAAG+3f1Y=")</f>
        <v>#VALUE!</v>
      </c>
      <c r="CJ158" t="e">
        <f>AND('BBP complete'!H1848,"AAAAAG+3f1c=")</f>
        <v>#VALUE!</v>
      </c>
      <c r="CK158" t="e">
        <f>AND('BBP complete'!I1848,"AAAAAG+3f1g=")</f>
        <v>#VALUE!</v>
      </c>
      <c r="CL158" t="e">
        <f>AND('BBP complete'!G1847,"AAAAAG+3f1k=")</f>
        <v>#VALUE!</v>
      </c>
      <c r="CM158" t="e">
        <f>AND('BBP complete'!#REF!,"AAAAAG+3f1o=")</f>
        <v>#REF!</v>
      </c>
      <c r="CN158" t="e">
        <f>AND('BBP complete'!#REF!,"AAAAAG+3f1s=")</f>
        <v>#REF!</v>
      </c>
      <c r="CO158" t="e">
        <f>AND('BBP complete'!#REF!,"AAAAAG+3f1w=")</f>
        <v>#REF!</v>
      </c>
      <c r="CP158" t="e">
        <f>AND('BBP complete'!#REF!,"AAAAAG+3f10=")</f>
        <v>#REF!</v>
      </c>
      <c r="CQ158" t="e">
        <f>AND('BBP complete'!#REF!,"AAAAAG+3f14=")</f>
        <v>#REF!</v>
      </c>
      <c r="CR158" t="e">
        <f>AND('BBP complete'!#REF!,"AAAAAG+3f18=")</f>
        <v>#REF!</v>
      </c>
      <c r="CS158" t="e">
        <f>AND('BBP complete'!L1842,"AAAAAG+3f2A=")</f>
        <v>#VALUE!</v>
      </c>
      <c r="CT158" t="e">
        <f>AND('BBP complete'!C1843,"AAAAAG+3f2E=")</f>
        <v>#VALUE!</v>
      </c>
      <c r="CU158" t="e">
        <f>AND('BBP complete'!N1848,"AAAAAG+3f2I=")</f>
        <v>#VALUE!</v>
      </c>
      <c r="CV158" t="e">
        <f>AND('BBP complete'!P1864,"AAAAAG+3f2M=")</f>
        <v>#VALUE!</v>
      </c>
      <c r="CW158" t="e">
        <f>AND('BBP complete'!Q1864,"AAAAAG+3f2Q=")</f>
        <v>#VALUE!</v>
      </c>
      <c r="CX158" t="e">
        <f>AND('BBP complete'!R1864,"AAAAAG+3f2U=")</f>
        <v>#VALUE!</v>
      </c>
      <c r="CY158" t="e">
        <f>AND('BBP complete'!S1864,"AAAAAG+3f2Y=")</f>
        <v>#VALUE!</v>
      </c>
      <c r="CZ158" t="e">
        <f>AND('BBP complete'!A1853,"AAAAAG+3f2c=")</f>
        <v>#VALUE!</v>
      </c>
      <c r="DA158" t="e">
        <f>AND('BBP complete'!B1849,"AAAAAG+3f2g=")</f>
        <v>#VALUE!</v>
      </c>
      <c r="DB158" t="e">
        <f>AND('BBP complete'!H1849,"AAAAAG+3f2k=")</f>
        <v>#VALUE!</v>
      </c>
      <c r="DC158" t="e">
        <f>AND('BBP complete'!I1849,"AAAAAG+3f2o=")</f>
        <v>#VALUE!</v>
      </c>
      <c r="DD158" t="e">
        <f>AND('BBP complete'!G1848,"AAAAAG+3f2s=")</f>
        <v>#VALUE!</v>
      </c>
      <c r="DE158" t="e">
        <f>AND('BBP complete'!#REF!,"AAAAAG+3f2w=")</f>
        <v>#REF!</v>
      </c>
      <c r="DF158" t="e">
        <f>AND('BBP complete'!#REF!,"AAAAAG+3f20=")</f>
        <v>#REF!</v>
      </c>
      <c r="DG158" t="e">
        <f>AND('BBP complete'!#REF!,"AAAAAG+3f24=")</f>
        <v>#REF!</v>
      </c>
      <c r="DH158" t="e">
        <f>AND('BBP complete'!#REF!,"AAAAAG+3f28=")</f>
        <v>#REF!</v>
      </c>
      <c r="DI158" t="e">
        <f>AND('BBP complete'!#REF!,"AAAAAG+3f3A=")</f>
        <v>#REF!</v>
      </c>
      <c r="DJ158" t="e">
        <f>AND('BBP complete'!#REF!,"AAAAAG+3f3E=")</f>
        <v>#REF!</v>
      </c>
      <c r="DK158" t="e">
        <f>AND('BBP complete'!L1843,"AAAAAG+3f3I=")</f>
        <v>#VALUE!</v>
      </c>
      <c r="DL158" t="e">
        <f>AND('BBP complete'!C1844,"AAAAAG+3f3M=")</f>
        <v>#VALUE!</v>
      </c>
      <c r="DM158" t="e">
        <f>AND('BBP complete'!N1849,"AAAAAG+3f3Q=")</f>
        <v>#VALUE!</v>
      </c>
      <c r="DN158" t="e">
        <f>AND('BBP complete'!P1865,"AAAAAG+3f3U=")</f>
        <v>#VALUE!</v>
      </c>
      <c r="DO158" t="e">
        <f>AND('BBP complete'!Q1865,"AAAAAG+3f3Y=")</f>
        <v>#VALUE!</v>
      </c>
      <c r="DP158" t="e">
        <f>AND('BBP complete'!R1865,"AAAAAG+3f3c=")</f>
        <v>#VALUE!</v>
      </c>
      <c r="DQ158" t="e">
        <f>AND('BBP complete'!S1865,"AAAAAG+3f3g=")</f>
        <v>#VALUE!</v>
      </c>
      <c r="DR158" t="e">
        <f>AND('BBP complete'!A1854,"AAAAAG+3f3k=")</f>
        <v>#VALUE!</v>
      </c>
      <c r="DS158" t="e">
        <f>AND('BBP complete'!B1850,"AAAAAG+3f3o=")</f>
        <v>#VALUE!</v>
      </c>
      <c r="DT158" t="e">
        <f>AND('BBP complete'!H1850,"AAAAAG+3f3s=")</f>
        <v>#VALUE!</v>
      </c>
      <c r="DU158" t="e">
        <f>AND('BBP complete'!I1850,"AAAAAG+3f3w=")</f>
        <v>#VALUE!</v>
      </c>
      <c r="DV158" t="e">
        <f>AND('BBP complete'!G1849,"AAAAAG+3f30=")</f>
        <v>#VALUE!</v>
      </c>
      <c r="DW158" t="e">
        <f>AND('BBP complete'!#REF!,"AAAAAG+3f34=")</f>
        <v>#REF!</v>
      </c>
      <c r="DX158" t="e">
        <f>AND('BBP complete'!#REF!,"AAAAAG+3f38=")</f>
        <v>#REF!</v>
      </c>
      <c r="DY158" t="e">
        <f>AND('BBP complete'!#REF!,"AAAAAG+3f4A=")</f>
        <v>#REF!</v>
      </c>
      <c r="DZ158" t="e">
        <f>AND('BBP complete'!#REF!,"AAAAAG+3f4E=")</f>
        <v>#REF!</v>
      </c>
      <c r="EA158" t="e">
        <f>AND('BBP complete'!#REF!,"AAAAAG+3f4I=")</f>
        <v>#REF!</v>
      </c>
      <c r="EB158" t="e">
        <f>AND('BBP complete'!#REF!,"AAAAAG+3f4M=")</f>
        <v>#REF!</v>
      </c>
      <c r="EC158" t="e">
        <f>AND('BBP complete'!L1844,"AAAAAG+3f4Q=")</f>
        <v>#VALUE!</v>
      </c>
      <c r="ED158" t="e">
        <f>AND('BBP complete'!C1845,"AAAAAG+3f4U=")</f>
        <v>#VALUE!</v>
      </c>
      <c r="EE158" t="e">
        <f>AND('BBP complete'!N1850,"AAAAAG+3f4Y=")</f>
        <v>#VALUE!</v>
      </c>
      <c r="EF158" t="e">
        <f>AND('BBP complete'!P1866,"AAAAAG+3f4c=")</f>
        <v>#VALUE!</v>
      </c>
      <c r="EG158" t="e">
        <f>AND('BBP complete'!Q1866,"AAAAAG+3f4g=")</f>
        <v>#VALUE!</v>
      </c>
      <c r="EH158" t="e">
        <f>AND('BBP complete'!R1866,"AAAAAG+3f4k=")</f>
        <v>#VALUE!</v>
      </c>
      <c r="EI158" t="e">
        <f>AND('BBP complete'!S1866,"AAAAAG+3f4o=")</f>
        <v>#VALUE!</v>
      </c>
      <c r="EJ158" t="e">
        <f>AND('BBP complete'!A1855,"AAAAAG+3f4s=")</f>
        <v>#VALUE!</v>
      </c>
      <c r="EK158" t="e">
        <f>AND('BBP complete'!B1851,"AAAAAG+3f4w=")</f>
        <v>#VALUE!</v>
      </c>
      <c r="EL158" t="e">
        <f>AND('BBP complete'!H1851,"AAAAAG+3f40=")</f>
        <v>#VALUE!</v>
      </c>
      <c r="EM158" t="e">
        <f>AND('BBP complete'!I1851,"AAAAAG+3f44=")</f>
        <v>#VALUE!</v>
      </c>
      <c r="EN158" t="e">
        <f>AND('BBP complete'!G1850,"AAAAAG+3f48=")</f>
        <v>#VALUE!</v>
      </c>
      <c r="EO158" t="e">
        <f>AND('BBP complete'!#REF!,"AAAAAG+3f5A=")</f>
        <v>#REF!</v>
      </c>
      <c r="EP158" t="e">
        <f>AND('BBP complete'!#REF!,"AAAAAG+3f5E=")</f>
        <v>#REF!</v>
      </c>
      <c r="EQ158" t="e">
        <f>AND('BBP complete'!#REF!,"AAAAAG+3f5I=")</f>
        <v>#REF!</v>
      </c>
      <c r="ER158" t="e">
        <f>AND('BBP complete'!#REF!,"AAAAAG+3f5M=")</f>
        <v>#REF!</v>
      </c>
      <c r="ES158" t="e">
        <f>AND('BBP complete'!#REF!,"AAAAAG+3f5Q=")</f>
        <v>#REF!</v>
      </c>
      <c r="ET158" t="e">
        <f>AND('BBP complete'!#REF!,"AAAAAG+3f5U=")</f>
        <v>#REF!</v>
      </c>
      <c r="EU158" t="e">
        <f>AND('BBP complete'!L1845,"AAAAAG+3f5Y=")</f>
        <v>#VALUE!</v>
      </c>
      <c r="EV158" t="e">
        <f>AND('BBP complete'!C1846,"AAAAAG+3f5c=")</f>
        <v>#VALUE!</v>
      </c>
      <c r="EW158" t="e">
        <f>AND('BBP complete'!N1851,"AAAAAG+3f5g=")</f>
        <v>#VALUE!</v>
      </c>
      <c r="EX158" t="e">
        <f>AND('BBP complete'!P1867,"AAAAAG+3f5k=")</f>
        <v>#VALUE!</v>
      </c>
      <c r="EY158" t="e">
        <f>AND('BBP complete'!Q1867,"AAAAAG+3f5o=")</f>
        <v>#VALUE!</v>
      </c>
      <c r="EZ158" t="e">
        <f>AND('BBP complete'!R1867,"AAAAAG+3f5s=")</f>
        <v>#VALUE!</v>
      </c>
      <c r="FA158" t="e">
        <f>AND('BBP complete'!S1867,"AAAAAG+3f5w=")</f>
        <v>#VALUE!</v>
      </c>
      <c r="FB158" t="e">
        <f>AND('BBP complete'!A1856,"AAAAAG+3f50=")</f>
        <v>#VALUE!</v>
      </c>
      <c r="FC158" t="e">
        <f>AND('BBP complete'!B1852,"AAAAAG+3f54=")</f>
        <v>#VALUE!</v>
      </c>
      <c r="FD158" t="e">
        <f>AND('BBP complete'!H1852,"AAAAAG+3f58=")</f>
        <v>#VALUE!</v>
      </c>
      <c r="FE158" t="e">
        <f>AND('BBP complete'!I1852,"AAAAAG+3f6A=")</f>
        <v>#VALUE!</v>
      </c>
      <c r="FF158" t="e">
        <f>AND('BBP complete'!G1851,"AAAAAG+3f6E=")</f>
        <v>#VALUE!</v>
      </c>
      <c r="FG158" t="e">
        <f>AND('BBP complete'!#REF!,"AAAAAG+3f6I=")</f>
        <v>#REF!</v>
      </c>
      <c r="FH158" t="e">
        <f>AND('BBP complete'!#REF!,"AAAAAG+3f6M=")</f>
        <v>#REF!</v>
      </c>
      <c r="FI158" t="e">
        <f>AND('BBP complete'!#REF!,"AAAAAG+3f6Q=")</f>
        <v>#REF!</v>
      </c>
      <c r="FJ158" t="e">
        <f>AND('BBP complete'!#REF!,"AAAAAG+3f6U=")</f>
        <v>#REF!</v>
      </c>
      <c r="FK158" t="e">
        <f>AND('BBP complete'!#REF!,"AAAAAG+3f6Y=")</f>
        <v>#REF!</v>
      </c>
      <c r="FL158" t="e">
        <f>AND('BBP complete'!#REF!,"AAAAAG+3f6c=")</f>
        <v>#REF!</v>
      </c>
      <c r="FM158" t="e">
        <f>AND('BBP complete'!L1846,"AAAAAG+3f6g=")</f>
        <v>#VALUE!</v>
      </c>
      <c r="FN158" t="e">
        <f>AND('BBP complete'!C1847,"AAAAAG+3f6k=")</f>
        <v>#VALUE!</v>
      </c>
      <c r="FO158" t="e">
        <f>AND('BBP complete'!N1852,"AAAAAG+3f6o=")</f>
        <v>#VALUE!</v>
      </c>
      <c r="FP158" t="e">
        <f>AND('BBP complete'!P1868,"AAAAAG+3f6s=")</f>
        <v>#VALUE!</v>
      </c>
      <c r="FQ158" t="e">
        <f>AND('BBP complete'!Q1868,"AAAAAG+3f6w=")</f>
        <v>#VALUE!</v>
      </c>
      <c r="FR158" t="e">
        <f>AND('BBP complete'!R1868,"AAAAAG+3f60=")</f>
        <v>#VALUE!</v>
      </c>
      <c r="FS158" t="e">
        <f>AND('BBP complete'!S1868,"AAAAAG+3f64=")</f>
        <v>#VALUE!</v>
      </c>
      <c r="FT158" t="e">
        <f>AND('BBP complete'!A1857,"AAAAAG+3f68=")</f>
        <v>#VALUE!</v>
      </c>
      <c r="FU158" t="e">
        <f>AND('BBP complete'!B1853,"AAAAAG+3f7A=")</f>
        <v>#VALUE!</v>
      </c>
      <c r="FV158" t="e">
        <f>AND('BBP complete'!H1853,"AAAAAG+3f7E=")</f>
        <v>#VALUE!</v>
      </c>
      <c r="FW158" t="e">
        <f>AND('BBP complete'!I1853,"AAAAAG+3f7I=")</f>
        <v>#VALUE!</v>
      </c>
      <c r="FX158" t="e">
        <f>AND('BBP complete'!G1852,"AAAAAG+3f7M=")</f>
        <v>#VALUE!</v>
      </c>
      <c r="FY158" t="e">
        <f>AND('BBP complete'!#REF!,"AAAAAG+3f7Q=")</f>
        <v>#REF!</v>
      </c>
      <c r="FZ158" t="e">
        <f>AND('BBP complete'!#REF!,"AAAAAG+3f7U=")</f>
        <v>#REF!</v>
      </c>
      <c r="GA158" t="e">
        <f>AND('BBP complete'!#REF!,"AAAAAG+3f7Y=")</f>
        <v>#REF!</v>
      </c>
      <c r="GB158" t="e">
        <f>AND('BBP complete'!#REF!,"AAAAAG+3f7c=")</f>
        <v>#REF!</v>
      </c>
      <c r="GC158" t="e">
        <f>AND('BBP complete'!#REF!,"AAAAAG+3f7g=")</f>
        <v>#REF!</v>
      </c>
      <c r="GD158" t="e">
        <f>AND('BBP complete'!#REF!,"AAAAAG+3f7k=")</f>
        <v>#REF!</v>
      </c>
      <c r="GE158" t="e">
        <f>AND('BBP complete'!L1847,"AAAAAG+3f7o=")</f>
        <v>#VALUE!</v>
      </c>
      <c r="GF158" t="e">
        <f>AND('BBP complete'!C1848,"AAAAAG+3f7s=")</f>
        <v>#VALUE!</v>
      </c>
      <c r="GG158" t="e">
        <f>AND('BBP complete'!N1853,"AAAAAG+3f7w=")</f>
        <v>#VALUE!</v>
      </c>
      <c r="GH158" t="e">
        <f>AND('BBP complete'!P1869,"AAAAAG+3f70=")</f>
        <v>#VALUE!</v>
      </c>
      <c r="GI158" t="e">
        <f>AND('BBP complete'!Q1869,"AAAAAG+3f74=")</f>
        <v>#VALUE!</v>
      </c>
      <c r="GJ158" t="e">
        <f>AND('BBP complete'!R1869,"AAAAAG+3f78=")</f>
        <v>#VALUE!</v>
      </c>
      <c r="GK158" t="e">
        <f>AND('BBP complete'!S1869,"AAAAAG+3f8A=")</f>
        <v>#VALUE!</v>
      </c>
      <c r="GL158" t="e">
        <f>AND('BBP complete'!A1858,"AAAAAG+3f8E=")</f>
        <v>#VALUE!</v>
      </c>
      <c r="GM158" t="e">
        <f>AND('BBP complete'!B1854,"AAAAAG+3f8I=")</f>
        <v>#VALUE!</v>
      </c>
      <c r="GN158" t="e">
        <f>AND('BBP complete'!H1854,"AAAAAG+3f8M=")</f>
        <v>#VALUE!</v>
      </c>
      <c r="GO158" t="e">
        <f>AND('BBP complete'!I1854,"AAAAAG+3f8Q=")</f>
        <v>#VALUE!</v>
      </c>
      <c r="GP158" t="e">
        <f>AND('BBP complete'!G1853,"AAAAAG+3f8U=")</f>
        <v>#VALUE!</v>
      </c>
      <c r="GQ158" t="e">
        <f>AND('BBP complete'!#REF!,"AAAAAG+3f8Y=")</f>
        <v>#REF!</v>
      </c>
      <c r="GR158" t="e">
        <f>AND('BBP complete'!#REF!,"AAAAAG+3f8c=")</f>
        <v>#REF!</v>
      </c>
      <c r="GS158" t="e">
        <f>AND('BBP complete'!#REF!,"AAAAAG+3f8g=")</f>
        <v>#REF!</v>
      </c>
      <c r="GT158" t="e">
        <f>AND('BBP complete'!#REF!,"AAAAAG+3f8k=")</f>
        <v>#REF!</v>
      </c>
      <c r="GU158" t="e">
        <f>AND('BBP complete'!#REF!,"AAAAAG+3f8o=")</f>
        <v>#REF!</v>
      </c>
      <c r="GV158" t="e">
        <f>AND('BBP complete'!#REF!,"AAAAAG+3f8s=")</f>
        <v>#REF!</v>
      </c>
      <c r="GW158" t="e">
        <f>AND('BBP complete'!L1848,"AAAAAG+3f8w=")</f>
        <v>#VALUE!</v>
      </c>
      <c r="GX158" t="e">
        <f>AND('BBP complete'!C1849,"AAAAAG+3f80=")</f>
        <v>#VALUE!</v>
      </c>
      <c r="GY158" t="e">
        <f>AND('BBP complete'!N1854,"AAAAAG+3f84=")</f>
        <v>#VALUE!</v>
      </c>
      <c r="GZ158" t="e">
        <f>AND('BBP complete'!P1870,"AAAAAG+3f88=")</f>
        <v>#VALUE!</v>
      </c>
      <c r="HA158" t="e">
        <f>AND('BBP complete'!Q1870,"AAAAAG+3f9A=")</f>
        <v>#VALUE!</v>
      </c>
      <c r="HB158" t="e">
        <f>AND('BBP complete'!R1870,"AAAAAG+3f9E=")</f>
        <v>#VALUE!</v>
      </c>
      <c r="HC158" t="e">
        <f>AND('BBP complete'!S1870,"AAAAAG+3f9I=")</f>
        <v>#VALUE!</v>
      </c>
      <c r="HD158" t="e">
        <f>AND('BBP complete'!A1859,"AAAAAG+3f9M=")</f>
        <v>#VALUE!</v>
      </c>
      <c r="HE158" t="e">
        <f>AND('BBP complete'!B1855,"AAAAAG+3f9Q=")</f>
        <v>#VALUE!</v>
      </c>
      <c r="HF158" t="e">
        <f>AND('BBP complete'!H1855,"AAAAAG+3f9U=")</f>
        <v>#VALUE!</v>
      </c>
      <c r="HG158" t="e">
        <f>AND('BBP complete'!I1855,"AAAAAG+3f9Y=")</f>
        <v>#VALUE!</v>
      </c>
      <c r="HH158" t="e">
        <f>AND('BBP complete'!G1854,"AAAAAG+3f9c=")</f>
        <v>#VALUE!</v>
      </c>
      <c r="HI158" t="e">
        <f>AND('BBP complete'!#REF!,"AAAAAG+3f9g=")</f>
        <v>#REF!</v>
      </c>
      <c r="HJ158" t="e">
        <f>AND('BBP complete'!#REF!,"AAAAAG+3f9k=")</f>
        <v>#REF!</v>
      </c>
      <c r="HK158" t="e">
        <f>AND('BBP complete'!#REF!,"AAAAAG+3f9o=")</f>
        <v>#REF!</v>
      </c>
      <c r="HL158" t="e">
        <f>AND('BBP complete'!#REF!,"AAAAAG+3f9s=")</f>
        <v>#REF!</v>
      </c>
      <c r="HM158" t="e">
        <f>AND('BBP complete'!#REF!,"AAAAAG+3f9w=")</f>
        <v>#REF!</v>
      </c>
      <c r="HN158" t="e">
        <f>AND('BBP complete'!#REF!,"AAAAAG+3f90=")</f>
        <v>#REF!</v>
      </c>
      <c r="HO158" t="e">
        <f>AND('BBP complete'!#REF!,"AAAAAG+3f94=")</f>
        <v>#REF!</v>
      </c>
      <c r="HP158" t="e">
        <f>AND('BBP complete'!#REF!,"AAAAAG+3f98=")</f>
        <v>#REF!</v>
      </c>
      <c r="HQ158" t="e">
        <f>AND('BBP complete'!N1855,"AAAAAG+3f+A=")</f>
        <v>#VALUE!</v>
      </c>
      <c r="HR158" t="e">
        <f>AND('BBP complete'!P1871,"AAAAAG+3f+E=")</f>
        <v>#VALUE!</v>
      </c>
      <c r="HS158" t="e">
        <f>AND('BBP complete'!Q1871,"AAAAAG+3f+I=")</f>
        <v>#VALUE!</v>
      </c>
      <c r="HT158" t="e">
        <f>AND('BBP complete'!R1871,"AAAAAG+3f+M=")</f>
        <v>#VALUE!</v>
      </c>
      <c r="HU158" t="e">
        <f>AND('BBP complete'!S1871,"AAAAAG+3f+Q=")</f>
        <v>#VALUE!</v>
      </c>
      <c r="HV158" t="e">
        <f>AND('BBP complete'!A1860,"AAAAAG+3f+U=")</f>
        <v>#VALUE!</v>
      </c>
      <c r="HW158" t="e">
        <f>AND('BBP complete'!B1856,"AAAAAG+3f+Y=")</f>
        <v>#VALUE!</v>
      </c>
      <c r="HX158" t="e">
        <f>AND('BBP complete'!H1856,"AAAAAG+3f+c=")</f>
        <v>#VALUE!</v>
      </c>
      <c r="HY158" t="e">
        <f>AND('BBP complete'!I1856,"AAAAAG+3f+g=")</f>
        <v>#VALUE!</v>
      </c>
      <c r="HZ158" t="e">
        <f>AND('BBP complete'!G1855,"AAAAAG+3f+k=")</f>
        <v>#VALUE!</v>
      </c>
      <c r="IA158" t="e">
        <f>AND('BBP complete'!#REF!,"AAAAAG+3f+o=")</f>
        <v>#REF!</v>
      </c>
      <c r="IB158" t="e">
        <f>AND('BBP complete'!#REF!,"AAAAAG+3f+s=")</f>
        <v>#REF!</v>
      </c>
      <c r="IC158" t="e">
        <f>AND('BBP complete'!#REF!,"AAAAAG+3f+w=")</f>
        <v>#REF!</v>
      </c>
      <c r="ID158" t="e">
        <f>AND('BBP complete'!#REF!,"AAAAAG+3f+0=")</f>
        <v>#REF!</v>
      </c>
      <c r="IE158" t="e">
        <f>AND('BBP complete'!#REF!,"AAAAAG+3f+4=")</f>
        <v>#REF!</v>
      </c>
      <c r="IF158" t="e">
        <f>AND('BBP complete'!#REF!,"AAAAAG+3f+8=")</f>
        <v>#REF!</v>
      </c>
      <c r="IG158" t="e">
        <f>AND('BBP complete'!L1849,"AAAAAG+3f/A=")</f>
        <v>#VALUE!</v>
      </c>
      <c r="IH158" t="e">
        <f>AND('BBP complete'!C1850,"AAAAAG+3f/E=")</f>
        <v>#VALUE!</v>
      </c>
      <c r="II158" t="e">
        <f>AND('BBP complete'!N1856,"AAAAAG+3f/I=")</f>
        <v>#VALUE!</v>
      </c>
      <c r="IJ158" t="e">
        <f>AND('BBP complete'!P1872,"AAAAAG+3f/M=")</f>
        <v>#VALUE!</v>
      </c>
      <c r="IK158" t="e">
        <f>AND('BBP complete'!Q1872,"AAAAAG+3f/Q=")</f>
        <v>#VALUE!</v>
      </c>
      <c r="IL158" t="e">
        <f>AND('BBP complete'!R1872,"AAAAAG+3f/U=")</f>
        <v>#VALUE!</v>
      </c>
      <c r="IM158" t="e">
        <f>AND('BBP complete'!S1872,"AAAAAG+3f/Y=")</f>
        <v>#VALUE!</v>
      </c>
      <c r="IN158" t="e">
        <f>AND('BBP complete'!A1861,"AAAAAG+3f/c=")</f>
        <v>#VALUE!</v>
      </c>
      <c r="IO158" t="e">
        <f>AND('BBP complete'!B1857,"AAAAAG+3f/g=")</f>
        <v>#VALUE!</v>
      </c>
      <c r="IP158" t="e">
        <f>AND('BBP complete'!H1857,"AAAAAG+3f/k=")</f>
        <v>#VALUE!</v>
      </c>
      <c r="IQ158" t="e">
        <f>AND('BBP complete'!I1857,"AAAAAG+3f/o=")</f>
        <v>#VALUE!</v>
      </c>
      <c r="IR158" t="e">
        <f>AND('BBP complete'!G1856,"AAAAAG+3f/s=")</f>
        <v>#VALUE!</v>
      </c>
      <c r="IS158" t="e">
        <f>AND('BBP complete'!#REF!,"AAAAAG+3f/w=")</f>
        <v>#REF!</v>
      </c>
      <c r="IT158" t="e">
        <f>AND('BBP complete'!#REF!,"AAAAAG+3f/0=")</f>
        <v>#REF!</v>
      </c>
      <c r="IU158" t="e">
        <f>AND('BBP complete'!#REF!,"AAAAAG+3f/4=")</f>
        <v>#REF!</v>
      </c>
      <c r="IV158" t="e">
        <f>AND('BBP complete'!#REF!,"AAAAAG+3f/8=")</f>
        <v>#REF!</v>
      </c>
    </row>
    <row r="159" spans="1:256" ht="15" customHeight="1" x14ac:dyDescent="0.25">
      <c r="A159" t="e">
        <f>AND('BBP complete'!#REF!,"AAAAAHve6QA=")</f>
        <v>#REF!</v>
      </c>
      <c r="B159" t="e">
        <f>AND('BBP complete'!#REF!,"AAAAAHve6QE=")</f>
        <v>#REF!</v>
      </c>
      <c r="C159" t="e">
        <f>AND('BBP complete'!L1850,"AAAAAHve6QI=")</f>
        <v>#VALUE!</v>
      </c>
      <c r="D159" t="e">
        <f>AND('BBP complete'!C1851,"AAAAAHve6QM=")</f>
        <v>#VALUE!</v>
      </c>
      <c r="E159" t="e">
        <f>AND('BBP complete'!N1857,"AAAAAHve6QQ=")</f>
        <v>#VALUE!</v>
      </c>
      <c r="F159" t="e">
        <f>AND('BBP complete'!P1873,"AAAAAHve6QU=")</f>
        <v>#VALUE!</v>
      </c>
      <c r="G159" t="e">
        <f>AND('BBP complete'!Q1873,"AAAAAHve6QY=")</f>
        <v>#VALUE!</v>
      </c>
      <c r="H159" t="e">
        <f>AND('BBP complete'!R1873,"AAAAAHve6Qc=")</f>
        <v>#VALUE!</v>
      </c>
      <c r="I159" t="e">
        <f>AND('BBP complete'!S1873,"AAAAAHve6Qg=")</f>
        <v>#VALUE!</v>
      </c>
      <c r="J159" t="e">
        <f>AND('BBP complete'!A1862,"AAAAAHve6Qk=")</f>
        <v>#VALUE!</v>
      </c>
      <c r="K159" t="e">
        <f>AND('BBP complete'!B1858,"AAAAAHve6Qo=")</f>
        <v>#VALUE!</v>
      </c>
      <c r="L159" t="e">
        <f>AND('BBP complete'!H1858,"AAAAAHve6Qs=")</f>
        <v>#VALUE!</v>
      </c>
      <c r="M159" t="e">
        <f>AND('BBP complete'!I1858,"AAAAAHve6Qw=")</f>
        <v>#VALUE!</v>
      </c>
      <c r="N159" t="e">
        <f>AND('BBP complete'!G1857,"AAAAAHve6Q0=")</f>
        <v>#VALUE!</v>
      </c>
      <c r="O159" t="e">
        <f>AND('BBP complete'!#REF!,"AAAAAHve6Q4=")</f>
        <v>#REF!</v>
      </c>
      <c r="P159" t="e">
        <f>AND('BBP complete'!#REF!,"AAAAAHve6Q8=")</f>
        <v>#REF!</v>
      </c>
      <c r="Q159" t="e">
        <f>AND('BBP complete'!#REF!,"AAAAAHve6RA=")</f>
        <v>#REF!</v>
      </c>
      <c r="R159" t="e">
        <f>AND('BBP complete'!#REF!,"AAAAAHve6RE=")</f>
        <v>#REF!</v>
      </c>
      <c r="S159" t="e">
        <f>AND('BBP complete'!#REF!,"AAAAAHve6RI=")</f>
        <v>#REF!</v>
      </c>
      <c r="T159" t="e">
        <f>AND('BBP complete'!#REF!,"AAAAAHve6RM=")</f>
        <v>#REF!</v>
      </c>
      <c r="U159" t="e">
        <f>AND('BBP complete'!L1851,"AAAAAHve6RQ=")</f>
        <v>#VALUE!</v>
      </c>
      <c r="V159" t="e">
        <f>AND('BBP complete'!C1852,"AAAAAHve6RU=")</f>
        <v>#VALUE!</v>
      </c>
      <c r="W159" t="e">
        <f>AND('BBP complete'!N1858,"AAAAAHve6RY=")</f>
        <v>#VALUE!</v>
      </c>
      <c r="X159" t="e">
        <f>AND('BBP complete'!P1874,"AAAAAHve6Rc=")</f>
        <v>#VALUE!</v>
      </c>
      <c r="Y159" t="e">
        <f>AND('BBP complete'!Q1874,"AAAAAHve6Rg=")</f>
        <v>#VALUE!</v>
      </c>
      <c r="Z159" t="e">
        <f>AND('BBP complete'!R1874,"AAAAAHve6Rk=")</f>
        <v>#VALUE!</v>
      </c>
      <c r="AA159" t="e">
        <f>AND('BBP complete'!S1874,"AAAAAHve6Ro=")</f>
        <v>#VALUE!</v>
      </c>
      <c r="AB159" t="e">
        <f>AND('BBP complete'!A1863,"AAAAAHve6Rs=")</f>
        <v>#VALUE!</v>
      </c>
      <c r="AC159" t="e">
        <f>AND('BBP complete'!B1859,"AAAAAHve6Rw=")</f>
        <v>#VALUE!</v>
      </c>
      <c r="AD159" t="e">
        <f>AND('BBP complete'!H1859,"AAAAAHve6R0=")</f>
        <v>#VALUE!</v>
      </c>
      <c r="AE159" t="e">
        <f>AND('BBP complete'!I1859,"AAAAAHve6R4=")</f>
        <v>#VALUE!</v>
      </c>
      <c r="AF159" t="e">
        <f>AND('BBP complete'!G1858,"AAAAAHve6R8=")</f>
        <v>#VALUE!</v>
      </c>
      <c r="AG159" t="e">
        <f>AND('BBP complete'!#REF!,"AAAAAHve6SA=")</f>
        <v>#REF!</v>
      </c>
      <c r="AH159" t="e">
        <f>AND('BBP complete'!#REF!,"AAAAAHve6SE=")</f>
        <v>#REF!</v>
      </c>
      <c r="AI159" t="e">
        <f>AND('BBP complete'!#REF!,"AAAAAHve6SI=")</f>
        <v>#REF!</v>
      </c>
      <c r="AJ159" t="e">
        <f>AND('BBP complete'!#REF!,"AAAAAHve6SM=")</f>
        <v>#REF!</v>
      </c>
      <c r="AK159" t="e">
        <f>AND('BBP complete'!#REF!,"AAAAAHve6SQ=")</f>
        <v>#REF!</v>
      </c>
      <c r="AL159" t="e">
        <f>AND('BBP complete'!#REF!,"AAAAAHve6SU=")</f>
        <v>#REF!</v>
      </c>
      <c r="AM159" t="e">
        <f>AND('BBP complete'!L1852,"AAAAAHve6SY=")</f>
        <v>#VALUE!</v>
      </c>
      <c r="AN159" t="e">
        <f>AND('BBP complete'!C1853,"AAAAAHve6Sc=")</f>
        <v>#VALUE!</v>
      </c>
      <c r="AO159" t="e">
        <f>AND('BBP complete'!N1859,"AAAAAHve6Sg=")</f>
        <v>#VALUE!</v>
      </c>
      <c r="AP159" t="e">
        <f>AND('BBP complete'!P1875,"AAAAAHve6Sk=")</f>
        <v>#VALUE!</v>
      </c>
      <c r="AQ159" t="e">
        <f>AND('BBP complete'!Q1875,"AAAAAHve6So=")</f>
        <v>#VALUE!</v>
      </c>
      <c r="AR159" t="e">
        <f>AND('BBP complete'!R1875,"AAAAAHve6Ss=")</f>
        <v>#VALUE!</v>
      </c>
      <c r="AS159" t="e">
        <f>AND('BBP complete'!S1875,"AAAAAHve6Sw=")</f>
        <v>#VALUE!</v>
      </c>
      <c r="AT159" t="e">
        <f>AND('BBP complete'!A1864,"AAAAAHve6S0=")</f>
        <v>#VALUE!</v>
      </c>
      <c r="AU159" t="e">
        <f>AND('BBP complete'!B1860,"AAAAAHve6S4=")</f>
        <v>#VALUE!</v>
      </c>
      <c r="AV159" t="e">
        <f>AND('BBP complete'!H1860,"AAAAAHve6S8=")</f>
        <v>#VALUE!</v>
      </c>
      <c r="AW159" t="e">
        <f>AND('BBP complete'!I1860,"AAAAAHve6TA=")</f>
        <v>#VALUE!</v>
      </c>
      <c r="AX159" t="e">
        <f>AND('BBP complete'!G1859,"AAAAAHve6TE=")</f>
        <v>#VALUE!</v>
      </c>
      <c r="AY159" t="e">
        <f>AND('BBP complete'!#REF!,"AAAAAHve6TI=")</f>
        <v>#REF!</v>
      </c>
      <c r="AZ159" t="e">
        <f>AND('BBP complete'!#REF!,"AAAAAHve6TM=")</f>
        <v>#REF!</v>
      </c>
      <c r="BA159" t="e">
        <f>AND('BBP complete'!#REF!,"AAAAAHve6TQ=")</f>
        <v>#REF!</v>
      </c>
      <c r="BB159" t="e">
        <f>AND('BBP complete'!#REF!,"AAAAAHve6TU=")</f>
        <v>#REF!</v>
      </c>
      <c r="BC159" t="e">
        <f>AND('BBP complete'!#REF!,"AAAAAHve6TY=")</f>
        <v>#REF!</v>
      </c>
      <c r="BD159" t="e">
        <f>AND('BBP complete'!#REF!,"AAAAAHve6Tc=")</f>
        <v>#REF!</v>
      </c>
      <c r="BE159" t="e">
        <f>AND('BBP complete'!L1853,"AAAAAHve6Tg=")</f>
        <v>#VALUE!</v>
      </c>
      <c r="BF159" t="e">
        <f>AND('BBP complete'!C1854,"AAAAAHve6Tk=")</f>
        <v>#VALUE!</v>
      </c>
      <c r="BG159" t="e">
        <f>AND('BBP complete'!N1860,"AAAAAHve6To=")</f>
        <v>#VALUE!</v>
      </c>
      <c r="BH159" t="e">
        <f>AND('BBP complete'!P1876,"AAAAAHve6Ts=")</f>
        <v>#VALUE!</v>
      </c>
      <c r="BI159" t="e">
        <f>AND('BBP complete'!Q1876,"AAAAAHve6Tw=")</f>
        <v>#VALUE!</v>
      </c>
      <c r="BJ159" t="e">
        <f>AND('BBP complete'!R1876,"AAAAAHve6T0=")</f>
        <v>#VALUE!</v>
      </c>
      <c r="BK159" t="e">
        <f>AND('BBP complete'!S1876,"AAAAAHve6T4=")</f>
        <v>#VALUE!</v>
      </c>
      <c r="BL159" t="e">
        <f>AND('BBP complete'!A1865,"AAAAAHve6T8=")</f>
        <v>#VALUE!</v>
      </c>
      <c r="BM159" t="e">
        <f>AND('BBP complete'!B1861,"AAAAAHve6UA=")</f>
        <v>#VALUE!</v>
      </c>
      <c r="BN159" t="e">
        <f>AND('BBP complete'!H1861,"AAAAAHve6UE=")</f>
        <v>#VALUE!</v>
      </c>
      <c r="BO159" t="e">
        <f>AND('BBP complete'!I1861,"AAAAAHve6UI=")</f>
        <v>#VALUE!</v>
      </c>
      <c r="BP159" t="e">
        <f>AND('BBP complete'!G1860,"AAAAAHve6UM=")</f>
        <v>#VALUE!</v>
      </c>
      <c r="BQ159" t="e">
        <f>AND('BBP complete'!#REF!,"AAAAAHve6UQ=")</f>
        <v>#REF!</v>
      </c>
      <c r="BR159" t="e">
        <f>AND('BBP complete'!#REF!,"AAAAAHve6UU=")</f>
        <v>#REF!</v>
      </c>
      <c r="BS159" t="e">
        <f>AND('BBP complete'!#REF!,"AAAAAHve6UY=")</f>
        <v>#REF!</v>
      </c>
      <c r="BT159" t="e">
        <f>AND('BBP complete'!#REF!,"AAAAAHve6Uc=")</f>
        <v>#REF!</v>
      </c>
      <c r="BU159" t="e">
        <f>AND('BBP complete'!#REF!,"AAAAAHve6Ug=")</f>
        <v>#REF!</v>
      </c>
      <c r="BV159" t="e">
        <f>AND('BBP complete'!#REF!,"AAAAAHve6Uk=")</f>
        <v>#REF!</v>
      </c>
      <c r="BW159" t="e">
        <f>AND('BBP complete'!L1854,"AAAAAHve6Uo=")</f>
        <v>#VALUE!</v>
      </c>
      <c r="BX159" t="e">
        <f>AND('BBP complete'!C1855,"AAAAAHve6Us=")</f>
        <v>#VALUE!</v>
      </c>
      <c r="BY159" t="e">
        <f>AND('BBP complete'!N1861,"AAAAAHve6Uw=")</f>
        <v>#VALUE!</v>
      </c>
      <c r="BZ159" t="e">
        <f>AND('BBP complete'!P1877,"AAAAAHve6U0=")</f>
        <v>#VALUE!</v>
      </c>
      <c r="CA159" t="e">
        <f>AND('BBP complete'!Q1877,"AAAAAHve6U4=")</f>
        <v>#VALUE!</v>
      </c>
      <c r="CB159" t="e">
        <f>AND('BBP complete'!R1877,"AAAAAHve6U8=")</f>
        <v>#VALUE!</v>
      </c>
      <c r="CC159" t="e">
        <f>AND('BBP complete'!S1877,"AAAAAHve6VA=")</f>
        <v>#VALUE!</v>
      </c>
      <c r="CD159" t="e">
        <f>AND('BBP complete'!A1866,"AAAAAHve6VE=")</f>
        <v>#VALUE!</v>
      </c>
      <c r="CE159" t="e">
        <f>AND('BBP complete'!B1862,"AAAAAHve6VI=")</f>
        <v>#VALUE!</v>
      </c>
      <c r="CF159" t="e">
        <f>AND('BBP complete'!H1862,"AAAAAHve6VM=")</f>
        <v>#VALUE!</v>
      </c>
      <c r="CG159" t="e">
        <f>AND('BBP complete'!I1862,"AAAAAHve6VQ=")</f>
        <v>#VALUE!</v>
      </c>
      <c r="CH159" t="e">
        <f>AND('BBP complete'!G1861,"AAAAAHve6VU=")</f>
        <v>#VALUE!</v>
      </c>
      <c r="CI159" t="e">
        <f>AND('BBP complete'!#REF!,"AAAAAHve6VY=")</f>
        <v>#REF!</v>
      </c>
      <c r="CJ159" t="e">
        <f>AND('BBP complete'!#REF!,"AAAAAHve6Vc=")</f>
        <v>#REF!</v>
      </c>
      <c r="CK159" t="e">
        <f>AND('BBP complete'!#REF!,"AAAAAHve6Vg=")</f>
        <v>#REF!</v>
      </c>
      <c r="CL159" t="e">
        <f>AND('BBP complete'!#REF!,"AAAAAHve6Vk=")</f>
        <v>#REF!</v>
      </c>
      <c r="CM159" t="e">
        <f>AND('BBP complete'!#REF!,"AAAAAHve6Vo=")</f>
        <v>#REF!</v>
      </c>
      <c r="CN159" t="e">
        <f>AND('BBP complete'!#REF!,"AAAAAHve6Vs=")</f>
        <v>#REF!</v>
      </c>
      <c r="CO159" t="e">
        <f>AND('BBP complete'!L1855,"AAAAAHve6Vw=")</f>
        <v>#VALUE!</v>
      </c>
      <c r="CP159" t="e">
        <f>AND('BBP complete'!C1856,"AAAAAHve6V0=")</f>
        <v>#VALUE!</v>
      </c>
      <c r="CQ159" t="e">
        <f>AND('BBP complete'!N1862,"AAAAAHve6V4=")</f>
        <v>#VALUE!</v>
      </c>
      <c r="CR159" t="e">
        <f>AND('BBP complete'!P1878,"AAAAAHve6V8=")</f>
        <v>#VALUE!</v>
      </c>
      <c r="CS159" t="e">
        <f>AND('BBP complete'!Q1878,"AAAAAHve6WA=")</f>
        <v>#VALUE!</v>
      </c>
      <c r="CT159" t="e">
        <f>AND('BBP complete'!R1878,"AAAAAHve6WE=")</f>
        <v>#VALUE!</v>
      </c>
      <c r="CU159" t="e">
        <f>AND('BBP complete'!S1878,"AAAAAHve6WI=")</f>
        <v>#VALUE!</v>
      </c>
      <c r="CV159" t="e">
        <f>AND('BBP complete'!A1867,"AAAAAHve6WM=")</f>
        <v>#VALUE!</v>
      </c>
      <c r="CW159" t="e">
        <f>AND('BBP complete'!B1863,"AAAAAHve6WQ=")</f>
        <v>#VALUE!</v>
      </c>
      <c r="CX159" t="e">
        <f>AND('BBP complete'!H1863,"AAAAAHve6WU=")</f>
        <v>#VALUE!</v>
      </c>
      <c r="CY159" t="e">
        <f>AND('BBP complete'!I1863,"AAAAAHve6WY=")</f>
        <v>#VALUE!</v>
      </c>
      <c r="CZ159" t="e">
        <f>AND('BBP complete'!G1862,"AAAAAHve6Wc=")</f>
        <v>#VALUE!</v>
      </c>
      <c r="DA159" t="e">
        <f>AND('BBP complete'!#REF!,"AAAAAHve6Wg=")</f>
        <v>#REF!</v>
      </c>
      <c r="DB159" t="e">
        <f>AND('BBP complete'!#REF!,"AAAAAHve6Wk=")</f>
        <v>#REF!</v>
      </c>
      <c r="DC159" t="e">
        <f>AND('BBP complete'!#REF!,"AAAAAHve6Wo=")</f>
        <v>#REF!</v>
      </c>
      <c r="DD159" t="e">
        <f>AND('BBP complete'!#REF!,"AAAAAHve6Ws=")</f>
        <v>#REF!</v>
      </c>
      <c r="DE159" t="e">
        <f>AND('BBP complete'!#REF!,"AAAAAHve6Ww=")</f>
        <v>#REF!</v>
      </c>
      <c r="DF159" t="e">
        <f>AND('BBP complete'!#REF!,"AAAAAHve6W0=")</f>
        <v>#REF!</v>
      </c>
      <c r="DG159" t="e">
        <f>AND('BBP complete'!L1856,"AAAAAHve6W4=")</f>
        <v>#VALUE!</v>
      </c>
      <c r="DH159" t="e">
        <f>AND('BBP complete'!C1857,"AAAAAHve6W8=")</f>
        <v>#VALUE!</v>
      </c>
      <c r="DI159" t="e">
        <f>AND('BBP complete'!N1863,"AAAAAHve6XA=")</f>
        <v>#VALUE!</v>
      </c>
      <c r="DJ159" t="e">
        <f>AND('BBP complete'!P1879,"AAAAAHve6XE=")</f>
        <v>#VALUE!</v>
      </c>
      <c r="DK159" t="e">
        <f>AND('BBP complete'!Q1879,"AAAAAHve6XI=")</f>
        <v>#VALUE!</v>
      </c>
      <c r="DL159" t="e">
        <f>AND('BBP complete'!R1879,"AAAAAHve6XM=")</f>
        <v>#VALUE!</v>
      </c>
      <c r="DM159" t="e">
        <f>AND('BBP complete'!S1879,"AAAAAHve6XQ=")</f>
        <v>#VALUE!</v>
      </c>
      <c r="DN159" t="e">
        <f>AND('BBP complete'!A1868,"AAAAAHve6XU=")</f>
        <v>#VALUE!</v>
      </c>
      <c r="DO159" t="e">
        <f>AND('BBP complete'!B1864,"AAAAAHve6XY=")</f>
        <v>#VALUE!</v>
      </c>
      <c r="DP159" t="e">
        <f>AND('BBP complete'!H1864,"AAAAAHve6Xc=")</f>
        <v>#VALUE!</v>
      </c>
      <c r="DQ159" t="e">
        <f>AND('BBP complete'!I1864,"AAAAAHve6Xg=")</f>
        <v>#VALUE!</v>
      </c>
      <c r="DR159" t="e">
        <f>AND('BBP complete'!G1863,"AAAAAHve6Xk=")</f>
        <v>#VALUE!</v>
      </c>
      <c r="DS159" t="e">
        <f>AND('BBP complete'!#REF!,"AAAAAHve6Xo=")</f>
        <v>#REF!</v>
      </c>
      <c r="DT159" t="e">
        <f>AND('BBP complete'!#REF!,"AAAAAHve6Xs=")</f>
        <v>#REF!</v>
      </c>
      <c r="DU159" t="e">
        <f>AND('BBP complete'!#REF!,"AAAAAHve6Xw=")</f>
        <v>#REF!</v>
      </c>
      <c r="DV159" t="e">
        <f>AND('BBP complete'!#REF!,"AAAAAHve6X0=")</f>
        <v>#REF!</v>
      </c>
      <c r="DW159" t="e">
        <f>AND('BBP complete'!#REF!,"AAAAAHve6X4=")</f>
        <v>#REF!</v>
      </c>
      <c r="DX159" t="e">
        <f>AND('BBP complete'!#REF!,"AAAAAHve6X8=")</f>
        <v>#REF!</v>
      </c>
      <c r="DY159" t="e">
        <f>AND('BBP complete'!L1857,"AAAAAHve6YA=")</f>
        <v>#VALUE!</v>
      </c>
      <c r="DZ159" t="e">
        <f>AND('BBP complete'!C1858,"AAAAAHve6YE=")</f>
        <v>#VALUE!</v>
      </c>
      <c r="EA159" t="e">
        <f>AND('BBP complete'!N1864,"AAAAAHve6YI=")</f>
        <v>#VALUE!</v>
      </c>
      <c r="EB159" t="e">
        <f>AND('BBP complete'!P1880,"AAAAAHve6YM=")</f>
        <v>#VALUE!</v>
      </c>
      <c r="EC159" t="e">
        <f>AND('BBP complete'!Q1880,"AAAAAHve6YQ=")</f>
        <v>#VALUE!</v>
      </c>
      <c r="ED159" t="e">
        <f>AND('BBP complete'!R1880,"AAAAAHve6YU=")</f>
        <v>#VALUE!</v>
      </c>
      <c r="EE159" t="e">
        <f>AND('BBP complete'!S1880,"AAAAAHve6YY=")</f>
        <v>#VALUE!</v>
      </c>
      <c r="EF159" t="e">
        <f>AND('BBP complete'!A1869,"AAAAAHve6Yc=")</f>
        <v>#VALUE!</v>
      </c>
      <c r="EG159" t="e">
        <f>AND('BBP complete'!B1865,"AAAAAHve6Yg=")</f>
        <v>#VALUE!</v>
      </c>
      <c r="EH159" t="e">
        <f>AND('BBP complete'!H1865,"AAAAAHve6Yk=")</f>
        <v>#VALUE!</v>
      </c>
      <c r="EI159" t="e">
        <f>AND('BBP complete'!I1865,"AAAAAHve6Yo=")</f>
        <v>#VALUE!</v>
      </c>
      <c r="EJ159" t="e">
        <f>AND('BBP complete'!G1864,"AAAAAHve6Ys=")</f>
        <v>#VALUE!</v>
      </c>
      <c r="EK159" t="e">
        <f>AND('BBP complete'!#REF!,"AAAAAHve6Yw=")</f>
        <v>#REF!</v>
      </c>
      <c r="EL159" t="e">
        <f>AND('BBP complete'!#REF!,"AAAAAHve6Y0=")</f>
        <v>#REF!</v>
      </c>
      <c r="EM159" t="e">
        <f>AND('BBP complete'!#REF!,"AAAAAHve6Y4=")</f>
        <v>#REF!</v>
      </c>
      <c r="EN159" t="e">
        <f>AND('BBP complete'!#REF!,"AAAAAHve6Y8=")</f>
        <v>#REF!</v>
      </c>
      <c r="EO159" t="e">
        <f>AND('BBP complete'!#REF!,"AAAAAHve6ZA=")</f>
        <v>#REF!</v>
      </c>
      <c r="EP159" t="e">
        <f>AND('BBP complete'!#REF!,"AAAAAHve6ZE=")</f>
        <v>#REF!</v>
      </c>
      <c r="EQ159" t="e">
        <f>AND('BBP complete'!L1858,"AAAAAHve6ZI=")</f>
        <v>#VALUE!</v>
      </c>
      <c r="ER159" t="e">
        <f>AND('BBP complete'!C1859,"AAAAAHve6ZM=")</f>
        <v>#VALUE!</v>
      </c>
      <c r="ES159" t="e">
        <f>AND('BBP complete'!N1865,"AAAAAHve6ZQ=")</f>
        <v>#VALUE!</v>
      </c>
      <c r="ET159" t="e">
        <f>AND('BBP complete'!P1881,"AAAAAHve6ZU=")</f>
        <v>#VALUE!</v>
      </c>
      <c r="EU159" t="e">
        <f>AND('BBP complete'!Q1881,"AAAAAHve6ZY=")</f>
        <v>#VALUE!</v>
      </c>
      <c r="EV159" t="e">
        <f>AND('BBP complete'!R1881,"AAAAAHve6Zc=")</f>
        <v>#VALUE!</v>
      </c>
      <c r="EW159" t="e">
        <f>AND('BBP complete'!S1881,"AAAAAHve6Zg=")</f>
        <v>#VALUE!</v>
      </c>
      <c r="EX159" t="e">
        <f>AND('BBP complete'!A1870,"AAAAAHve6Zk=")</f>
        <v>#VALUE!</v>
      </c>
      <c r="EY159" t="e">
        <f>AND('BBP complete'!B1866,"AAAAAHve6Zo=")</f>
        <v>#VALUE!</v>
      </c>
      <c r="EZ159" t="e">
        <f>AND('BBP complete'!H1866,"AAAAAHve6Zs=")</f>
        <v>#VALUE!</v>
      </c>
      <c r="FA159" t="e">
        <f>AND('BBP complete'!I1866,"AAAAAHve6Zw=")</f>
        <v>#VALUE!</v>
      </c>
      <c r="FB159" t="e">
        <f>AND('BBP complete'!G1865,"AAAAAHve6Z0=")</f>
        <v>#VALUE!</v>
      </c>
      <c r="FC159" t="e">
        <f>AND('BBP complete'!#REF!,"AAAAAHve6Z4=")</f>
        <v>#REF!</v>
      </c>
      <c r="FD159" t="e">
        <f>AND('BBP complete'!#REF!,"AAAAAHve6Z8=")</f>
        <v>#REF!</v>
      </c>
      <c r="FE159" t="e">
        <f>AND('BBP complete'!#REF!,"AAAAAHve6aA=")</f>
        <v>#REF!</v>
      </c>
      <c r="FF159" t="e">
        <f>AND('BBP complete'!#REF!,"AAAAAHve6aE=")</f>
        <v>#REF!</v>
      </c>
      <c r="FG159" t="e">
        <f>AND('BBP complete'!#REF!,"AAAAAHve6aI=")</f>
        <v>#REF!</v>
      </c>
      <c r="FH159" t="e">
        <f>AND('BBP complete'!#REF!,"AAAAAHve6aM=")</f>
        <v>#REF!</v>
      </c>
      <c r="FI159" t="e">
        <f>AND('BBP complete'!L1859,"AAAAAHve6aQ=")</f>
        <v>#VALUE!</v>
      </c>
      <c r="FJ159" t="e">
        <f>AND('BBP complete'!C1860,"AAAAAHve6aU=")</f>
        <v>#VALUE!</v>
      </c>
      <c r="FK159" t="e">
        <f>AND('BBP complete'!N1866,"AAAAAHve6aY=")</f>
        <v>#VALUE!</v>
      </c>
      <c r="FL159" t="e">
        <f>AND('BBP complete'!P1882,"AAAAAHve6ac=")</f>
        <v>#VALUE!</v>
      </c>
      <c r="FM159" t="e">
        <f>AND('BBP complete'!Q1882,"AAAAAHve6ag=")</f>
        <v>#VALUE!</v>
      </c>
      <c r="FN159" t="e">
        <f>AND('BBP complete'!R1882,"AAAAAHve6ak=")</f>
        <v>#VALUE!</v>
      </c>
      <c r="FO159" t="e">
        <f>AND('BBP complete'!S1882,"AAAAAHve6ao=")</f>
        <v>#VALUE!</v>
      </c>
      <c r="FP159" t="e">
        <f>AND('BBP complete'!A1871,"AAAAAHve6as=")</f>
        <v>#VALUE!</v>
      </c>
      <c r="FQ159" t="e">
        <f>AND('BBP complete'!B1867,"AAAAAHve6aw=")</f>
        <v>#VALUE!</v>
      </c>
      <c r="FR159" t="e">
        <f>AND('BBP complete'!H1867,"AAAAAHve6a0=")</f>
        <v>#VALUE!</v>
      </c>
      <c r="FS159" t="e">
        <f>AND('BBP complete'!I1867,"AAAAAHve6a4=")</f>
        <v>#VALUE!</v>
      </c>
      <c r="FT159" t="e">
        <f>AND('BBP complete'!G1866,"AAAAAHve6a8=")</f>
        <v>#VALUE!</v>
      </c>
      <c r="FU159" t="e">
        <f>AND('BBP complete'!#REF!,"AAAAAHve6bA=")</f>
        <v>#REF!</v>
      </c>
      <c r="FV159" t="e">
        <f>AND('BBP complete'!#REF!,"AAAAAHve6bE=")</f>
        <v>#REF!</v>
      </c>
      <c r="FW159" t="e">
        <f>AND('BBP complete'!#REF!,"AAAAAHve6bI=")</f>
        <v>#REF!</v>
      </c>
      <c r="FX159" t="e">
        <f>AND('BBP complete'!#REF!,"AAAAAHve6bM=")</f>
        <v>#REF!</v>
      </c>
      <c r="FY159" t="e">
        <f>AND('BBP complete'!#REF!,"AAAAAHve6bQ=")</f>
        <v>#REF!</v>
      </c>
      <c r="FZ159" t="e">
        <f>AND('BBP complete'!#REF!,"AAAAAHve6bU=")</f>
        <v>#REF!</v>
      </c>
      <c r="GA159" t="e">
        <f>AND('BBP complete'!L1860,"AAAAAHve6bY=")</f>
        <v>#VALUE!</v>
      </c>
      <c r="GB159" t="e">
        <f>AND('BBP complete'!C1861,"AAAAAHve6bc=")</f>
        <v>#VALUE!</v>
      </c>
      <c r="GC159" t="e">
        <f>AND('BBP complete'!N1867,"AAAAAHve6bg=")</f>
        <v>#VALUE!</v>
      </c>
      <c r="GD159" t="e">
        <f>AND('BBP complete'!P1883,"AAAAAHve6bk=")</f>
        <v>#VALUE!</v>
      </c>
      <c r="GE159" t="e">
        <f>AND('BBP complete'!Q1883,"AAAAAHve6bo=")</f>
        <v>#VALUE!</v>
      </c>
      <c r="GF159" t="e">
        <f>AND('BBP complete'!R1883,"AAAAAHve6bs=")</f>
        <v>#VALUE!</v>
      </c>
      <c r="GG159" t="e">
        <f>AND('BBP complete'!S1883,"AAAAAHve6bw=")</f>
        <v>#VALUE!</v>
      </c>
      <c r="GH159" t="e">
        <f>AND('BBP complete'!A1872,"AAAAAHve6b0=")</f>
        <v>#VALUE!</v>
      </c>
      <c r="GI159" t="e">
        <f>AND('BBP complete'!B1868,"AAAAAHve6b4=")</f>
        <v>#VALUE!</v>
      </c>
      <c r="GJ159" t="e">
        <f>AND('BBP complete'!H1868,"AAAAAHve6b8=")</f>
        <v>#VALUE!</v>
      </c>
      <c r="GK159" t="e">
        <f>AND('BBP complete'!I1868,"AAAAAHve6cA=")</f>
        <v>#VALUE!</v>
      </c>
      <c r="GL159" t="e">
        <f>AND('BBP complete'!G1867,"AAAAAHve6cE=")</f>
        <v>#VALUE!</v>
      </c>
      <c r="GM159" t="e">
        <f>AND('BBP complete'!#REF!,"AAAAAHve6cI=")</f>
        <v>#REF!</v>
      </c>
      <c r="GN159" t="e">
        <f>AND('BBP complete'!#REF!,"AAAAAHve6cM=")</f>
        <v>#REF!</v>
      </c>
      <c r="GO159" t="e">
        <f>AND('BBP complete'!#REF!,"AAAAAHve6cQ=")</f>
        <v>#REF!</v>
      </c>
      <c r="GP159" t="e">
        <f>AND('BBP complete'!#REF!,"AAAAAHve6cU=")</f>
        <v>#REF!</v>
      </c>
      <c r="GQ159" t="e">
        <f>AND('BBP complete'!#REF!,"AAAAAHve6cY=")</f>
        <v>#REF!</v>
      </c>
      <c r="GR159" t="e">
        <f>AND('BBP complete'!#REF!,"AAAAAHve6cc=")</f>
        <v>#REF!</v>
      </c>
      <c r="GS159" t="e">
        <f>AND('BBP complete'!L1861,"AAAAAHve6cg=")</f>
        <v>#VALUE!</v>
      </c>
      <c r="GT159" t="e">
        <f>AND('BBP complete'!C1862,"AAAAAHve6ck=")</f>
        <v>#VALUE!</v>
      </c>
      <c r="GU159" t="e">
        <f>AND('BBP complete'!N1868,"AAAAAHve6co=")</f>
        <v>#VALUE!</v>
      </c>
      <c r="GV159" t="e">
        <f>AND('BBP complete'!P1884,"AAAAAHve6cs=")</f>
        <v>#VALUE!</v>
      </c>
      <c r="GW159" t="e">
        <f>AND('BBP complete'!Q1884,"AAAAAHve6cw=")</f>
        <v>#VALUE!</v>
      </c>
      <c r="GX159" t="e">
        <f>AND('BBP complete'!R1884,"AAAAAHve6c0=")</f>
        <v>#VALUE!</v>
      </c>
      <c r="GY159" t="e">
        <f>AND('BBP complete'!S1884,"AAAAAHve6c4=")</f>
        <v>#VALUE!</v>
      </c>
      <c r="GZ159" t="e">
        <f>AND('BBP complete'!A1873,"AAAAAHve6c8=")</f>
        <v>#VALUE!</v>
      </c>
      <c r="HA159" t="e">
        <f>AND('BBP complete'!B1869,"AAAAAHve6dA=")</f>
        <v>#VALUE!</v>
      </c>
      <c r="HB159" t="e">
        <f>AND('BBP complete'!H1869,"AAAAAHve6dE=")</f>
        <v>#VALUE!</v>
      </c>
      <c r="HC159" t="e">
        <f>AND('BBP complete'!I1869,"AAAAAHve6dI=")</f>
        <v>#VALUE!</v>
      </c>
      <c r="HD159" t="e">
        <f>AND('BBP complete'!G1868,"AAAAAHve6dM=")</f>
        <v>#VALUE!</v>
      </c>
      <c r="HE159" t="e">
        <f>AND('BBP complete'!#REF!,"AAAAAHve6dQ=")</f>
        <v>#REF!</v>
      </c>
      <c r="HF159" t="e">
        <f>AND('BBP complete'!#REF!,"AAAAAHve6dU=")</f>
        <v>#REF!</v>
      </c>
      <c r="HG159" t="e">
        <f>AND('BBP complete'!#REF!,"AAAAAHve6dY=")</f>
        <v>#REF!</v>
      </c>
      <c r="HH159" t="e">
        <f>AND('BBP complete'!#REF!,"AAAAAHve6dc=")</f>
        <v>#REF!</v>
      </c>
      <c r="HI159" t="e">
        <f>AND('BBP complete'!#REF!,"AAAAAHve6dg=")</f>
        <v>#REF!</v>
      </c>
      <c r="HJ159" t="e">
        <f>AND('BBP complete'!#REF!,"AAAAAHve6dk=")</f>
        <v>#REF!</v>
      </c>
      <c r="HK159" t="e">
        <f>AND('BBP complete'!L1862,"AAAAAHve6do=")</f>
        <v>#VALUE!</v>
      </c>
      <c r="HL159" t="e">
        <f>AND('BBP complete'!C1863,"AAAAAHve6ds=")</f>
        <v>#VALUE!</v>
      </c>
      <c r="HM159" t="e">
        <f>AND('BBP complete'!N1869,"AAAAAHve6dw=")</f>
        <v>#VALUE!</v>
      </c>
      <c r="HN159" t="e">
        <f>AND('BBP complete'!P1885,"AAAAAHve6d0=")</f>
        <v>#VALUE!</v>
      </c>
      <c r="HO159" t="e">
        <f>AND('BBP complete'!Q1885,"AAAAAHve6d4=")</f>
        <v>#VALUE!</v>
      </c>
      <c r="HP159" t="e">
        <f>AND('BBP complete'!R1885,"AAAAAHve6d8=")</f>
        <v>#VALUE!</v>
      </c>
      <c r="HQ159" t="e">
        <f>AND('BBP complete'!S1885,"AAAAAHve6eA=")</f>
        <v>#VALUE!</v>
      </c>
      <c r="HR159" t="e">
        <f>AND('BBP complete'!A1874,"AAAAAHve6eE=")</f>
        <v>#VALUE!</v>
      </c>
      <c r="HS159" t="e">
        <f>AND('BBP complete'!B1870,"AAAAAHve6eI=")</f>
        <v>#VALUE!</v>
      </c>
      <c r="HT159" t="e">
        <f>AND('BBP complete'!H1870,"AAAAAHve6eM=")</f>
        <v>#VALUE!</v>
      </c>
      <c r="HU159" t="e">
        <f>AND('BBP complete'!I1870,"AAAAAHve6eQ=")</f>
        <v>#VALUE!</v>
      </c>
      <c r="HV159" t="e">
        <f>AND('BBP complete'!G1869,"AAAAAHve6eU=")</f>
        <v>#VALUE!</v>
      </c>
      <c r="HW159" t="e">
        <f>AND('BBP complete'!#REF!,"AAAAAHve6eY=")</f>
        <v>#REF!</v>
      </c>
      <c r="HX159" t="e">
        <f>AND('BBP complete'!#REF!,"AAAAAHve6ec=")</f>
        <v>#REF!</v>
      </c>
      <c r="HY159" t="e">
        <f>AND('BBP complete'!#REF!,"AAAAAHve6eg=")</f>
        <v>#REF!</v>
      </c>
      <c r="HZ159" t="e">
        <f>AND('BBP complete'!#REF!,"AAAAAHve6ek=")</f>
        <v>#REF!</v>
      </c>
      <c r="IA159" t="e">
        <f>AND('BBP complete'!#REF!,"AAAAAHve6eo=")</f>
        <v>#REF!</v>
      </c>
      <c r="IB159" t="e">
        <f>AND('BBP complete'!#REF!,"AAAAAHve6es=")</f>
        <v>#REF!</v>
      </c>
      <c r="IC159" t="e">
        <f>AND('BBP complete'!L1863,"AAAAAHve6ew=")</f>
        <v>#VALUE!</v>
      </c>
      <c r="ID159" t="e">
        <f>AND('BBP complete'!C1864,"AAAAAHve6e0=")</f>
        <v>#VALUE!</v>
      </c>
      <c r="IE159" t="e">
        <f>AND('BBP complete'!N1870,"AAAAAHve6e4=")</f>
        <v>#VALUE!</v>
      </c>
      <c r="IF159" t="e">
        <f>AND('BBP complete'!P1886,"AAAAAHve6e8=")</f>
        <v>#VALUE!</v>
      </c>
      <c r="IG159" t="e">
        <f>AND('BBP complete'!Q1886,"AAAAAHve6fA=")</f>
        <v>#VALUE!</v>
      </c>
      <c r="IH159" t="e">
        <f>AND('BBP complete'!R1886,"AAAAAHve6fE=")</f>
        <v>#VALUE!</v>
      </c>
      <c r="II159" t="e">
        <f>AND('BBP complete'!S1886,"AAAAAHve6fI=")</f>
        <v>#VALUE!</v>
      </c>
      <c r="IJ159" t="e">
        <f>AND('BBP complete'!A1875,"AAAAAHve6fM=")</f>
        <v>#VALUE!</v>
      </c>
      <c r="IK159" t="e">
        <f>AND('BBP complete'!B1871,"AAAAAHve6fQ=")</f>
        <v>#VALUE!</v>
      </c>
      <c r="IL159" t="e">
        <f>AND('BBP complete'!H1871,"AAAAAHve6fU=")</f>
        <v>#VALUE!</v>
      </c>
      <c r="IM159" t="e">
        <f>AND('BBP complete'!I1871,"AAAAAHve6fY=")</f>
        <v>#VALUE!</v>
      </c>
      <c r="IN159" t="e">
        <f>AND('BBP complete'!G1870,"AAAAAHve6fc=")</f>
        <v>#VALUE!</v>
      </c>
      <c r="IO159" t="e">
        <f>AND('BBP complete'!#REF!,"AAAAAHve6fg=")</f>
        <v>#REF!</v>
      </c>
      <c r="IP159" t="e">
        <f>AND('BBP complete'!#REF!,"AAAAAHve6fk=")</f>
        <v>#REF!</v>
      </c>
      <c r="IQ159" t="e">
        <f>AND('BBP complete'!#REF!,"AAAAAHve6fo=")</f>
        <v>#REF!</v>
      </c>
      <c r="IR159" t="e">
        <f>AND('BBP complete'!#REF!,"AAAAAHve6fs=")</f>
        <v>#REF!</v>
      </c>
      <c r="IS159" t="e">
        <f>AND('BBP complete'!#REF!,"AAAAAHve6fw=")</f>
        <v>#REF!</v>
      </c>
      <c r="IT159" t="e">
        <f>AND('BBP complete'!#REF!,"AAAAAHve6f0=")</f>
        <v>#REF!</v>
      </c>
      <c r="IU159" t="e">
        <f>AND('BBP complete'!L1864,"AAAAAHve6f4=")</f>
        <v>#VALUE!</v>
      </c>
      <c r="IV159" t="e">
        <f>AND('BBP complete'!C1865,"AAAAAHve6f8=")</f>
        <v>#VALUE!</v>
      </c>
    </row>
    <row r="160" spans="1:256" ht="15" customHeight="1" x14ac:dyDescent="0.25">
      <c r="A160" t="e">
        <f>AND('BBP complete'!N1871,"AAAAAD3r1wA=")</f>
        <v>#VALUE!</v>
      </c>
      <c r="B160" t="e">
        <f>AND('BBP complete'!P1887,"AAAAAD3r1wE=")</f>
        <v>#VALUE!</v>
      </c>
      <c r="C160" t="e">
        <f>AND('BBP complete'!Q1887,"AAAAAD3r1wI=")</f>
        <v>#VALUE!</v>
      </c>
      <c r="D160" t="e">
        <f>AND('BBP complete'!R1887,"AAAAAD3r1wM=")</f>
        <v>#VALUE!</v>
      </c>
      <c r="E160" t="e">
        <f>AND('BBP complete'!S1887,"AAAAAD3r1wQ=")</f>
        <v>#VALUE!</v>
      </c>
      <c r="F160" t="e">
        <f>AND('BBP complete'!A1876,"AAAAAD3r1wU=")</f>
        <v>#VALUE!</v>
      </c>
      <c r="G160" t="e">
        <f>AND('BBP complete'!B1872,"AAAAAD3r1wY=")</f>
        <v>#VALUE!</v>
      </c>
      <c r="H160" t="e">
        <f>AND('BBP complete'!H1872,"AAAAAD3r1wc=")</f>
        <v>#VALUE!</v>
      </c>
      <c r="I160" t="e">
        <f>AND('BBP complete'!I1872,"AAAAAD3r1wg=")</f>
        <v>#VALUE!</v>
      </c>
      <c r="J160" t="e">
        <f>AND('BBP complete'!G1871,"AAAAAD3r1wk=")</f>
        <v>#VALUE!</v>
      </c>
      <c r="K160" t="e">
        <f>AND('BBP complete'!#REF!,"AAAAAD3r1wo=")</f>
        <v>#REF!</v>
      </c>
      <c r="L160" t="e">
        <f>AND('BBP complete'!#REF!,"AAAAAD3r1ws=")</f>
        <v>#REF!</v>
      </c>
      <c r="M160" t="e">
        <f>AND('BBP complete'!#REF!,"AAAAAD3r1ww=")</f>
        <v>#REF!</v>
      </c>
      <c r="N160" t="e">
        <f>AND('BBP complete'!#REF!,"AAAAAD3r1w0=")</f>
        <v>#REF!</v>
      </c>
      <c r="O160" t="e">
        <f>AND('BBP complete'!#REF!,"AAAAAD3r1w4=")</f>
        <v>#REF!</v>
      </c>
      <c r="P160" t="e">
        <f>AND('BBP complete'!#REF!,"AAAAAD3r1w8=")</f>
        <v>#REF!</v>
      </c>
      <c r="Q160" t="e">
        <f>AND('BBP complete'!L1866,"AAAAAD3r1xA=")</f>
        <v>#VALUE!</v>
      </c>
      <c r="R160" t="e">
        <f>AND('BBP complete'!C1867,"AAAAAD3r1xE=")</f>
        <v>#VALUE!</v>
      </c>
      <c r="S160" t="e">
        <f>AND('BBP complete'!N1872,"AAAAAD3r1xI=")</f>
        <v>#VALUE!</v>
      </c>
      <c r="T160" t="e">
        <f>AND('BBP complete'!P1888,"AAAAAD3r1xM=")</f>
        <v>#VALUE!</v>
      </c>
      <c r="U160" t="e">
        <f>AND('BBP complete'!Q1888,"AAAAAD3r1xQ=")</f>
        <v>#VALUE!</v>
      </c>
      <c r="V160" t="e">
        <f>AND('BBP complete'!R1888,"AAAAAD3r1xU=")</f>
        <v>#VALUE!</v>
      </c>
      <c r="W160" t="e">
        <f>AND('BBP complete'!S1888,"AAAAAD3r1xY=")</f>
        <v>#VALUE!</v>
      </c>
      <c r="X160" t="e">
        <f>AND('BBP complete'!A1877,"AAAAAD3r1xc=")</f>
        <v>#VALUE!</v>
      </c>
      <c r="Y160" t="e">
        <f>AND('BBP complete'!B1873,"AAAAAD3r1xg=")</f>
        <v>#VALUE!</v>
      </c>
      <c r="Z160" t="e">
        <f>AND('BBP complete'!H1873,"AAAAAD3r1xk=")</f>
        <v>#VALUE!</v>
      </c>
      <c r="AA160" t="e">
        <f>AND('BBP complete'!I1873,"AAAAAD3r1xo=")</f>
        <v>#VALUE!</v>
      </c>
      <c r="AB160" t="e">
        <f>AND('BBP complete'!G1872,"AAAAAD3r1xs=")</f>
        <v>#VALUE!</v>
      </c>
      <c r="AC160" t="e">
        <f>AND('BBP complete'!#REF!,"AAAAAD3r1xw=")</f>
        <v>#REF!</v>
      </c>
      <c r="AD160" t="e">
        <f>AND('BBP complete'!#REF!,"AAAAAD3r1x0=")</f>
        <v>#REF!</v>
      </c>
      <c r="AE160" t="e">
        <f>AND('BBP complete'!#REF!,"AAAAAD3r1x4=")</f>
        <v>#REF!</v>
      </c>
      <c r="AF160" t="e">
        <f>AND('BBP complete'!#REF!,"AAAAAD3r1x8=")</f>
        <v>#REF!</v>
      </c>
      <c r="AG160" t="e">
        <f>AND('BBP complete'!#REF!,"AAAAAD3r1yA=")</f>
        <v>#REF!</v>
      </c>
      <c r="AH160" t="e">
        <f>AND('BBP complete'!#REF!,"AAAAAD3r1yE=")</f>
        <v>#REF!</v>
      </c>
      <c r="AI160" t="e">
        <f>AND('BBP complete'!L1867,"AAAAAD3r1yI=")</f>
        <v>#VALUE!</v>
      </c>
      <c r="AJ160" t="e">
        <f>AND('BBP complete'!C1868,"AAAAAD3r1yM=")</f>
        <v>#VALUE!</v>
      </c>
      <c r="AK160" t="e">
        <f>AND('BBP complete'!N1873,"AAAAAD3r1yQ=")</f>
        <v>#VALUE!</v>
      </c>
      <c r="AL160" t="e">
        <f>AND('BBP complete'!P1889,"AAAAAD3r1yU=")</f>
        <v>#VALUE!</v>
      </c>
      <c r="AM160" t="e">
        <f>AND('BBP complete'!Q1889,"AAAAAD3r1yY=")</f>
        <v>#VALUE!</v>
      </c>
      <c r="AN160" t="e">
        <f>AND('BBP complete'!R1889,"AAAAAD3r1yc=")</f>
        <v>#VALUE!</v>
      </c>
      <c r="AO160" t="e">
        <f>AND('BBP complete'!S1889,"AAAAAD3r1yg=")</f>
        <v>#VALUE!</v>
      </c>
      <c r="AP160" t="e">
        <f>AND('BBP complete'!A1878,"AAAAAD3r1yk=")</f>
        <v>#VALUE!</v>
      </c>
      <c r="AQ160" t="e">
        <f>AND('BBP complete'!B1874,"AAAAAD3r1yo=")</f>
        <v>#VALUE!</v>
      </c>
      <c r="AR160" t="e">
        <f>AND('BBP complete'!H1874,"AAAAAD3r1ys=")</f>
        <v>#VALUE!</v>
      </c>
      <c r="AS160" t="e">
        <f>AND('BBP complete'!I1874,"AAAAAD3r1yw=")</f>
        <v>#VALUE!</v>
      </c>
      <c r="AT160" t="e">
        <f>AND('BBP complete'!G1873,"AAAAAD3r1y0=")</f>
        <v>#VALUE!</v>
      </c>
      <c r="AU160" t="e">
        <f>AND('BBP complete'!#REF!,"AAAAAD3r1y4=")</f>
        <v>#REF!</v>
      </c>
      <c r="AV160" t="e">
        <f>AND('BBP complete'!#REF!,"AAAAAD3r1y8=")</f>
        <v>#REF!</v>
      </c>
      <c r="AW160" t="e">
        <f>AND('BBP complete'!#REF!,"AAAAAD3r1zA=")</f>
        <v>#REF!</v>
      </c>
      <c r="AX160" t="e">
        <f>AND('BBP complete'!#REF!,"AAAAAD3r1zE=")</f>
        <v>#REF!</v>
      </c>
      <c r="AY160" t="e">
        <f>AND('BBP complete'!#REF!,"AAAAAD3r1zI=")</f>
        <v>#REF!</v>
      </c>
      <c r="AZ160" t="e">
        <f>AND('BBP complete'!#REF!,"AAAAAD3r1zM=")</f>
        <v>#REF!</v>
      </c>
      <c r="BA160" t="e">
        <f>AND('BBP complete'!#REF!,"AAAAAD3r1zQ=")</f>
        <v>#REF!</v>
      </c>
      <c r="BB160" t="e">
        <f>AND('BBP complete'!#REF!,"AAAAAD3r1zU=")</f>
        <v>#REF!</v>
      </c>
      <c r="BC160" t="e">
        <f>AND('BBP complete'!N1874,"AAAAAD3r1zY=")</f>
        <v>#VALUE!</v>
      </c>
      <c r="BD160" t="e">
        <f>AND('BBP complete'!P1890,"AAAAAD3r1zc=")</f>
        <v>#VALUE!</v>
      </c>
      <c r="BE160" t="e">
        <f>AND('BBP complete'!Q1890,"AAAAAD3r1zg=")</f>
        <v>#VALUE!</v>
      </c>
      <c r="BF160" t="e">
        <f>AND('BBP complete'!R1890,"AAAAAD3r1zk=")</f>
        <v>#VALUE!</v>
      </c>
      <c r="BG160" t="e">
        <f>AND('BBP complete'!S1890,"AAAAAD3r1zo=")</f>
        <v>#VALUE!</v>
      </c>
      <c r="BH160" t="e">
        <f>AND('BBP complete'!A1879,"AAAAAD3r1zs=")</f>
        <v>#VALUE!</v>
      </c>
      <c r="BI160" t="e">
        <f>AND('BBP complete'!B1875,"AAAAAD3r1zw=")</f>
        <v>#VALUE!</v>
      </c>
      <c r="BJ160" t="e">
        <f>AND('BBP complete'!H1875,"AAAAAD3r1z0=")</f>
        <v>#VALUE!</v>
      </c>
      <c r="BK160" t="e">
        <f>AND('BBP complete'!I1875,"AAAAAD3r1z4=")</f>
        <v>#VALUE!</v>
      </c>
      <c r="BL160" t="e">
        <f>AND('BBP complete'!G1874,"AAAAAD3r1z8=")</f>
        <v>#VALUE!</v>
      </c>
      <c r="BM160" t="e">
        <f>AND('BBP complete'!#REF!,"AAAAAD3r10A=")</f>
        <v>#REF!</v>
      </c>
      <c r="BN160" t="e">
        <f>AND('BBP complete'!#REF!,"AAAAAD3r10E=")</f>
        <v>#REF!</v>
      </c>
      <c r="BO160" t="e">
        <f>AND('BBP complete'!#REF!,"AAAAAD3r10I=")</f>
        <v>#REF!</v>
      </c>
      <c r="BP160" t="e">
        <f>AND('BBP complete'!#REF!,"AAAAAD3r10M=")</f>
        <v>#REF!</v>
      </c>
      <c r="BQ160" t="e">
        <f>AND('BBP complete'!#REF!,"AAAAAD3r10Q=")</f>
        <v>#REF!</v>
      </c>
      <c r="BR160" t="e">
        <f>AND('BBP complete'!#REF!,"AAAAAD3r10U=")</f>
        <v>#REF!</v>
      </c>
      <c r="BS160" t="e">
        <f>AND('BBP complete'!L1868,"AAAAAD3r10Y=")</f>
        <v>#VALUE!</v>
      </c>
      <c r="BT160" t="e">
        <f>AND('BBP complete'!C1869,"AAAAAD3r10c=")</f>
        <v>#VALUE!</v>
      </c>
      <c r="BU160" t="e">
        <f>AND('BBP complete'!N1875,"AAAAAD3r10g=")</f>
        <v>#VALUE!</v>
      </c>
      <c r="BV160" t="e">
        <f>AND('BBP complete'!P1891,"AAAAAD3r10k=")</f>
        <v>#VALUE!</v>
      </c>
      <c r="BW160" t="e">
        <f>AND('BBP complete'!Q1891,"AAAAAD3r10o=")</f>
        <v>#VALUE!</v>
      </c>
      <c r="BX160" t="e">
        <f>AND('BBP complete'!R1891,"AAAAAD3r10s=")</f>
        <v>#VALUE!</v>
      </c>
      <c r="BY160" t="e">
        <f>AND('BBP complete'!S1891,"AAAAAD3r10w=")</f>
        <v>#VALUE!</v>
      </c>
      <c r="BZ160" t="e">
        <f>AND('BBP complete'!A1880,"AAAAAD3r100=")</f>
        <v>#VALUE!</v>
      </c>
      <c r="CA160" t="e">
        <f>AND('BBP complete'!B1876,"AAAAAD3r104=")</f>
        <v>#VALUE!</v>
      </c>
      <c r="CB160" t="e">
        <f>AND('BBP complete'!H1876,"AAAAAD3r108=")</f>
        <v>#VALUE!</v>
      </c>
      <c r="CC160" t="e">
        <f>AND('BBP complete'!I1876,"AAAAAD3r11A=")</f>
        <v>#VALUE!</v>
      </c>
      <c r="CD160" t="e">
        <f>AND('BBP complete'!G1875,"AAAAAD3r11E=")</f>
        <v>#VALUE!</v>
      </c>
      <c r="CE160" t="e">
        <f>AND('BBP complete'!#REF!,"AAAAAD3r11I=")</f>
        <v>#REF!</v>
      </c>
      <c r="CF160" t="e">
        <f>AND('BBP complete'!#REF!,"AAAAAD3r11M=")</f>
        <v>#REF!</v>
      </c>
      <c r="CG160" t="e">
        <f>AND('BBP complete'!#REF!,"AAAAAD3r11Q=")</f>
        <v>#REF!</v>
      </c>
      <c r="CH160" t="e">
        <f>AND('BBP complete'!#REF!,"AAAAAD3r11U=")</f>
        <v>#REF!</v>
      </c>
      <c r="CI160" t="e">
        <f>AND('BBP complete'!#REF!,"AAAAAD3r11Y=")</f>
        <v>#REF!</v>
      </c>
      <c r="CJ160" t="e">
        <f>AND('BBP complete'!#REF!,"AAAAAD3r11c=")</f>
        <v>#REF!</v>
      </c>
      <c r="CK160" t="e">
        <f>AND('BBP complete'!L1869,"AAAAAD3r11g=")</f>
        <v>#VALUE!</v>
      </c>
      <c r="CL160" t="e">
        <f>AND('BBP complete'!C1870,"AAAAAD3r11k=")</f>
        <v>#VALUE!</v>
      </c>
      <c r="CM160" t="e">
        <f>AND('BBP complete'!N1876,"AAAAAD3r11o=")</f>
        <v>#VALUE!</v>
      </c>
      <c r="CN160" t="e">
        <f>AND('BBP complete'!P1892,"AAAAAD3r11s=")</f>
        <v>#VALUE!</v>
      </c>
      <c r="CO160" t="e">
        <f>AND('BBP complete'!Q1892,"AAAAAD3r11w=")</f>
        <v>#VALUE!</v>
      </c>
      <c r="CP160" t="e">
        <f>AND('BBP complete'!R1892,"AAAAAD3r110=")</f>
        <v>#VALUE!</v>
      </c>
      <c r="CQ160" t="e">
        <f>AND('BBP complete'!S1892,"AAAAAD3r114=")</f>
        <v>#VALUE!</v>
      </c>
      <c r="CR160" t="e">
        <f>AND('BBP complete'!A1881,"AAAAAD3r118=")</f>
        <v>#VALUE!</v>
      </c>
      <c r="CS160" t="e">
        <f>AND('BBP complete'!B1877,"AAAAAD3r12A=")</f>
        <v>#VALUE!</v>
      </c>
      <c r="CT160" t="e">
        <f>AND('BBP complete'!H1877,"AAAAAD3r12E=")</f>
        <v>#VALUE!</v>
      </c>
      <c r="CU160" t="e">
        <f>AND('BBP complete'!I1877,"AAAAAD3r12I=")</f>
        <v>#VALUE!</v>
      </c>
      <c r="CV160" t="e">
        <f>AND('BBP complete'!G1876,"AAAAAD3r12M=")</f>
        <v>#VALUE!</v>
      </c>
      <c r="CW160" t="e">
        <f>AND('BBP complete'!#REF!,"AAAAAD3r12Q=")</f>
        <v>#REF!</v>
      </c>
      <c r="CX160" t="e">
        <f>AND('BBP complete'!#REF!,"AAAAAD3r12U=")</f>
        <v>#REF!</v>
      </c>
      <c r="CY160" t="e">
        <f>AND('BBP complete'!#REF!,"AAAAAD3r12Y=")</f>
        <v>#REF!</v>
      </c>
      <c r="CZ160" t="e">
        <f>AND('BBP complete'!#REF!,"AAAAAD3r12c=")</f>
        <v>#REF!</v>
      </c>
      <c r="DA160" t="e">
        <f>AND('BBP complete'!#REF!,"AAAAAD3r12g=")</f>
        <v>#REF!</v>
      </c>
      <c r="DB160" t="e">
        <f>AND('BBP complete'!#REF!,"AAAAAD3r12k=")</f>
        <v>#REF!</v>
      </c>
      <c r="DC160" t="e">
        <f>AND('BBP complete'!#REF!,"AAAAAD3r12o=")</f>
        <v>#REF!</v>
      </c>
      <c r="DD160" t="e">
        <f>AND('BBP complete'!#REF!,"AAAAAD3r12s=")</f>
        <v>#REF!</v>
      </c>
      <c r="DE160" t="e">
        <f>AND('BBP complete'!N1877,"AAAAAD3r12w=")</f>
        <v>#VALUE!</v>
      </c>
      <c r="DF160" t="e">
        <f>AND('BBP complete'!P1893,"AAAAAD3r120=")</f>
        <v>#VALUE!</v>
      </c>
      <c r="DG160" t="e">
        <f>AND('BBP complete'!Q1893,"AAAAAD3r124=")</f>
        <v>#VALUE!</v>
      </c>
      <c r="DH160" t="e">
        <f>AND('BBP complete'!R1893,"AAAAAD3r128=")</f>
        <v>#VALUE!</v>
      </c>
      <c r="DI160" t="e">
        <f>AND('BBP complete'!S1893,"AAAAAD3r13A=")</f>
        <v>#VALUE!</v>
      </c>
      <c r="DJ160" t="e">
        <f>AND('BBP complete'!A1882,"AAAAAD3r13E=")</f>
        <v>#VALUE!</v>
      </c>
      <c r="DK160" t="e">
        <f>AND('BBP complete'!B1878,"AAAAAD3r13I=")</f>
        <v>#VALUE!</v>
      </c>
      <c r="DL160" t="e">
        <f>AND('BBP complete'!H1878,"AAAAAD3r13M=")</f>
        <v>#VALUE!</v>
      </c>
      <c r="DM160" t="e">
        <f>AND('BBP complete'!I1878,"AAAAAD3r13Q=")</f>
        <v>#VALUE!</v>
      </c>
      <c r="DN160" t="e">
        <f>AND('BBP complete'!G1877,"AAAAAD3r13U=")</f>
        <v>#VALUE!</v>
      </c>
      <c r="DO160" t="e">
        <f>AND('BBP complete'!#REF!,"AAAAAD3r13Y=")</f>
        <v>#REF!</v>
      </c>
      <c r="DP160" t="e">
        <f>AND('BBP complete'!#REF!,"AAAAAD3r13c=")</f>
        <v>#REF!</v>
      </c>
      <c r="DQ160" t="e">
        <f>AND('BBP complete'!#REF!,"AAAAAD3r13g=")</f>
        <v>#REF!</v>
      </c>
      <c r="DR160" t="e">
        <f>AND('BBP complete'!#REF!,"AAAAAD3r13k=")</f>
        <v>#REF!</v>
      </c>
      <c r="DS160" t="e">
        <f>AND('BBP complete'!#REF!,"AAAAAD3r13o=")</f>
        <v>#REF!</v>
      </c>
      <c r="DT160" t="e">
        <f>AND('BBP complete'!#REF!,"AAAAAD3r13s=")</f>
        <v>#REF!</v>
      </c>
      <c r="DU160" t="e">
        <f>AND('BBP complete'!L1870,"AAAAAD3r13w=")</f>
        <v>#VALUE!</v>
      </c>
      <c r="DV160" t="e">
        <f>AND('BBP complete'!C1871,"AAAAAD3r130=")</f>
        <v>#VALUE!</v>
      </c>
      <c r="DW160" t="e">
        <f>AND('BBP complete'!N1878,"AAAAAD3r134=")</f>
        <v>#VALUE!</v>
      </c>
      <c r="DX160" t="e">
        <f>AND('BBP complete'!P1894,"AAAAAD3r138=")</f>
        <v>#VALUE!</v>
      </c>
      <c r="DY160" t="e">
        <f>AND('BBP complete'!Q1894,"AAAAAD3r14A=")</f>
        <v>#VALUE!</v>
      </c>
      <c r="DZ160" t="e">
        <f>AND('BBP complete'!R1894,"AAAAAD3r14E=")</f>
        <v>#VALUE!</v>
      </c>
      <c r="EA160" t="e">
        <f>AND('BBP complete'!S1894,"AAAAAD3r14I=")</f>
        <v>#VALUE!</v>
      </c>
      <c r="EB160" t="e">
        <f>AND('BBP complete'!A1883,"AAAAAD3r14M=")</f>
        <v>#VALUE!</v>
      </c>
      <c r="EC160" t="e">
        <f>AND('BBP complete'!B1879,"AAAAAD3r14Q=")</f>
        <v>#VALUE!</v>
      </c>
      <c r="ED160" t="e">
        <f>AND('BBP complete'!H1879,"AAAAAD3r14U=")</f>
        <v>#VALUE!</v>
      </c>
      <c r="EE160" t="e">
        <f>AND('BBP complete'!I1879,"AAAAAD3r14Y=")</f>
        <v>#VALUE!</v>
      </c>
      <c r="EF160" t="e">
        <f>AND('BBP complete'!G1878,"AAAAAD3r14c=")</f>
        <v>#VALUE!</v>
      </c>
      <c r="EG160" t="e">
        <f>AND('BBP complete'!#REF!,"AAAAAD3r14g=")</f>
        <v>#REF!</v>
      </c>
      <c r="EH160" t="e">
        <f>AND('BBP complete'!#REF!,"AAAAAD3r14k=")</f>
        <v>#REF!</v>
      </c>
      <c r="EI160" t="e">
        <f>AND('BBP complete'!#REF!,"AAAAAD3r14o=")</f>
        <v>#REF!</v>
      </c>
      <c r="EJ160" t="e">
        <f>AND('BBP complete'!#REF!,"AAAAAD3r14s=")</f>
        <v>#REF!</v>
      </c>
      <c r="EK160" t="e">
        <f>AND('BBP complete'!#REF!,"AAAAAD3r14w=")</f>
        <v>#REF!</v>
      </c>
      <c r="EL160" t="e">
        <f>AND('BBP complete'!#REF!,"AAAAAD3r140=")</f>
        <v>#REF!</v>
      </c>
      <c r="EM160" t="e">
        <f>AND('BBP complete'!L1871,"AAAAAD3r144=")</f>
        <v>#VALUE!</v>
      </c>
      <c r="EN160" t="e">
        <f>AND('BBP complete'!C1872,"AAAAAD3r148=")</f>
        <v>#VALUE!</v>
      </c>
      <c r="EO160" t="e">
        <f>AND('BBP complete'!N1879,"AAAAAD3r15A=")</f>
        <v>#VALUE!</v>
      </c>
      <c r="EP160" t="e">
        <f>AND('BBP complete'!P1895,"AAAAAD3r15E=")</f>
        <v>#VALUE!</v>
      </c>
      <c r="EQ160" t="e">
        <f>AND('BBP complete'!Q1895,"AAAAAD3r15I=")</f>
        <v>#VALUE!</v>
      </c>
      <c r="ER160" t="e">
        <f>AND('BBP complete'!R1895,"AAAAAD3r15M=")</f>
        <v>#VALUE!</v>
      </c>
      <c r="ES160" t="e">
        <f>AND('BBP complete'!S1895,"AAAAAD3r15Q=")</f>
        <v>#VALUE!</v>
      </c>
      <c r="ET160" t="e">
        <f>AND('BBP complete'!A1884,"AAAAAD3r15U=")</f>
        <v>#VALUE!</v>
      </c>
      <c r="EU160" t="e">
        <f>AND('BBP complete'!B1880,"AAAAAD3r15Y=")</f>
        <v>#VALUE!</v>
      </c>
      <c r="EV160" t="e">
        <f>AND('BBP complete'!H1880,"AAAAAD3r15c=")</f>
        <v>#VALUE!</v>
      </c>
      <c r="EW160" t="e">
        <f>AND('BBP complete'!I1880,"AAAAAD3r15g=")</f>
        <v>#VALUE!</v>
      </c>
      <c r="EX160" t="e">
        <f>AND('BBP complete'!G1879,"AAAAAD3r15k=")</f>
        <v>#VALUE!</v>
      </c>
      <c r="EY160" t="e">
        <f>AND('BBP complete'!#REF!,"AAAAAD3r15o=")</f>
        <v>#REF!</v>
      </c>
      <c r="EZ160" t="e">
        <f>AND('BBP complete'!#REF!,"AAAAAD3r15s=")</f>
        <v>#REF!</v>
      </c>
      <c r="FA160" t="e">
        <f>AND('BBP complete'!#REF!,"AAAAAD3r15w=")</f>
        <v>#REF!</v>
      </c>
      <c r="FB160" t="e">
        <f>AND('BBP complete'!#REF!,"AAAAAD3r150=")</f>
        <v>#REF!</v>
      </c>
      <c r="FC160" t="e">
        <f>AND('BBP complete'!#REF!,"AAAAAD3r154=")</f>
        <v>#REF!</v>
      </c>
      <c r="FD160" t="e">
        <f>AND('BBP complete'!#REF!,"AAAAAD3r158=")</f>
        <v>#REF!</v>
      </c>
      <c r="FE160" t="e">
        <f>AND('BBP complete'!L1872,"AAAAAD3r16A=")</f>
        <v>#VALUE!</v>
      </c>
      <c r="FF160" t="e">
        <f>AND('BBP complete'!C1873,"AAAAAD3r16E=")</f>
        <v>#VALUE!</v>
      </c>
      <c r="FG160" t="e">
        <f>AND('BBP complete'!N1880,"AAAAAD3r16I=")</f>
        <v>#VALUE!</v>
      </c>
      <c r="FH160" t="e">
        <f>AND('BBP complete'!P1896,"AAAAAD3r16M=")</f>
        <v>#VALUE!</v>
      </c>
      <c r="FI160" t="e">
        <f>AND('BBP complete'!Q1896,"AAAAAD3r16Q=")</f>
        <v>#VALUE!</v>
      </c>
      <c r="FJ160" t="e">
        <f>AND('BBP complete'!R1896,"AAAAAD3r16U=")</f>
        <v>#VALUE!</v>
      </c>
      <c r="FK160" t="e">
        <f>AND('BBP complete'!S1896,"AAAAAD3r16Y=")</f>
        <v>#VALUE!</v>
      </c>
      <c r="FL160" t="e">
        <f>AND('BBP complete'!A1885,"AAAAAD3r16c=")</f>
        <v>#VALUE!</v>
      </c>
      <c r="FM160" t="e">
        <f>AND('BBP complete'!B1881,"AAAAAD3r16g=")</f>
        <v>#VALUE!</v>
      </c>
      <c r="FN160" t="e">
        <f>AND('BBP complete'!H1881,"AAAAAD3r16k=")</f>
        <v>#VALUE!</v>
      </c>
      <c r="FO160" t="e">
        <f>AND('BBP complete'!I1881,"AAAAAD3r16o=")</f>
        <v>#VALUE!</v>
      </c>
      <c r="FP160" t="e">
        <f>AND('BBP complete'!G1880,"AAAAAD3r16s=")</f>
        <v>#VALUE!</v>
      </c>
      <c r="FQ160" t="e">
        <f>AND('BBP complete'!#REF!,"AAAAAD3r16w=")</f>
        <v>#REF!</v>
      </c>
      <c r="FR160" t="e">
        <f>AND('BBP complete'!#REF!,"AAAAAD3r160=")</f>
        <v>#REF!</v>
      </c>
      <c r="FS160" t="e">
        <f>AND('BBP complete'!#REF!,"AAAAAD3r164=")</f>
        <v>#REF!</v>
      </c>
      <c r="FT160" t="e">
        <f>AND('BBP complete'!#REF!,"AAAAAD3r168=")</f>
        <v>#REF!</v>
      </c>
      <c r="FU160" t="e">
        <f>AND('BBP complete'!#REF!,"AAAAAD3r17A=")</f>
        <v>#REF!</v>
      </c>
      <c r="FV160" t="e">
        <f>AND('BBP complete'!#REF!,"AAAAAD3r17E=")</f>
        <v>#REF!</v>
      </c>
      <c r="FW160" t="e">
        <f>AND('BBP complete'!L1873,"AAAAAD3r17I=")</f>
        <v>#VALUE!</v>
      </c>
      <c r="FX160" t="e">
        <f>AND('BBP complete'!C1874,"AAAAAD3r17M=")</f>
        <v>#VALUE!</v>
      </c>
      <c r="FY160" t="e">
        <f>AND('BBP complete'!N1881,"AAAAAD3r17Q=")</f>
        <v>#VALUE!</v>
      </c>
      <c r="FZ160" t="e">
        <f>AND('BBP complete'!P1897,"AAAAAD3r17U=")</f>
        <v>#VALUE!</v>
      </c>
      <c r="GA160" t="e">
        <f>AND('BBP complete'!Q1897,"AAAAAD3r17Y=")</f>
        <v>#VALUE!</v>
      </c>
      <c r="GB160" t="e">
        <f>AND('BBP complete'!R1897,"AAAAAD3r17c=")</f>
        <v>#VALUE!</v>
      </c>
      <c r="GC160" t="e">
        <f>AND('BBP complete'!S1897,"AAAAAD3r17g=")</f>
        <v>#VALUE!</v>
      </c>
      <c r="GD160" t="e">
        <f>AND('BBP complete'!A1886,"AAAAAD3r17k=")</f>
        <v>#VALUE!</v>
      </c>
      <c r="GE160" t="e">
        <f>AND('BBP complete'!B1882,"AAAAAD3r17o=")</f>
        <v>#VALUE!</v>
      </c>
      <c r="GF160" t="e">
        <f>AND('BBP complete'!H1882,"AAAAAD3r17s=")</f>
        <v>#VALUE!</v>
      </c>
      <c r="GG160" t="e">
        <f>AND('BBP complete'!I1882,"AAAAAD3r17w=")</f>
        <v>#VALUE!</v>
      </c>
      <c r="GH160" t="e">
        <f>AND('BBP complete'!G1881,"AAAAAD3r170=")</f>
        <v>#VALUE!</v>
      </c>
      <c r="GI160" t="e">
        <f>AND('BBP complete'!#REF!,"AAAAAD3r174=")</f>
        <v>#REF!</v>
      </c>
      <c r="GJ160" t="e">
        <f>AND('BBP complete'!#REF!,"AAAAAD3r178=")</f>
        <v>#REF!</v>
      </c>
      <c r="GK160" t="e">
        <f>AND('BBP complete'!#REF!,"AAAAAD3r18A=")</f>
        <v>#REF!</v>
      </c>
      <c r="GL160" t="e">
        <f>AND('BBP complete'!#REF!,"AAAAAD3r18E=")</f>
        <v>#REF!</v>
      </c>
      <c r="GM160" t="e">
        <f>AND('BBP complete'!#REF!,"AAAAAD3r18I=")</f>
        <v>#REF!</v>
      </c>
      <c r="GN160" t="e">
        <f>AND('BBP complete'!#REF!,"AAAAAD3r18M=")</f>
        <v>#REF!</v>
      </c>
      <c r="GO160" t="e">
        <f>AND('BBP complete'!L1874,"AAAAAD3r18Q=")</f>
        <v>#VALUE!</v>
      </c>
      <c r="GP160" t="e">
        <f>AND('BBP complete'!C1875,"AAAAAD3r18U=")</f>
        <v>#VALUE!</v>
      </c>
      <c r="GQ160" t="e">
        <f>AND('BBP complete'!N1882,"AAAAAD3r18Y=")</f>
        <v>#VALUE!</v>
      </c>
      <c r="GR160" t="e">
        <f>AND('BBP complete'!P1898,"AAAAAD3r18c=")</f>
        <v>#VALUE!</v>
      </c>
      <c r="GS160" t="e">
        <f>AND('BBP complete'!Q1898,"AAAAAD3r18g=")</f>
        <v>#VALUE!</v>
      </c>
      <c r="GT160" t="e">
        <f>AND('BBP complete'!R1898,"AAAAAD3r18k=")</f>
        <v>#VALUE!</v>
      </c>
      <c r="GU160" t="e">
        <f>AND('BBP complete'!S1898,"AAAAAD3r18o=")</f>
        <v>#VALUE!</v>
      </c>
      <c r="GV160" t="e">
        <f>AND('BBP complete'!A1887,"AAAAAD3r18s=")</f>
        <v>#VALUE!</v>
      </c>
      <c r="GW160" t="e">
        <f>AND('BBP complete'!B1883,"AAAAAD3r18w=")</f>
        <v>#VALUE!</v>
      </c>
      <c r="GX160" t="e">
        <f>AND('BBP complete'!H1883,"AAAAAD3r180=")</f>
        <v>#VALUE!</v>
      </c>
      <c r="GY160" t="e">
        <f>AND('BBP complete'!I1883,"AAAAAD3r184=")</f>
        <v>#VALUE!</v>
      </c>
      <c r="GZ160" t="e">
        <f>AND('BBP complete'!G1882,"AAAAAD3r188=")</f>
        <v>#VALUE!</v>
      </c>
      <c r="HA160" t="e">
        <f>AND('BBP complete'!#REF!,"AAAAAD3r19A=")</f>
        <v>#REF!</v>
      </c>
      <c r="HB160" t="e">
        <f>AND('BBP complete'!#REF!,"AAAAAD3r19E=")</f>
        <v>#REF!</v>
      </c>
      <c r="HC160" t="e">
        <f>AND('BBP complete'!#REF!,"AAAAAD3r19I=")</f>
        <v>#REF!</v>
      </c>
      <c r="HD160" t="e">
        <f>AND('BBP complete'!#REF!,"AAAAAD3r19M=")</f>
        <v>#REF!</v>
      </c>
      <c r="HE160" t="e">
        <f>AND('BBP complete'!#REF!,"AAAAAD3r19Q=")</f>
        <v>#REF!</v>
      </c>
      <c r="HF160" t="e">
        <f>AND('BBP complete'!#REF!,"AAAAAD3r19U=")</f>
        <v>#REF!</v>
      </c>
      <c r="HG160" t="e">
        <f>AND('BBP complete'!L1875,"AAAAAD3r19Y=")</f>
        <v>#VALUE!</v>
      </c>
      <c r="HH160" t="e">
        <f>AND('BBP complete'!C1876,"AAAAAD3r19c=")</f>
        <v>#VALUE!</v>
      </c>
      <c r="HI160" t="e">
        <f>AND('BBP complete'!N1883,"AAAAAD3r19g=")</f>
        <v>#VALUE!</v>
      </c>
      <c r="HJ160" t="e">
        <f>AND('BBP complete'!P1899,"AAAAAD3r19k=")</f>
        <v>#VALUE!</v>
      </c>
      <c r="HK160" t="e">
        <f>AND('BBP complete'!Q1899,"AAAAAD3r19o=")</f>
        <v>#VALUE!</v>
      </c>
      <c r="HL160" t="e">
        <f>AND('BBP complete'!R1899,"AAAAAD3r19s=")</f>
        <v>#VALUE!</v>
      </c>
      <c r="HM160" t="e">
        <f>AND('BBP complete'!S1899,"AAAAAD3r19w=")</f>
        <v>#VALUE!</v>
      </c>
      <c r="HN160" t="e">
        <f>AND('BBP complete'!A1888,"AAAAAD3r190=")</f>
        <v>#VALUE!</v>
      </c>
      <c r="HO160" t="e">
        <f>AND('BBP complete'!B1884,"AAAAAD3r194=")</f>
        <v>#VALUE!</v>
      </c>
      <c r="HP160" t="e">
        <f>AND('BBP complete'!H1884,"AAAAAD3r198=")</f>
        <v>#VALUE!</v>
      </c>
      <c r="HQ160" t="e">
        <f>AND('BBP complete'!I1884,"AAAAAD3r1+A=")</f>
        <v>#VALUE!</v>
      </c>
      <c r="HR160" t="e">
        <f>AND('BBP complete'!G1883,"AAAAAD3r1+E=")</f>
        <v>#VALUE!</v>
      </c>
      <c r="HS160" t="e">
        <f>AND('BBP complete'!#REF!,"AAAAAD3r1+I=")</f>
        <v>#REF!</v>
      </c>
      <c r="HT160" t="e">
        <f>AND('BBP complete'!#REF!,"AAAAAD3r1+M=")</f>
        <v>#REF!</v>
      </c>
      <c r="HU160" t="e">
        <f>AND('BBP complete'!#REF!,"AAAAAD3r1+Q=")</f>
        <v>#REF!</v>
      </c>
      <c r="HV160" t="e">
        <f>AND('BBP complete'!#REF!,"AAAAAD3r1+U=")</f>
        <v>#REF!</v>
      </c>
      <c r="HW160" t="e">
        <f>AND('BBP complete'!#REF!,"AAAAAD3r1+Y=")</f>
        <v>#REF!</v>
      </c>
      <c r="HX160" t="e">
        <f>AND('BBP complete'!#REF!,"AAAAAD3r1+c=")</f>
        <v>#REF!</v>
      </c>
      <c r="HY160" t="e">
        <f>AND('BBP complete'!L1876,"AAAAAD3r1+g=")</f>
        <v>#VALUE!</v>
      </c>
      <c r="HZ160" t="e">
        <f>AND('BBP complete'!C1877,"AAAAAD3r1+k=")</f>
        <v>#VALUE!</v>
      </c>
      <c r="IA160" t="e">
        <f>AND('BBP complete'!N1884,"AAAAAD3r1+o=")</f>
        <v>#VALUE!</v>
      </c>
      <c r="IB160" t="e">
        <f>AND('BBP complete'!P1900,"AAAAAD3r1+s=")</f>
        <v>#VALUE!</v>
      </c>
      <c r="IC160" t="e">
        <f>AND('BBP complete'!Q1900,"AAAAAD3r1+w=")</f>
        <v>#VALUE!</v>
      </c>
      <c r="ID160" t="e">
        <f>AND('BBP complete'!R1900,"AAAAAD3r1+0=")</f>
        <v>#VALUE!</v>
      </c>
      <c r="IE160" t="e">
        <f>AND('BBP complete'!S1900,"AAAAAD3r1+4=")</f>
        <v>#VALUE!</v>
      </c>
      <c r="IF160" t="e">
        <f>AND('BBP complete'!A1889,"AAAAAD3r1+8=")</f>
        <v>#VALUE!</v>
      </c>
      <c r="IG160" t="e">
        <f>AND('BBP complete'!B1885,"AAAAAD3r1/A=")</f>
        <v>#VALUE!</v>
      </c>
      <c r="IH160" t="e">
        <f>AND('BBP complete'!H1885,"AAAAAD3r1/E=")</f>
        <v>#VALUE!</v>
      </c>
      <c r="II160" t="e">
        <f>AND('BBP complete'!I1885,"AAAAAD3r1/I=")</f>
        <v>#VALUE!</v>
      </c>
      <c r="IJ160" t="e">
        <f>AND('BBP complete'!G1884,"AAAAAD3r1/M=")</f>
        <v>#VALUE!</v>
      </c>
      <c r="IK160" t="e">
        <f>AND('BBP complete'!#REF!,"AAAAAD3r1/Q=")</f>
        <v>#REF!</v>
      </c>
      <c r="IL160" t="e">
        <f>AND('BBP complete'!#REF!,"AAAAAD3r1/U=")</f>
        <v>#REF!</v>
      </c>
      <c r="IM160" t="e">
        <f>AND('BBP complete'!#REF!,"AAAAAD3r1/Y=")</f>
        <v>#REF!</v>
      </c>
      <c r="IN160" t="e">
        <f>AND('BBP complete'!#REF!,"AAAAAD3r1/c=")</f>
        <v>#REF!</v>
      </c>
      <c r="IO160" t="e">
        <f>AND('BBP complete'!#REF!,"AAAAAD3r1/g=")</f>
        <v>#REF!</v>
      </c>
      <c r="IP160" t="e">
        <f>AND('BBP complete'!#REF!,"AAAAAD3r1/k=")</f>
        <v>#REF!</v>
      </c>
      <c r="IQ160" t="e">
        <f>AND('BBP complete'!L1877,"AAAAAD3r1/o=")</f>
        <v>#VALUE!</v>
      </c>
      <c r="IR160" t="e">
        <f>AND('BBP complete'!C1878,"AAAAAD3r1/s=")</f>
        <v>#VALUE!</v>
      </c>
      <c r="IS160" t="e">
        <f>AND('BBP complete'!N1885,"AAAAAD3r1/w=")</f>
        <v>#VALUE!</v>
      </c>
      <c r="IT160" t="e">
        <f>AND('BBP complete'!P1901,"AAAAAD3r1/0=")</f>
        <v>#VALUE!</v>
      </c>
      <c r="IU160" t="e">
        <f>AND('BBP complete'!Q1901,"AAAAAD3r1/4=")</f>
        <v>#VALUE!</v>
      </c>
      <c r="IV160" t="e">
        <f>AND('BBP complete'!R1901,"AAAAAD3r1/8=")</f>
        <v>#VALUE!</v>
      </c>
    </row>
    <row r="161" spans="1:256" ht="15" customHeight="1" x14ac:dyDescent="0.25">
      <c r="A161" t="e">
        <f>AND('BBP complete'!S1901,"AAAAAAbdtwA=")</f>
        <v>#VALUE!</v>
      </c>
      <c r="B161" t="e">
        <f>AND('BBP complete'!A1890,"AAAAAAbdtwE=")</f>
        <v>#VALUE!</v>
      </c>
      <c r="C161" t="e">
        <f>AND('BBP complete'!B1886,"AAAAAAbdtwI=")</f>
        <v>#VALUE!</v>
      </c>
      <c r="D161" t="e">
        <f>AND('BBP complete'!H1886,"AAAAAAbdtwM=")</f>
        <v>#VALUE!</v>
      </c>
      <c r="E161" t="e">
        <f>AND('BBP complete'!I1886,"AAAAAAbdtwQ=")</f>
        <v>#VALUE!</v>
      </c>
      <c r="F161" t="e">
        <f>AND('BBP complete'!G1885,"AAAAAAbdtwU=")</f>
        <v>#VALUE!</v>
      </c>
      <c r="G161" t="e">
        <f>AND('BBP complete'!#REF!,"AAAAAAbdtwY=")</f>
        <v>#REF!</v>
      </c>
      <c r="H161" t="e">
        <f>AND('BBP complete'!#REF!,"AAAAAAbdtwc=")</f>
        <v>#REF!</v>
      </c>
      <c r="I161" t="e">
        <f>AND('BBP complete'!#REF!,"AAAAAAbdtwg=")</f>
        <v>#REF!</v>
      </c>
      <c r="J161" t="e">
        <f>AND('BBP complete'!#REF!,"AAAAAAbdtwk=")</f>
        <v>#REF!</v>
      </c>
      <c r="K161" t="e">
        <f>AND('BBP complete'!#REF!,"AAAAAAbdtwo=")</f>
        <v>#REF!</v>
      </c>
      <c r="L161" t="e">
        <f>AND('BBP complete'!#REF!,"AAAAAAbdtws=")</f>
        <v>#REF!</v>
      </c>
      <c r="M161" t="e">
        <f>AND('BBP complete'!L1878,"AAAAAAbdtww=")</f>
        <v>#VALUE!</v>
      </c>
      <c r="N161" t="e">
        <f>AND('BBP complete'!C1879,"AAAAAAbdtw0=")</f>
        <v>#VALUE!</v>
      </c>
      <c r="O161" t="e">
        <f>AND('BBP complete'!N1886,"AAAAAAbdtw4=")</f>
        <v>#VALUE!</v>
      </c>
      <c r="P161" t="e">
        <f>AND('BBP complete'!P1902,"AAAAAAbdtw8=")</f>
        <v>#VALUE!</v>
      </c>
      <c r="Q161" t="e">
        <f>AND('BBP complete'!Q1902,"AAAAAAbdtxA=")</f>
        <v>#VALUE!</v>
      </c>
      <c r="R161" t="e">
        <f>AND('BBP complete'!R1902,"AAAAAAbdtxE=")</f>
        <v>#VALUE!</v>
      </c>
      <c r="S161" t="e">
        <f>AND('BBP complete'!S1902,"AAAAAAbdtxI=")</f>
        <v>#VALUE!</v>
      </c>
      <c r="T161" t="e">
        <f>AND('BBP complete'!A1891,"AAAAAAbdtxM=")</f>
        <v>#VALUE!</v>
      </c>
      <c r="U161" t="e">
        <f>AND('BBP complete'!B1887,"AAAAAAbdtxQ=")</f>
        <v>#VALUE!</v>
      </c>
      <c r="V161" t="e">
        <f>AND('BBP complete'!H1887,"AAAAAAbdtxU=")</f>
        <v>#VALUE!</v>
      </c>
      <c r="W161" t="e">
        <f>AND('BBP complete'!I1887,"AAAAAAbdtxY=")</f>
        <v>#VALUE!</v>
      </c>
      <c r="X161" t="e">
        <f>AND('BBP complete'!G1886,"AAAAAAbdtxc=")</f>
        <v>#VALUE!</v>
      </c>
      <c r="Y161" t="e">
        <f>AND('BBP complete'!#REF!,"AAAAAAbdtxg=")</f>
        <v>#REF!</v>
      </c>
      <c r="Z161" t="e">
        <f>AND('BBP complete'!#REF!,"AAAAAAbdtxk=")</f>
        <v>#REF!</v>
      </c>
      <c r="AA161" t="e">
        <f>AND('BBP complete'!#REF!,"AAAAAAbdtxo=")</f>
        <v>#REF!</v>
      </c>
      <c r="AB161" t="e">
        <f>AND('BBP complete'!#REF!,"AAAAAAbdtxs=")</f>
        <v>#REF!</v>
      </c>
      <c r="AC161" t="e">
        <f>AND('BBP complete'!#REF!,"AAAAAAbdtxw=")</f>
        <v>#REF!</v>
      </c>
      <c r="AD161" t="e">
        <f>AND('BBP complete'!#REF!,"AAAAAAbdtx0=")</f>
        <v>#REF!</v>
      </c>
      <c r="AE161" t="e">
        <f>AND('BBP complete'!L1879,"AAAAAAbdtx4=")</f>
        <v>#VALUE!</v>
      </c>
      <c r="AF161" t="e">
        <f>AND('BBP complete'!C1880,"AAAAAAbdtx8=")</f>
        <v>#VALUE!</v>
      </c>
      <c r="AG161" t="e">
        <f>AND('BBP complete'!N1887,"AAAAAAbdtyA=")</f>
        <v>#VALUE!</v>
      </c>
      <c r="AH161" t="e">
        <f>AND('BBP complete'!P1903,"AAAAAAbdtyE=")</f>
        <v>#VALUE!</v>
      </c>
      <c r="AI161" t="e">
        <f>AND('BBP complete'!Q1903,"AAAAAAbdtyI=")</f>
        <v>#VALUE!</v>
      </c>
      <c r="AJ161" t="e">
        <f>AND('BBP complete'!R1903,"AAAAAAbdtyM=")</f>
        <v>#VALUE!</v>
      </c>
      <c r="AK161" t="e">
        <f>AND('BBP complete'!S1903,"AAAAAAbdtyQ=")</f>
        <v>#VALUE!</v>
      </c>
      <c r="AL161" t="e">
        <f>AND('BBP complete'!A1892,"AAAAAAbdtyU=")</f>
        <v>#VALUE!</v>
      </c>
      <c r="AM161" t="e">
        <f>AND('BBP complete'!B1888,"AAAAAAbdtyY=")</f>
        <v>#VALUE!</v>
      </c>
      <c r="AN161" t="e">
        <f>AND('BBP complete'!H1888,"AAAAAAbdtyc=")</f>
        <v>#VALUE!</v>
      </c>
      <c r="AO161" t="e">
        <f>AND('BBP complete'!I1888,"AAAAAAbdtyg=")</f>
        <v>#VALUE!</v>
      </c>
      <c r="AP161" t="e">
        <f>AND('BBP complete'!G1887,"AAAAAAbdtyk=")</f>
        <v>#VALUE!</v>
      </c>
      <c r="AQ161" t="e">
        <f>AND('BBP complete'!#REF!,"AAAAAAbdtyo=")</f>
        <v>#REF!</v>
      </c>
      <c r="AR161" t="e">
        <f>AND('BBP complete'!#REF!,"AAAAAAbdtys=")</f>
        <v>#REF!</v>
      </c>
      <c r="AS161" t="e">
        <f>AND('BBP complete'!#REF!,"AAAAAAbdtyw=")</f>
        <v>#REF!</v>
      </c>
      <c r="AT161" t="e">
        <f>AND('BBP complete'!#REF!,"AAAAAAbdty0=")</f>
        <v>#REF!</v>
      </c>
      <c r="AU161" t="e">
        <f>AND('BBP complete'!#REF!,"AAAAAAbdty4=")</f>
        <v>#REF!</v>
      </c>
      <c r="AV161" t="e">
        <f>AND('BBP complete'!#REF!,"AAAAAAbdty8=")</f>
        <v>#REF!</v>
      </c>
      <c r="AW161" t="e">
        <f>AND('BBP complete'!L1880,"AAAAAAbdtzA=")</f>
        <v>#VALUE!</v>
      </c>
      <c r="AX161" t="e">
        <f>AND('BBP complete'!C1881,"AAAAAAbdtzE=")</f>
        <v>#VALUE!</v>
      </c>
      <c r="AY161" t="e">
        <f>AND('BBP complete'!N1888,"AAAAAAbdtzI=")</f>
        <v>#VALUE!</v>
      </c>
      <c r="AZ161" t="e">
        <f>AND('BBP complete'!P1904,"AAAAAAbdtzM=")</f>
        <v>#VALUE!</v>
      </c>
      <c r="BA161" t="e">
        <f>AND('BBP complete'!Q1904,"AAAAAAbdtzQ=")</f>
        <v>#VALUE!</v>
      </c>
      <c r="BB161" t="e">
        <f>AND('BBP complete'!R1904,"AAAAAAbdtzU=")</f>
        <v>#VALUE!</v>
      </c>
      <c r="BC161" t="e">
        <f>AND('BBP complete'!S1904,"AAAAAAbdtzY=")</f>
        <v>#VALUE!</v>
      </c>
      <c r="BD161" t="e">
        <f>AND('BBP complete'!A1893,"AAAAAAbdtzc=")</f>
        <v>#VALUE!</v>
      </c>
      <c r="BE161" t="e">
        <f>AND('BBP complete'!B1889,"AAAAAAbdtzg=")</f>
        <v>#VALUE!</v>
      </c>
      <c r="BF161" t="e">
        <f>AND('BBP complete'!H1889,"AAAAAAbdtzk=")</f>
        <v>#VALUE!</v>
      </c>
      <c r="BG161" t="e">
        <f>AND('BBP complete'!I1889,"AAAAAAbdtzo=")</f>
        <v>#VALUE!</v>
      </c>
      <c r="BH161" t="e">
        <f>AND('BBP complete'!G1888,"AAAAAAbdtzs=")</f>
        <v>#VALUE!</v>
      </c>
      <c r="BI161" t="e">
        <f>AND('BBP complete'!#REF!,"AAAAAAbdtzw=")</f>
        <v>#REF!</v>
      </c>
      <c r="BJ161" t="e">
        <f>AND('BBP complete'!#REF!,"AAAAAAbdtz0=")</f>
        <v>#REF!</v>
      </c>
      <c r="BK161" t="e">
        <f>AND('BBP complete'!#REF!,"AAAAAAbdtz4=")</f>
        <v>#REF!</v>
      </c>
      <c r="BL161" t="e">
        <f>AND('BBP complete'!#REF!,"AAAAAAbdtz8=")</f>
        <v>#REF!</v>
      </c>
      <c r="BM161" t="e">
        <f>AND('BBP complete'!#REF!,"AAAAAAbdt0A=")</f>
        <v>#REF!</v>
      </c>
      <c r="BN161" t="e">
        <f>AND('BBP complete'!#REF!,"AAAAAAbdt0E=")</f>
        <v>#REF!</v>
      </c>
      <c r="BO161" t="e">
        <f>AND('BBP complete'!L1881,"AAAAAAbdt0I=")</f>
        <v>#VALUE!</v>
      </c>
      <c r="BP161" t="e">
        <f>AND('BBP complete'!C1882,"AAAAAAbdt0M=")</f>
        <v>#VALUE!</v>
      </c>
      <c r="BQ161" t="e">
        <f>AND('BBP complete'!N1889,"AAAAAAbdt0Q=")</f>
        <v>#VALUE!</v>
      </c>
      <c r="BR161" t="e">
        <f>AND('BBP complete'!P1905,"AAAAAAbdt0U=")</f>
        <v>#VALUE!</v>
      </c>
      <c r="BS161" t="e">
        <f>AND('BBP complete'!Q1905,"AAAAAAbdt0Y=")</f>
        <v>#VALUE!</v>
      </c>
      <c r="BT161" t="e">
        <f>AND('BBP complete'!R1905,"AAAAAAbdt0c=")</f>
        <v>#VALUE!</v>
      </c>
      <c r="BU161" t="e">
        <f>AND('BBP complete'!S1905,"AAAAAAbdt0g=")</f>
        <v>#VALUE!</v>
      </c>
      <c r="BV161" t="e">
        <f>AND('BBP complete'!A1894,"AAAAAAbdt0k=")</f>
        <v>#VALUE!</v>
      </c>
      <c r="BW161" t="e">
        <f>AND('BBP complete'!B1890,"AAAAAAbdt0o=")</f>
        <v>#VALUE!</v>
      </c>
      <c r="BX161" t="e">
        <f>AND('BBP complete'!H1890,"AAAAAAbdt0s=")</f>
        <v>#VALUE!</v>
      </c>
      <c r="BY161" t="e">
        <f>AND('BBP complete'!I1890,"AAAAAAbdt0w=")</f>
        <v>#VALUE!</v>
      </c>
      <c r="BZ161" t="e">
        <f>AND('BBP complete'!G1889,"AAAAAAbdt00=")</f>
        <v>#VALUE!</v>
      </c>
      <c r="CA161" t="e">
        <f>AND('BBP complete'!#REF!,"AAAAAAbdt04=")</f>
        <v>#REF!</v>
      </c>
      <c r="CB161" t="e">
        <f>AND('BBP complete'!#REF!,"AAAAAAbdt08=")</f>
        <v>#REF!</v>
      </c>
      <c r="CC161" t="e">
        <f>AND('BBP complete'!#REF!,"AAAAAAbdt1A=")</f>
        <v>#REF!</v>
      </c>
      <c r="CD161" t="e">
        <f>AND('BBP complete'!#REF!,"AAAAAAbdt1E=")</f>
        <v>#REF!</v>
      </c>
      <c r="CE161" t="e">
        <f>AND('BBP complete'!#REF!,"AAAAAAbdt1I=")</f>
        <v>#REF!</v>
      </c>
      <c r="CF161" t="e">
        <f>AND('BBP complete'!#REF!,"AAAAAAbdt1M=")</f>
        <v>#REF!</v>
      </c>
      <c r="CG161" t="e">
        <f>AND('BBP complete'!L1882,"AAAAAAbdt1Q=")</f>
        <v>#VALUE!</v>
      </c>
      <c r="CH161" t="e">
        <f>AND('BBP complete'!C1883,"AAAAAAbdt1U=")</f>
        <v>#VALUE!</v>
      </c>
      <c r="CI161" t="e">
        <f>AND('BBP complete'!N1890,"AAAAAAbdt1Y=")</f>
        <v>#VALUE!</v>
      </c>
      <c r="CJ161" t="e">
        <f>AND('BBP complete'!P1906,"AAAAAAbdt1c=")</f>
        <v>#VALUE!</v>
      </c>
      <c r="CK161" t="e">
        <f>AND('BBP complete'!Q1906,"AAAAAAbdt1g=")</f>
        <v>#VALUE!</v>
      </c>
      <c r="CL161" t="e">
        <f>AND('BBP complete'!R1906,"AAAAAAbdt1k=")</f>
        <v>#VALUE!</v>
      </c>
      <c r="CM161" t="e">
        <f>AND('BBP complete'!S1906,"AAAAAAbdt1o=")</f>
        <v>#VALUE!</v>
      </c>
      <c r="CN161" t="e">
        <f>AND('BBP complete'!A1895,"AAAAAAbdt1s=")</f>
        <v>#VALUE!</v>
      </c>
      <c r="CO161" t="e">
        <f>AND('BBP complete'!B1891,"AAAAAAbdt1w=")</f>
        <v>#VALUE!</v>
      </c>
      <c r="CP161" t="e">
        <f>AND('BBP complete'!H1891,"AAAAAAbdt10=")</f>
        <v>#VALUE!</v>
      </c>
      <c r="CQ161" t="e">
        <f>AND('BBP complete'!I1891,"AAAAAAbdt14=")</f>
        <v>#VALUE!</v>
      </c>
      <c r="CR161" t="e">
        <f>AND('BBP complete'!G1890,"AAAAAAbdt18=")</f>
        <v>#VALUE!</v>
      </c>
      <c r="CS161" t="e">
        <f>AND('BBP complete'!#REF!,"AAAAAAbdt2A=")</f>
        <v>#REF!</v>
      </c>
      <c r="CT161" t="e">
        <f>AND('BBP complete'!#REF!,"AAAAAAbdt2E=")</f>
        <v>#REF!</v>
      </c>
      <c r="CU161" t="e">
        <f>AND('BBP complete'!#REF!,"AAAAAAbdt2I=")</f>
        <v>#REF!</v>
      </c>
      <c r="CV161" t="e">
        <f>AND('BBP complete'!#REF!,"AAAAAAbdt2M=")</f>
        <v>#REF!</v>
      </c>
      <c r="CW161" t="e">
        <f>AND('BBP complete'!#REF!,"AAAAAAbdt2Q=")</f>
        <v>#REF!</v>
      </c>
      <c r="CX161" t="e">
        <f>AND('BBP complete'!#REF!,"AAAAAAbdt2U=")</f>
        <v>#REF!</v>
      </c>
      <c r="CY161" t="e">
        <f>AND('BBP complete'!L1883,"AAAAAAbdt2Y=")</f>
        <v>#VALUE!</v>
      </c>
      <c r="CZ161" t="e">
        <f>AND('BBP complete'!C1884,"AAAAAAbdt2c=")</f>
        <v>#VALUE!</v>
      </c>
      <c r="DA161" t="e">
        <f>AND('BBP complete'!N1891,"AAAAAAbdt2g=")</f>
        <v>#VALUE!</v>
      </c>
      <c r="DB161" t="e">
        <f>AND('BBP complete'!P1907,"AAAAAAbdt2k=")</f>
        <v>#VALUE!</v>
      </c>
      <c r="DC161" t="e">
        <f>AND('BBP complete'!Q1907,"AAAAAAbdt2o=")</f>
        <v>#VALUE!</v>
      </c>
      <c r="DD161" t="e">
        <f>AND('BBP complete'!R1907,"AAAAAAbdt2s=")</f>
        <v>#VALUE!</v>
      </c>
      <c r="DE161" t="e">
        <f>AND('BBP complete'!S1907,"AAAAAAbdt2w=")</f>
        <v>#VALUE!</v>
      </c>
      <c r="DF161" t="e">
        <f>AND('BBP complete'!A1896,"AAAAAAbdt20=")</f>
        <v>#VALUE!</v>
      </c>
      <c r="DG161" t="e">
        <f>AND('BBP complete'!B1892,"AAAAAAbdt24=")</f>
        <v>#VALUE!</v>
      </c>
      <c r="DH161" t="e">
        <f>AND('BBP complete'!H1892,"AAAAAAbdt28=")</f>
        <v>#VALUE!</v>
      </c>
      <c r="DI161" t="e">
        <f>AND('BBP complete'!I1892,"AAAAAAbdt3A=")</f>
        <v>#VALUE!</v>
      </c>
      <c r="DJ161" t="e">
        <f>AND('BBP complete'!G1891,"AAAAAAbdt3E=")</f>
        <v>#VALUE!</v>
      </c>
      <c r="DK161" t="e">
        <f>AND('BBP complete'!#REF!,"AAAAAAbdt3I=")</f>
        <v>#REF!</v>
      </c>
      <c r="DL161" t="e">
        <f>AND('BBP complete'!#REF!,"AAAAAAbdt3M=")</f>
        <v>#REF!</v>
      </c>
      <c r="DM161" t="e">
        <f>AND('BBP complete'!#REF!,"AAAAAAbdt3Q=")</f>
        <v>#REF!</v>
      </c>
      <c r="DN161" t="e">
        <f>AND('BBP complete'!#REF!,"AAAAAAbdt3U=")</f>
        <v>#REF!</v>
      </c>
      <c r="DO161" t="e">
        <f>AND('BBP complete'!#REF!,"AAAAAAbdt3Y=")</f>
        <v>#REF!</v>
      </c>
      <c r="DP161" t="e">
        <f>AND('BBP complete'!#REF!,"AAAAAAbdt3c=")</f>
        <v>#REF!</v>
      </c>
      <c r="DQ161" t="e">
        <f>AND('BBP complete'!L1884,"AAAAAAbdt3g=")</f>
        <v>#VALUE!</v>
      </c>
      <c r="DR161" t="e">
        <f>AND('BBP complete'!C1885,"AAAAAAbdt3k=")</f>
        <v>#VALUE!</v>
      </c>
      <c r="DS161" t="e">
        <f>AND('BBP complete'!N1892,"AAAAAAbdt3o=")</f>
        <v>#VALUE!</v>
      </c>
      <c r="DT161" t="e">
        <f>AND('BBP complete'!P1908,"AAAAAAbdt3s=")</f>
        <v>#VALUE!</v>
      </c>
      <c r="DU161" t="e">
        <f>AND('BBP complete'!Q1908,"AAAAAAbdt3w=")</f>
        <v>#VALUE!</v>
      </c>
      <c r="DV161" t="e">
        <f>AND('BBP complete'!R1908,"AAAAAAbdt30=")</f>
        <v>#VALUE!</v>
      </c>
      <c r="DW161" t="e">
        <f>AND('BBP complete'!S1908,"AAAAAAbdt34=")</f>
        <v>#VALUE!</v>
      </c>
      <c r="DX161" t="e">
        <f>AND('BBP complete'!A1897,"AAAAAAbdt38=")</f>
        <v>#VALUE!</v>
      </c>
      <c r="DY161" t="e">
        <f>AND('BBP complete'!B1893,"AAAAAAbdt4A=")</f>
        <v>#VALUE!</v>
      </c>
      <c r="DZ161" t="e">
        <f>AND('BBP complete'!H1893,"AAAAAAbdt4E=")</f>
        <v>#VALUE!</v>
      </c>
      <c r="EA161" t="e">
        <f>AND('BBP complete'!I1893,"AAAAAAbdt4I=")</f>
        <v>#VALUE!</v>
      </c>
      <c r="EB161" t="e">
        <f>AND('BBP complete'!G1892,"AAAAAAbdt4M=")</f>
        <v>#VALUE!</v>
      </c>
      <c r="EC161" t="e">
        <f>AND('BBP complete'!#REF!,"AAAAAAbdt4Q=")</f>
        <v>#REF!</v>
      </c>
      <c r="ED161" t="e">
        <f>AND('BBP complete'!#REF!,"AAAAAAbdt4U=")</f>
        <v>#REF!</v>
      </c>
      <c r="EE161" t="e">
        <f>AND('BBP complete'!#REF!,"AAAAAAbdt4Y=")</f>
        <v>#REF!</v>
      </c>
      <c r="EF161" t="e">
        <f>AND('BBP complete'!#REF!,"AAAAAAbdt4c=")</f>
        <v>#REF!</v>
      </c>
      <c r="EG161" t="e">
        <f>AND('BBP complete'!#REF!,"AAAAAAbdt4g=")</f>
        <v>#REF!</v>
      </c>
      <c r="EH161" t="e">
        <f>AND('BBP complete'!#REF!,"AAAAAAbdt4k=")</f>
        <v>#REF!</v>
      </c>
      <c r="EI161" t="e">
        <f>AND('BBP complete'!L1885,"AAAAAAbdt4o=")</f>
        <v>#VALUE!</v>
      </c>
      <c r="EJ161" t="e">
        <f>AND('BBP complete'!C1886,"AAAAAAbdt4s=")</f>
        <v>#VALUE!</v>
      </c>
      <c r="EK161" t="e">
        <f>AND('BBP complete'!N1893,"AAAAAAbdt4w=")</f>
        <v>#VALUE!</v>
      </c>
      <c r="EL161" t="e">
        <f>AND('BBP complete'!P1909,"AAAAAAbdt40=")</f>
        <v>#VALUE!</v>
      </c>
      <c r="EM161" t="e">
        <f>AND('BBP complete'!Q1909,"AAAAAAbdt44=")</f>
        <v>#VALUE!</v>
      </c>
      <c r="EN161" t="e">
        <f>AND('BBP complete'!R1909,"AAAAAAbdt48=")</f>
        <v>#VALUE!</v>
      </c>
      <c r="EO161" t="e">
        <f>AND('BBP complete'!S1909,"AAAAAAbdt5A=")</f>
        <v>#VALUE!</v>
      </c>
      <c r="EP161" t="e">
        <f>AND('BBP complete'!A1898,"AAAAAAbdt5E=")</f>
        <v>#VALUE!</v>
      </c>
      <c r="EQ161" t="e">
        <f>AND('BBP complete'!B1894,"AAAAAAbdt5I=")</f>
        <v>#VALUE!</v>
      </c>
      <c r="ER161" t="e">
        <f>AND('BBP complete'!H1894,"AAAAAAbdt5M=")</f>
        <v>#VALUE!</v>
      </c>
      <c r="ES161" t="e">
        <f>AND('BBP complete'!I1894,"AAAAAAbdt5Q=")</f>
        <v>#VALUE!</v>
      </c>
      <c r="ET161" t="e">
        <f>AND('BBP complete'!G1893,"AAAAAAbdt5U=")</f>
        <v>#VALUE!</v>
      </c>
      <c r="EU161" t="e">
        <f>AND('BBP complete'!#REF!,"AAAAAAbdt5Y=")</f>
        <v>#REF!</v>
      </c>
      <c r="EV161" t="e">
        <f>AND('BBP complete'!#REF!,"AAAAAAbdt5c=")</f>
        <v>#REF!</v>
      </c>
      <c r="EW161" t="e">
        <f>AND('BBP complete'!#REF!,"AAAAAAbdt5g=")</f>
        <v>#REF!</v>
      </c>
      <c r="EX161" t="e">
        <f>AND('BBP complete'!#REF!,"AAAAAAbdt5k=")</f>
        <v>#REF!</v>
      </c>
      <c r="EY161" t="e">
        <f>AND('BBP complete'!#REF!,"AAAAAAbdt5o=")</f>
        <v>#REF!</v>
      </c>
      <c r="EZ161" t="e">
        <f>AND('BBP complete'!#REF!,"AAAAAAbdt5s=")</f>
        <v>#REF!</v>
      </c>
      <c r="FA161" t="e">
        <f>AND('BBP complete'!L1886,"AAAAAAbdt5w=")</f>
        <v>#VALUE!</v>
      </c>
      <c r="FB161" t="e">
        <f>AND('BBP complete'!C1887,"AAAAAAbdt50=")</f>
        <v>#VALUE!</v>
      </c>
      <c r="FC161" t="e">
        <f>AND('BBP complete'!N1894,"AAAAAAbdt54=")</f>
        <v>#VALUE!</v>
      </c>
      <c r="FD161" t="e">
        <f>AND('BBP complete'!P1910,"AAAAAAbdt58=")</f>
        <v>#VALUE!</v>
      </c>
      <c r="FE161" t="e">
        <f>AND('BBP complete'!Q1910,"AAAAAAbdt6A=")</f>
        <v>#VALUE!</v>
      </c>
      <c r="FF161" t="e">
        <f>AND('BBP complete'!R1910,"AAAAAAbdt6E=")</f>
        <v>#VALUE!</v>
      </c>
      <c r="FG161" t="e">
        <f>AND('BBP complete'!S1910,"AAAAAAbdt6I=")</f>
        <v>#VALUE!</v>
      </c>
      <c r="FH161" t="e">
        <f>AND('BBP complete'!A1899,"AAAAAAbdt6M=")</f>
        <v>#VALUE!</v>
      </c>
      <c r="FI161" t="e">
        <f>AND('BBP complete'!B1895,"AAAAAAbdt6Q=")</f>
        <v>#VALUE!</v>
      </c>
      <c r="FJ161" t="e">
        <f>AND('BBP complete'!H1895,"AAAAAAbdt6U=")</f>
        <v>#VALUE!</v>
      </c>
      <c r="FK161" t="e">
        <f>AND('BBP complete'!I1895,"AAAAAAbdt6Y=")</f>
        <v>#VALUE!</v>
      </c>
      <c r="FL161" t="e">
        <f>AND('BBP complete'!G1894,"AAAAAAbdt6c=")</f>
        <v>#VALUE!</v>
      </c>
      <c r="FM161" t="e">
        <f>AND('BBP complete'!#REF!,"AAAAAAbdt6g=")</f>
        <v>#REF!</v>
      </c>
      <c r="FN161" t="e">
        <f>AND('BBP complete'!#REF!,"AAAAAAbdt6k=")</f>
        <v>#REF!</v>
      </c>
      <c r="FO161" t="e">
        <f>AND('BBP complete'!#REF!,"AAAAAAbdt6o=")</f>
        <v>#REF!</v>
      </c>
      <c r="FP161" t="e">
        <f>AND('BBP complete'!#REF!,"AAAAAAbdt6s=")</f>
        <v>#REF!</v>
      </c>
      <c r="FQ161" t="e">
        <f>AND('BBP complete'!#REF!,"AAAAAAbdt6w=")</f>
        <v>#REF!</v>
      </c>
      <c r="FR161" t="e">
        <f>AND('BBP complete'!#REF!,"AAAAAAbdt60=")</f>
        <v>#REF!</v>
      </c>
      <c r="FS161" t="e">
        <f>AND('BBP complete'!L1888,"AAAAAAbdt64=")</f>
        <v>#VALUE!</v>
      </c>
      <c r="FT161" t="e">
        <f>AND('BBP complete'!C1889,"AAAAAAbdt68=")</f>
        <v>#VALUE!</v>
      </c>
      <c r="FU161" t="e">
        <f>AND('BBP complete'!N1895,"AAAAAAbdt7A=")</f>
        <v>#VALUE!</v>
      </c>
      <c r="FV161" t="e">
        <f>AND('BBP complete'!P1911,"AAAAAAbdt7E=")</f>
        <v>#VALUE!</v>
      </c>
      <c r="FW161" t="e">
        <f>AND('BBP complete'!Q1911,"AAAAAAbdt7I=")</f>
        <v>#VALUE!</v>
      </c>
      <c r="FX161" t="e">
        <f>AND('BBP complete'!R1911,"AAAAAAbdt7M=")</f>
        <v>#VALUE!</v>
      </c>
      <c r="FY161" t="e">
        <f>AND('BBP complete'!S1911,"AAAAAAbdt7Q=")</f>
        <v>#VALUE!</v>
      </c>
      <c r="FZ161" t="e">
        <f>AND('BBP complete'!A1900,"AAAAAAbdt7U=")</f>
        <v>#VALUE!</v>
      </c>
      <c r="GA161" t="e">
        <f>AND('BBP complete'!B1896,"AAAAAAbdt7Y=")</f>
        <v>#VALUE!</v>
      </c>
      <c r="GB161" t="e">
        <f>AND('BBP complete'!H1896,"AAAAAAbdt7c=")</f>
        <v>#VALUE!</v>
      </c>
      <c r="GC161" t="e">
        <f>AND('BBP complete'!I1896,"AAAAAAbdt7g=")</f>
        <v>#VALUE!</v>
      </c>
      <c r="GD161" t="e">
        <f>AND('BBP complete'!G1895,"AAAAAAbdt7k=")</f>
        <v>#VALUE!</v>
      </c>
      <c r="GE161" t="e">
        <f>AND('BBP complete'!#REF!,"AAAAAAbdt7o=")</f>
        <v>#REF!</v>
      </c>
      <c r="GF161" t="e">
        <f>AND('BBP complete'!#REF!,"AAAAAAbdt7s=")</f>
        <v>#REF!</v>
      </c>
      <c r="GG161" t="e">
        <f>AND('BBP complete'!#REF!,"AAAAAAbdt7w=")</f>
        <v>#REF!</v>
      </c>
      <c r="GH161" t="e">
        <f>AND('BBP complete'!#REF!,"AAAAAAbdt70=")</f>
        <v>#REF!</v>
      </c>
      <c r="GI161" t="e">
        <f>AND('BBP complete'!#REF!,"AAAAAAbdt74=")</f>
        <v>#REF!</v>
      </c>
      <c r="GJ161" t="e">
        <f>AND('BBP complete'!#REF!,"AAAAAAbdt78=")</f>
        <v>#REF!</v>
      </c>
      <c r="GK161" t="e">
        <f>AND('BBP complete'!L1889,"AAAAAAbdt8A=")</f>
        <v>#VALUE!</v>
      </c>
      <c r="GL161" t="e">
        <f>AND('BBP complete'!C1890,"AAAAAAbdt8E=")</f>
        <v>#VALUE!</v>
      </c>
      <c r="GM161" t="e">
        <f>AND('BBP complete'!N1896,"AAAAAAbdt8I=")</f>
        <v>#VALUE!</v>
      </c>
      <c r="GN161" t="e">
        <f>AND('BBP complete'!P1912,"AAAAAAbdt8M=")</f>
        <v>#VALUE!</v>
      </c>
      <c r="GO161" t="e">
        <f>AND('BBP complete'!Q1912,"AAAAAAbdt8Q=")</f>
        <v>#VALUE!</v>
      </c>
      <c r="GP161" t="e">
        <f>AND('BBP complete'!R1912,"AAAAAAbdt8U=")</f>
        <v>#VALUE!</v>
      </c>
      <c r="GQ161" t="e">
        <f>AND('BBP complete'!S1912,"AAAAAAbdt8Y=")</f>
        <v>#VALUE!</v>
      </c>
      <c r="GR161" t="e">
        <f>AND('BBP complete'!A1901,"AAAAAAbdt8c=")</f>
        <v>#VALUE!</v>
      </c>
      <c r="GS161" t="e">
        <f>AND('BBP complete'!B1897,"AAAAAAbdt8g=")</f>
        <v>#VALUE!</v>
      </c>
      <c r="GT161" t="e">
        <f>AND('BBP complete'!H1897,"AAAAAAbdt8k=")</f>
        <v>#VALUE!</v>
      </c>
      <c r="GU161" t="e">
        <f>AND('BBP complete'!I1897,"AAAAAAbdt8o=")</f>
        <v>#VALUE!</v>
      </c>
      <c r="GV161" t="e">
        <f>AND('BBP complete'!G1896,"AAAAAAbdt8s=")</f>
        <v>#VALUE!</v>
      </c>
      <c r="GW161" t="e">
        <f>AND('BBP complete'!#REF!,"AAAAAAbdt8w=")</f>
        <v>#REF!</v>
      </c>
      <c r="GX161" t="e">
        <f>AND('BBP complete'!#REF!,"AAAAAAbdt80=")</f>
        <v>#REF!</v>
      </c>
      <c r="GY161" t="e">
        <f>AND('BBP complete'!#REF!,"AAAAAAbdt84=")</f>
        <v>#REF!</v>
      </c>
      <c r="GZ161" t="e">
        <f>AND('BBP complete'!#REF!,"AAAAAAbdt88=")</f>
        <v>#REF!</v>
      </c>
      <c r="HA161" t="e">
        <f>AND('BBP complete'!#REF!,"AAAAAAbdt9A=")</f>
        <v>#REF!</v>
      </c>
      <c r="HB161" t="e">
        <f>AND('BBP complete'!#REF!,"AAAAAAbdt9E=")</f>
        <v>#REF!</v>
      </c>
      <c r="HC161" t="e">
        <f>AND('BBP complete'!L1890,"AAAAAAbdt9I=")</f>
        <v>#VALUE!</v>
      </c>
      <c r="HD161" t="e">
        <f>AND('BBP complete'!C1891,"AAAAAAbdt9M=")</f>
        <v>#VALUE!</v>
      </c>
      <c r="HE161" t="e">
        <f>AND('BBP complete'!N1897,"AAAAAAbdt9Q=")</f>
        <v>#VALUE!</v>
      </c>
      <c r="HF161" t="e">
        <f>AND('BBP complete'!P1913,"AAAAAAbdt9U=")</f>
        <v>#VALUE!</v>
      </c>
      <c r="HG161" t="e">
        <f>AND('BBP complete'!Q1913,"AAAAAAbdt9Y=")</f>
        <v>#VALUE!</v>
      </c>
      <c r="HH161" t="e">
        <f>AND('BBP complete'!R1913,"AAAAAAbdt9c=")</f>
        <v>#VALUE!</v>
      </c>
      <c r="HI161" t="e">
        <f>AND('BBP complete'!S1913,"AAAAAAbdt9g=")</f>
        <v>#VALUE!</v>
      </c>
      <c r="HJ161" t="e">
        <f>AND('BBP complete'!A1902,"AAAAAAbdt9k=")</f>
        <v>#VALUE!</v>
      </c>
      <c r="HK161" t="e">
        <f>AND('BBP complete'!B1898,"AAAAAAbdt9o=")</f>
        <v>#VALUE!</v>
      </c>
      <c r="HL161" t="e">
        <f>AND('BBP complete'!H1898,"AAAAAAbdt9s=")</f>
        <v>#VALUE!</v>
      </c>
      <c r="HM161" t="e">
        <f>AND('BBP complete'!I1898,"AAAAAAbdt9w=")</f>
        <v>#VALUE!</v>
      </c>
      <c r="HN161" t="e">
        <f>AND('BBP complete'!G1897,"AAAAAAbdt90=")</f>
        <v>#VALUE!</v>
      </c>
      <c r="HO161" t="e">
        <f>AND('BBP complete'!#REF!,"AAAAAAbdt94=")</f>
        <v>#REF!</v>
      </c>
      <c r="HP161" t="e">
        <f>AND('BBP complete'!#REF!,"AAAAAAbdt98=")</f>
        <v>#REF!</v>
      </c>
      <c r="HQ161" t="e">
        <f>AND('BBP complete'!#REF!,"AAAAAAbdt+A=")</f>
        <v>#REF!</v>
      </c>
      <c r="HR161" t="e">
        <f>AND('BBP complete'!#REF!,"AAAAAAbdt+E=")</f>
        <v>#REF!</v>
      </c>
      <c r="HS161" t="e">
        <f>AND('BBP complete'!#REF!,"AAAAAAbdt+I=")</f>
        <v>#REF!</v>
      </c>
      <c r="HT161" t="e">
        <f>AND('BBP complete'!#REF!,"AAAAAAbdt+M=")</f>
        <v>#REF!</v>
      </c>
      <c r="HU161" t="e">
        <f>AND('BBP complete'!L1891,"AAAAAAbdt+Q=")</f>
        <v>#VALUE!</v>
      </c>
      <c r="HV161" t="e">
        <f>AND('BBP complete'!C1892,"AAAAAAbdt+U=")</f>
        <v>#VALUE!</v>
      </c>
      <c r="HW161" t="e">
        <f>AND('BBP complete'!N1898,"AAAAAAbdt+Y=")</f>
        <v>#VALUE!</v>
      </c>
      <c r="HX161" t="e">
        <f>AND('BBP complete'!P1914,"AAAAAAbdt+c=")</f>
        <v>#VALUE!</v>
      </c>
      <c r="HY161" t="e">
        <f>AND('BBP complete'!Q1914,"AAAAAAbdt+g=")</f>
        <v>#VALUE!</v>
      </c>
      <c r="HZ161" t="e">
        <f>AND('BBP complete'!R1914,"AAAAAAbdt+k=")</f>
        <v>#VALUE!</v>
      </c>
      <c r="IA161" t="e">
        <f>AND('BBP complete'!S1914,"AAAAAAbdt+o=")</f>
        <v>#VALUE!</v>
      </c>
      <c r="IB161" t="e">
        <f>AND('BBP complete'!A1903,"AAAAAAbdt+s=")</f>
        <v>#VALUE!</v>
      </c>
      <c r="IC161" t="e">
        <f>AND('BBP complete'!B1899,"AAAAAAbdt+w=")</f>
        <v>#VALUE!</v>
      </c>
      <c r="ID161" t="e">
        <f>AND('BBP complete'!H1899,"AAAAAAbdt+0=")</f>
        <v>#VALUE!</v>
      </c>
      <c r="IE161" t="e">
        <f>AND('BBP complete'!I1899,"AAAAAAbdt+4=")</f>
        <v>#VALUE!</v>
      </c>
      <c r="IF161" t="e">
        <f>AND('BBP complete'!G1898,"AAAAAAbdt+8=")</f>
        <v>#VALUE!</v>
      </c>
      <c r="IG161" t="e">
        <f>AND('BBP complete'!#REF!,"AAAAAAbdt/A=")</f>
        <v>#REF!</v>
      </c>
      <c r="IH161" t="e">
        <f>AND('BBP complete'!#REF!,"AAAAAAbdt/E=")</f>
        <v>#REF!</v>
      </c>
      <c r="II161" t="e">
        <f>AND('BBP complete'!#REF!,"AAAAAAbdt/I=")</f>
        <v>#REF!</v>
      </c>
      <c r="IJ161" t="e">
        <f>AND('BBP complete'!#REF!,"AAAAAAbdt/M=")</f>
        <v>#REF!</v>
      </c>
      <c r="IK161" t="e">
        <f>AND('BBP complete'!#REF!,"AAAAAAbdt/Q=")</f>
        <v>#REF!</v>
      </c>
      <c r="IL161" t="e">
        <f>AND('BBP complete'!#REF!,"AAAAAAbdt/U=")</f>
        <v>#REF!</v>
      </c>
      <c r="IM161" t="e">
        <f>AND('BBP complete'!L1892,"AAAAAAbdt/Y=")</f>
        <v>#VALUE!</v>
      </c>
      <c r="IN161" t="e">
        <f>AND('BBP complete'!C1893,"AAAAAAbdt/c=")</f>
        <v>#VALUE!</v>
      </c>
      <c r="IO161" t="e">
        <f>AND('BBP complete'!N1899,"AAAAAAbdt/g=")</f>
        <v>#VALUE!</v>
      </c>
      <c r="IP161" t="e">
        <f>AND('BBP complete'!P1915,"AAAAAAbdt/k=")</f>
        <v>#VALUE!</v>
      </c>
      <c r="IQ161" t="e">
        <f>AND('BBP complete'!Q1915,"AAAAAAbdt/o=")</f>
        <v>#VALUE!</v>
      </c>
      <c r="IR161" t="e">
        <f>AND('BBP complete'!R1915,"AAAAAAbdt/s=")</f>
        <v>#VALUE!</v>
      </c>
      <c r="IS161" t="e">
        <f>AND('BBP complete'!S1915,"AAAAAAbdt/w=")</f>
        <v>#VALUE!</v>
      </c>
      <c r="IT161" t="e">
        <f>AND('BBP complete'!A1904,"AAAAAAbdt/0=")</f>
        <v>#VALUE!</v>
      </c>
      <c r="IU161" t="e">
        <f>AND('BBP complete'!B1900,"AAAAAAbdt/4=")</f>
        <v>#VALUE!</v>
      </c>
      <c r="IV161" t="e">
        <f>AND('BBP complete'!H1900,"AAAAAAbdt/8=")</f>
        <v>#VALUE!</v>
      </c>
    </row>
    <row r="162" spans="1:256" ht="15" customHeight="1" x14ac:dyDescent="0.25">
      <c r="A162" t="e">
        <f>AND('BBP complete'!I1900,"AAAAAH3bvwA=")</f>
        <v>#VALUE!</v>
      </c>
      <c r="B162" t="e">
        <f>AND('BBP complete'!G1899,"AAAAAH3bvwE=")</f>
        <v>#VALUE!</v>
      </c>
      <c r="C162" t="e">
        <f>AND('BBP complete'!#REF!,"AAAAAH3bvwI=")</f>
        <v>#REF!</v>
      </c>
      <c r="D162" t="e">
        <f>AND('BBP complete'!#REF!,"AAAAAH3bvwM=")</f>
        <v>#REF!</v>
      </c>
      <c r="E162" t="e">
        <f>AND('BBP complete'!#REF!,"AAAAAH3bvwQ=")</f>
        <v>#REF!</v>
      </c>
      <c r="F162" t="e">
        <f>AND('BBP complete'!#REF!,"AAAAAH3bvwU=")</f>
        <v>#REF!</v>
      </c>
      <c r="G162" t="e">
        <f>AND('BBP complete'!#REF!,"AAAAAH3bvwY=")</f>
        <v>#REF!</v>
      </c>
      <c r="H162" t="e">
        <f>AND('BBP complete'!#REF!,"AAAAAH3bvwc=")</f>
        <v>#REF!</v>
      </c>
      <c r="I162" t="e">
        <f>AND('BBP complete'!L1893,"AAAAAH3bvwg=")</f>
        <v>#VALUE!</v>
      </c>
      <c r="J162" t="e">
        <f>AND('BBP complete'!C1894,"AAAAAH3bvwk=")</f>
        <v>#VALUE!</v>
      </c>
      <c r="K162" t="e">
        <f>AND('BBP complete'!N1900,"AAAAAH3bvwo=")</f>
        <v>#VALUE!</v>
      </c>
      <c r="L162" t="e">
        <f>AND('BBP complete'!P1916,"AAAAAH3bvws=")</f>
        <v>#VALUE!</v>
      </c>
      <c r="M162" t="e">
        <f>AND('BBP complete'!Q1916,"AAAAAH3bvww=")</f>
        <v>#VALUE!</v>
      </c>
      <c r="N162" t="e">
        <f>AND('BBP complete'!R1916,"AAAAAH3bvw0=")</f>
        <v>#VALUE!</v>
      </c>
      <c r="O162" t="e">
        <f>AND('BBP complete'!S1916,"AAAAAH3bvw4=")</f>
        <v>#VALUE!</v>
      </c>
      <c r="P162" t="e">
        <f>AND('BBP complete'!A1905,"AAAAAH3bvw8=")</f>
        <v>#VALUE!</v>
      </c>
      <c r="Q162" t="e">
        <f>AND('BBP complete'!B1901,"AAAAAH3bvxA=")</f>
        <v>#VALUE!</v>
      </c>
      <c r="R162" t="e">
        <f>AND('BBP complete'!H1901,"AAAAAH3bvxE=")</f>
        <v>#VALUE!</v>
      </c>
      <c r="S162" t="e">
        <f>AND('BBP complete'!I1901,"AAAAAH3bvxI=")</f>
        <v>#VALUE!</v>
      </c>
      <c r="T162" t="e">
        <f>AND('BBP complete'!G1900,"AAAAAH3bvxM=")</f>
        <v>#VALUE!</v>
      </c>
      <c r="U162" t="e">
        <f>AND('BBP complete'!#REF!,"AAAAAH3bvxQ=")</f>
        <v>#REF!</v>
      </c>
      <c r="V162" t="e">
        <f>AND('BBP complete'!#REF!,"AAAAAH3bvxU=")</f>
        <v>#REF!</v>
      </c>
      <c r="W162" t="e">
        <f>AND('BBP complete'!#REF!,"AAAAAH3bvxY=")</f>
        <v>#REF!</v>
      </c>
      <c r="X162" t="e">
        <f>AND('BBP complete'!#REF!,"AAAAAH3bvxc=")</f>
        <v>#REF!</v>
      </c>
      <c r="Y162" t="e">
        <f>AND('BBP complete'!#REF!,"AAAAAH3bvxg=")</f>
        <v>#REF!</v>
      </c>
      <c r="Z162" t="e">
        <f>AND('BBP complete'!#REF!,"AAAAAH3bvxk=")</f>
        <v>#REF!</v>
      </c>
      <c r="AA162" t="e">
        <f>AND('BBP complete'!L1894,"AAAAAH3bvxo=")</f>
        <v>#VALUE!</v>
      </c>
      <c r="AB162" t="e">
        <f>AND('BBP complete'!C1895,"AAAAAH3bvxs=")</f>
        <v>#VALUE!</v>
      </c>
      <c r="AC162" t="e">
        <f>AND('BBP complete'!N1901,"AAAAAH3bvxw=")</f>
        <v>#VALUE!</v>
      </c>
      <c r="AD162" t="e">
        <f>AND('BBP complete'!P1917,"AAAAAH3bvx0=")</f>
        <v>#VALUE!</v>
      </c>
      <c r="AE162" t="e">
        <f>AND('BBP complete'!Q1917,"AAAAAH3bvx4=")</f>
        <v>#VALUE!</v>
      </c>
      <c r="AF162" t="e">
        <f>AND('BBP complete'!R1917,"AAAAAH3bvx8=")</f>
        <v>#VALUE!</v>
      </c>
      <c r="AG162" t="e">
        <f>AND('BBP complete'!S1917,"AAAAAH3bvyA=")</f>
        <v>#VALUE!</v>
      </c>
      <c r="AH162" t="e">
        <f>AND('BBP complete'!A1906,"AAAAAH3bvyE=")</f>
        <v>#VALUE!</v>
      </c>
      <c r="AI162" t="e">
        <f>AND('BBP complete'!B1902,"AAAAAH3bvyI=")</f>
        <v>#VALUE!</v>
      </c>
      <c r="AJ162" t="e">
        <f>AND('BBP complete'!H1902,"AAAAAH3bvyM=")</f>
        <v>#VALUE!</v>
      </c>
      <c r="AK162" t="e">
        <f>AND('BBP complete'!I1902,"AAAAAH3bvyQ=")</f>
        <v>#VALUE!</v>
      </c>
      <c r="AL162" t="e">
        <f>AND('BBP complete'!G1901,"AAAAAH3bvyU=")</f>
        <v>#VALUE!</v>
      </c>
      <c r="AM162" t="e">
        <f>AND('BBP complete'!#REF!,"AAAAAH3bvyY=")</f>
        <v>#REF!</v>
      </c>
      <c r="AN162" t="e">
        <f>AND('BBP complete'!#REF!,"AAAAAH3bvyc=")</f>
        <v>#REF!</v>
      </c>
      <c r="AO162" t="e">
        <f>AND('BBP complete'!#REF!,"AAAAAH3bvyg=")</f>
        <v>#REF!</v>
      </c>
      <c r="AP162" t="e">
        <f>AND('BBP complete'!#REF!,"AAAAAH3bvyk=")</f>
        <v>#REF!</v>
      </c>
      <c r="AQ162" t="e">
        <f>AND('BBP complete'!#REF!,"AAAAAH3bvyo=")</f>
        <v>#REF!</v>
      </c>
      <c r="AR162" t="e">
        <f>AND('BBP complete'!#REF!,"AAAAAH3bvys=")</f>
        <v>#REF!</v>
      </c>
      <c r="AS162" t="e">
        <f>AND('BBP complete'!L1895,"AAAAAH3bvyw=")</f>
        <v>#VALUE!</v>
      </c>
      <c r="AT162" t="e">
        <f>AND('BBP complete'!C1896,"AAAAAH3bvy0=")</f>
        <v>#VALUE!</v>
      </c>
      <c r="AU162" t="e">
        <f>AND('BBP complete'!N1902,"AAAAAH3bvy4=")</f>
        <v>#VALUE!</v>
      </c>
      <c r="AV162" t="e">
        <f>AND('BBP complete'!P1918,"AAAAAH3bvy8=")</f>
        <v>#VALUE!</v>
      </c>
      <c r="AW162" t="e">
        <f>AND('BBP complete'!Q1918,"AAAAAH3bvzA=")</f>
        <v>#VALUE!</v>
      </c>
      <c r="AX162" t="e">
        <f>AND('BBP complete'!R1918,"AAAAAH3bvzE=")</f>
        <v>#VALUE!</v>
      </c>
      <c r="AY162" t="e">
        <f>AND('BBP complete'!S1918,"AAAAAH3bvzI=")</f>
        <v>#VALUE!</v>
      </c>
      <c r="AZ162" t="e">
        <f>AND('BBP complete'!A1907,"AAAAAH3bvzM=")</f>
        <v>#VALUE!</v>
      </c>
      <c r="BA162" t="e">
        <f>AND('BBP complete'!B1903,"AAAAAH3bvzQ=")</f>
        <v>#VALUE!</v>
      </c>
      <c r="BB162" t="e">
        <f>AND('BBP complete'!H1903,"AAAAAH3bvzU=")</f>
        <v>#VALUE!</v>
      </c>
      <c r="BC162" t="e">
        <f>AND('BBP complete'!I1903,"AAAAAH3bvzY=")</f>
        <v>#VALUE!</v>
      </c>
      <c r="BD162" t="e">
        <f>AND('BBP complete'!G1902,"AAAAAH3bvzc=")</f>
        <v>#VALUE!</v>
      </c>
      <c r="BE162" t="e">
        <f>AND('BBP complete'!#REF!,"AAAAAH3bvzg=")</f>
        <v>#REF!</v>
      </c>
      <c r="BF162" t="e">
        <f>AND('BBP complete'!#REF!,"AAAAAH3bvzk=")</f>
        <v>#REF!</v>
      </c>
      <c r="BG162" t="e">
        <f>AND('BBP complete'!#REF!,"AAAAAH3bvzo=")</f>
        <v>#REF!</v>
      </c>
      <c r="BH162" t="e">
        <f>AND('BBP complete'!#REF!,"AAAAAH3bvzs=")</f>
        <v>#REF!</v>
      </c>
      <c r="BI162" t="e">
        <f>AND('BBP complete'!#REF!,"AAAAAH3bvzw=")</f>
        <v>#REF!</v>
      </c>
      <c r="BJ162" t="e">
        <f>AND('BBP complete'!#REF!,"AAAAAH3bvz0=")</f>
        <v>#REF!</v>
      </c>
      <c r="BK162" t="e">
        <f>AND('BBP complete'!L1896,"AAAAAH3bvz4=")</f>
        <v>#VALUE!</v>
      </c>
      <c r="BL162" t="e">
        <f>AND('BBP complete'!C1897,"AAAAAH3bvz8=")</f>
        <v>#VALUE!</v>
      </c>
      <c r="BM162" t="e">
        <f>AND('BBP complete'!N1903,"AAAAAH3bv0A=")</f>
        <v>#VALUE!</v>
      </c>
      <c r="BN162" t="e">
        <f>AND('BBP complete'!P1919,"AAAAAH3bv0E=")</f>
        <v>#VALUE!</v>
      </c>
      <c r="BO162" t="e">
        <f>AND('BBP complete'!Q1919,"AAAAAH3bv0I=")</f>
        <v>#VALUE!</v>
      </c>
      <c r="BP162" t="e">
        <f>AND('BBP complete'!R1919,"AAAAAH3bv0M=")</f>
        <v>#VALUE!</v>
      </c>
      <c r="BQ162" t="e">
        <f>AND('BBP complete'!S1919,"AAAAAH3bv0Q=")</f>
        <v>#VALUE!</v>
      </c>
      <c r="BR162" t="e">
        <f>AND('BBP complete'!A1908,"AAAAAH3bv0U=")</f>
        <v>#VALUE!</v>
      </c>
      <c r="BS162" t="e">
        <f>AND('BBP complete'!B1904,"AAAAAH3bv0Y=")</f>
        <v>#VALUE!</v>
      </c>
      <c r="BT162" t="e">
        <f>AND('BBP complete'!H1904,"AAAAAH3bv0c=")</f>
        <v>#VALUE!</v>
      </c>
      <c r="BU162" t="e">
        <f>AND('BBP complete'!I1904,"AAAAAH3bv0g=")</f>
        <v>#VALUE!</v>
      </c>
      <c r="BV162" t="e">
        <f>AND('BBP complete'!G1903,"AAAAAH3bv0k=")</f>
        <v>#VALUE!</v>
      </c>
      <c r="BW162" t="e">
        <f>AND('BBP complete'!#REF!,"AAAAAH3bv0o=")</f>
        <v>#REF!</v>
      </c>
      <c r="BX162" t="e">
        <f>AND('BBP complete'!#REF!,"AAAAAH3bv0s=")</f>
        <v>#REF!</v>
      </c>
      <c r="BY162" t="e">
        <f>AND('BBP complete'!#REF!,"AAAAAH3bv0w=")</f>
        <v>#REF!</v>
      </c>
      <c r="BZ162" t="e">
        <f>AND('BBP complete'!#REF!,"AAAAAH3bv00=")</f>
        <v>#REF!</v>
      </c>
      <c r="CA162" t="e">
        <f>AND('BBP complete'!#REF!,"AAAAAH3bv04=")</f>
        <v>#REF!</v>
      </c>
      <c r="CB162" t="e">
        <f>AND('BBP complete'!#REF!,"AAAAAH3bv08=")</f>
        <v>#REF!</v>
      </c>
      <c r="CC162" t="e">
        <f>AND('BBP complete'!L1897,"AAAAAH3bv1A=")</f>
        <v>#VALUE!</v>
      </c>
      <c r="CD162" t="e">
        <f>AND('BBP complete'!C1898,"AAAAAH3bv1E=")</f>
        <v>#VALUE!</v>
      </c>
      <c r="CE162" t="e">
        <f>AND('BBP complete'!N1904,"AAAAAH3bv1I=")</f>
        <v>#VALUE!</v>
      </c>
      <c r="CF162" t="e">
        <f>AND('BBP complete'!P1922,"AAAAAH3bv1M=")</f>
        <v>#VALUE!</v>
      </c>
      <c r="CG162" t="e">
        <f>AND('BBP complete'!Q1922,"AAAAAH3bv1Q=")</f>
        <v>#VALUE!</v>
      </c>
      <c r="CH162" t="e">
        <f>AND('BBP complete'!R1922,"AAAAAH3bv1U=")</f>
        <v>#VALUE!</v>
      </c>
      <c r="CI162" t="e">
        <f>AND('BBP complete'!S1922,"AAAAAH3bv1Y=")</f>
        <v>#VALUE!</v>
      </c>
      <c r="CJ162" t="e">
        <f>AND('BBP complete'!#REF!,"AAAAAH3bv1c=")</f>
        <v>#REF!</v>
      </c>
      <c r="CK162" t="e">
        <f>AND('BBP complete'!B1905,"AAAAAH3bv1g=")</f>
        <v>#VALUE!</v>
      </c>
      <c r="CL162" t="e">
        <f>AND('BBP complete'!H1905,"AAAAAH3bv1k=")</f>
        <v>#VALUE!</v>
      </c>
      <c r="CM162" t="e">
        <f>AND('BBP complete'!I1905,"AAAAAH3bv1o=")</f>
        <v>#VALUE!</v>
      </c>
      <c r="CN162" t="e">
        <f>AND('BBP complete'!G1904,"AAAAAH3bv1s=")</f>
        <v>#VALUE!</v>
      </c>
      <c r="CO162" t="e">
        <f>AND('BBP complete'!#REF!,"AAAAAH3bv1w=")</f>
        <v>#REF!</v>
      </c>
      <c r="CP162" t="e">
        <f>AND('BBP complete'!#REF!,"AAAAAH3bv10=")</f>
        <v>#REF!</v>
      </c>
      <c r="CQ162" t="e">
        <f>AND('BBP complete'!#REF!,"AAAAAH3bv14=")</f>
        <v>#REF!</v>
      </c>
      <c r="CR162" t="e">
        <f>AND('BBP complete'!#REF!,"AAAAAH3bv18=")</f>
        <v>#REF!</v>
      </c>
      <c r="CS162" t="e">
        <f>AND('BBP complete'!#REF!,"AAAAAH3bv2A=")</f>
        <v>#REF!</v>
      </c>
      <c r="CT162" t="e">
        <f>AND('BBP complete'!#REF!,"AAAAAH3bv2E=")</f>
        <v>#REF!</v>
      </c>
      <c r="CU162" t="e">
        <f>AND('BBP complete'!L1898,"AAAAAH3bv2I=")</f>
        <v>#VALUE!</v>
      </c>
      <c r="CV162" t="e">
        <f>AND('BBP complete'!C1899,"AAAAAH3bv2M=")</f>
        <v>#VALUE!</v>
      </c>
      <c r="CW162" t="e">
        <f>AND('BBP complete'!N1905,"AAAAAH3bv2Q=")</f>
        <v>#VALUE!</v>
      </c>
      <c r="CX162" t="e">
        <f>AND('BBP complete'!P1923,"AAAAAH3bv2U=")</f>
        <v>#VALUE!</v>
      </c>
      <c r="CY162" t="e">
        <f>AND('BBP complete'!Q1923,"AAAAAH3bv2Y=")</f>
        <v>#VALUE!</v>
      </c>
      <c r="CZ162" t="e">
        <f>AND('BBP complete'!R1923,"AAAAAH3bv2c=")</f>
        <v>#VALUE!</v>
      </c>
      <c r="DA162" t="e">
        <f>AND('BBP complete'!S1923,"AAAAAH3bv2g=")</f>
        <v>#VALUE!</v>
      </c>
      <c r="DB162" t="e">
        <f>AND('BBP complete'!#REF!,"AAAAAH3bv2k=")</f>
        <v>#REF!</v>
      </c>
      <c r="DC162" t="e">
        <f>AND('BBP complete'!B1906,"AAAAAH3bv2o=")</f>
        <v>#VALUE!</v>
      </c>
      <c r="DD162" t="e">
        <f>AND('BBP complete'!H1906,"AAAAAH3bv2s=")</f>
        <v>#VALUE!</v>
      </c>
      <c r="DE162" t="e">
        <f>AND('BBP complete'!I1906,"AAAAAH3bv2w=")</f>
        <v>#VALUE!</v>
      </c>
      <c r="DF162" t="e">
        <f>AND('BBP complete'!G1905,"AAAAAH3bv20=")</f>
        <v>#VALUE!</v>
      </c>
      <c r="DG162" t="e">
        <f>AND('BBP complete'!#REF!,"AAAAAH3bv24=")</f>
        <v>#REF!</v>
      </c>
      <c r="DH162" t="e">
        <f>AND('BBP complete'!#REF!,"AAAAAH3bv28=")</f>
        <v>#REF!</v>
      </c>
      <c r="DI162" t="e">
        <f>AND('BBP complete'!#REF!,"AAAAAH3bv3A=")</f>
        <v>#REF!</v>
      </c>
      <c r="DJ162" t="e">
        <f>AND('BBP complete'!#REF!,"AAAAAH3bv3E=")</f>
        <v>#REF!</v>
      </c>
      <c r="DK162" t="e">
        <f>AND('BBP complete'!#REF!,"AAAAAH3bv3I=")</f>
        <v>#REF!</v>
      </c>
      <c r="DL162" t="e">
        <f>AND('BBP complete'!#REF!,"AAAAAH3bv3M=")</f>
        <v>#REF!</v>
      </c>
      <c r="DM162" t="e">
        <f>AND('BBP complete'!L1899,"AAAAAH3bv3Q=")</f>
        <v>#VALUE!</v>
      </c>
      <c r="DN162" t="e">
        <f>AND('BBP complete'!C1900,"AAAAAH3bv3U=")</f>
        <v>#VALUE!</v>
      </c>
      <c r="DO162" t="e">
        <f>AND('BBP complete'!N1906,"AAAAAH3bv3Y=")</f>
        <v>#VALUE!</v>
      </c>
      <c r="DP162" t="e">
        <f>AND('BBP complete'!P1924,"AAAAAH3bv3c=")</f>
        <v>#VALUE!</v>
      </c>
      <c r="DQ162" t="e">
        <f>AND('BBP complete'!Q1924,"AAAAAH3bv3g=")</f>
        <v>#VALUE!</v>
      </c>
      <c r="DR162" t="e">
        <f>AND('BBP complete'!R1924,"AAAAAH3bv3k=")</f>
        <v>#VALUE!</v>
      </c>
      <c r="DS162" t="e">
        <f>AND('BBP complete'!S1924,"AAAAAH3bv3o=")</f>
        <v>#VALUE!</v>
      </c>
      <c r="DT162" t="e">
        <f>AND('BBP complete'!#REF!,"AAAAAH3bv3s=")</f>
        <v>#REF!</v>
      </c>
      <c r="DU162" t="e">
        <f>AND('BBP complete'!B1907,"AAAAAH3bv3w=")</f>
        <v>#VALUE!</v>
      </c>
      <c r="DV162" t="e">
        <f>AND('BBP complete'!H1907,"AAAAAH3bv30=")</f>
        <v>#VALUE!</v>
      </c>
      <c r="DW162" t="e">
        <f>AND('BBP complete'!I1907,"AAAAAH3bv34=")</f>
        <v>#VALUE!</v>
      </c>
      <c r="DX162" t="e">
        <f>AND('BBP complete'!G1906,"AAAAAH3bv38=")</f>
        <v>#VALUE!</v>
      </c>
      <c r="DY162" t="e">
        <f>AND('BBP complete'!#REF!,"AAAAAH3bv4A=")</f>
        <v>#REF!</v>
      </c>
      <c r="DZ162" t="e">
        <f>AND('BBP complete'!#REF!,"AAAAAH3bv4E=")</f>
        <v>#REF!</v>
      </c>
      <c r="EA162" t="e">
        <f>AND('BBP complete'!#REF!,"AAAAAH3bv4I=")</f>
        <v>#REF!</v>
      </c>
      <c r="EB162" t="e">
        <f>AND('BBP complete'!#REF!,"AAAAAH3bv4M=")</f>
        <v>#REF!</v>
      </c>
      <c r="EC162" t="e">
        <f>AND('BBP complete'!#REF!,"AAAAAH3bv4Q=")</f>
        <v>#REF!</v>
      </c>
      <c r="ED162" t="e">
        <f>AND('BBP complete'!#REF!,"AAAAAH3bv4U=")</f>
        <v>#REF!</v>
      </c>
      <c r="EE162" t="e">
        <f>AND('BBP complete'!L1900,"AAAAAH3bv4Y=")</f>
        <v>#VALUE!</v>
      </c>
      <c r="EF162" t="e">
        <f>AND('BBP complete'!C1901,"AAAAAH3bv4c=")</f>
        <v>#VALUE!</v>
      </c>
      <c r="EG162" t="e">
        <f>AND('BBP complete'!N1907,"AAAAAH3bv4g=")</f>
        <v>#VALUE!</v>
      </c>
      <c r="EH162" t="e">
        <f>AND('BBP complete'!P1925,"AAAAAH3bv4k=")</f>
        <v>#VALUE!</v>
      </c>
      <c r="EI162" t="e">
        <f>AND('BBP complete'!Q1925,"AAAAAH3bv4o=")</f>
        <v>#VALUE!</v>
      </c>
      <c r="EJ162" t="e">
        <f>AND('BBP complete'!R1925,"AAAAAH3bv4s=")</f>
        <v>#VALUE!</v>
      </c>
      <c r="EK162" t="e">
        <f>AND('BBP complete'!S1925,"AAAAAH3bv4w=")</f>
        <v>#VALUE!</v>
      </c>
      <c r="EL162" t="e">
        <f>AND('BBP complete'!#REF!,"AAAAAH3bv40=")</f>
        <v>#REF!</v>
      </c>
      <c r="EM162" t="e">
        <f>AND('BBP complete'!B1908,"AAAAAH3bv44=")</f>
        <v>#VALUE!</v>
      </c>
      <c r="EN162" t="e">
        <f>AND('BBP complete'!H1908,"AAAAAH3bv48=")</f>
        <v>#VALUE!</v>
      </c>
      <c r="EO162" t="e">
        <f>AND('BBP complete'!I1908,"AAAAAH3bv5A=")</f>
        <v>#VALUE!</v>
      </c>
      <c r="EP162" t="e">
        <f>AND('BBP complete'!G1907,"AAAAAH3bv5E=")</f>
        <v>#VALUE!</v>
      </c>
      <c r="EQ162" t="e">
        <f>AND('BBP complete'!#REF!,"AAAAAH3bv5I=")</f>
        <v>#REF!</v>
      </c>
      <c r="ER162" t="e">
        <f>AND('BBP complete'!#REF!,"AAAAAH3bv5M=")</f>
        <v>#REF!</v>
      </c>
      <c r="ES162" t="e">
        <f>AND('BBP complete'!#REF!,"AAAAAH3bv5Q=")</f>
        <v>#REF!</v>
      </c>
      <c r="ET162" t="e">
        <f>AND('BBP complete'!#REF!,"AAAAAH3bv5U=")</f>
        <v>#REF!</v>
      </c>
      <c r="EU162" t="e">
        <f>AND('BBP complete'!#REF!,"AAAAAH3bv5Y=")</f>
        <v>#REF!</v>
      </c>
      <c r="EV162" t="e">
        <f>AND('BBP complete'!#REF!,"AAAAAH3bv5c=")</f>
        <v>#REF!</v>
      </c>
      <c r="EW162" t="e">
        <f>AND('BBP complete'!L1901,"AAAAAH3bv5g=")</f>
        <v>#VALUE!</v>
      </c>
      <c r="EX162" t="e">
        <f>AND('BBP complete'!C1902,"AAAAAH3bv5k=")</f>
        <v>#VALUE!</v>
      </c>
      <c r="EY162" t="e">
        <f>AND('BBP complete'!N1908,"AAAAAH3bv5o=")</f>
        <v>#VALUE!</v>
      </c>
      <c r="EZ162" t="e">
        <f>AND('BBP complete'!P1926,"AAAAAH3bv5s=")</f>
        <v>#VALUE!</v>
      </c>
      <c r="FA162" t="e">
        <f>AND('BBP complete'!Q1926,"AAAAAH3bv5w=")</f>
        <v>#VALUE!</v>
      </c>
      <c r="FB162" t="e">
        <f>AND('BBP complete'!R1926,"AAAAAH3bv50=")</f>
        <v>#VALUE!</v>
      </c>
      <c r="FC162" t="e">
        <f>AND('BBP complete'!S1926,"AAAAAH3bv54=")</f>
        <v>#VALUE!</v>
      </c>
      <c r="FD162" t="e">
        <f>AND('BBP complete'!#REF!,"AAAAAH3bv58=")</f>
        <v>#REF!</v>
      </c>
      <c r="FE162" t="e">
        <f>AND('BBP complete'!B1909,"AAAAAH3bv6A=")</f>
        <v>#VALUE!</v>
      </c>
      <c r="FF162" t="e">
        <f>AND('BBP complete'!H1909,"AAAAAH3bv6E=")</f>
        <v>#VALUE!</v>
      </c>
      <c r="FG162" t="e">
        <f>AND('BBP complete'!I1909,"AAAAAH3bv6I=")</f>
        <v>#VALUE!</v>
      </c>
      <c r="FH162" t="e">
        <f>AND('BBP complete'!G1908,"AAAAAH3bv6M=")</f>
        <v>#VALUE!</v>
      </c>
      <c r="FI162" t="e">
        <f>AND('BBP complete'!#REF!,"AAAAAH3bv6Q=")</f>
        <v>#REF!</v>
      </c>
      <c r="FJ162" t="e">
        <f>AND('BBP complete'!#REF!,"AAAAAH3bv6U=")</f>
        <v>#REF!</v>
      </c>
      <c r="FK162" t="e">
        <f>AND('BBP complete'!#REF!,"AAAAAH3bv6Y=")</f>
        <v>#REF!</v>
      </c>
      <c r="FL162" t="e">
        <f>AND('BBP complete'!#REF!,"AAAAAH3bv6c=")</f>
        <v>#REF!</v>
      </c>
      <c r="FM162" t="e">
        <f>AND('BBP complete'!#REF!,"AAAAAH3bv6g=")</f>
        <v>#REF!</v>
      </c>
      <c r="FN162" t="e">
        <f>AND('BBP complete'!#REF!,"AAAAAH3bv6k=")</f>
        <v>#REF!</v>
      </c>
      <c r="FO162" t="e">
        <f>AND('BBP complete'!L1902,"AAAAAH3bv6o=")</f>
        <v>#VALUE!</v>
      </c>
      <c r="FP162" t="e">
        <f>AND('BBP complete'!C1903,"AAAAAH3bv6s=")</f>
        <v>#VALUE!</v>
      </c>
      <c r="FQ162" t="e">
        <f>AND('BBP complete'!N1909,"AAAAAH3bv6w=")</f>
        <v>#VALUE!</v>
      </c>
      <c r="FR162" t="e">
        <f>AND('BBP complete'!P1927,"AAAAAH3bv60=")</f>
        <v>#VALUE!</v>
      </c>
      <c r="FS162" t="e">
        <f>AND('BBP complete'!Q1927,"AAAAAH3bv64=")</f>
        <v>#VALUE!</v>
      </c>
      <c r="FT162" t="e">
        <f>AND('BBP complete'!R1927,"AAAAAH3bv68=")</f>
        <v>#VALUE!</v>
      </c>
      <c r="FU162" t="e">
        <f>AND('BBP complete'!S1927,"AAAAAH3bv7A=")</f>
        <v>#VALUE!</v>
      </c>
      <c r="FV162" t="e">
        <f>AND('BBP complete'!#REF!,"AAAAAH3bv7E=")</f>
        <v>#REF!</v>
      </c>
      <c r="FW162" t="e">
        <f>AND('BBP complete'!B1910,"AAAAAH3bv7I=")</f>
        <v>#VALUE!</v>
      </c>
      <c r="FX162" t="e">
        <f>AND('BBP complete'!H1910,"AAAAAH3bv7M=")</f>
        <v>#VALUE!</v>
      </c>
      <c r="FY162" t="e">
        <f>AND('BBP complete'!I1910,"AAAAAH3bv7Q=")</f>
        <v>#VALUE!</v>
      </c>
      <c r="FZ162" t="e">
        <f>AND('BBP complete'!G1909,"AAAAAH3bv7U=")</f>
        <v>#VALUE!</v>
      </c>
      <c r="GA162" t="e">
        <f>AND('BBP complete'!#REF!,"AAAAAH3bv7Y=")</f>
        <v>#REF!</v>
      </c>
      <c r="GB162" t="e">
        <f>AND('BBP complete'!#REF!,"AAAAAH3bv7c=")</f>
        <v>#REF!</v>
      </c>
      <c r="GC162" t="e">
        <f>AND('BBP complete'!#REF!,"AAAAAH3bv7g=")</f>
        <v>#REF!</v>
      </c>
      <c r="GD162" t="e">
        <f>AND('BBP complete'!#REF!,"AAAAAH3bv7k=")</f>
        <v>#REF!</v>
      </c>
      <c r="GE162" t="e">
        <f>AND('BBP complete'!#REF!,"AAAAAH3bv7o=")</f>
        <v>#REF!</v>
      </c>
      <c r="GF162" t="e">
        <f>AND('BBP complete'!#REF!,"AAAAAH3bv7s=")</f>
        <v>#REF!</v>
      </c>
      <c r="GG162" t="e">
        <f>AND('BBP complete'!L1903,"AAAAAH3bv7w=")</f>
        <v>#VALUE!</v>
      </c>
      <c r="GH162" t="e">
        <f>AND('BBP complete'!C1904,"AAAAAH3bv70=")</f>
        <v>#VALUE!</v>
      </c>
      <c r="GI162" t="e">
        <f>AND('BBP complete'!N1910,"AAAAAH3bv74=")</f>
        <v>#VALUE!</v>
      </c>
      <c r="GJ162" t="e">
        <f>AND('BBP complete'!P1928,"AAAAAH3bv78=")</f>
        <v>#VALUE!</v>
      </c>
      <c r="GK162" t="e">
        <f>AND('BBP complete'!Q1928,"AAAAAH3bv8A=")</f>
        <v>#VALUE!</v>
      </c>
      <c r="GL162" t="e">
        <f>AND('BBP complete'!R1928,"AAAAAH3bv8E=")</f>
        <v>#VALUE!</v>
      </c>
      <c r="GM162" t="e">
        <f>AND('BBP complete'!S1928,"AAAAAH3bv8I=")</f>
        <v>#VALUE!</v>
      </c>
      <c r="GN162" t="e">
        <f>AND('BBP complete'!#REF!,"AAAAAH3bv8M=")</f>
        <v>#REF!</v>
      </c>
      <c r="GO162" t="e">
        <f>AND('BBP complete'!B1911,"AAAAAH3bv8Q=")</f>
        <v>#VALUE!</v>
      </c>
      <c r="GP162" t="e">
        <f>AND('BBP complete'!H1911,"AAAAAH3bv8U=")</f>
        <v>#VALUE!</v>
      </c>
      <c r="GQ162" t="e">
        <f>AND('BBP complete'!I1911,"AAAAAH3bv8Y=")</f>
        <v>#VALUE!</v>
      </c>
      <c r="GR162" t="e">
        <f>AND('BBP complete'!G1910,"AAAAAH3bv8c=")</f>
        <v>#VALUE!</v>
      </c>
      <c r="GS162" t="e">
        <f>AND('BBP complete'!#REF!,"AAAAAH3bv8g=")</f>
        <v>#REF!</v>
      </c>
      <c r="GT162" t="e">
        <f>AND('BBP complete'!#REF!,"AAAAAH3bv8k=")</f>
        <v>#REF!</v>
      </c>
      <c r="GU162" t="e">
        <f>AND('BBP complete'!#REF!,"AAAAAH3bv8o=")</f>
        <v>#REF!</v>
      </c>
      <c r="GV162" t="e">
        <f>AND('BBP complete'!#REF!,"AAAAAH3bv8s=")</f>
        <v>#REF!</v>
      </c>
      <c r="GW162" t="e">
        <f>AND('BBP complete'!#REF!,"AAAAAH3bv8w=")</f>
        <v>#REF!</v>
      </c>
      <c r="GX162" t="e">
        <f>AND('BBP complete'!#REF!,"AAAAAH3bv80=")</f>
        <v>#REF!</v>
      </c>
      <c r="GY162" t="e">
        <f>AND('BBP complete'!L1904,"AAAAAH3bv84=")</f>
        <v>#VALUE!</v>
      </c>
      <c r="GZ162" t="e">
        <f>AND('BBP complete'!C1905,"AAAAAH3bv88=")</f>
        <v>#VALUE!</v>
      </c>
      <c r="HA162" t="e">
        <f>AND('BBP complete'!#REF!,"AAAAAH3bv9A=")</f>
        <v>#REF!</v>
      </c>
      <c r="HB162" t="e">
        <f>AND('BBP complete'!#REF!,"AAAAAH3bv9E=")</f>
        <v>#REF!</v>
      </c>
      <c r="HC162" t="e">
        <f>AND('BBP complete'!Q1929,"AAAAAH3bv9I=")</f>
        <v>#VALUE!</v>
      </c>
      <c r="HD162" t="e">
        <f>AND('BBP complete'!R1929,"AAAAAH3bv9M=")</f>
        <v>#VALUE!</v>
      </c>
      <c r="HE162" t="e">
        <f>AND('BBP complete'!#REF!,"AAAAAH3bv9Q=")</f>
        <v>#REF!</v>
      </c>
      <c r="HF162" t="e">
        <f>AND('BBP complete'!#REF!,"AAAAAH3bv9U=")</f>
        <v>#REF!</v>
      </c>
      <c r="HG162" t="e">
        <f>AND('BBP complete'!B1912,"AAAAAH3bv9Y=")</f>
        <v>#VALUE!</v>
      </c>
      <c r="HH162" t="e">
        <f>AND('BBP complete'!H1912,"AAAAAH3bv9c=")</f>
        <v>#VALUE!</v>
      </c>
      <c r="HI162" t="e">
        <f>AND('BBP complete'!I1912,"AAAAAH3bv9g=")</f>
        <v>#VALUE!</v>
      </c>
      <c r="HJ162" t="e">
        <f>AND('BBP complete'!G1911,"AAAAAH3bv9k=")</f>
        <v>#VALUE!</v>
      </c>
      <c r="HK162" t="e">
        <f>AND('BBP complete'!#REF!,"AAAAAH3bv9o=")</f>
        <v>#REF!</v>
      </c>
      <c r="HL162" t="e">
        <f>AND('BBP complete'!#REF!,"AAAAAH3bv9s=")</f>
        <v>#REF!</v>
      </c>
      <c r="HM162" t="e">
        <f>AND('BBP complete'!#REF!,"AAAAAH3bv9w=")</f>
        <v>#REF!</v>
      </c>
      <c r="HN162" t="e">
        <f>AND('BBP complete'!#REF!,"AAAAAH3bv90=")</f>
        <v>#REF!</v>
      </c>
      <c r="HO162" t="e">
        <f>AND('BBP complete'!#REF!,"AAAAAH3bv94=")</f>
        <v>#REF!</v>
      </c>
      <c r="HP162" t="e">
        <f>AND('BBP complete'!#REF!,"AAAAAH3bv98=")</f>
        <v>#REF!</v>
      </c>
      <c r="HQ162" t="e">
        <f>AND('BBP complete'!L1905,"AAAAAH3bv+A=")</f>
        <v>#VALUE!</v>
      </c>
      <c r="HR162" t="e">
        <f>AND('BBP complete'!C1906,"AAAAAH3bv+E=")</f>
        <v>#VALUE!</v>
      </c>
      <c r="HS162" t="e">
        <f>AND('BBP complete'!N1911,"AAAAAH3bv+I=")</f>
        <v>#VALUE!</v>
      </c>
      <c r="HT162" t="e">
        <f>AND('BBP complete'!P1929,"AAAAAH3bv+M=")</f>
        <v>#VALUE!</v>
      </c>
      <c r="HU162" t="e">
        <f>AND('BBP complete'!Q1930,"AAAAAH3bv+Q=")</f>
        <v>#VALUE!</v>
      </c>
      <c r="HV162" t="e">
        <f>AND('BBP complete'!#REF!,"AAAAAH3bv+U=")</f>
        <v>#REF!</v>
      </c>
      <c r="HW162" t="e">
        <f>AND('BBP complete'!S1929,"AAAAAH3bv+Y=")</f>
        <v>#VALUE!</v>
      </c>
      <c r="HX162" t="e">
        <f>AND('BBP complete'!#REF!,"AAAAAH3bv+c=")</f>
        <v>#REF!</v>
      </c>
      <c r="HY162" t="e">
        <f>AND('BBP complete'!B1913,"AAAAAH3bv+g=")</f>
        <v>#VALUE!</v>
      </c>
      <c r="HZ162" t="e">
        <f>AND('BBP complete'!H1913,"AAAAAH3bv+k=")</f>
        <v>#VALUE!</v>
      </c>
      <c r="IA162" t="e">
        <f>AND('BBP complete'!I1913,"AAAAAH3bv+o=")</f>
        <v>#VALUE!</v>
      </c>
      <c r="IB162" t="e">
        <f>AND('BBP complete'!G1912,"AAAAAH3bv+s=")</f>
        <v>#VALUE!</v>
      </c>
      <c r="IC162" t="e">
        <f>AND('BBP complete'!#REF!,"AAAAAH3bv+w=")</f>
        <v>#REF!</v>
      </c>
      <c r="ID162" t="e">
        <f>AND('BBP complete'!#REF!,"AAAAAH3bv+0=")</f>
        <v>#REF!</v>
      </c>
      <c r="IE162" t="e">
        <f>AND('BBP complete'!#REF!,"AAAAAH3bv+4=")</f>
        <v>#REF!</v>
      </c>
      <c r="IF162" t="e">
        <f>AND('BBP complete'!#REF!,"AAAAAH3bv+8=")</f>
        <v>#REF!</v>
      </c>
      <c r="IG162" t="e">
        <f>AND('BBP complete'!#REF!,"AAAAAH3bv/A=")</f>
        <v>#REF!</v>
      </c>
      <c r="IH162" t="e">
        <f>AND('BBP complete'!#REF!,"AAAAAH3bv/E=")</f>
        <v>#REF!</v>
      </c>
      <c r="II162" t="e">
        <f>AND('BBP complete'!L1906,"AAAAAH3bv/I=")</f>
        <v>#VALUE!</v>
      </c>
      <c r="IJ162" t="e">
        <f>AND('BBP complete'!C1907,"AAAAAH3bv/M=")</f>
        <v>#VALUE!</v>
      </c>
      <c r="IK162" t="e">
        <f>AND('BBP complete'!N1912,"AAAAAH3bv/Q=")</f>
        <v>#VALUE!</v>
      </c>
      <c r="IL162" t="e">
        <f>AND('BBP complete'!M1912,"AAAAAH3bv/U=")</f>
        <v>#VALUE!</v>
      </c>
      <c r="IM162" t="e">
        <f>AND('BBP complete'!#REF!,"AAAAAH3bv/Y=")</f>
        <v>#REF!</v>
      </c>
      <c r="IN162" t="e">
        <f>AND('BBP complete'!#REF!,"AAAAAH3bv/c=")</f>
        <v>#REF!</v>
      </c>
      <c r="IO162" t="e">
        <f>AND('BBP complete'!S1930,"AAAAAH3bv/g=")</f>
        <v>#VALUE!</v>
      </c>
      <c r="IP162" t="e">
        <f>AND('BBP complete'!#REF!,"AAAAAH3bv/k=")</f>
        <v>#REF!</v>
      </c>
      <c r="IQ162" t="e">
        <f>AND('BBP complete'!B1914,"AAAAAH3bv/o=")</f>
        <v>#VALUE!</v>
      </c>
      <c r="IR162" t="e">
        <f>AND('BBP complete'!H1914,"AAAAAH3bv/s=")</f>
        <v>#VALUE!</v>
      </c>
      <c r="IS162" t="e">
        <f>AND('BBP complete'!I1914,"AAAAAH3bv/w=")</f>
        <v>#VALUE!</v>
      </c>
      <c r="IT162" t="e">
        <f>AND('BBP complete'!G1913,"AAAAAH3bv/0=")</f>
        <v>#VALUE!</v>
      </c>
      <c r="IU162" t="e">
        <f>AND('BBP complete'!#REF!,"AAAAAH3bv/4=")</f>
        <v>#REF!</v>
      </c>
      <c r="IV162" t="e">
        <f>AND('BBP complete'!#REF!,"AAAAAH3bv/8=")</f>
        <v>#REF!</v>
      </c>
    </row>
    <row r="163" spans="1:256" ht="15" customHeight="1" x14ac:dyDescent="0.25">
      <c r="A163" t="e">
        <f>AND('BBP complete'!#REF!,"AAAAAGvX/wA=")</f>
        <v>#REF!</v>
      </c>
      <c r="B163" t="e">
        <f>AND('BBP complete'!#REF!,"AAAAAGvX/wE=")</f>
        <v>#REF!</v>
      </c>
      <c r="C163" t="e">
        <f>AND('BBP complete'!#REF!,"AAAAAGvX/wI=")</f>
        <v>#REF!</v>
      </c>
      <c r="D163" t="e">
        <f>AND('BBP complete'!#REF!,"AAAAAGvX/wM=")</f>
        <v>#REF!</v>
      </c>
      <c r="E163" t="e">
        <f>AND('BBP complete'!L1907,"AAAAAGvX/wQ=")</f>
        <v>#VALUE!</v>
      </c>
      <c r="F163" t="e">
        <f>AND('BBP complete'!C1908,"AAAAAGvX/wU=")</f>
        <v>#VALUE!</v>
      </c>
      <c r="G163" t="e">
        <f>AND('BBP complete'!#REF!,"AAAAAGvX/wY=")</f>
        <v>#REF!</v>
      </c>
      <c r="H163" t="e">
        <f>AND('BBP complete'!#REF!,"AAAAAGvX/wc=")</f>
        <v>#REF!</v>
      </c>
      <c r="I163" t="e">
        <f>AND('BBP complete'!Q1931,"AAAAAGvX/wg=")</f>
        <v>#VALUE!</v>
      </c>
      <c r="J163" t="e">
        <f>AND('BBP complete'!#REF!,"AAAAAGvX/wk=")</f>
        <v>#REF!</v>
      </c>
      <c r="K163" t="e">
        <f>AND('BBP complete'!#REF!,"AAAAAGvX/wo=")</f>
        <v>#REF!</v>
      </c>
      <c r="L163" t="e">
        <f>AND('BBP complete'!#REF!,"AAAAAGvX/ws=")</f>
        <v>#REF!</v>
      </c>
      <c r="M163" t="e">
        <f>AND('BBP complete'!B1915,"AAAAAGvX/ww=")</f>
        <v>#VALUE!</v>
      </c>
      <c r="N163" t="e">
        <f>AND('BBP complete'!H1915,"AAAAAGvX/w0=")</f>
        <v>#VALUE!</v>
      </c>
      <c r="O163" t="e">
        <f>AND('BBP complete'!I1915,"AAAAAGvX/w4=")</f>
        <v>#VALUE!</v>
      </c>
      <c r="P163" t="e">
        <f>AND('BBP complete'!G1914,"AAAAAGvX/w8=")</f>
        <v>#VALUE!</v>
      </c>
      <c r="Q163" t="e">
        <f>AND('BBP complete'!#REF!,"AAAAAGvX/xA=")</f>
        <v>#REF!</v>
      </c>
      <c r="R163" t="e">
        <f>AND('BBP complete'!#REF!,"AAAAAGvX/xE=")</f>
        <v>#REF!</v>
      </c>
      <c r="S163" t="e">
        <f>AND('BBP complete'!#REF!,"AAAAAGvX/xI=")</f>
        <v>#REF!</v>
      </c>
      <c r="T163" t="e">
        <f>AND('BBP complete'!#REF!,"AAAAAGvX/xM=")</f>
        <v>#REF!</v>
      </c>
      <c r="U163" t="e">
        <f>AND('BBP complete'!#REF!,"AAAAAGvX/xQ=")</f>
        <v>#REF!</v>
      </c>
      <c r="V163" t="e">
        <f>AND('BBP complete'!#REF!,"AAAAAGvX/xU=")</f>
        <v>#REF!</v>
      </c>
      <c r="W163" t="e">
        <f>AND('BBP complete'!#REF!,"AAAAAGvX/xY=")</f>
        <v>#REF!</v>
      </c>
      <c r="X163" t="e">
        <f>AND('BBP complete'!#REF!,"AAAAAGvX/xc=")</f>
        <v>#REF!</v>
      </c>
      <c r="Y163" t="e">
        <f>AND('BBP complete'!N1913,"AAAAAGvX/xg=")</f>
        <v>#VALUE!</v>
      </c>
      <c r="Z163" t="e">
        <f>AND('BBP complete'!M1913,"AAAAAGvX/xk=")</f>
        <v>#VALUE!</v>
      </c>
      <c r="AA163" t="e">
        <f>AND('BBP complete'!#REF!,"AAAAAGvX/xo=")</f>
        <v>#REF!</v>
      </c>
      <c r="AB163" t="e">
        <f>AND('BBP complete'!#REF!,"AAAAAGvX/xs=")</f>
        <v>#REF!</v>
      </c>
      <c r="AC163" t="e">
        <f>AND('BBP complete'!S1931,"AAAAAGvX/xw=")</f>
        <v>#VALUE!</v>
      </c>
      <c r="AD163" t="e">
        <f>AND('BBP complete'!A1921,"AAAAAGvX/x0=")</f>
        <v>#VALUE!</v>
      </c>
      <c r="AE163" t="e">
        <f>AND('BBP complete'!B1916,"AAAAAGvX/x4=")</f>
        <v>#VALUE!</v>
      </c>
      <c r="AF163" t="e">
        <f>AND('BBP complete'!H1916,"AAAAAGvX/x8=")</f>
        <v>#VALUE!</v>
      </c>
      <c r="AG163" t="e">
        <f>AND('BBP complete'!I1916,"AAAAAGvX/yA=")</f>
        <v>#VALUE!</v>
      </c>
      <c r="AH163" t="e">
        <f>AND('BBP complete'!G1915,"AAAAAGvX/yE=")</f>
        <v>#VALUE!</v>
      </c>
      <c r="AI163" t="e">
        <f>AND('BBP complete'!#REF!,"AAAAAGvX/yI=")</f>
        <v>#REF!</v>
      </c>
      <c r="AJ163" t="e">
        <f>AND('BBP complete'!#REF!,"AAAAAGvX/yM=")</f>
        <v>#REF!</v>
      </c>
      <c r="AK163" t="e">
        <f>AND('BBP complete'!#REF!,"AAAAAGvX/yQ=")</f>
        <v>#REF!</v>
      </c>
      <c r="AL163" t="e">
        <f>AND('BBP complete'!#REF!,"AAAAAGvX/yU=")</f>
        <v>#REF!</v>
      </c>
      <c r="AM163" t="e">
        <f>AND('BBP complete'!#REF!,"AAAAAGvX/yY=")</f>
        <v>#REF!</v>
      </c>
      <c r="AN163" t="e">
        <f>AND('BBP complete'!#REF!,"AAAAAGvX/yc=")</f>
        <v>#REF!</v>
      </c>
      <c r="AO163" t="e">
        <f>AND('BBP complete'!L1908,"AAAAAGvX/yg=")</f>
        <v>#VALUE!</v>
      </c>
      <c r="AP163" t="e">
        <f>AND('BBP complete'!A1909,"AAAAAGvX/yk=")</f>
        <v>#VALUE!</v>
      </c>
      <c r="AQ163" t="e">
        <f>AND('BBP complete'!#REF!,"AAAAAGvX/yo=")</f>
        <v>#REF!</v>
      </c>
      <c r="AR163" t="e">
        <f>AND('BBP complete'!#REF!,"AAAAAGvX/ys=")</f>
        <v>#REF!</v>
      </c>
      <c r="AS163" t="e">
        <f>AND('BBP complete'!Q1932,"AAAAAGvX/yw=")</f>
        <v>#VALUE!</v>
      </c>
      <c r="AT163" t="e">
        <f>AND('BBP complete'!#REF!,"AAAAAGvX/y0=")</f>
        <v>#REF!</v>
      </c>
      <c r="AU163" t="e">
        <f>AND('BBP complete'!#REF!,"AAAAAGvX/y4=")</f>
        <v>#REF!</v>
      </c>
      <c r="AV163" t="e">
        <f>AND('BBP complete'!A1922,"AAAAAGvX/y8=")</f>
        <v>#VALUE!</v>
      </c>
      <c r="AW163" t="e">
        <f>AND('BBP complete'!B1917,"AAAAAGvX/zA=")</f>
        <v>#VALUE!</v>
      </c>
      <c r="AX163" t="e">
        <f>AND('BBP complete'!H1917,"AAAAAGvX/zE=")</f>
        <v>#VALUE!</v>
      </c>
      <c r="AY163" t="e">
        <f>AND('BBP complete'!I1917,"AAAAAGvX/zI=")</f>
        <v>#VALUE!</v>
      </c>
      <c r="AZ163" t="e">
        <f>AND('BBP complete'!G1916,"AAAAAGvX/zM=")</f>
        <v>#VALUE!</v>
      </c>
      <c r="BA163" t="e">
        <f>AND('BBP complete'!#REF!,"AAAAAGvX/zQ=")</f>
        <v>#REF!</v>
      </c>
      <c r="BB163" t="e">
        <f>AND('BBP complete'!#REF!,"AAAAAGvX/zU=")</f>
        <v>#REF!</v>
      </c>
      <c r="BC163" t="e">
        <f>AND('BBP complete'!#REF!,"AAAAAGvX/zY=")</f>
        <v>#REF!</v>
      </c>
      <c r="BD163" t="e">
        <f>AND('BBP complete'!#REF!,"AAAAAGvX/zc=")</f>
        <v>#REF!</v>
      </c>
      <c r="BE163" t="e">
        <f>AND('BBP complete'!#REF!,"AAAAAGvX/zg=")</f>
        <v>#REF!</v>
      </c>
      <c r="BF163" t="e">
        <f>AND('BBP complete'!#REF!,"AAAAAGvX/zk=")</f>
        <v>#REF!</v>
      </c>
      <c r="BG163" t="e">
        <f>AND('BBP complete'!L1909,"AAAAAGvX/zo=")</f>
        <v>#VALUE!</v>
      </c>
      <c r="BH163" t="e">
        <f>AND('BBP complete'!A1910,"AAAAAGvX/zs=")</f>
        <v>#VALUE!</v>
      </c>
      <c r="BI163" t="e">
        <f>AND('BBP complete'!N1914,"AAAAAGvX/zw=")</f>
        <v>#VALUE!</v>
      </c>
      <c r="BJ163" t="e">
        <f>AND('BBP complete'!M1914,"AAAAAGvX/z0=")</f>
        <v>#VALUE!</v>
      </c>
      <c r="BK163" t="e">
        <f>AND('BBP complete'!#REF!,"AAAAAGvX/z4=")</f>
        <v>#REF!</v>
      </c>
      <c r="BL163" t="e">
        <f>AND('BBP complete'!#REF!,"AAAAAGvX/z8=")</f>
        <v>#REF!</v>
      </c>
      <c r="BM163" t="e">
        <f>AND('BBP complete'!S1932,"AAAAAGvX/0A=")</f>
        <v>#VALUE!</v>
      </c>
      <c r="BN163" t="e">
        <f>AND('BBP complete'!A1923,"AAAAAGvX/0E=")</f>
        <v>#VALUE!</v>
      </c>
      <c r="BO163" t="e">
        <f>AND('BBP complete'!B1918,"AAAAAGvX/0I=")</f>
        <v>#VALUE!</v>
      </c>
      <c r="BP163" t="e">
        <f>AND('BBP complete'!H1918,"AAAAAGvX/0M=")</f>
        <v>#VALUE!</v>
      </c>
      <c r="BQ163" t="e">
        <f>AND('BBP complete'!I1918,"AAAAAGvX/0Q=")</f>
        <v>#VALUE!</v>
      </c>
      <c r="BR163" t="e">
        <f>AND('BBP complete'!G1917,"AAAAAGvX/0U=")</f>
        <v>#VALUE!</v>
      </c>
      <c r="BS163" t="e">
        <f>AND('BBP complete'!#REF!,"AAAAAGvX/0Y=")</f>
        <v>#REF!</v>
      </c>
      <c r="BT163" t="e">
        <f>AND('BBP complete'!#REF!,"AAAAAGvX/0c=")</f>
        <v>#REF!</v>
      </c>
      <c r="BU163" t="e">
        <f>AND('BBP complete'!#REF!,"AAAAAGvX/0g=")</f>
        <v>#REF!</v>
      </c>
      <c r="BV163" t="e">
        <f>AND('BBP complete'!#REF!,"AAAAAGvX/0k=")</f>
        <v>#REF!</v>
      </c>
      <c r="BW163" t="e">
        <f>AND('BBP complete'!#REF!,"AAAAAGvX/0o=")</f>
        <v>#REF!</v>
      </c>
      <c r="BX163" t="e">
        <f>AND('BBP complete'!#REF!,"AAAAAGvX/0s=")</f>
        <v>#REF!</v>
      </c>
      <c r="BY163" t="e">
        <f>AND('BBP complete'!L1910,"AAAAAGvX/0w=")</f>
        <v>#VALUE!</v>
      </c>
      <c r="BZ163" t="e">
        <f>AND('BBP complete'!A1911,"AAAAAGvX/00=")</f>
        <v>#VALUE!</v>
      </c>
      <c r="CA163" t="e">
        <f>AND('BBP complete'!#REF!,"AAAAAGvX/04=")</f>
        <v>#REF!</v>
      </c>
      <c r="CB163" t="e">
        <f>AND('BBP complete'!#REF!,"AAAAAGvX/08=")</f>
        <v>#REF!</v>
      </c>
      <c r="CC163" t="e">
        <f>AND('BBP complete'!Q1933,"AAAAAGvX/1A=")</f>
        <v>#VALUE!</v>
      </c>
      <c r="CD163" t="e">
        <f>AND('BBP complete'!#REF!,"AAAAAGvX/1E=")</f>
        <v>#REF!</v>
      </c>
      <c r="CE163" t="e">
        <f>AND('BBP complete'!#REF!,"AAAAAGvX/1I=")</f>
        <v>#REF!</v>
      </c>
      <c r="CF163" t="e">
        <f>AND('BBP complete'!A1924,"AAAAAGvX/1M=")</f>
        <v>#VALUE!</v>
      </c>
      <c r="CG163" t="e">
        <f>AND('BBP complete'!B1919,"AAAAAGvX/1Q=")</f>
        <v>#VALUE!</v>
      </c>
      <c r="CH163" t="e">
        <f>AND('BBP complete'!H1919,"AAAAAGvX/1U=")</f>
        <v>#VALUE!</v>
      </c>
      <c r="CI163" t="e">
        <f>AND('BBP complete'!I1919,"AAAAAGvX/1Y=")</f>
        <v>#VALUE!</v>
      </c>
      <c r="CJ163" t="e">
        <f>AND('BBP complete'!G1918,"AAAAAGvX/1c=")</f>
        <v>#VALUE!</v>
      </c>
      <c r="CK163" t="e">
        <f>AND('BBP complete'!#REF!,"AAAAAGvX/1g=")</f>
        <v>#REF!</v>
      </c>
      <c r="CL163" t="e">
        <f>AND('BBP complete'!#REF!,"AAAAAGvX/1k=")</f>
        <v>#REF!</v>
      </c>
      <c r="CM163" t="e">
        <f>AND('BBP complete'!#REF!,"AAAAAGvX/1o=")</f>
        <v>#REF!</v>
      </c>
      <c r="CN163" t="e">
        <f>AND('BBP complete'!#REF!,"AAAAAGvX/1s=")</f>
        <v>#REF!</v>
      </c>
      <c r="CO163" t="e">
        <f>AND('BBP complete'!#REF!,"AAAAAGvX/1w=")</f>
        <v>#REF!</v>
      </c>
      <c r="CP163" t="e">
        <f>AND('BBP complete'!#REF!,"AAAAAGvX/10=")</f>
        <v>#REF!</v>
      </c>
      <c r="CQ163" t="e">
        <f>AND('BBP complete'!L1911,"AAAAAGvX/14=")</f>
        <v>#VALUE!</v>
      </c>
      <c r="CR163" t="e">
        <f>AND('BBP complete'!A1912,"AAAAAGvX/18=")</f>
        <v>#VALUE!</v>
      </c>
      <c r="CS163" t="e">
        <f>AND('BBP complete'!#REF!,"AAAAAGvX/2A=")</f>
        <v>#REF!</v>
      </c>
      <c r="CT163" t="e">
        <f>AND('BBP complete'!#REF!,"AAAAAGvX/2E=")</f>
        <v>#REF!</v>
      </c>
      <c r="CU163" t="e">
        <f>AND('BBP complete'!Q1934,"AAAAAGvX/2I=")</f>
        <v>#VALUE!</v>
      </c>
      <c r="CV163" t="e">
        <f>AND('BBP complete'!#REF!,"AAAAAGvX/2M=")</f>
        <v>#REF!</v>
      </c>
      <c r="CW163" t="e">
        <f>AND('BBP complete'!#REF!,"AAAAAGvX/2Q=")</f>
        <v>#REF!</v>
      </c>
      <c r="CX163" t="e">
        <f>AND('BBP complete'!A1925,"AAAAAGvX/2U=")</f>
        <v>#VALUE!</v>
      </c>
      <c r="CY163" t="e">
        <f>AND('BBP complete'!#REF!,"AAAAAGvX/2Y=")</f>
        <v>#REF!</v>
      </c>
      <c r="CZ163" t="e">
        <f>AND('BBP complete'!D1922,"AAAAAGvX/2c=")</f>
        <v>#VALUE!</v>
      </c>
      <c r="DA163" t="e">
        <f>AND('BBP complete'!H1922,"AAAAAGvX/2g=")</f>
        <v>#VALUE!</v>
      </c>
      <c r="DB163" t="e">
        <f>AND('BBP complete'!G1919,"AAAAAGvX/2k=")</f>
        <v>#VALUE!</v>
      </c>
      <c r="DC163" t="e">
        <f>AND('BBP complete'!#REF!,"AAAAAGvX/2o=")</f>
        <v>#REF!</v>
      </c>
      <c r="DD163" t="e">
        <f>AND('BBP complete'!#REF!,"AAAAAGvX/2s=")</f>
        <v>#REF!</v>
      </c>
      <c r="DE163" t="e">
        <f>AND('BBP complete'!#REF!,"AAAAAGvX/2w=")</f>
        <v>#REF!</v>
      </c>
      <c r="DF163" t="e">
        <f>AND('BBP complete'!#REF!,"AAAAAGvX/20=")</f>
        <v>#REF!</v>
      </c>
      <c r="DG163" t="e">
        <f>AND('BBP complete'!J1922,"AAAAAGvX/24=")</f>
        <v>#VALUE!</v>
      </c>
      <c r="DH163" t="e">
        <f>AND('BBP complete'!K1913,"AAAAAGvX/28=")</f>
        <v>#VALUE!</v>
      </c>
      <c r="DI163" t="e">
        <f>AND('BBP complete'!L1912,"AAAAAGvX/3A=")</f>
        <v>#VALUE!</v>
      </c>
      <c r="DJ163" t="e">
        <f>AND('BBP complete'!A1913,"AAAAAGvX/3E=")</f>
        <v>#VALUE!</v>
      </c>
      <c r="DK163" t="e">
        <f>AND('BBP complete'!N1916,"AAAAAGvX/3I=")</f>
        <v>#VALUE!</v>
      </c>
      <c r="DL163" t="e">
        <f>AND('BBP complete'!M1916,"AAAAAGvX/3M=")</f>
        <v>#VALUE!</v>
      </c>
      <c r="DM163" t="e">
        <f>AND('BBP complete'!#REF!,"AAAAAGvX/3Q=")</f>
        <v>#REF!</v>
      </c>
      <c r="DN163" t="e">
        <f>AND('BBP complete'!#REF!,"AAAAAGvX/3U=")</f>
        <v>#REF!</v>
      </c>
      <c r="DO163" t="e">
        <f>AND('BBP complete'!S1934,"AAAAAGvX/3Y=")</f>
        <v>#VALUE!</v>
      </c>
      <c r="DP163" t="e">
        <f>AND('BBP complete'!A1926,"AAAAAGvX/3c=")</f>
        <v>#VALUE!</v>
      </c>
      <c r="DQ163" t="e">
        <f>AND('BBP complete'!#REF!,"AAAAAGvX/3g=")</f>
        <v>#REF!</v>
      </c>
      <c r="DR163" t="e">
        <f>AND('BBP complete'!D1923,"AAAAAGvX/3k=")</f>
        <v>#VALUE!</v>
      </c>
      <c r="DS163" t="e">
        <f>AND('BBP complete'!H1923,"AAAAAGvX/3o=")</f>
        <v>#VALUE!</v>
      </c>
      <c r="DT163" t="e">
        <f>AND('BBP complete'!F1922,"AAAAAGvX/3s=")</f>
        <v>#VALUE!</v>
      </c>
      <c r="DU163" t="e">
        <f>AND('BBP complete'!#REF!,"AAAAAGvX/3w=")</f>
        <v>#REF!</v>
      </c>
      <c r="DV163" t="e">
        <f>AND('BBP complete'!#REF!,"AAAAAGvX/30=")</f>
        <v>#REF!</v>
      </c>
      <c r="DW163" t="e">
        <f>AND('BBP complete'!#REF!,"AAAAAGvX/34=")</f>
        <v>#REF!</v>
      </c>
      <c r="DX163" t="e">
        <f>AND('BBP complete'!#REF!,"AAAAAGvX/38=")</f>
        <v>#REF!</v>
      </c>
      <c r="DY163" t="e">
        <f>AND('BBP complete'!J1923,"AAAAAGvX/4A=")</f>
        <v>#VALUE!</v>
      </c>
      <c r="DZ163" t="e">
        <f>AND('BBP complete'!K1914,"AAAAAGvX/4E=")</f>
        <v>#VALUE!</v>
      </c>
      <c r="EA163" t="e">
        <f>AND('BBP complete'!#REF!,"AAAAAGvX/4I=")</f>
        <v>#REF!</v>
      </c>
      <c r="EB163" t="e">
        <f>AND('BBP complete'!A1914,"AAAAAGvX/4M=")</f>
        <v>#VALUE!</v>
      </c>
      <c r="EC163" t="e">
        <f>AND('BBP complete'!#REF!,"AAAAAGvX/4Q=")</f>
        <v>#REF!</v>
      </c>
      <c r="ED163" t="e">
        <f>AND('BBP complete'!#REF!,"AAAAAGvX/4U=")</f>
        <v>#REF!</v>
      </c>
      <c r="EE163" t="e">
        <f>AND('BBP complete'!Q1935,"AAAAAGvX/4Y=")</f>
        <v>#VALUE!</v>
      </c>
      <c r="EF163" t="e">
        <f>AND('BBP complete'!#REF!,"AAAAAGvX/4c=")</f>
        <v>#REF!</v>
      </c>
      <c r="EG163" t="e">
        <f>AND('BBP complete'!#REF!,"AAAAAGvX/4g=")</f>
        <v>#REF!</v>
      </c>
      <c r="EH163" t="e">
        <f>AND('BBP complete'!A1927,"AAAAAGvX/4k=")</f>
        <v>#VALUE!</v>
      </c>
      <c r="EI163" t="e">
        <f>AND('BBP complete'!#REF!,"AAAAAGvX/4o=")</f>
        <v>#REF!</v>
      </c>
      <c r="EJ163" t="e">
        <f>AND('BBP complete'!D1924,"AAAAAGvX/4s=")</f>
        <v>#VALUE!</v>
      </c>
      <c r="EK163" t="e">
        <f>AND('BBP complete'!H1924,"AAAAAGvX/4w=")</f>
        <v>#VALUE!</v>
      </c>
      <c r="EL163" t="e">
        <f>AND('BBP complete'!F1923,"AAAAAGvX/40=")</f>
        <v>#VALUE!</v>
      </c>
      <c r="EM163" t="e">
        <f>AND('BBP complete'!I1922,"AAAAAGvX/44=")</f>
        <v>#VALUE!</v>
      </c>
      <c r="EN163" t="e">
        <f>AND('BBP complete'!#REF!,"AAAAAGvX/48=")</f>
        <v>#REF!</v>
      </c>
      <c r="EO163" t="e">
        <f>AND('BBP complete'!#REF!,"AAAAAGvX/5A=")</f>
        <v>#REF!</v>
      </c>
      <c r="EP163" t="e">
        <f>AND('BBP complete'!#REF!,"AAAAAGvX/5E=")</f>
        <v>#REF!</v>
      </c>
      <c r="EQ163" t="e">
        <f>AND('BBP complete'!J1924,"AAAAAGvX/5I=")</f>
        <v>#VALUE!</v>
      </c>
      <c r="ER163" t="e">
        <f>AND('BBP complete'!K1915,"AAAAAGvX/5M=")</f>
        <v>#VALUE!</v>
      </c>
      <c r="ES163" t="e">
        <f>AND('BBP complete'!L1913,"AAAAAGvX/5Q=")</f>
        <v>#VALUE!</v>
      </c>
      <c r="ET163" t="e">
        <f>AND('BBP complete'!A1915,"AAAAAGvX/5U=")</f>
        <v>#VALUE!</v>
      </c>
      <c r="EU163" t="e">
        <f>AND('BBP complete'!N1917,"AAAAAGvX/5Y=")</f>
        <v>#VALUE!</v>
      </c>
      <c r="EV163" t="e">
        <f>AND('BBP complete'!M1917,"AAAAAGvX/5c=")</f>
        <v>#VALUE!</v>
      </c>
      <c r="EW163" t="e">
        <f>AND('BBP complete'!Q1941,"AAAAAGvX/5g=")</f>
        <v>#VALUE!</v>
      </c>
      <c r="EX163" t="e">
        <f>AND('BBP complete'!R1941,"AAAAAGvX/5k=")</f>
        <v>#VALUE!</v>
      </c>
      <c r="EY163" t="e">
        <f>AND('BBP complete'!S1935,"AAAAAGvX/5o=")</f>
        <v>#VALUE!</v>
      </c>
      <c r="EZ163" t="e">
        <f>AND('BBP complete'!A1928,"AAAAAGvX/5s=")</f>
        <v>#VALUE!</v>
      </c>
      <c r="FA163" t="e">
        <f>AND('BBP complete'!#REF!,"AAAAAGvX/5w=")</f>
        <v>#REF!</v>
      </c>
      <c r="FB163" t="e">
        <f>AND('BBP complete'!D1925,"AAAAAGvX/50=")</f>
        <v>#VALUE!</v>
      </c>
      <c r="FC163" t="e">
        <f>AND('BBP complete'!H1925,"AAAAAGvX/54=")</f>
        <v>#VALUE!</v>
      </c>
      <c r="FD163" t="e">
        <f>AND('BBP complete'!F1924,"AAAAAGvX/58=")</f>
        <v>#VALUE!</v>
      </c>
      <c r="FE163" t="e">
        <f>AND('BBP complete'!I1923,"AAAAAGvX/6A=")</f>
        <v>#VALUE!</v>
      </c>
      <c r="FF163" t="e">
        <f>AND('BBP complete'!#REF!,"AAAAAGvX/6E=")</f>
        <v>#REF!</v>
      </c>
      <c r="FG163" t="e">
        <f>AND('BBP complete'!#REF!,"AAAAAGvX/6I=")</f>
        <v>#REF!</v>
      </c>
      <c r="FH163" t="e">
        <f>AND('BBP complete'!#REF!,"AAAAAGvX/6M=")</f>
        <v>#REF!</v>
      </c>
      <c r="FI163" t="e">
        <f>AND('BBP complete'!J1925,"AAAAAGvX/6Q=")</f>
        <v>#VALUE!</v>
      </c>
      <c r="FJ163" t="e">
        <f>AND('BBP complete'!K1916,"AAAAAGvX/6U=")</f>
        <v>#VALUE!</v>
      </c>
      <c r="FK163" t="e">
        <f>AND('BBP complete'!#REF!,"AAAAAGvX/6Y=")</f>
        <v>#REF!</v>
      </c>
      <c r="FL163" t="e">
        <f>AND('BBP complete'!A1916,"AAAAAGvX/6c=")</f>
        <v>#VALUE!</v>
      </c>
      <c r="FM163" t="e">
        <f>AND('BBP complete'!#REF!,"AAAAAGvX/6g=")</f>
        <v>#REF!</v>
      </c>
      <c r="FN163" t="e">
        <f>AND('BBP complete'!#REF!,"AAAAAGvX/6k=")</f>
        <v>#REF!</v>
      </c>
      <c r="FO163" t="e">
        <f>AND('BBP complete'!Q1942,"AAAAAGvX/6o=")</f>
        <v>#VALUE!</v>
      </c>
      <c r="FP163" t="e">
        <f>AND('BBP complete'!R1942,"AAAAAGvX/6s=")</f>
        <v>#VALUE!</v>
      </c>
      <c r="FQ163" t="e">
        <f>AND('BBP complete'!S1942,"AAAAAGvX/6w=")</f>
        <v>#VALUE!</v>
      </c>
      <c r="FR163" t="e">
        <f>AND('BBP complete'!A1929,"AAAAAGvX/60=")</f>
        <v>#VALUE!</v>
      </c>
      <c r="FS163" t="e">
        <f>AND('BBP complete'!#REF!,"AAAAAGvX/64=")</f>
        <v>#REF!</v>
      </c>
      <c r="FT163" t="e">
        <f>AND('BBP complete'!D1926,"AAAAAGvX/68=")</f>
        <v>#VALUE!</v>
      </c>
      <c r="FU163" t="e">
        <f>AND('BBP complete'!H1926,"AAAAAGvX/7A=")</f>
        <v>#VALUE!</v>
      </c>
      <c r="FV163" t="e">
        <f>AND('BBP complete'!F1925,"AAAAAGvX/7E=")</f>
        <v>#VALUE!</v>
      </c>
      <c r="FW163" t="e">
        <f>AND('BBP complete'!I1924,"AAAAAGvX/7I=")</f>
        <v>#VALUE!</v>
      </c>
      <c r="FX163" t="e">
        <f>AND('BBP complete'!#REF!,"AAAAAGvX/7M=")</f>
        <v>#REF!</v>
      </c>
      <c r="FY163" t="e">
        <f>AND('BBP complete'!#REF!,"AAAAAGvX/7Q=")</f>
        <v>#REF!</v>
      </c>
      <c r="FZ163" t="e">
        <f>AND('BBP complete'!#REF!,"AAAAAGvX/7U=")</f>
        <v>#REF!</v>
      </c>
      <c r="GA163" t="e">
        <f>AND('BBP complete'!J1926,"AAAAAGvX/7Y=")</f>
        <v>#VALUE!</v>
      </c>
      <c r="GB163" t="e">
        <f>AND('BBP complete'!K1917,"AAAAAGvX/7c=")</f>
        <v>#VALUE!</v>
      </c>
      <c r="GC163" t="e">
        <f>AND('BBP complete'!L1914,"AAAAAGvX/7g=")</f>
        <v>#VALUE!</v>
      </c>
      <c r="GD163" t="e">
        <f>AND('BBP complete'!A1917,"AAAAAGvX/7k=")</f>
        <v>#VALUE!</v>
      </c>
      <c r="GE163" t="e">
        <f>AND('BBP complete'!N1918,"AAAAAGvX/7o=")</f>
        <v>#VALUE!</v>
      </c>
      <c r="GF163" t="e">
        <f>AND('BBP complete'!M1918,"AAAAAGvX/7s=")</f>
        <v>#VALUE!</v>
      </c>
      <c r="GG163" t="e">
        <f>AND('BBP complete'!Q1943,"AAAAAGvX/7w=")</f>
        <v>#VALUE!</v>
      </c>
      <c r="GH163" t="e">
        <f>AND('BBP complete'!R1943,"AAAAAGvX/70=")</f>
        <v>#VALUE!</v>
      </c>
      <c r="GI163" t="e">
        <f>AND('BBP complete'!S1943,"AAAAAGvX/74=")</f>
        <v>#VALUE!</v>
      </c>
      <c r="GJ163" t="e">
        <f>AND('BBP complete'!A1930,"AAAAAGvX/78=")</f>
        <v>#VALUE!</v>
      </c>
      <c r="GK163" t="e">
        <f>AND('BBP complete'!#REF!,"AAAAAGvX/8A=")</f>
        <v>#REF!</v>
      </c>
      <c r="GL163" t="e">
        <f>AND('BBP complete'!D1927,"AAAAAGvX/8E=")</f>
        <v>#VALUE!</v>
      </c>
      <c r="GM163" t="e">
        <f>AND('BBP complete'!H1927,"AAAAAGvX/8I=")</f>
        <v>#VALUE!</v>
      </c>
      <c r="GN163" t="e">
        <f>AND('BBP complete'!F1926,"AAAAAGvX/8M=")</f>
        <v>#VALUE!</v>
      </c>
      <c r="GO163" t="e">
        <f>AND('BBP complete'!I1925,"AAAAAGvX/8Q=")</f>
        <v>#VALUE!</v>
      </c>
      <c r="GP163" t="e">
        <f>AND('BBP complete'!#REF!,"AAAAAGvX/8U=")</f>
        <v>#REF!</v>
      </c>
      <c r="GQ163" t="e">
        <f>AND('BBP complete'!#REF!,"AAAAAGvX/8Y=")</f>
        <v>#REF!</v>
      </c>
      <c r="GR163" t="e">
        <f>AND('BBP complete'!#REF!,"AAAAAGvX/8c=")</f>
        <v>#REF!</v>
      </c>
      <c r="GS163" t="e">
        <f>AND('BBP complete'!J1927,"AAAAAGvX/8g=")</f>
        <v>#VALUE!</v>
      </c>
      <c r="GT163" t="e">
        <f>AND('BBP complete'!K1918,"AAAAAGvX/8k=")</f>
        <v>#VALUE!</v>
      </c>
      <c r="GU163" t="e">
        <f>AND('BBP complete'!#REF!,"AAAAAGvX/8o=")</f>
        <v>#REF!</v>
      </c>
      <c r="GV163" t="e">
        <f>AND('BBP complete'!A1918,"AAAAAGvX/8s=")</f>
        <v>#VALUE!</v>
      </c>
      <c r="GW163" t="e">
        <f>AND('BBP complete'!#REF!,"AAAAAGvX/8w=")</f>
        <v>#REF!</v>
      </c>
      <c r="GX163" t="e">
        <f>AND('BBP complete'!#REF!,"AAAAAGvX/80=")</f>
        <v>#REF!</v>
      </c>
      <c r="GY163" t="e">
        <f>AND('BBP complete'!Q1944,"AAAAAGvX/84=")</f>
        <v>#VALUE!</v>
      </c>
      <c r="GZ163" t="e">
        <f>AND('BBP complete'!R1944,"AAAAAGvX/88=")</f>
        <v>#VALUE!</v>
      </c>
      <c r="HA163" t="e">
        <f>AND('BBP complete'!S1944,"AAAAAGvX/9A=")</f>
        <v>#VALUE!</v>
      </c>
      <c r="HB163" t="e">
        <f>AND('BBP complete'!A1931,"AAAAAGvX/9E=")</f>
        <v>#VALUE!</v>
      </c>
      <c r="HC163" t="e">
        <f>AND('BBP complete'!#REF!,"AAAAAGvX/9I=")</f>
        <v>#REF!</v>
      </c>
      <c r="HD163" t="e">
        <f>AND('BBP complete'!D1928,"AAAAAGvX/9M=")</f>
        <v>#VALUE!</v>
      </c>
      <c r="HE163" t="e">
        <f>AND('BBP complete'!H1928,"AAAAAGvX/9Q=")</f>
        <v>#VALUE!</v>
      </c>
      <c r="HF163" t="e">
        <f>AND('BBP complete'!F1927,"AAAAAGvX/9U=")</f>
        <v>#VALUE!</v>
      </c>
      <c r="HG163" t="e">
        <f>AND('BBP complete'!I1926,"AAAAAGvX/9Y=")</f>
        <v>#VALUE!</v>
      </c>
      <c r="HH163" t="e">
        <f>AND('BBP complete'!#REF!,"AAAAAGvX/9c=")</f>
        <v>#REF!</v>
      </c>
      <c r="HI163" t="e">
        <f>AND('BBP complete'!#REF!,"AAAAAGvX/9g=")</f>
        <v>#REF!</v>
      </c>
      <c r="HJ163" t="e">
        <f>AND('BBP complete'!#REF!,"AAAAAGvX/9k=")</f>
        <v>#REF!</v>
      </c>
      <c r="HK163" t="e">
        <f>AND('BBP complete'!J1928,"AAAAAGvX/9o=")</f>
        <v>#VALUE!</v>
      </c>
      <c r="HL163" t="e">
        <f>AND('BBP complete'!#REF!,"AAAAAGvX/9s=")</f>
        <v>#REF!</v>
      </c>
      <c r="HM163" t="e">
        <f>AND('BBP complete'!L1915,"AAAAAGvX/9w=")</f>
        <v>#VALUE!</v>
      </c>
      <c r="HN163" t="e">
        <f>AND('BBP complete'!K1919,"AAAAAGvX/90=")</f>
        <v>#VALUE!</v>
      </c>
      <c r="HO163" t="e">
        <f>AND('BBP complete'!N1919,"AAAAAGvX/94=")</f>
        <v>#VALUE!</v>
      </c>
      <c r="HP163" t="e">
        <f>AND('BBP complete'!M1919,"AAAAAGvX/98=")</f>
        <v>#VALUE!</v>
      </c>
      <c r="HQ163" t="e">
        <f>AND('BBP complete'!Q1945,"AAAAAGvX/+A=")</f>
        <v>#VALUE!</v>
      </c>
      <c r="HR163" t="e">
        <f>AND('BBP complete'!R1945,"AAAAAGvX/+E=")</f>
        <v>#VALUE!</v>
      </c>
      <c r="HS163" t="e">
        <f>AND('BBP complete'!S1945,"AAAAAGvX/+I=")</f>
        <v>#VALUE!</v>
      </c>
      <c r="HT163" t="e">
        <f>AND('BBP complete'!A1932,"AAAAAGvX/+M=")</f>
        <v>#VALUE!</v>
      </c>
      <c r="HU163" t="e">
        <f>AND('BBP complete'!#REF!,"AAAAAGvX/+Q=")</f>
        <v>#REF!</v>
      </c>
      <c r="HV163" t="e">
        <f>AND('BBP complete'!D1929,"AAAAAGvX/+U=")</f>
        <v>#VALUE!</v>
      </c>
      <c r="HW163" t="e">
        <f>AND('BBP complete'!H1929,"AAAAAGvX/+Y=")</f>
        <v>#VALUE!</v>
      </c>
      <c r="HX163" t="e">
        <f>AND('BBP complete'!F1928,"AAAAAGvX/+c=")</f>
        <v>#VALUE!</v>
      </c>
      <c r="HY163" t="e">
        <f>AND('BBP complete'!I1927,"AAAAAGvX/+g=")</f>
        <v>#VALUE!</v>
      </c>
      <c r="HZ163" t="e">
        <f>AND('BBP complete'!#REF!,"AAAAAGvX/+k=")</f>
        <v>#REF!</v>
      </c>
      <c r="IA163" t="e">
        <f>AND('BBP complete'!#REF!,"AAAAAGvX/+o=")</f>
        <v>#REF!</v>
      </c>
      <c r="IB163" t="e">
        <f>AND('BBP complete'!#REF!,"AAAAAGvX/+s=")</f>
        <v>#REF!</v>
      </c>
      <c r="IC163" t="e">
        <f>AND('BBP complete'!J1929,"AAAAAGvX/+w=")</f>
        <v>#VALUE!</v>
      </c>
      <c r="ID163" t="e">
        <f>AND('BBP complete'!K1929,"AAAAAGvX/+0=")</f>
        <v>#VALUE!</v>
      </c>
      <c r="IE163" t="e">
        <f>AND('BBP complete'!L1928,"AAAAAGvX/+4=")</f>
        <v>#VALUE!</v>
      </c>
      <c r="IF163" t="e">
        <f>AND('BBP complete'!M1928,"AAAAAGvX/+8=")</f>
        <v>#VALUE!</v>
      </c>
      <c r="IG163" t="e">
        <f>AND('BBP complete'!N1928,"AAAAAGvX//A=")</f>
        <v>#VALUE!</v>
      </c>
      <c r="IH163" t="e">
        <f>AND('BBP complete'!P1946,"AAAAAGvX//E=")</f>
        <v>#VALUE!</v>
      </c>
      <c r="II163" t="e">
        <f>AND('BBP complete'!Q1946,"AAAAAGvX//I=")</f>
        <v>#VALUE!</v>
      </c>
      <c r="IJ163" t="e">
        <f>AND('BBP complete'!R1946,"AAAAAGvX//M=")</f>
        <v>#VALUE!</v>
      </c>
      <c r="IK163" t="e">
        <f>AND('BBP complete'!S1946,"AAAAAGvX//Q=")</f>
        <v>#VALUE!</v>
      </c>
      <c r="IL163" t="e">
        <f>AND('BBP complete'!A1933,"AAAAAGvX//U=")</f>
        <v>#VALUE!</v>
      </c>
      <c r="IM163" t="e">
        <f>AND('BBP complete'!#REF!,"AAAAAGvX//Y=")</f>
        <v>#REF!</v>
      </c>
      <c r="IN163" t="e">
        <f>AND('BBP complete'!D1930,"AAAAAGvX//c=")</f>
        <v>#VALUE!</v>
      </c>
      <c r="IO163" t="e">
        <f>AND('BBP complete'!H1930,"AAAAAGvX//g=")</f>
        <v>#VALUE!</v>
      </c>
      <c r="IP163" t="e">
        <f>AND('BBP complete'!F1929,"AAAAAGvX//k=")</f>
        <v>#VALUE!</v>
      </c>
      <c r="IQ163" t="e">
        <f>AND('BBP complete'!I1928,"AAAAAGvX//o=")</f>
        <v>#VALUE!</v>
      </c>
      <c r="IR163" t="e">
        <f>AND('BBP complete'!#REF!,"AAAAAGvX//s=")</f>
        <v>#REF!</v>
      </c>
      <c r="IS163" t="e">
        <f>AND('BBP complete'!#REF!,"AAAAAGvX//w=")</f>
        <v>#REF!</v>
      </c>
      <c r="IT163" t="e">
        <f>AND('BBP complete'!#REF!,"AAAAAGvX//0=")</f>
        <v>#REF!</v>
      </c>
      <c r="IU163" t="e">
        <f>AND('BBP complete'!J1930,"AAAAAGvX//4=")</f>
        <v>#VALUE!</v>
      </c>
      <c r="IV163" t="e">
        <f>AND('BBP complete'!K1930,"AAAAAGvX//8=")</f>
        <v>#VALUE!</v>
      </c>
    </row>
    <row r="164" spans="1:256" ht="15" customHeight="1" x14ac:dyDescent="0.25">
      <c r="A164" t="e">
        <f>AND('BBP complete'!L1929,"AAAAAG/7/wA=")</f>
        <v>#VALUE!</v>
      </c>
      <c r="B164" t="e">
        <f>AND('BBP complete'!M1929,"AAAAAG/7/wE=")</f>
        <v>#VALUE!</v>
      </c>
      <c r="C164" t="e">
        <f>AND('BBP complete'!N1929,"AAAAAG/7/wI=")</f>
        <v>#VALUE!</v>
      </c>
      <c r="D164" t="e">
        <f>AND('BBP complete'!P1947,"AAAAAG/7/wM=")</f>
        <v>#VALUE!</v>
      </c>
      <c r="E164" t="e">
        <f>AND('BBP complete'!Q1947,"AAAAAG/7/wQ=")</f>
        <v>#VALUE!</v>
      </c>
      <c r="F164" t="e">
        <f>AND('BBP complete'!R1947,"AAAAAG/7/wU=")</f>
        <v>#VALUE!</v>
      </c>
      <c r="G164" t="e">
        <f>AND('BBP complete'!S1947,"AAAAAG/7/wY=")</f>
        <v>#VALUE!</v>
      </c>
      <c r="H164" t="e">
        <f>AND('BBP complete'!A1934,"AAAAAG/7/wc=")</f>
        <v>#VALUE!</v>
      </c>
      <c r="I164" t="e">
        <f>AND('BBP complete'!#REF!,"AAAAAG/7/wg=")</f>
        <v>#REF!</v>
      </c>
      <c r="J164" t="e">
        <f>AND('BBP complete'!D1931,"AAAAAG/7/wk=")</f>
        <v>#VALUE!</v>
      </c>
      <c r="K164" t="e">
        <f>AND('BBP complete'!H1931,"AAAAAG/7/wo=")</f>
        <v>#VALUE!</v>
      </c>
      <c r="L164" t="e">
        <f>AND('BBP complete'!F1930,"AAAAAG/7/ws=")</f>
        <v>#VALUE!</v>
      </c>
      <c r="M164" t="e">
        <f>AND('BBP complete'!I1929,"AAAAAG/7/ww=")</f>
        <v>#VALUE!</v>
      </c>
      <c r="N164" t="e">
        <f>AND('BBP complete'!#REF!,"AAAAAG/7/w0=")</f>
        <v>#REF!</v>
      </c>
      <c r="O164" t="e">
        <f>AND('BBP complete'!#REF!,"AAAAAG/7/w4=")</f>
        <v>#REF!</v>
      </c>
      <c r="P164" t="e">
        <f>AND('BBP complete'!#REF!,"AAAAAG/7/w8=")</f>
        <v>#REF!</v>
      </c>
      <c r="Q164" t="e">
        <f>AND('BBP complete'!J1931,"AAAAAG/7/xA=")</f>
        <v>#VALUE!</v>
      </c>
      <c r="R164" t="e">
        <f>AND('BBP complete'!K1931,"AAAAAG/7/xE=")</f>
        <v>#VALUE!</v>
      </c>
      <c r="S164" t="e">
        <f>AND('BBP complete'!L1930,"AAAAAG/7/xI=")</f>
        <v>#VALUE!</v>
      </c>
      <c r="T164" t="e">
        <f>AND('BBP complete'!M1930,"AAAAAG/7/xM=")</f>
        <v>#VALUE!</v>
      </c>
      <c r="U164" t="e">
        <f>AND('BBP complete'!N1930,"AAAAAG/7/xQ=")</f>
        <v>#VALUE!</v>
      </c>
      <c r="V164" t="e">
        <f>AND('BBP complete'!P1948,"AAAAAG/7/xU=")</f>
        <v>#VALUE!</v>
      </c>
      <c r="W164" t="e">
        <f>AND('BBP complete'!Q1948,"AAAAAG/7/xY=")</f>
        <v>#VALUE!</v>
      </c>
      <c r="X164" t="e">
        <f>AND('BBP complete'!R1948,"AAAAAG/7/xc=")</f>
        <v>#VALUE!</v>
      </c>
      <c r="Y164" t="e">
        <f>AND('BBP complete'!S1948,"AAAAAG/7/xg=")</f>
        <v>#VALUE!</v>
      </c>
      <c r="Z164" t="e">
        <f>AND('BBP complete'!A1935,"AAAAAG/7/xk=")</f>
        <v>#VALUE!</v>
      </c>
      <c r="AA164" t="e">
        <f>AND('BBP complete'!#REF!,"AAAAAG/7/xo=")</f>
        <v>#REF!</v>
      </c>
      <c r="AB164" t="e">
        <f>AND('BBP complete'!D1932,"AAAAAG/7/xs=")</f>
        <v>#VALUE!</v>
      </c>
      <c r="AC164" t="e">
        <f>AND('BBP complete'!H1932,"AAAAAG/7/xw=")</f>
        <v>#VALUE!</v>
      </c>
      <c r="AD164" t="e">
        <f>AND('BBP complete'!F1931,"AAAAAG/7/x0=")</f>
        <v>#VALUE!</v>
      </c>
      <c r="AE164" t="e">
        <f>AND('BBP complete'!I1930,"AAAAAG/7/x4=")</f>
        <v>#VALUE!</v>
      </c>
      <c r="AF164" t="e">
        <f>AND('BBP complete'!#REF!,"AAAAAG/7/x8=")</f>
        <v>#REF!</v>
      </c>
      <c r="AG164" t="e">
        <f>AND('BBP complete'!#REF!,"AAAAAG/7/yA=")</f>
        <v>#REF!</v>
      </c>
      <c r="AH164" t="e">
        <f>AND('BBP complete'!#REF!,"AAAAAG/7/yE=")</f>
        <v>#REF!</v>
      </c>
      <c r="AI164" t="e">
        <f>AND('BBP complete'!J1932,"AAAAAG/7/yI=")</f>
        <v>#VALUE!</v>
      </c>
      <c r="AJ164" t="e">
        <f>AND('BBP complete'!K1932,"AAAAAG/7/yM=")</f>
        <v>#VALUE!</v>
      </c>
      <c r="AK164" t="e">
        <f>AND('BBP complete'!L1931,"AAAAAG/7/yQ=")</f>
        <v>#VALUE!</v>
      </c>
      <c r="AL164" t="e">
        <f>AND('BBP complete'!M1931,"AAAAAG/7/yU=")</f>
        <v>#VALUE!</v>
      </c>
      <c r="AM164" t="e">
        <f>AND('BBP complete'!N1931,"AAAAAG/7/yY=")</f>
        <v>#VALUE!</v>
      </c>
      <c r="AN164" t="e">
        <f>AND('BBP complete'!P1949,"AAAAAG/7/yc=")</f>
        <v>#VALUE!</v>
      </c>
      <c r="AO164" t="e">
        <f>AND('BBP complete'!Q1949,"AAAAAG/7/yg=")</f>
        <v>#VALUE!</v>
      </c>
      <c r="AP164" t="e">
        <f>AND('BBP complete'!R1949,"AAAAAG/7/yk=")</f>
        <v>#VALUE!</v>
      </c>
      <c r="AQ164" t="e">
        <f>AND('BBP complete'!S1949,"AAAAAG/7/yo=")</f>
        <v>#VALUE!</v>
      </c>
      <c r="AR164" t="e">
        <f>AND('BBP complete'!A1936,"AAAAAG/7/ys=")</f>
        <v>#VALUE!</v>
      </c>
      <c r="AS164" t="e">
        <f>AND('BBP complete'!#REF!,"AAAAAG/7/yw=")</f>
        <v>#REF!</v>
      </c>
      <c r="AT164" t="e">
        <f>AND('BBP complete'!D1933,"AAAAAG/7/y0=")</f>
        <v>#VALUE!</v>
      </c>
      <c r="AU164" t="e">
        <f>AND('BBP complete'!H1933,"AAAAAG/7/y4=")</f>
        <v>#VALUE!</v>
      </c>
      <c r="AV164" t="e">
        <f>AND('BBP complete'!F1932,"AAAAAG/7/y8=")</f>
        <v>#VALUE!</v>
      </c>
      <c r="AW164" t="e">
        <f>AND('BBP complete'!I1931,"AAAAAG/7/zA=")</f>
        <v>#VALUE!</v>
      </c>
      <c r="AX164" t="e">
        <f>AND('BBP complete'!#REF!,"AAAAAG/7/zE=")</f>
        <v>#REF!</v>
      </c>
      <c r="AY164" t="e">
        <f>AND('BBP complete'!#REF!,"AAAAAG/7/zI=")</f>
        <v>#REF!</v>
      </c>
      <c r="AZ164" t="e">
        <f>AND('BBP complete'!#REF!,"AAAAAG/7/zM=")</f>
        <v>#REF!</v>
      </c>
      <c r="BA164" t="e">
        <f>AND('BBP complete'!J1933,"AAAAAG/7/zQ=")</f>
        <v>#VALUE!</v>
      </c>
      <c r="BB164" t="e">
        <f>AND('BBP complete'!K1933,"AAAAAG/7/zU=")</f>
        <v>#VALUE!</v>
      </c>
      <c r="BC164" t="e">
        <f>AND('BBP complete'!L1932,"AAAAAG/7/zY=")</f>
        <v>#VALUE!</v>
      </c>
      <c r="BD164" t="e">
        <f>AND('BBP complete'!M1932,"AAAAAG/7/zc=")</f>
        <v>#VALUE!</v>
      </c>
      <c r="BE164" t="e">
        <f>AND('BBP complete'!N1932,"AAAAAG/7/zg=")</f>
        <v>#VALUE!</v>
      </c>
      <c r="BF164" t="e">
        <f>AND('BBP complete'!P1950,"AAAAAG/7/zk=")</f>
        <v>#VALUE!</v>
      </c>
      <c r="BG164" t="e">
        <f>AND('BBP complete'!Q1950,"AAAAAG/7/zo=")</f>
        <v>#VALUE!</v>
      </c>
      <c r="BH164" t="e">
        <f>AND('BBP complete'!R1950,"AAAAAG/7/zs=")</f>
        <v>#VALUE!</v>
      </c>
      <c r="BI164" t="e">
        <f>AND('BBP complete'!S1950,"AAAAAG/7/zw=")</f>
        <v>#VALUE!</v>
      </c>
      <c r="BJ164" t="e">
        <f>AND('BBP complete'!A1937,"AAAAAG/7/z0=")</f>
        <v>#VALUE!</v>
      </c>
      <c r="BK164" t="e">
        <f>AND('BBP complete'!#REF!,"AAAAAG/7/z4=")</f>
        <v>#REF!</v>
      </c>
      <c r="BL164" t="e">
        <f>AND('BBP complete'!D1934,"AAAAAG/7/z8=")</f>
        <v>#VALUE!</v>
      </c>
      <c r="BM164" t="e">
        <f>AND('BBP complete'!H1934,"AAAAAG/7/0A=")</f>
        <v>#VALUE!</v>
      </c>
      <c r="BN164" t="e">
        <f>AND('BBP complete'!F1933,"AAAAAG/7/0E=")</f>
        <v>#VALUE!</v>
      </c>
      <c r="BO164" t="e">
        <f>AND('BBP complete'!I1932,"AAAAAG/7/0I=")</f>
        <v>#VALUE!</v>
      </c>
      <c r="BP164" t="e">
        <f>AND('BBP complete'!#REF!,"AAAAAG/7/0M=")</f>
        <v>#REF!</v>
      </c>
      <c r="BQ164" t="e">
        <f>AND('BBP complete'!#REF!,"AAAAAG/7/0Q=")</f>
        <v>#REF!</v>
      </c>
      <c r="BR164" t="e">
        <f>AND('BBP complete'!#REF!,"AAAAAG/7/0U=")</f>
        <v>#REF!</v>
      </c>
      <c r="BS164" t="e">
        <f>AND('BBP complete'!J1934,"AAAAAG/7/0Y=")</f>
        <v>#VALUE!</v>
      </c>
      <c r="BT164" t="e">
        <f>AND('BBP complete'!K1934,"AAAAAG/7/0c=")</f>
        <v>#VALUE!</v>
      </c>
      <c r="BU164" t="e">
        <f>AND('BBP complete'!L1933,"AAAAAG/7/0g=")</f>
        <v>#VALUE!</v>
      </c>
      <c r="BV164" t="e">
        <f>AND('BBP complete'!M1933,"AAAAAG/7/0k=")</f>
        <v>#VALUE!</v>
      </c>
      <c r="BW164" t="e">
        <f>AND('BBP complete'!N1933,"AAAAAG/7/0o=")</f>
        <v>#VALUE!</v>
      </c>
      <c r="BX164" t="e">
        <f>AND('BBP complete'!P1951,"AAAAAG/7/0s=")</f>
        <v>#VALUE!</v>
      </c>
      <c r="BY164" t="e">
        <f>AND('BBP complete'!Q1951,"AAAAAG/7/0w=")</f>
        <v>#VALUE!</v>
      </c>
      <c r="BZ164" t="e">
        <f>AND('BBP complete'!R1951,"AAAAAG/7/00=")</f>
        <v>#VALUE!</v>
      </c>
      <c r="CA164" t="e">
        <f>AND('BBP complete'!S1951,"AAAAAG/7/04=")</f>
        <v>#VALUE!</v>
      </c>
      <c r="CB164" t="e">
        <f>AND('BBP complete'!A1938,"AAAAAG/7/08=")</f>
        <v>#VALUE!</v>
      </c>
      <c r="CC164" t="e">
        <f>AND('BBP complete'!#REF!,"AAAAAG/7/1A=")</f>
        <v>#REF!</v>
      </c>
      <c r="CD164" t="e">
        <f>AND('BBP complete'!D1935,"AAAAAG/7/1E=")</f>
        <v>#VALUE!</v>
      </c>
      <c r="CE164" t="e">
        <f>AND('BBP complete'!H1935,"AAAAAG/7/1I=")</f>
        <v>#VALUE!</v>
      </c>
      <c r="CF164" t="e">
        <f>AND('BBP complete'!F1934,"AAAAAG/7/1M=")</f>
        <v>#VALUE!</v>
      </c>
      <c r="CG164" t="e">
        <f>AND('BBP complete'!I1933,"AAAAAG/7/1Q=")</f>
        <v>#VALUE!</v>
      </c>
      <c r="CH164" t="e">
        <f>AND('BBP complete'!#REF!,"AAAAAG/7/1U=")</f>
        <v>#REF!</v>
      </c>
      <c r="CI164" t="e">
        <f>AND('BBP complete'!#REF!,"AAAAAG/7/1Y=")</f>
        <v>#REF!</v>
      </c>
      <c r="CJ164" t="e">
        <f>AND('BBP complete'!#REF!,"AAAAAG/7/1c=")</f>
        <v>#REF!</v>
      </c>
      <c r="CK164" t="e">
        <f>AND('BBP complete'!J1935,"AAAAAG/7/1g=")</f>
        <v>#VALUE!</v>
      </c>
      <c r="CL164" t="e">
        <f>AND('BBP complete'!K1935,"AAAAAG/7/1k=")</f>
        <v>#VALUE!</v>
      </c>
      <c r="CM164" t="e">
        <f>AND('BBP complete'!L1934,"AAAAAG/7/1o=")</f>
        <v>#VALUE!</v>
      </c>
      <c r="CN164" t="e">
        <f>AND('BBP complete'!M1934,"AAAAAG/7/1s=")</f>
        <v>#VALUE!</v>
      </c>
      <c r="CO164" t="e">
        <f>AND('BBP complete'!N1934,"AAAAAG/7/1w=")</f>
        <v>#VALUE!</v>
      </c>
      <c r="CP164" t="e">
        <f>AND('BBP complete'!P1952,"AAAAAG/7/10=")</f>
        <v>#VALUE!</v>
      </c>
      <c r="CQ164" t="e">
        <f>AND('BBP complete'!Q1952,"AAAAAG/7/14=")</f>
        <v>#VALUE!</v>
      </c>
      <c r="CR164" t="e">
        <f>AND('BBP complete'!R1952,"AAAAAG/7/18=")</f>
        <v>#VALUE!</v>
      </c>
      <c r="CS164" t="e">
        <f>AND('BBP complete'!S1952,"AAAAAG/7/2A=")</f>
        <v>#VALUE!</v>
      </c>
      <c r="CT164" t="e">
        <f>AND('BBP complete'!A1939,"AAAAAG/7/2E=")</f>
        <v>#VALUE!</v>
      </c>
      <c r="CU164" t="e">
        <f>AND('BBP complete'!#REF!,"AAAAAG/7/2I=")</f>
        <v>#REF!</v>
      </c>
      <c r="CV164" t="e">
        <f>AND('BBP complete'!D1936,"AAAAAG/7/2M=")</f>
        <v>#VALUE!</v>
      </c>
      <c r="CW164" t="e">
        <f>AND('BBP complete'!H1936,"AAAAAG/7/2Q=")</f>
        <v>#VALUE!</v>
      </c>
      <c r="CX164" t="e">
        <f>AND('BBP complete'!F1935,"AAAAAG/7/2U=")</f>
        <v>#VALUE!</v>
      </c>
      <c r="CY164" t="e">
        <f>AND('BBP complete'!I1934,"AAAAAG/7/2Y=")</f>
        <v>#VALUE!</v>
      </c>
      <c r="CZ164" t="e">
        <f>AND('BBP complete'!#REF!,"AAAAAG/7/2c=")</f>
        <v>#REF!</v>
      </c>
      <c r="DA164" t="e">
        <f>AND('BBP complete'!#REF!,"AAAAAG/7/2g=")</f>
        <v>#REF!</v>
      </c>
      <c r="DB164" t="e">
        <f>AND('BBP complete'!#REF!,"AAAAAG/7/2k=")</f>
        <v>#REF!</v>
      </c>
      <c r="DC164" t="e">
        <f>AND('BBP complete'!J1936,"AAAAAG/7/2o=")</f>
        <v>#VALUE!</v>
      </c>
      <c r="DD164" t="e">
        <f>AND('BBP complete'!K1936,"AAAAAG/7/2s=")</f>
        <v>#VALUE!</v>
      </c>
      <c r="DE164" t="e">
        <f>AND('BBP complete'!L1935,"AAAAAG/7/2w=")</f>
        <v>#VALUE!</v>
      </c>
      <c r="DF164" t="e">
        <f>AND('BBP complete'!M1935,"AAAAAG/7/20=")</f>
        <v>#VALUE!</v>
      </c>
      <c r="DG164" t="e">
        <f>AND('BBP complete'!N1935,"AAAAAG/7/24=")</f>
        <v>#VALUE!</v>
      </c>
      <c r="DH164" t="e">
        <f>AND('BBP complete'!P1953,"AAAAAG/7/28=")</f>
        <v>#VALUE!</v>
      </c>
      <c r="DI164" t="e">
        <f>AND('BBP complete'!Q1953,"AAAAAG/7/3A=")</f>
        <v>#VALUE!</v>
      </c>
      <c r="DJ164" t="e">
        <f>AND('BBP complete'!R1953,"AAAAAG/7/3E=")</f>
        <v>#VALUE!</v>
      </c>
      <c r="DK164" t="e">
        <f>AND('BBP complete'!S1953,"AAAAAG/7/3I=")</f>
        <v>#VALUE!</v>
      </c>
      <c r="DL164" t="e">
        <f>AND('BBP complete'!A1940,"AAAAAG/7/3M=")</f>
        <v>#VALUE!</v>
      </c>
      <c r="DM164" t="e">
        <f>AND('BBP complete'!#REF!,"AAAAAG/7/3Q=")</f>
        <v>#REF!</v>
      </c>
      <c r="DN164" t="e">
        <f>AND('BBP complete'!D1937,"AAAAAG/7/3U=")</f>
        <v>#VALUE!</v>
      </c>
      <c r="DO164" t="e">
        <f>AND('BBP complete'!H1937,"AAAAAG/7/3Y=")</f>
        <v>#VALUE!</v>
      </c>
      <c r="DP164" t="e">
        <f>AND('BBP complete'!F1936,"AAAAAG/7/3c=")</f>
        <v>#VALUE!</v>
      </c>
      <c r="DQ164" t="e">
        <f>AND('BBP complete'!I1935,"AAAAAG/7/3g=")</f>
        <v>#VALUE!</v>
      </c>
      <c r="DR164" t="e">
        <f>AND('BBP complete'!#REF!,"AAAAAG/7/3k=")</f>
        <v>#REF!</v>
      </c>
      <c r="DS164" t="e">
        <f>AND('BBP complete'!#REF!,"AAAAAG/7/3o=")</f>
        <v>#REF!</v>
      </c>
      <c r="DT164" t="e">
        <f>AND('BBP complete'!#REF!,"AAAAAG/7/3s=")</f>
        <v>#REF!</v>
      </c>
      <c r="DU164" t="e">
        <f>AND('BBP complete'!J1937,"AAAAAG/7/3w=")</f>
        <v>#VALUE!</v>
      </c>
      <c r="DV164" t="e">
        <f>AND('BBP complete'!K1937,"AAAAAG/7/30=")</f>
        <v>#VALUE!</v>
      </c>
      <c r="DW164" t="e">
        <f>AND('BBP complete'!L1936,"AAAAAG/7/34=")</f>
        <v>#VALUE!</v>
      </c>
      <c r="DX164" t="e">
        <f>AND('BBP complete'!M1936,"AAAAAG/7/38=")</f>
        <v>#VALUE!</v>
      </c>
      <c r="DY164" t="e">
        <f>AND('BBP complete'!N1936,"AAAAAG/7/4A=")</f>
        <v>#VALUE!</v>
      </c>
      <c r="DZ164" t="e">
        <f>AND('BBP complete'!P1954,"AAAAAG/7/4E=")</f>
        <v>#VALUE!</v>
      </c>
      <c r="EA164" t="e">
        <f>AND('BBP complete'!Q1954,"AAAAAG/7/4I=")</f>
        <v>#VALUE!</v>
      </c>
      <c r="EB164" t="e">
        <f>AND('BBP complete'!R1954,"AAAAAG/7/4M=")</f>
        <v>#VALUE!</v>
      </c>
      <c r="EC164" t="e">
        <f>AND('BBP complete'!S1954,"AAAAAG/7/4Q=")</f>
        <v>#VALUE!</v>
      </c>
      <c r="ED164" t="e">
        <f>AND('BBP complete'!A1941,"AAAAAG/7/4U=")</f>
        <v>#VALUE!</v>
      </c>
      <c r="EE164" t="e">
        <f>AND('BBP complete'!#REF!,"AAAAAG/7/4Y=")</f>
        <v>#REF!</v>
      </c>
      <c r="EF164" t="e">
        <f>AND('BBP complete'!D1938,"AAAAAG/7/4c=")</f>
        <v>#VALUE!</v>
      </c>
      <c r="EG164" t="e">
        <f>AND('BBP complete'!H1938,"AAAAAG/7/4g=")</f>
        <v>#VALUE!</v>
      </c>
      <c r="EH164" t="e">
        <f>AND('BBP complete'!F1937,"AAAAAG/7/4k=")</f>
        <v>#VALUE!</v>
      </c>
      <c r="EI164" t="e">
        <f>AND('BBP complete'!I1936,"AAAAAG/7/4o=")</f>
        <v>#VALUE!</v>
      </c>
      <c r="EJ164" t="e">
        <f>AND('BBP complete'!#REF!,"AAAAAG/7/4s=")</f>
        <v>#REF!</v>
      </c>
      <c r="EK164" t="e">
        <f>AND('BBP complete'!#REF!,"AAAAAG/7/4w=")</f>
        <v>#REF!</v>
      </c>
      <c r="EL164" t="e">
        <f>AND('BBP complete'!#REF!,"AAAAAG/7/40=")</f>
        <v>#REF!</v>
      </c>
      <c r="EM164" t="e">
        <f>AND('BBP complete'!J1938,"AAAAAG/7/44=")</f>
        <v>#VALUE!</v>
      </c>
      <c r="EN164" t="e">
        <f>AND('BBP complete'!K1938,"AAAAAG/7/48=")</f>
        <v>#VALUE!</v>
      </c>
      <c r="EO164" t="e">
        <f>AND('BBP complete'!L1937,"AAAAAG/7/5A=")</f>
        <v>#VALUE!</v>
      </c>
      <c r="EP164" t="e">
        <f>AND('BBP complete'!M1937,"AAAAAG/7/5E=")</f>
        <v>#VALUE!</v>
      </c>
      <c r="EQ164" t="e">
        <f>AND('BBP complete'!N1937,"AAAAAG/7/5I=")</f>
        <v>#VALUE!</v>
      </c>
      <c r="ER164" t="e">
        <f>AND('BBP complete'!P1955,"AAAAAG/7/5M=")</f>
        <v>#VALUE!</v>
      </c>
      <c r="ES164" t="e">
        <f>AND('BBP complete'!Q1955,"AAAAAG/7/5Q=")</f>
        <v>#VALUE!</v>
      </c>
      <c r="ET164" t="e">
        <f>AND('BBP complete'!R1955,"AAAAAG/7/5U=")</f>
        <v>#VALUE!</v>
      </c>
      <c r="EU164" t="e">
        <f>AND('BBP complete'!S1955,"AAAAAG/7/5Y=")</f>
        <v>#VALUE!</v>
      </c>
      <c r="EV164" t="e">
        <f>AND('BBP complete'!A1942,"AAAAAG/7/5c=")</f>
        <v>#VALUE!</v>
      </c>
      <c r="EW164" t="e">
        <f>AND('BBP complete'!#REF!,"AAAAAG/7/5g=")</f>
        <v>#REF!</v>
      </c>
      <c r="EX164" t="e">
        <f>AND('BBP complete'!D1939,"AAAAAG/7/5k=")</f>
        <v>#VALUE!</v>
      </c>
      <c r="EY164" t="e">
        <f>AND('BBP complete'!H1939,"AAAAAG/7/5o=")</f>
        <v>#VALUE!</v>
      </c>
      <c r="EZ164" t="e">
        <f>AND('BBP complete'!F1938,"AAAAAG/7/5s=")</f>
        <v>#VALUE!</v>
      </c>
      <c r="FA164" t="e">
        <f>AND('BBP complete'!I1937,"AAAAAG/7/5w=")</f>
        <v>#VALUE!</v>
      </c>
      <c r="FB164" t="e">
        <f>AND('BBP complete'!#REF!,"AAAAAG/7/50=")</f>
        <v>#REF!</v>
      </c>
      <c r="FC164" t="e">
        <f>AND('BBP complete'!#REF!,"AAAAAG/7/54=")</f>
        <v>#REF!</v>
      </c>
      <c r="FD164" t="e">
        <f>AND('BBP complete'!#REF!,"AAAAAG/7/58=")</f>
        <v>#REF!</v>
      </c>
      <c r="FE164" t="e">
        <f>AND('BBP complete'!J1939,"AAAAAG/7/6A=")</f>
        <v>#VALUE!</v>
      </c>
      <c r="FF164" t="e">
        <f>AND('BBP complete'!K1939,"AAAAAG/7/6E=")</f>
        <v>#VALUE!</v>
      </c>
      <c r="FG164" t="e">
        <f>AND('BBP complete'!L1938,"AAAAAG/7/6I=")</f>
        <v>#VALUE!</v>
      </c>
      <c r="FH164" t="e">
        <f>AND('BBP complete'!M1938,"AAAAAG/7/6M=")</f>
        <v>#VALUE!</v>
      </c>
      <c r="FI164" t="e">
        <f>AND('BBP complete'!N1938,"AAAAAG/7/6Q=")</f>
        <v>#VALUE!</v>
      </c>
      <c r="FJ164" t="e">
        <f>AND('BBP complete'!P1956,"AAAAAG/7/6U=")</f>
        <v>#VALUE!</v>
      </c>
      <c r="FK164" t="e">
        <f>AND('BBP complete'!Q1956,"AAAAAG/7/6Y=")</f>
        <v>#VALUE!</v>
      </c>
      <c r="FL164" t="e">
        <f>AND('BBP complete'!R1956,"AAAAAG/7/6c=")</f>
        <v>#VALUE!</v>
      </c>
      <c r="FM164" t="e">
        <f>AND('BBP complete'!S1956,"AAAAAG/7/6g=")</f>
        <v>#VALUE!</v>
      </c>
      <c r="FN164" t="e">
        <f>AND('BBP complete'!A1943,"AAAAAG/7/6k=")</f>
        <v>#VALUE!</v>
      </c>
      <c r="FO164" t="e">
        <f>AND('BBP complete'!#REF!,"AAAAAG/7/6o=")</f>
        <v>#REF!</v>
      </c>
      <c r="FP164" t="e">
        <f>AND('BBP complete'!D1940,"AAAAAG/7/6s=")</f>
        <v>#VALUE!</v>
      </c>
      <c r="FQ164" t="e">
        <f>AND('BBP complete'!H1940,"AAAAAG/7/6w=")</f>
        <v>#VALUE!</v>
      </c>
      <c r="FR164" t="e">
        <f>AND('BBP complete'!F1939,"AAAAAG/7/60=")</f>
        <v>#VALUE!</v>
      </c>
      <c r="FS164" t="e">
        <f>AND('BBP complete'!I1938,"AAAAAG/7/64=")</f>
        <v>#VALUE!</v>
      </c>
      <c r="FT164" t="e">
        <f>AND('BBP complete'!#REF!,"AAAAAG/7/68=")</f>
        <v>#REF!</v>
      </c>
      <c r="FU164" t="e">
        <f>AND('BBP complete'!#REF!,"AAAAAG/7/7A=")</f>
        <v>#REF!</v>
      </c>
      <c r="FV164" t="e">
        <f>AND('BBP complete'!#REF!,"AAAAAG/7/7E=")</f>
        <v>#REF!</v>
      </c>
      <c r="FW164" t="e">
        <f>AND('BBP complete'!J1940,"AAAAAG/7/7I=")</f>
        <v>#VALUE!</v>
      </c>
      <c r="FX164" t="e">
        <f>AND('BBP complete'!K1940,"AAAAAG/7/7M=")</f>
        <v>#VALUE!</v>
      </c>
      <c r="FY164" t="e">
        <f>AND('BBP complete'!L1939,"AAAAAG/7/7Q=")</f>
        <v>#VALUE!</v>
      </c>
      <c r="FZ164" t="e">
        <f>AND('BBP complete'!M1939,"AAAAAG/7/7U=")</f>
        <v>#VALUE!</v>
      </c>
      <c r="GA164" t="e">
        <f>AND('BBP complete'!N1939,"AAAAAG/7/7Y=")</f>
        <v>#VALUE!</v>
      </c>
      <c r="GB164" t="e">
        <f>AND('BBP complete'!P1957,"AAAAAG/7/7c=")</f>
        <v>#VALUE!</v>
      </c>
      <c r="GC164" t="e">
        <f>AND('BBP complete'!Q1957,"AAAAAG/7/7g=")</f>
        <v>#VALUE!</v>
      </c>
      <c r="GD164" t="e">
        <f>AND('BBP complete'!R1957,"AAAAAG/7/7k=")</f>
        <v>#VALUE!</v>
      </c>
      <c r="GE164" t="e">
        <f>AND('BBP complete'!S1957,"AAAAAG/7/7o=")</f>
        <v>#VALUE!</v>
      </c>
      <c r="GF164" t="e">
        <f>AND('BBP complete'!A1944,"AAAAAG/7/7s=")</f>
        <v>#VALUE!</v>
      </c>
      <c r="GG164" t="e">
        <f>AND('BBP complete'!#REF!,"AAAAAG/7/7w=")</f>
        <v>#REF!</v>
      </c>
      <c r="GH164" t="e">
        <f>AND('BBP complete'!D1941,"AAAAAG/7/70=")</f>
        <v>#VALUE!</v>
      </c>
      <c r="GI164" t="e">
        <f>AND('BBP complete'!H1941,"AAAAAG/7/74=")</f>
        <v>#VALUE!</v>
      </c>
      <c r="GJ164" t="e">
        <f>AND('BBP complete'!F1940,"AAAAAG/7/78=")</f>
        <v>#VALUE!</v>
      </c>
      <c r="GK164" t="e">
        <f>AND('BBP complete'!I1939,"AAAAAG/7/8A=")</f>
        <v>#VALUE!</v>
      </c>
      <c r="GL164" t="e">
        <f>AND('BBP complete'!#REF!,"AAAAAG/7/8E=")</f>
        <v>#REF!</v>
      </c>
      <c r="GM164" t="e">
        <f>AND('BBP complete'!#REF!,"AAAAAG/7/8I=")</f>
        <v>#REF!</v>
      </c>
      <c r="GN164" t="e">
        <f>AND('BBP complete'!#REF!,"AAAAAG/7/8M=")</f>
        <v>#REF!</v>
      </c>
      <c r="GO164" t="e">
        <f>AND('BBP complete'!J1941,"AAAAAG/7/8Q=")</f>
        <v>#VALUE!</v>
      </c>
      <c r="GP164" t="e">
        <f>AND('BBP complete'!K1941,"AAAAAG/7/8U=")</f>
        <v>#VALUE!</v>
      </c>
      <c r="GQ164" t="e">
        <f>AND('BBP complete'!L1940,"AAAAAG/7/8Y=")</f>
        <v>#VALUE!</v>
      </c>
      <c r="GR164" t="e">
        <f>AND('BBP complete'!M1940,"AAAAAG/7/8c=")</f>
        <v>#VALUE!</v>
      </c>
      <c r="GS164" t="e">
        <f>AND('BBP complete'!N1940,"AAAAAG/7/8g=")</f>
        <v>#VALUE!</v>
      </c>
      <c r="GT164" t="e">
        <f>AND('BBP complete'!P1958,"AAAAAG/7/8k=")</f>
        <v>#VALUE!</v>
      </c>
      <c r="GU164" t="e">
        <f>AND('BBP complete'!Q1958,"AAAAAG/7/8o=")</f>
        <v>#VALUE!</v>
      </c>
      <c r="GV164" t="e">
        <f>AND('BBP complete'!R1958,"AAAAAG/7/8s=")</f>
        <v>#VALUE!</v>
      </c>
      <c r="GW164" t="e">
        <f>AND('BBP complete'!S1958,"AAAAAG/7/8w=")</f>
        <v>#VALUE!</v>
      </c>
      <c r="GX164" t="e">
        <f>AND('BBP complete'!A1945,"AAAAAG/7/80=")</f>
        <v>#VALUE!</v>
      </c>
      <c r="GY164" t="e">
        <f>AND('BBP complete'!#REF!,"AAAAAG/7/84=")</f>
        <v>#REF!</v>
      </c>
      <c r="GZ164" t="e">
        <f>AND('BBP complete'!D1942,"AAAAAG/7/88=")</f>
        <v>#VALUE!</v>
      </c>
      <c r="HA164" t="e">
        <f>AND('BBP complete'!H1942,"AAAAAG/7/9A=")</f>
        <v>#VALUE!</v>
      </c>
      <c r="HB164" t="e">
        <f>AND('BBP complete'!F1941,"AAAAAG/7/9E=")</f>
        <v>#VALUE!</v>
      </c>
      <c r="HC164" t="e">
        <f>AND('BBP complete'!I1940,"AAAAAG/7/9I=")</f>
        <v>#VALUE!</v>
      </c>
      <c r="HD164" t="e">
        <f>AND('BBP complete'!#REF!,"AAAAAG/7/9M=")</f>
        <v>#REF!</v>
      </c>
      <c r="HE164" t="e">
        <f>AND('BBP complete'!#REF!,"AAAAAG/7/9Q=")</f>
        <v>#REF!</v>
      </c>
      <c r="HF164" t="e">
        <f>AND('BBP complete'!#REF!,"AAAAAG/7/9U=")</f>
        <v>#REF!</v>
      </c>
      <c r="HG164" t="e">
        <f>AND('BBP complete'!J1942,"AAAAAG/7/9Y=")</f>
        <v>#VALUE!</v>
      </c>
      <c r="HH164" t="e">
        <f>AND('BBP complete'!K1942,"AAAAAG/7/9c=")</f>
        <v>#VALUE!</v>
      </c>
      <c r="HI164" t="e">
        <f>AND('BBP complete'!L1941,"AAAAAG/7/9g=")</f>
        <v>#VALUE!</v>
      </c>
      <c r="HJ164" t="e">
        <f>AND('BBP complete'!M1941,"AAAAAG/7/9k=")</f>
        <v>#VALUE!</v>
      </c>
      <c r="HK164" t="e">
        <f>AND('BBP complete'!N1941,"AAAAAG/7/9o=")</f>
        <v>#VALUE!</v>
      </c>
      <c r="HL164" t="e">
        <f>AND('BBP complete'!P1959,"AAAAAG/7/9s=")</f>
        <v>#VALUE!</v>
      </c>
      <c r="HM164" t="e">
        <f>AND('BBP complete'!Q1959,"AAAAAG/7/9w=")</f>
        <v>#VALUE!</v>
      </c>
      <c r="HN164" t="e">
        <f>AND('BBP complete'!R1959,"AAAAAG/7/90=")</f>
        <v>#VALUE!</v>
      </c>
      <c r="HO164" t="e">
        <f>AND('BBP complete'!S1959,"AAAAAG/7/94=")</f>
        <v>#VALUE!</v>
      </c>
      <c r="HP164" t="e">
        <f>AND('BBP complete'!A1946,"AAAAAG/7/98=")</f>
        <v>#VALUE!</v>
      </c>
      <c r="HQ164" t="e">
        <f>AND('BBP complete'!#REF!,"AAAAAG/7/+A=")</f>
        <v>#REF!</v>
      </c>
      <c r="HR164" t="e">
        <f>AND('BBP complete'!D1943,"AAAAAG/7/+E=")</f>
        <v>#VALUE!</v>
      </c>
      <c r="HS164" t="e">
        <f>AND('BBP complete'!H1943,"AAAAAG/7/+I=")</f>
        <v>#VALUE!</v>
      </c>
      <c r="HT164" t="e">
        <f>AND('BBP complete'!F1942,"AAAAAG/7/+M=")</f>
        <v>#VALUE!</v>
      </c>
      <c r="HU164" t="e">
        <f>AND('BBP complete'!I1941,"AAAAAG/7/+Q=")</f>
        <v>#VALUE!</v>
      </c>
      <c r="HV164" t="e">
        <f>AND('BBP complete'!#REF!,"AAAAAG/7/+U=")</f>
        <v>#REF!</v>
      </c>
      <c r="HW164" t="e">
        <f>AND('BBP complete'!#REF!,"AAAAAG/7/+Y=")</f>
        <v>#REF!</v>
      </c>
      <c r="HX164" t="e">
        <f>AND('BBP complete'!#REF!,"AAAAAG/7/+c=")</f>
        <v>#REF!</v>
      </c>
      <c r="HY164" t="e">
        <f>AND('BBP complete'!J1943,"AAAAAG/7/+g=")</f>
        <v>#VALUE!</v>
      </c>
      <c r="HZ164" t="e">
        <f>AND('BBP complete'!K1943,"AAAAAG/7/+k=")</f>
        <v>#VALUE!</v>
      </c>
      <c r="IA164" t="e">
        <f>AND('BBP complete'!L1942,"AAAAAG/7/+o=")</f>
        <v>#VALUE!</v>
      </c>
      <c r="IB164" t="e">
        <f>AND('BBP complete'!M1942,"AAAAAG/7/+s=")</f>
        <v>#VALUE!</v>
      </c>
      <c r="IC164" t="e">
        <f>AND('BBP complete'!N1942,"AAAAAG/7/+w=")</f>
        <v>#VALUE!</v>
      </c>
      <c r="ID164" t="e">
        <f>AND('BBP complete'!P1960,"AAAAAG/7/+0=")</f>
        <v>#VALUE!</v>
      </c>
      <c r="IE164" t="e">
        <f>AND('BBP complete'!Q1960,"AAAAAG/7/+4=")</f>
        <v>#VALUE!</v>
      </c>
      <c r="IF164" t="e">
        <f>AND('BBP complete'!R1960,"AAAAAG/7/+8=")</f>
        <v>#VALUE!</v>
      </c>
      <c r="IG164" t="e">
        <f>AND('BBP complete'!S1960,"AAAAAG/7//A=")</f>
        <v>#VALUE!</v>
      </c>
      <c r="IH164" t="e">
        <f>AND('BBP complete'!A1947,"AAAAAG/7//E=")</f>
        <v>#VALUE!</v>
      </c>
      <c r="II164" t="e">
        <f>AND('BBP complete'!#REF!,"AAAAAG/7//I=")</f>
        <v>#REF!</v>
      </c>
      <c r="IJ164" t="e">
        <f>AND('BBP complete'!D1944,"AAAAAG/7//M=")</f>
        <v>#VALUE!</v>
      </c>
      <c r="IK164" t="e">
        <f>AND('BBP complete'!H1944,"AAAAAG/7//Q=")</f>
        <v>#VALUE!</v>
      </c>
      <c r="IL164" t="e">
        <f>AND('BBP complete'!F1943,"AAAAAG/7//U=")</f>
        <v>#VALUE!</v>
      </c>
      <c r="IM164" t="e">
        <f>AND('BBP complete'!I1942,"AAAAAG/7//Y=")</f>
        <v>#VALUE!</v>
      </c>
      <c r="IN164" t="e">
        <f>AND('BBP complete'!#REF!,"AAAAAG/7//c=")</f>
        <v>#REF!</v>
      </c>
      <c r="IO164" t="e">
        <f>AND('BBP complete'!#REF!,"AAAAAG/7//g=")</f>
        <v>#REF!</v>
      </c>
      <c r="IP164" t="e">
        <f>AND('BBP complete'!#REF!,"AAAAAG/7//k=")</f>
        <v>#REF!</v>
      </c>
      <c r="IQ164" t="e">
        <f>AND('BBP complete'!J1944,"AAAAAG/7//o=")</f>
        <v>#VALUE!</v>
      </c>
      <c r="IR164" t="e">
        <f>AND('BBP complete'!K1944,"AAAAAG/7//s=")</f>
        <v>#VALUE!</v>
      </c>
      <c r="IS164" t="e">
        <f>AND('BBP complete'!L1943,"AAAAAG/7//w=")</f>
        <v>#VALUE!</v>
      </c>
      <c r="IT164" t="e">
        <f>AND('BBP complete'!M1943,"AAAAAG/7//0=")</f>
        <v>#VALUE!</v>
      </c>
      <c r="IU164" t="e">
        <f>AND('BBP complete'!N1943,"AAAAAG/7//4=")</f>
        <v>#VALUE!</v>
      </c>
      <c r="IV164" t="e">
        <f>AND('BBP complete'!P1961,"AAAAAG/7//8=")</f>
        <v>#VALUE!</v>
      </c>
    </row>
    <row r="165" spans="1:256" ht="15" customHeight="1" x14ac:dyDescent="0.25">
      <c r="A165" t="e">
        <f>AND('BBP complete'!Q1961,"AAAAAHb/bgA=")</f>
        <v>#VALUE!</v>
      </c>
      <c r="B165" t="e">
        <f>AND('BBP complete'!R1961,"AAAAAHb/bgE=")</f>
        <v>#VALUE!</v>
      </c>
      <c r="C165" t="e">
        <f>AND('BBP complete'!S1961,"AAAAAHb/bgI=")</f>
        <v>#VALUE!</v>
      </c>
      <c r="D165" t="e">
        <f>AND('BBP complete'!A1948,"AAAAAHb/bgM=")</f>
        <v>#VALUE!</v>
      </c>
      <c r="E165" t="e">
        <f>AND('BBP complete'!#REF!,"AAAAAHb/bgQ=")</f>
        <v>#REF!</v>
      </c>
      <c r="F165" t="e">
        <f>AND('BBP complete'!D1945,"AAAAAHb/bgU=")</f>
        <v>#VALUE!</v>
      </c>
      <c r="G165" t="e">
        <f>AND('BBP complete'!H1945,"AAAAAHb/bgY=")</f>
        <v>#VALUE!</v>
      </c>
      <c r="H165" t="e">
        <f>AND('BBP complete'!F1944,"AAAAAHb/bgc=")</f>
        <v>#VALUE!</v>
      </c>
      <c r="I165" t="e">
        <f>AND('BBP complete'!I1943,"AAAAAHb/bgg=")</f>
        <v>#VALUE!</v>
      </c>
      <c r="J165" t="e">
        <f>AND('BBP complete'!#REF!,"AAAAAHb/bgk=")</f>
        <v>#REF!</v>
      </c>
      <c r="K165" t="e">
        <f>AND('BBP complete'!#REF!,"AAAAAHb/bgo=")</f>
        <v>#REF!</v>
      </c>
      <c r="L165" t="e">
        <f>AND('BBP complete'!#REF!,"AAAAAHb/bgs=")</f>
        <v>#REF!</v>
      </c>
      <c r="M165" t="e">
        <f>AND('BBP complete'!J1945,"AAAAAHb/bgw=")</f>
        <v>#VALUE!</v>
      </c>
      <c r="N165" t="e">
        <f>AND('BBP complete'!K1945,"AAAAAHb/bg0=")</f>
        <v>#VALUE!</v>
      </c>
      <c r="O165" t="e">
        <f>AND('BBP complete'!L1944,"AAAAAHb/bg4=")</f>
        <v>#VALUE!</v>
      </c>
      <c r="P165" t="e">
        <f>AND('BBP complete'!M1944,"AAAAAHb/bg8=")</f>
        <v>#VALUE!</v>
      </c>
      <c r="Q165" t="e">
        <f>AND('BBP complete'!N1944,"AAAAAHb/bhA=")</f>
        <v>#VALUE!</v>
      </c>
      <c r="R165" t="e">
        <f>AND('BBP complete'!P1962,"AAAAAHb/bhE=")</f>
        <v>#VALUE!</v>
      </c>
      <c r="S165" t="e">
        <f>AND('BBP complete'!Q1962,"AAAAAHb/bhI=")</f>
        <v>#VALUE!</v>
      </c>
      <c r="T165" t="e">
        <f>AND('BBP complete'!R1962,"AAAAAHb/bhM=")</f>
        <v>#VALUE!</v>
      </c>
      <c r="U165" t="e">
        <f>AND('BBP complete'!S1962,"AAAAAHb/bhQ=")</f>
        <v>#VALUE!</v>
      </c>
      <c r="V165" t="e">
        <f>AND('BBP complete'!A1949,"AAAAAHb/bhU=")</f>
        <v>#VALUE!</v>
      </c>
      <c r="W165" t="e">
        <f>AND('BBP complete'!#REF!,"AAAAAHb/bhY=")</f>
        <v>#REF!</v>
      </c>
      <c r="X165" t="e">
        <f>AND('BBP complete'!D1946,"AAAAAHb/bhc=")</f>
        <v>#VALUE!</v>
      </c>
      <c r="Y165" t="e">
        <f>AND('BBP complete'!H1946,"AAAAAHb/bhg=")</f>
        <v>#VALUE!</v>
      </c>
      <c r="Z165" t="e">
        <f>AND('BBP complete'!F1945,"AAAAAHb/bhk=")</f>
        <v>#VALUE!</v>
      </c>
      <c r="AA165" t="e">
        <f>AND('BBP complete'!I1944,"AAAAAHb/bho=")</f>
        <v>#VALUE!</v>
      </c>
      <c r="AB165" t="e">
        <f>AND('BBP complete'!#REF!,"AAAAAHb/bhs=")</f>
        <v>#REF!</v>
      </c>
      <c r="AC165" t="e">
        <f>AND('BBP complete'!#REF!,"AAAAAHb/bhw=")</f>
        <v>#REF!</v>
      </c>
      <c r="AD165" t="e">
        <f>AND('BBP complete'!#REF!,"AAAAAHb/bh0=")</f>
        <v>#REF!</v>
      </c>
      <c r="AE165" t="e">
        <f>AND('BBP complete'!J1946,"AAAAAHb/bh4=")</f>
        <v>#VALUE!</v>
      </c>
      <c r="AF165" t="e">
        <f>AND('BBP complete'!K1946,"AAAAAHb/bh8=")</f>
        <v>#VALUE!</v>
      </c>
      <c r="AG165" t="e">
        <f>AND('BBP complete'!L1945,"AAAAAHb/biA=")</f>
        <v>#VALUE!</v>
      </c>
      <c r="AH165" t="e">
        <f>AND('BBP complete'!M1945,"AAAAAHb/biE=")</f>
        <v>#VALUE!</v>
      </c>
      <c r="AI165" t="e">
        <f>AND('BBP complete'!N1945,"AAAAAHb/biI=")</f>
        <v>#VALUE!</v>
      </c>
      <c r="AJ165" t="e">
        <f>AND('BBP complete'!P1963,"AAAAAHb/biM=")</f>
        <v>#VALUE!</v>
      </c>
      <c r="AK165" t="e">
        <f>AND('BBP complete'!Q1963,"AAAAAHb/biQ=")</f>
        <v>#VALUE!</v>
      </c>
      <c r="AL165" t="e">
        <f>AND('BBP complete'!R1963,"AAAAAHb/biU=")</f>
        <v>#VALUE!</v>
      </c>
      <c r="AM165" t="e">
        <f>AND('BBP complete'!S1963,"AAAAAHb/biY=")</f>
        <v>#VALUE!</v>
      </c>
      <c r="AN165" t="e">
        <f>AND('BBP complete'!A1950,"AAAAAHb/bic=")</f>
        <v>#VALUE!</v>
      </c>
      <c r="AO165" t="e">
        <f>AND('BBP complete'!#REF!,"AAAAAHb/big=")</f>
        <v>#REF!</v>
      </c>
      <c r="AP165" t="e">
        <f>AND('BBP complete'!D1947,"AAAAAHb/bik=")</f>
        <v>#VALUE!</v>
      </c>
      <c r="AQ165" t="e">
        <f>AND('BBP complete'!H1947,"AAAAAHb/bio=")</f>
        <v>#VALUE!</v>
      </c>
      <c r="AR165" t="e">
        <f>AND('BBP complete'!F1946,"AAAAAHb/bis=")</f>
        <v>#VALUE!</v>
      </c>
      <c r="AS165" t="e">
        <f>AND('BBP complete'!I1945,"AAAAAHb/biw=")</f>
        <v>#VALUE!</v>
      </c>
      <c r="AT165" t="e">
        <f>AND('BBP complete'!#REF!,"AAAAAHb/bi0=")</f>
        <v>#REF!</v>
      </c>
      <c r="AU165" t="e">
        <f>AND('BBP complete'!#REF!,"AAAAAHb/bi4=")</f>
        <v>#REF!</v>
      </c>
      <c r="AV165" t="e">
        <f>AND('BBP complete'!#REF!,"AAAAAHb/bi8=")</f>
        <v>#REF!</v>
      </c>
      <c r="AW165" t="e">
        <f>AND('BBP complete'!J1947,"AAAAAHb/bjA=")</f>
        <v>#VALUE!</v>
      </c>
      <c r="AX165" t="e">
        <f>AND('BBP complete'!K1947,"AAAAAHb/bjE=")</f>
        <v>#VALUE!</v>
      </c>
      <c r="AY165" t="e">
        <f>AND('BBP complete'!L1946,"AAAAAHb/bjI=")</f>
        <v>#VALUE!</v>
      </c>
      <c r="AZ165" t="e">
        <f>AND('BBP complete'!M1946,"AAAAAHb/bjM=")</f>
        <v>#VALUE!</v>
      </c>
      <c r="BA165" t="e">
        <f>AND('BBP complete'!N1946,"AAAAAHb/bjQ=")</f>
        <v>#VALUE!</v>
      </c>
      <c r="BB165" t="e">
        <f>AND('BBP complete'!P1964,"AAAAAHb/bjU=")</f>
        <v>#VALUE!</v>
      </c>
      <c r="BC165" t="e">
        <f>AND('BBP complete'!Q1964,"AAAAAHb/bjY=")</f>
        <v>#VALUE!</v>
      </c>
      <c r="BD165" t="e">
        <f>AND('BBP complete'!R1964,"AAAAAHb/bjc=")</f>
        <v>#VALUE!</v>
      </c>
      <c r="BE165" t="e">
        <f>AND('BBP complete'!S1964,"AAAAAHb/bjg=")</f>
        <v>#VALUE!</v>
      </c>
      <c r="BF165" t="e">
        <f>AND('BBP complete'!A1951,"AAAAAHb/bjk=")</f>
        <v>#VALUE!</v>
      </c>
      <c r="BG165" t="e">
        <f>AND('BBP complete'!#REF!,"AAAAAHb/bjo=")</f>
        <v>#REF!</v>
      </c>
      <c r="BH165" t="e">
        <f>AND('BBP complete'!D1948,"AAAAAHb/bjs=")</f>
        <v>#VALUE!</v>
      </c>
      <c r="BI165" t="e">
        <f>AND('BBP complete'!H1948,"AAAAAHb/bjw=")</f>
        <v>#VALUE!</v>
      </c>
      <c r="BJ165" t="e">
        <f>AND('BBP complete'!F1947,"AAAAAHb/bj0=")</f>
        <v>#VALUE!</v>
      </c>
      <c r="BK165" t="e">
        <f>AND('BBP complete'!I1946,"AAAAAHb/bj4=")</f>
        <v>#VALUE!</v>
      </c>
      <c r="BL165" t="e">
        <f>AND('BBP complete'!#REF!,"AAAAAHb/bj8=")</f>
        <v>#REF!</v>
      </c>
      <c r="BM165" t="e">
        <f>AND('BBP complete'!#REF!,"AAAAAHb/bkA=")</f>
        <v>#REF!</v>
      </c>
      <c r="BN165" t="e">
        <f>AND('BBP complete'!#REF!,"AAAAAHb/bkE=")</f>
        <v>#REF!</v>
      </c>
      <c r="BO165" t="e">
        <f>AND('BBP complete'!J1948,"AAAAAHb/bkI=")</f>
        <v>#VALUE!</v>
      </c>
      <c r="BP165" t="e">
        <f>AND('BBP complete'!K1948,"AAAAAHb/bkM=")</f>
        <v>#VALUE!</v>
      </c>
      <c r="BQ165" t="e">
        <f>AND('BBP complete'!L1947,"AAAAAHb/bkQ=")</f>
        <v>#VALUE!</v>
      </c>
      <c r="BR165" t="e">
        <f>AND('BBP complete'!M1947,"AAAAAHb/bkU=")</f>
        <v>#VALUE!</v>
      </c>
      <c r="BS165" t="e">
        <f>AND('BBP complete'!N1947,"AAAAAHb/bkY=")</f>
        <v>#VALUE!</v>
      </c>
      <c r="BT165" t="e">
        <f>AND('BBP complete'!P1965,"AAAAAHb/bkc=")</f>
        <v>#VALUE!</v>
      </c>
      <c r="BU165" t="e">
        <f>AND('BBP complete'!Q1965,"AAAAAHb/bkg=")</f>
        <v>#VALUE!</v>
      </c>
      <c r="BV165" t="e">
        <f>AND('BBP complete'!R1965,"AAAAAHb/bkk=")</f>
        <v>#VALUE!</v>
      </c>
      <c r="BW165" t="e">
        <f>AND('BBP complete'!S1965,"AAAAAHb/bko=")</f>
        <v>#VALUE!</v>
      </c>
      <c r="BX165" t="e">
        <f>AND('BBP complete'!A1952,"AAAAAHb/bks=")</f>
        <v>#VALUE!</v>
      </c>
      <c r="BY165" t="e">
        <f>AND('BBP complete'!#REF!,"AAAAAHb/bkw=")</f>
        <v>#REF!</v>
      </c>
      <c r="BZ165" t="e">
        <f>AND('BBP complete'!D1949,"AAAAAHb/bk0=")</f>
        <v>#VALUE!</v>
      </c>
      <c r="CA165" t="e">
        <f>AND('BBP complete'!H1949,"AAAAAHb/bk4=")</f>
        <v>#VALUE!</v>
      </c>
      <c r="CB165" t="e">
        <f>AND('BBP complete'!F1948,"AAAAAHb/bk8=")</f>
        <v>#VALUE!</v>
      </c>
      <c r="CC165" t="e">
        <f>AND('BBP complete'!I1947,"AAAAAHb/blA=")</f>
        <v>#VALUE!</v>
      </c>
      <c r="CD165" t="e">
        <f>AND('BBP complete'!#REF!,"AAAAAHb/blE=")</f>
        <v>#REF!</v>
      </c>
      <c r="CE165" t="e">
        <f>AND('BBP complete'!#REF!,"AAAAAHb/blI=")</f>
        <v>#REF!</v>
      </c>
      <c r="CF165" t="e">
        <f>AND('BBP complete'!#REF!,"AAAAAHb/blM=")</f>
        <v>#REF!</v>
      </c>
      <c r="CG165" t="e">
        <f>AND('BBP complete'!J1949,"AAAAAHb/blQ=")</f>
        <v>#VALUE!</v>
      </c>
      <c r="CH165" t="e">
        <f>AND('BBP complete'!K1949,"AAAAAHb/blU=")</f>
        <v>#VALUE!</v>
      </c>
      <c r="CI165" t="e">
        <f>AND('BBP complete'!L1948,"AAAAAHb/blY=")</f>
        <v>#VALUE!</v>
      </c>
      <c r="CJ165" t="e">
        <f>AND('BBP complete'!M1948,"AAAAAHb/blc=")</f>
        <v>#VALUE!</v>
      </c>
      <c r="CK165" t="e">
        <f>AND('BBP complete'!N1948,"AAAAAHb/blg=")</f>
        <v>#VALUE!</v>
      </c>
      <c r="CL165" t="e">
        <f>AND('BBP complete'!P1966,"AAAAAHb/blk=")</f>
        <v>#VALUE!</v>
      </c>
      <c r="CM165" t="e">
        <f>AND('BBP complete'!Q1966,"AAAAAHb/blo=")</f>
        <v>#VALUE!</v>
      </c>
      <c r="CN165" t="e">
        <f>AND('BBP complete'!R1966,"AAAAAHb/bls=")</f>
        <v>#VALUE!</v>
      </c>
      <c r="CO165" t="e">
        <f>AND('BBP complete'!S1966,"AAAAAHb/blw=")</f>
        <v>#VALUE!</v>
      </c>
      <c r="CP165" t="e">
        <f>AND('BBP complete'!A1953,"AAAAAHb/bl0=")</f>
        <v>#VALUE!</v>
      </c>
      <c r="CQ165" t="e">
        <f>AND('BBP complete'!#REF!,"AAAAAHb/bl4=")</f>
        <v>#REF!</v>
      </c>
      <c r="CR165" t="e">
        <f>AND('BBP complete'!D1950,"AAAAAHb/bl8=")</f>
        <v>#VALUE!</v>
      </c>
      <c r="CS165" t="e">
        <f>AND('BBP complete'!H1950,"AAAAAHb/bmA=")</f>
        <v>#VALUE!</v>
      </c>
      <c r="CT165" t="e">
        <f>AND('BBP complete'!F1949,"AAAAAHb/bmE=")</f>
        <v>#VALUE!</v>
      </c>
      <c r="CU165" t="e">
        <f>AND('BBP complete'!I1948,"AAAAAHb/bmI=")</f>
        <v>#VALUE!</v>
      </c>
      <c r="CV165" t="e">
        <f>AND('BBP complete'!#REF!,"AAAAAHb/bmM=")</f>
        <v>#REF!</v>
      </c>
      <c r="CW165" t="e">
        <f>AND('BBP complete'!#REF!,"AAAAAHb/bmQ=")</f>
        <v>#REF!</v>
      </c>
      <c r="CX165" t="e">
        <f>AND('BBP complete'!#REF!,"AAAAAHb/bmU=")</f>
        <v>#REF!</v>
      </c>
      <c r="CY165" t="e">
        <f>AND('BBP complete'!J1950,"AAAAAHb/bmY=")</f>
        <v>#VALUE!</v>
      </c>
      <c r="CZ165" t="e">
        <f>AND('BBP complete'!K1950,"AAAAAHb/bmc=")</f>
        <v>#VALUE!</v>
      </c>
      <c r="DA165" t="e">
        <f>AND('BBP complete'!L1949,"AAAAAHb/bmg=")</f>
        <v>#VALUE!</v>
      </c>
      <c r="DB165" t="e">
        <f>AND('BBP complete'!M1949,"AAAAAHb/bmk=")</f>
        <v>#VALUE!</v>
      </c>
      <c r="DC165" t="e">
        <f>AND('BBP complete'!N1949,"AAAAAHb/bmo=")</f>
        <v>#VALUE!</v>
      </c>
      <c r="DD165" t="e">
        <f>AND('BBP complete'!P1967,"AAAAAHb/bms=")</f>
        <v>#VALUE!</v>
      </c>
      <c r="DE165" t="e">
        <f>AND('BBP complete'!Q1967,"AAAAAHb/bmw=")</f>
        <v>#VALUE!</v>
      </c>
      <c r="DF165" t="e">
        <f>AND('BBP complete'!R1967,"AAAAAHb/bm0=")</f>
        <v>#VALUE!</v>
      </c>
      <c r="DG165" t="e">
        <f>AND('BBP complete'!S1967,"AAAAAHb/bm4=")</f>
        <v>#VALUE!</v>
      </c>
      <c r="DH165" t="e">
        <f>AND('BBP complete'!A1954,"AAAAAHb/bm8=")</f>
        <v>#VALUE!</v>
      </c>
      <c r="DI165" t="e">
        <f>AND('BBP complete'!#REF!,"AAAAAHb/bnA=")</f>
        <v>#REF!</v>
      </c>
      <c r="DJ165" t="e">
        <f>AND('BBP complete'!D1951,"AAAAAHb/bnE=")</f>
        <v>#VALUE!</v>
      </c>
      <c r="DK165" t="e">
        <f>AND('BBP complete'!H1951,"AAAAAHb/bnI=")</f>
        <v>#VALUE!</v>
      </c>
      <c r="DL165" t="e">
        <f>AND('BBP complete'!F1950,"AAAAAHb/bnM=")</f>
        <v>#VALUE!</v>
      </c>
      <c r="DM165" t="e">
        <f>AND('BBP complete'!I1949,"AAAAAHb/bnQ=")</f>
        <v>#VALUE!</v>
      </c>
      <c r="DN165" t="e">
        <f>AND('BBP complete'!#REF!,"AAAAAHb/bnU=")</f>
        <v>#REF!</v>
      </c>
      <c r="DO165" t="e">
        <f>AND('BBP complete'!#REF!,"AAAAAHb/bnY=")</f>
        <v>#REF!</v>
      </c>
      <c r="DP165" t="e">
        <f>AND('BBP complete'!#REF!,"AAAAAHb/bnc=")</f>
        <v>#REF!</v>
      </c>
      <c r="DQ165" t="e">
        <f>AND('BBP complete'!J1951,"AAAAAHb/bng=")</f>
        <v>#VALUE!</v>
      </c>
      <c r="DR165" t="e">
        <f>AND('BBP complete'!K1951,"AAAAAHb/bnk=")</f>
        <v>#VALUE!</v>
      </c>
      <c r="DS165" t="e">
        <f>AND('BBP complete'!L1950,"AAAAAHb/bno=")</f>
        <v>#VALUE!</v>
      </c>
      <c r="DT165" t="e">
        <f>AND('BBP complete'!M1950,"AAAAAHb/bns=")</f>
        <v>#VALUE!</v>
      </c>
      <c r="DU165" t="e">
        <f>AND('BBP complete'!N1950,"AAAAAHb/bnw=")</f>
        <v>#VALUE!</v>
      </c>
      <c r="DV165" t="e">
        <f>AND('BBP complete'!P1968,"AAAAAHb/bn0=")</f>
        <v>#VALUE!</v>
      </c>
      <c r="DW165" t="e">
        <f>AND('BBP complete'!Q1968,"AAAAAHb/bn4=")</f>
        <v>#VALUE!</v>
      </c>
      <c r="DX165" t="e">
        <f>AND('BBP complete'!R1968,"AAAAAHb/bn8=")</f>
        <v>#VALUE!</v>
      </c>
      <c r="DY165" t="e">
        <f>AND('BBP complete'!S1968,"AAAAAHb/boA=")</f>
        <v>#VALUE!</v>
      </c>
      <c r="DZ165" t="e">
        <f>AND('BBP complete'!A1955,"AAAAAHb/boE=")</f>
        <v>#VALUE!</v>
      </c>
      <c r="EA165" t="e">
        <f>AND('BBP complete'!#REF!,"AAAAAHb/boI=")</f>
        <v>#REF!</v>
      </c>
      <c r="EB165" t="e">
        <f>AND('BBP complete'!D1952,"AAAAAHb/boM=")</f>
        <v>#VALUE!</v>
      </c>
      <c r="EC165" t="e">
        <f>AND('BBP complete'!H1952,"AAAAAHb/boQ=")</f>
        <v>#VALUE!</v>
      </c>
      <c r="ED165" t="e">
        <f>AND('BBP complete'!F1951,"AAAAAHb/boU=")</f>
        <v>#VALUE!</v>
      </c>
      <c r="EE165" t="e">
        <f>AND('BBP complete'!I1950,"AAAAAHb/boY=")</f>
        <v>#VALUE!</v>
      </c>
      <c r="EF165" t="e">
        <f>AND('BBP complete'!#REF!,"AAAAAHb/boc=")</f>
        <v>#REF!</v>
      </c>
      <c r="EG165" t="e">
        <f>AND('BBP complete'!#REF!,"AAAAAHb/bog=")</f>
        <v>#REF!</v>
      </c>
      <c r="EH165" t="e">
        <f>AND('BBP complete'!#REF!,"AAAAAHb/bok=")</f>
        <v>#REF!</v>
      </c>
      <c r="EI165" t="e">
        <f>AND('BBP complete'!J1952,"AAAAAHb/boo=")</f>
        <v>#VALUE!</v>
      </c>
      <c r="EJ165" t="e">
        <f>AND('BBP complete'!K1952,"AAAAAHb/bos=")</f>
        <v>#VALUE!</v>
      </c>
      <c r="EK165" t="e">
        <f>AND('BBP complete'!L1951,"AAAAAHb/bow=")</f>
        <v>#VALUE!</v>
      </c>
      <c r="EL165" t="e">
        <f>AND('BBP complete'!M1951,"AAAAAHb/bo0=")</f>
        <v>#VALUE!</v>
      </c>
      <c r="EM165" t="e">
        <f>AND('BBP complete'!N1951,"AAAAAHb/bo4=")</f>
        <v>#VALUE!</v>
      </c>
      <c r="EN165" t="e">
        <f>AND('BBP complete'!P1969,"AAAAAHb/bo8=")</f>
        <v>#VALUE!</v>
      </c>
      <c r="EO165" t="e">
        <f>AND('BBP complete'!Q1969,"AAAAAHb/bpA=")</f>
        <v>#VALUE!</v>
      </c>
      <c r="EP165" t="e">
        <f>AND('BBP complete'!R1969,"AAAAAHb/bpE=")</f>
        <v>#VALUE!</v>
      </c>
      <c r="EQ165" t="e">
        <f>AND('BBP complete'!S1969,"AAAAAHb/bpI=")</f>
        <v>#VALUE!</v>
      </c>
      <c r="ER165" t="e">
        <f>AND('BBP complete'!A1956,"AAAAAHb/bpM=")</f>
        <v>#VALUE!</v>
      </c>
      <c r="ES165" t="e">
        <f>AND('BBP complete'!#REF!,"AAAAAHb/bpQ=")</f>
        <v>#REF!</v>
      </c>
      <c r="ET165" t="e">
        <f>AND('BBP complete'!D1953,"AAAAAHb/bpU=")</f>
        <v>#VALUE!</v>
      </c>
      <c r="EU165" t="e">
        <f>AND('BBP complete'!H1953,"AAAAAHb/bpY=")</f>
        <v>#VALUE!</v>
      </c>
      <c r="EV165" t="e">
        <f>AND('BBP complete'!F1952,"AAAAAHb/bpc=")</f>
        <v>#VALUE!</v>
      </c>
      <c r="EW165" t="e">
        <f>AND('BBP complete'!I1951,"AAAAAHb/bpg=")</f>
        <v>#VALUE!</v>
      </c>
      <c r="EX165" t="e">
        <f>AND('BBP complete'!#REF!,"AAAAAHb/bpk=")</f>
        <v>#REF!</v>
      </c>
      <c r="EY165" t="e">
        <f>AND('BBP complete'!#REF!,"AAAAAHb/bpo=")</f>
        <v>#REF!</v>
      </c>
      <c r="EZ165" t="e">
        <f>AND('BBP complete'!#REF!,"AAAAAHb/bps=")</f>
        <v>#REF!</v>
      </c>
      <c r="FA165" t="e">
        <f>AND('BBP complete'!J1953,"AAAAAHb/bpw=")</f>
        <v>#VALUE!</v>
      </c>
      <c r="FB165" t="e">
        <f>AND('BBP complete'!K1953,"AAAAAHb/bp0=")</f>
        <v>#VALUE!</v>
      </c>
      <c r="FC165" t="e">
        <f>AND('BBP complete'!L1952,"AAAAAHb/bp4=")</f>
        <v>#VALUE!</v>
      </c>
      <c r="FD165" t="e">
        <f>AND('BBP complete'!M1952,"AAAAAHb/bp8=")</f>
        <v>#VALUE!</v>
      </c>
      <c r="FE165" t="e">
        <f>AND('BBP complete'!N1952,"AAAAAHb/bqA=")</f>
        <v>#VALUE!</v>
      </c>
      <c r="FF165" t="e">
        <f>AND('BBP complete'!P1970,"AAAAAHb/bqE=")</f>
        <v>#VALUE!</v>
      </c>
      <c r="FG165" t="e">
        <f>AND('BBP complete'!Q1970,"AAAAAHb/bqI=")</f>
        <v>#VALUE!</v>
      </c>
      <c r="FH165" t="e">
        <f>AND('BBP complete'!R1970,"AAAAAHb/bqM=")</f>
        <v>#VALUE!</v>
      </c>
      <c r="FI165" t="e">
        <f>AND('BBP complete'!S1970,"AAAAAHb/bqQ=")</f>
        <v>#VALUE!</v>
      </c>
      <c r="FJ165" t="e">
        <f>AND('BBP complete'!A1957,"AAAAAHb/bqU=")</f>
        <v>#VALUE!</v>
      </c>
      <c r="FK165" t="e">
        <f>AND('BBP complete'!#REF!,"AAAAAHb/bqY=")</f>
        <v>#REF!</v>
      </c>
      <c r="FL165" t="e">
        <f>AND('BBP complete'!D1954,"AAAAAHb/bqc=")</f>
        <v>#VALUE!</v>
      </c>
      <c r="FM165" t="e">
        <f>AND('BBP complete'!H1954,"AAAAAHb/bqg=")</f>
        <v>#VALUE!</v>
      </c>
      <c r="FN165" t="e">
        <f>AND('BBP complete'!F1953,"AAAAAHb/bqk=")</f>
        <v>#VALUE!</v>
      </c>
      <c r="FO165" t="e">
        <f>AND('BBP complete'!I1952,"AAAAAHb/bqo=")</f>
        <v>#VALUE!</v>
      </c>
      <c r="FP165" t="e">
        <f>AND('BBP complete'!#REF!,"AAAAAHb/bqs=")</f>
        <v>#REF!</v>
      </c>
      <c r="FQ165" t="e">
        <f>AND('BBP complete'!#REF!,"AAAAAHb/bqw=")</f>
        <v>#REF!</v>
      </c>
      <c r="FR165" t="e">
        <f>AND('BBP complete'!#REF!,"AAAAAHb/bq0=")</f>
        <v>#REF!</v>
      </c>
      <c r="FS165" t="e">
        <f>AND('BBP complete'!J1954,"AAAAAHb/bq4=")</f>
        <v>#VALUE!</v>
      </c>
      <c r="FT165" t="e">
        <f>AND('BBP complete'!K1954,"AAAAAHb/bq8=")</f>
        <v>#VALUE!</v>
      </c>
      <c r="FU165" t="e">
        <f>AND('BBP complete'!L1953,"AAAAAHb/brA=")</f>
        <v>#VALUE!</v>
      </c>
      <c r="FV165" t="e">
        <f>AND('BBP complete'!M1953,"AAAAAHb/brE=")</f>
        <v>#VALUE!</v>
      </c>
      <c r="FW165" t="e">
        <f>AND('BBP complete'!N1953,"AAAAAHb/brI=")</f>
        <v>#VALUE!</v>
      </c>
      <c r="FX165" t="e">
        <f>AND('BBP complete'!P1971,"AAAAAHb/brM=")</f>
        <v>#VALUE!</v>
      </c>
      <c r="FY165" t="e">
        <f>AND('BBP complete'!Q1971,"AAAAAHb/brQ=")</f>
        <v>#VALUE!</v>
      </c>
      <c r="FZ165" t="e">
        <f>AND('BBP complete'!R1971,"AAAAAHb/brU=")</f>
        <v>#VALUE!</v>
      </c>
      <c r="GA165" t="e">
        <f>AND('BBP complete'!S1971,"AAAAAHb/brY=")</f>
        <v>#VALUE!</v>
      </c>
      <c r="GB165" t="e">
        <f>AND('BBP complete'!A1958,"AAAAAHb/brc=")</f>
        <v>#VALUE!</v>
      </c>
      <c r="GC165" t="e">
        <f>AND('BBP complete'!#REF!,"AAAAAHb/brg=")</f>
        <v>#REF!</v>
      </c>
      <c r="GD165" t="e">
        <f>AND('BBP complete'!D1955,"AAAAAHb/brk=")</f>
        <v>#VALUE!</v>
      </c>
      <c r="GE165" t="e">
        <f>AND('BBP complete'!H1955,"AAAAAHb/bro=")</f>
        <v>#VALUE!</v>
      </c>
      <c r="GF165" t="e">
        <f>AND('BBP complete'!F1954,"AAAAAHb/brs=")</f>
        <v>#VALUE!</v>
      </c>
      <c r="GG165" t="e">
        <f>AND('BBP complete'!I1953,"AAAAAHb/brw=")</f>
        <v>#VALUE!</v>
      </c>
      <c r="GH165" t="e">
        <f>AND('BBP complete'!#REF!,"AAAAAHb/br0=")</f>
        <v>#REF!</v>
      </c>
      <c r="GI165" t="e">
        <f>AND('BBP complete'!#REF!,"AAAAAHb/br4=")</f>
        <v>#REF!</v>
      </c>
      <c r="GJ165" t="e">
        <f>AND('BBP complete'!#REF!,"AAAAAHb/br8=")</f>
        <v>#REF!</v>
      </c>
      <c r="GK165" t="e">
        <f>AND('BBP complete'!J1955,"AAAAAHb/bsA=")</f>
        <v>#VALUE!</v>
      </c>
      <c r="GL165" t="e">
        <f>AND('BBP complete'!K1955,"AAAAAHb/bsE=")</f>
        <v>#VALUE!</v>
      </c>
      <c r="GM165" t="e">
        <f>AND('BBP complete'!L1954,"AAAAAHb/bsI=")</f>
        <v>#VALUE!</v>
      </c>
      <c r="GN165" t="e">
        <f>AND('BBP complete'!M1954,"AAAAAHb/bsM=")</f>
        <v>#VALUE!</v>
      </c>
      <c r="GO165" t="e">
        <f>AND('BBP complete'!N1954,"AAAAAHb/bsQ=")</f>
        <v>#VALUE!</v>
      </c>
      <c r="GP165" t="e">
        <f>AND('BBP complete'!P1972,"AAAAAHb/bsU=")</f>
        <v>#VALUE!</v>
      </c>
      <c r="GQ165" t="e">
        <f>AND('BBP complete'!Q1972,"AAAAAHb/bsY=")</f>
        <v>#VALUE!</v>
      </c>
      <c r="GR165" t="e">
        <f>AND('BBP complete'!R1972,"AAAAAHb/bsc=")</f>
        <v>#VALUE!</v>
      </c>
      <c r="GS165" t="e">
        <f>AND('BBP complete'!S1972,"AAAAAHb/bsg=")</f>
        <v>#VALUE!</v>
      </c>
      <c r="GT165" t="e">
        <f>AND('BBP complete'!A1959,"AAAAAHb/bsk=")</f>
        <v>#VALUE!</v>
      </c>
      <c r="GU165" t="e">
        <f>AND('BBP complete'!#REF!,"AAAAAHb/bso=")</f>
        <v>#REF!</v>
      </c>
      <c r="GV165" t="e">
        <f>AND('BBP complete'!D1956,"AAAAAHb/bss=")</f>
        <v>#VALUE!</v>
      </c>
      <c r="GW165" t="e">
        <f>AND('BBP complete'!H1956,"AAAAAHb/bsw=")</f>
        <v>#VALUE!</v>
      </c>
      <c r="GX165" t="e">
        <f>AND('BBP complete'!F1955,"AAAAAHb/bs0=")</f>
        <v>#VALUE!</v>
      </c>
      <c r="GY165" t="e">
        <f>AND('BBP complete'!I1954,"AAAAAHb/bs4=")</f>
        <v>#VALUE!</v>
      </c>
      <c r="GZ165" t="e">
        <f>AND('BBP complete'!#REF!,"AAAAAHb/bs8=")</f>
        <v>#REF!</v>
      </c>
      <c r="HA165" t="e">
        <f>AND('BBP complete'!#REF!,"AAAAAHb/btA=")</f>
        <v>#REF!</v>
      </c>
      <c r="HB165" t="e">
        <f>AND('BBP complete'!#REF!,"AAAAAHb/btE=")</f>
        <v>#REF!</v>
      </c>
      <c r="HC165" t="e">
        <f>AND('BBP complete'!J1956,"AAAAAHb/btI=")</f>
        <v>#VALUE!</v>
      </c>
      <c r="HD165" t="e">
        <f>AND('BBP complete'!K1956,"AAAAAHb/btM=")</f>
        <v>#VALUE!</v>
      </c>
      <c r="HE165" t="e">
        <f>AND('BBP complete'!L1955,"AAAAAHb/btQ=")</f>
        <v>#VALUE!</v>
      </c>
      <c r="HF165" t="e">
        <f>AND('BBP complete'!M1955,"AAAAAHb/btU=")</f>
        <v>#VALUE!</v>
      </c>
      <c r="HG165" t="e">
        <f>AND('BBP complete'!N1955,"AAAAAHb/btY=")</f>
        <v>#VALUE!</v>
      </c>
      <c r="HH165" t="e">
        <f>AND('BBP complete'!P1973,"AAAAAHb/btc=")</f>
        <v>#VALUE!</v>
      </c>
      <c r="HI165" t="e">
        <f>AND('BBP complete'!Q1973,"AAAAAHb/btg=")</f>
        <v>#VALUE!</v>
      </c>
      <c r="HJ165" t="e">
        <f>AND('BBP complete'!R1973,"AAAAAHb/btk=")</f>
        <v>#VALUE!</v>
      </c>
      <c r="HK165" t="e">
        <f>AND('BBP complete'!S1973,"AAAAAHb/bto=")</f>
        <v>#VALUE!</v>
      </c>
      <c r="HL165" t="e">
        <f>AND('BBP complete'!A1960,"AAAAAHb/bts=")</f>
        <v>#VALUE!</v>
      </c>
      <c r="HM165" t="e">
        <f>AND('BBP complete'!#REF!,"AAAAAHb/btw=")</f>
        <v>#REF!</v>
      </c>
      <c r="HN165" t="e">
        <f>AND('BBP complete'!D1957,"AAAAAHb/bt0=")</f>
        <v>#VALUE!</v>
      </c>
      <c r="HO165" t="e">
        <f>AND('BBP complete'!H1957,"AAAAAHb/bt4=")</f>
        <v>#VALUE!</v>
      </c>
      <c r="HP165" t="e">
        <f>AND('BBP complete'!F1956,"AAAAAHb/bt8=")</f>
        <v>#VALUE!</v>
      </c>
      <c r="HQ165" t="e">
        <f>AND('BBP complete'!I1955,"AAAAAHb/buA=")</f>
        <v>#VALUE!</v>
      </c>
      <c r="HR165" t="e">
        <f>AND('BBP complete'!#REF!,"AAAAAHb/buE=")</f>
        <v>#REF!</v>
      </c>
      <c r="HS165" t="e">
        <f>AND('BBP complete'!#REF!,"AAAAAHb/buI=")</f>
        <v>#REF!</v>
      </c>
      <c r="HT165" t="e">
        <f>AND('BBP complete'!#REF!,"AAAAAHb/buM=")</f>
        <v>#REF!</v>
      </c>
      <c r="HU165" t="e">
        <f>AND('BBP complete'!J1957,"AAAAAHb/buQ=")</f>
        <v>#VALUE!</v>
      </c>
      <c r="HV165" t="e">
        <f>AND('BBP complete'!K1957,"AAAAAHb/buU=")</f>
        <v>#VALUE!</v>
      </c>
      <c r="HW165" t="e">
        <f>AND('BBP complete'!L1956,"AAAAAHb/buY=")</f>
        <v>#VALUE!</v>
      </c>
      <c r="HX165" t="e">
        <f>AND('BBP complete'!M1956,"AAAAAHb/buc=")</f>
        <v>#VALUE!</v>
      </c>
      <c r="HY165" t="e">
        <f>AND('BBP complete'!N1956,"AAAAAHb/bug=")</f>
        <v>#VALUE!</v>
      </c>
      <c r="HZ165" t="e">
        <f>AND('BBP complete'!P1974,"AAAAAHb/buk=")</f>
        <v>#VALUE!</v>
      </c>
      <c r="IA165" t="e">
        <f>AND('BBP complete'!Q1974,"AAAAAHb/buo=")</f>
        <v>#VALUE!</v>
      </c>
      <c r="IB165" t="e">
        <f>AND('BBP complete'!R1974,"AAAAAHb/bus=")</f>
        <v>#VALUE!</v>
      </c>
      <c r="IC165" t="e">
        <f>AND('BBP complete'!S1974,"AAAAAHb/buw=")</f>
        <v>#VALUE!</v>
      </c>
      <c r="ID165" t="e">
        <f>AND('BBP complete'!A1961,"AAAAAHb/bu0=")</f>
        <v>#VALUE!</v>
      </c>
      <c r="IE165" t="e">
        <f>AND('BBP complete'!#REF!,"AAAAAHb/bu4=")</f>
        <v>#REF!</v>
      </c>
      <c r="IF165" t="e">
        <f>AND('BBP complete'!D1958,"AAAAAHb/bu8=")</f>
        <v>#VALUE!</v>
      </c>
      <c r="IG165" t="e">
        <f>AND('BBP complete'!H1958,"AAAAAHb/bvA=")</f>
        <v>#VALUE!</v>
      </c>
      <c r="IH165" t="e">
        <f>AND('BBP complete'!F1957,"AAAAAHb/bvE=")</f>
        <v>#VALUE!</v>
      </c>
      <c r="II165" t="e">
        <f>AND('BBP complete'!I1956,"AAAAAHb/bvI=")</f>
        <v>#VALUE!</v>
      </c>
      <c r="IJ165" t="e">
        <f>AND('BBP complete'!#REF!,"AAAAAHb/bvM=")</f>
        <v>#REF!</v>
      </c>
      <c r="IK165" t="e">
        <f>AND('BBP complete'!#REF!,"AAAAAHb/bvQ=")</f>
        <v>#REF!</v>
      </c>
      <c r="IL165" t="e">
        <f>AND('BBP complete'!#REF!,"AAAAAHb/bvU=")</f>
        <v>#REF!</v>
      </c>
      <c r="IM165" t="e">
        <f>AND('BBP complete'!J1958,"AAAAAHb/bvY=")</f>
        <v>#VALUE!</v>
      </c>
      <c r="IN165" t="e">
        <f>AND('BBP complete'!K1958,"AAAAAHb/bvc=")</f>
        <v>#VALUE!</v>
      </c>
      <c r="IO165" t="e">
        <f>AND('BBP complete'!L1957,"AAAAAHb/bvg=")</f>
        <v>#VALUE!</v>
      </c>
      <c r="IP165" t="e">
        <f>AND('BBP complete'!M1957,"AAAAAHb/bvk=")</f>
        <v>#VALUE!</v>
      </c>
      <c r="IQ165" t="e">
        <f>AND('BBP complete'!N1957,"AAAAAHb/bvo=")</f>
        <v>#VALUE!</v>
      </c>
      <c r="IR165" t="e">
        <f>AND('BBP complete'!P1975,"AAAAAHb/bvs=")</f>
        <v>#VALUE!</v>
      </c>
      <c r="IS165" t="e">
        <f>AND('BBP complete'!Q1975,"AAAAAHb/bvw=")</f>
        <v>#VALUE!</v>
      </c>
      <c r="IT165" t="e">
        <f>AND('BBP complete'!R1975,"AAAAAHb/bv0=")</f>
        <v>#VALUE!</v>
      </c>
      <c r="IU165" t="e">
        <f>AND('BBP complete'!S1975,"AAAAAHb/bv4=")</f>
        <v>#VALUE!</v>
      </c>
      <c r="IV165" t="e">
        <f>AND('BBP complete'!A1962,"AAAAAHb/bv8=")</f>
        <v>#VALUE!</v>
      </c>
    </row>
    <row r="166" spans="1:256" ht="15" customHeight="1" x14ac:dyDescent="0.25">
      <c r="A166" t="e">
        <f>AND('BBP complete'!#REF!,"AAAAAFvbfwA=")</f>
        <v>#REF!</v>
      </c>
      <c r="B166" t="e">
        <f>AND('BBP complete'!D1959,"AAAAAFvbfwE=")</f>
        <v>#VALUE!</v>
      </c>
      <c r="C166" t="e">
        <f>AND('BBP complete'!H1959,"AAAAAFvbfwI=")</f>
        <v>#VALUE!</v>
      </c>
      <c r="D166" t="e">
        <f>AND('BBP complete'!F1958,"AAAAAFvbfwM=")</f>
        <v>#VALUE!</v>
      </c>
      <c r="E166" t="e">
        <f>AND('BBP complete'!I1957,"AAAAAFvbfwQ=")</f>
        <v>#VALUE!</v>
      </c>
      <c r="F166" t="e">
        <f>AND('BBP complete'!#REF!,"AAAAAFvbfwU=")</f>
        <v>#REF!</v>
      </c>
      <c r="G166" t="e">
        <f>AND('BBP complete'!#REF!,"AAAAAFvbfwY=")</f>
        <v>#REF!</v>
      </c>
      <c r="H166" t="e">
        <f>AND('BBP complete'!#REF!,"AAAAAFvbfwc=")</f>
        <v>#REF!</v>
      </c>
      <c r="I166" t="e">
        <f>AND('BBP complete'!J1959,"AAAAAFvbfwg=")</f>
        <v>#VALUE!</v>
      </c>
      <c r="J166" t="e">
        <f>AND('BBP complete'!K1959,"AAAAAFvbfwk=")</f>
        <v>#VALUE!</v>
      </c>
      <c r="K166" t="e">
        <f>AND('BBP complete'!L1958,"AAAAAFvbfwo=")</f>
        <v>#VALUE!</v>
      </c>
      <c r="L166" t="e">
        <f>AND('BBP complete'!M1958,"AAAAAFvbfws=")</f>
        <v>#VALUE!</v>
      </c>
      <c r="M166" t="e">
        <f>AND('BBP complete'!N1958,"AAAAAFvbfww=")</f>
        <v>#VALUE!</v>
      </c>
      <c r="N166" t="e">
        <f>AND('BBP complete'!P1976,"AAAAAFvbfw0=")</f>
        <v>#VALUE!</v>
      </c>
      <c r="O166" t="e">
        <f>AND('BBP complete'!Q1976,"AAAAAFvbfw4=")</f>
        <v>#VALUE!</v>
      </c>
      <c r="P166" t="e">
        <f>AND('BBP complete'!R1976,"AAAAAFvbfw8=")</f>
        <v>#VALUE!</v>
      </c>
      <c r="Q166" t="e">
        <f>AND('BBP complete'!S1976,"AAAAAFvbfxA=")</f>
        <v>#VALUE!</v>
      </c>
      <c r="R166" t="e">
        <f>AND('BBP complete'!A1963,"AAAAAFvbfxE=")</f>
        <v>#VALUE!</v>
      </c>
      <c r="S166" t="e">
        <f>AND('BBP complete'!#REF!,"AAAAAFvbfxI=")</f>
        <v>#REF!</v>
      </c>
      <c r="T166" t="e">
        <f>AND('BBP complete'!D1960,"AAAAAFvbfxM=")</f>
        <v>#VALUE!</v>
      </c>
      <c r="U166" t="e">
        <f>AND('BBP complete'!H1960,"AAAAAFvbfxQ=")</f>
        <v>#VALUE!</v>
      </c>
      <c r="V166" t="e">
        <f>AND('BBP complete'!F1959,"AAAAAFvbfxU=")</f>
        <v>#VALUE!</v>
      </c>
      <c r="W166" t="e">
        <f>AND('BBP complete'!I1958,"AAAAAFvbfxY=")</f>
        <v>#VALUE!</v>
      </c>
      <c r="X166" t="e">
        <f>AND('BBP complete'!#REF!,"AAAAAFvbfxc=")</f>
        <v>#REF!</v>
      </c>
      <c r="Y166" t="e">
        <f>AND('BBP complete'!#REF!,"AAAAAFvbfxg=")</f>
        <v>#REF!</v>
      </c>
      <c r="Z166" t="e">
        <f>AND('BBP complete'!#REF!,"AAAAAFvbfxk=")</f>
        <v>#REF!</v>
      </c>
      <c r="AA166" t="e">
        <f>AND('BBP complete'!J1960,"AAAAAFvbfxo=")</f>
        <v>#VALUE!</v>
      </c>
      <c r="AB166" t="e">
        <f>AND('BBP complete'!K1960,"AAAAAFvbfxs=")</f>
        <v>#VALUE!</v>
      </c>
      <c r="AC166" t="e">
        <f>AND('BBP complete'!L1959,"AAAAAFvbfxw=")</f>
        <v>#VALUE!</v>
      </c>
      <c r="AD166" t="e">
        <f>AND('BBP complete'!M1959,"AAAAAFvbfx0=")</f>
        <v>#VALUE!</v>
      </c>
      <c r="AE166" t="e">
        <f>AND('BBP complete'!N1959,"AAAAAFvbfx4=")</f>
        <v>#VALUE!</v>
      </c>
      <c r="AF166" t="e">
        <f>AND('BBP complete'!P1977,"AAAAAFvbfx8=")</f>
        <v>#VALUE!</v>
      </c>
      <c r="AG166" t="e">
        <f>AND('BBP complete'!Q1977,"AAAAAFvbfyA=")</f>
        <v>#VALUE!</v>
      </c>
      <c r="AH166" t="e">
        <f>AND('BBP complete'!R1977,"AAAAAFvbfyE=")</f>
        <v>#VALUE!</v>
      </c>
      <c r="AI166" t="e">
        <f>AND('BBP complete'!S1977,"AAAAAFvbfyI=")</f>
        <v>#VALUE!</v>
      </c>
      <c r="AJ166" t="e">
        <f>AND('BBP complete'!A1964,"AAAAAFvbfyM=")</f>
        <v>#VALUE!</v>
      </c>
      <c r="AK166" t="e">
        <f>AND('BBP complete'!#REF!,"AAAAAFvbfyQ=")</f>
        <v>#REF!</v>
      </c>
      <c r="AL166" t="e">
        <f>AND('BBP complete'!D1961,"AAAAAFvbfyU=")</f>
        <v>#VALUE!</v>
      </c>
      <c r="AM166" t="e">
        <f>AND('BBP complete'!H1961,"AAAAAFvbfyY=")</f>
        <v>#VALUE!</v>
      </c>
      <c r="AN166" t="e">
        <f>AND('BBP complete'!F1960,"AAAAAFvbfyc=")</f>
        <v>#VALUE!</v>
      </c>
      <c r="AO166" t="e">
        <f>AND('BBP complete'!I1959,"AAAAAFvbfyg=")</f>
        <v>#VALUE!</v>
      </c>
      <c r="AP166" t="e">
        <f>AND('BBP complete'!#REF!,"AAAAAFvbfyk=")</f>
        <v>#REF!</v>
      </c>
      <c r="AQ166" t="e">
        <f>AND('BBP complete'!#REF!,"AAAAAFvbfyo=")</f>
        <v>#REF!</v>
      </c>
      <c r="AR166" t="e">
        <f>AND('BBP complete'!#REF!,"AAAAAFvbfys=")</f>
        <v>#REF!</v>
      </c>
      <c r="AS166" t="e">
        <f>AND('BBP complete'!J1961,"AAAAAFvbfyw=")</f>
        <v>#VALUE!</v>
      </c>
      <c r="AT166" t="e">
        <f>AND('BBP complete'!K1961,"AAAAAFvbfy0=")</f>
        <v>#VALUE!</v>
      </c>
      <c r="AU166" t="e">
        <f>AND('BBP complete'!L1960,"AAAAAFvbfy4=")</f>
        <v>#VALUE!</v>
      </c>
      <c r="AV166" t="e">
        <f>AND('BBP complete'!M1960,"AAAAAFvbfy8=")</f>
        <v>#VALUE!</v>
      </c>
      <c r="AW166" t="e">
        <f>AND('BBP complete'!N1960,"AAAAAFvbfzA=")</f>
        <v>#VALUE!</v>
      </c>
      <c r="AX166" t="e">
        <f>AND('BBP complete'!P1978,"AAAAAFvbfzE=")</f>
        <v>#VALUE!</v>
      </c>
      <c r="AY166" t="e">
        <f>AND('BBP complete'!Q1978,"AAAAAFvbfzI=")</f>
        <v>#VALUE!</v>
      </c>
      <c r="AZ166" t="e">
        <f>AND('BBP complete'!R1978,"AAAAAFvbfzM=")</f>
        <v>#VALUE!</v>
      </c>
      <c r="BA166" t="e">
        <f>AND('BBP complete'!S1978,"AAAAAFvbfzQ=")</f>
        <v>#VALUE!</v>
      </c>
      <c r="BB166" t="e">
        <f>AND('BBP complete'!A1965,"AAAAAFvbfzU=")</f>
        <v>#VALUE!</v>
      </c>
      <c r="BC166" t="e">
        <f>AND('BBP complete'!#REF!,"AAAAAFvbfzY=")</f>
        <v>#REF!</v>
      </c>
      <c r="BD166" t="e">
        <f>AND('BBP complete'!D1962,"AAAAAFvbfzc=")</f>
        <v>#VALUE!</v>
      </c>
      <c r="BE166" t="e">
        <f>AND('BBP complete'!H1962,"AAAAAFvbfzg=")</f>
        <v>#VALUE!</v>
      </c>
      <c r="BF166" t="e">
        <f>AND('BBP complete'!F1961,"AAAAAFvbfzk=")</f>
        <v>#VALUE!</v>
      </c>
      <c r="BG166" t="e">
        <f>AND('BBP complete'!I1960,"AAAAAFvbfzo=")</f>
        <v>#VALUE!</v>
      </c>
      <c r="BH166" t="e">
        <f>AND('BBP complete'!#REF!,"AAAAAFvbfzs=")</f>
        <v>#REF!</v>
      </c>
      <c r="BI166" t="e">
        <f>AND('BBP complete'!#REF!,"AAAAAFvbfzw=")</f>
        <v>#REF!</v>
      </c>
      <c r="BJ166" t="e">
        <f>AND('BBP complete'!#REF!,"AAAAAFvbfz0=")</f>
        <v>#REF!</v>
      </c>
      <c r="BK166" t="e">
        <f>AND('BBP complete'!J1962,"AAAAAFvbfz4=")</f>
        <v>#VALUE!</v>
      </c>
      <c r="BL166" t="e">
        <f>AND('BBP complete'!K1962,"AAAAAFvbfz8=")</f>
        <v>#VALUE!</v>
      </c>
      <c r="BM166" t="e">
        <f>AND('BBP complete'!L1961,"AAAAAFvbf0A=")</f>
        <v>#VALUE!</v>
      </c>
      <c r="BN166" t="e">
        <f>AND('BBP complete'!M1961,"AAAAAFvbf0E=")</f>
        <v>#VALUE!</v>
      </c>
      <c r="BO166" t="e">
        <f>AND('BBP complete'!N1961,"AAAAAFvbf0I=")</f>
        <v>#VALUE!</v>
      </c>
      <c r="BP166" t="e">
        <f>AND('BBP complete'!P1979,"AAAAAFvbf0M=")</f>
        <v>#VALUE!</v>
      </c>
      <c r="BQ166" t="e">
        <f>AND('BBP complete'!Q1979,"AAAAAFvbf0Q=")</f>
        <v>#VALUE!</v>
      </c>
      <c r="BR166" t="e">
        <f>AND('BBP complete'!R1979,"AAAAAFvbf0U=")</f>
        <v>#VALUE!</v>
      </c>
      <c r="BS166" t="e">
        <f>AND('BBP complete'!S1979,"AAAAAFvbf0Y=")</f>
        <v>#VALUE!</v>
      </c>
      <c r="BT166" t="e">
        <f>AND('BBP complete'!A1966,"AAAAAFvbf0c=")</f>
        <v>#VALUE!</v>
      </c>
      <c r="BU166" t="e">
        <f>AND('BBP complete'!#REF!,"AAAAAFvbf0g=")</f>
        <v>#REF!</v>
      </c>
      <c r="BV166" t="e">
        <f>AND('BBP complete'!D1963,"AAAAAFvbf0k=")</f>
        <v>#VALUE!</v>
      </c>
      <c r="BW166" t="e">
        <f>AND('BBP complete'!H1963,"AAAAAFvbf0o=")</f>
        <v>#VALUE!</v>
      </c>
      <c r="BX166" t="e">
        <f>AND('BBP complete'!F1962,"AAAAAFvbf0s=")</f>
        <v>#VALUE!</v>
      </c>
      <c r="BY166" t="e">
        <f>AND('BBP complete'!I1961,"AAAAAFvbf0w=")</f>
        <v>#VALUE!</v>
      </c>
      <c r="BZ166" t="e">
        <f>AND('BBP complete'!#REF!,"AAAAAFvbf00=")</f>
        <v>#REF!</v>
      </c>
      <c r="CA166" t="e">
        <f>AND('BBP complete'!#REF!,"AAAAAFvbf04=")</f>
        <v>#REF!</v>
      </c>
      <c r="CB166" t="e">
        <f>AND('BBP complete'!#REF!,"AAAAAFvbf08=")</f>
        <v>#REF!</v>
      </c>
      <c r="CC166" t="e">
        <f>AND('BBP complete'!J1963,"AAAAAFvbf1A=")</f>
        <v>#VALUE!</v>
      </c>
      <c r="CD166" t="e">
        <f>AND('BBP complete'!K1963,"AAAAAFvbf1E=")</f>
        <v>#VALUE!</v>
      </c>
      <c r="CE166" t="e">
        <f>AND('BBP complete'!L1962,"AAAAAFvbf1I=")</f>
        <v>#VALUE!</v>
      </c>
      <c r="CF166" t="e">
        <f>AND('BBP complete'!M1962,"AAAAAFvbf1M=")</f>
        <v>#VALUE!</v>
      </c>
      <c r="CG166" t="e">
        <f>AND('BBP complete'!N1962,"AAAAAFvbf1Q=")</f>
        <v>#VALUE!</v>
      </c>
      <c r="CH166" t="e">
        <f>AND('BBP complete'!P1980,"AAAAAFvbf1U=")</f>
        <v>#VALUE!</v>
      </c>
      <c r="CI166" t="e">
        <f>AND('BBP complete'!Q1980,"AAAAAFvbf1Y=")</f>
        <v>#VALUE!</v>
      </c>
      <c r="CJ166" t="e">
        <f>AND('BBP complete'!R1980,"AAAAAFvbf1c=")</f>
        <v>#VALUE!</v>
      </c>
      <c r="CK166" t="e">
        <f>AND('BBP complete'!S1980,"AAAAAFvbf1g=")</f>
        <v>#VALUE!</v>
      </c>
      <c r="CL166" t="e">
        <f>AND('BBP complete'!A1967,"AAAAAFvbf1k=")</f>
        <v>#VALUE!</v>
      </c>
      <c r="CM166" t="e">
        <f>AND('BBP complete'!#REF!,"AAAAAFvbf1o=")</f>
        <v>#REF!</v>
      </c>
      <c r="CN166" t="e">
        <f>AND('BBP complete'!D1964,"AAAAAFvbf1s=")</f>
        <v>#VALUE!</v>
      </c>
      <c r="CO166" t="e">
        <f>AND('BBP complete'!H1964,"AAAAAFvbf1w=")</f>
        <v>#VALUE!</v>
      </c>
      <c r="CP166" t="e">
        <f>AND('BBP complete'!F1963,"AAAAAFvbf10=")</f>
        <v>#VALUE!</v>
      </c>
      <c r="CQ166" t="e">
        <f>AND('BBP complete'!I1962,"AAAAAFvbf14=")</f>
        <v>#VALUE!</v>
      </c>
      <c r="CR166" t="e">
        <f>AND('BBP complete'!#REF!,"AAAAAFvbf18=")</f>
        <v>#REF!</v>
      </c>
      <c r="CS166" t="e">
        <f>AND('BBP complete'!#REF!,"AAAAAFvbf2A=")</f>
        <v>#REF!</v>
      </c>
      <c r="CT166" t="e">
        <f>AND('BBP complete'!#REF!,"AAAAAFvbf2E=")</f>
        <v>#REF!</v>
      </c>
      <c r="CU166" t="e">
        <f>AND('BBP complete'!J1964,"AAAAAFvbf2I=")</f>
        <v>#VALUE!</v>
      </c>
      <c r="CV166" t="e">
        <f>AND('BBP complete'!K1964,"AAAAAFvbf2M=")</f>
        <v>#VALUE!</v>
      </c>
      <c r="CW166" t="e">
        <f>AND('BBP complete'!L1963,"AAAAAFvbf2Q=")</f>
        <v>#VALUE!</v>
      </c>
      <c r="CX166" t="e">
        <f>AND('BBP complete'!M1963,"AAAAAFvbf2U=")</f>
        <v>#VALUE!</v>
      </c>
      <c r="CY166" t="e">
        <f>AND('BBP complete'!N1963,"AAAAAFvbf2Y=")</f>
        <v>#VALUE!</v>
      </c>
      <c r="CZ166" t="e">
        <f>AND('BBP complete'!P1981,"AAAAAFvbf2c=")</f>
        <v>#VALUE!</v>
      </c>
      <c r="DA166" t="e">
        <f>AND('BBP complete'!Q1981,"AAAAAFvbf2g=")</f>
        <v>#VALUE!</v>
      </c>
      <c r="DB166" t="e">
        <f>AND('BBP complete'!R1981,"AAAAAFvbf2k=")</f>
        <v>#VALUE!</v>
      </c>
      <c r="DC166" t="e">
        <f>AND('BBP complete'!S1981,"AAAAAFvbf2o=")</f>
        <v>#VALUE!</v>
      </c>
      <c r="DD166" t="e">
        <f>AND('BBP complete'!A1968,"AAAAAFvbf2s=")</f>
        <v>#VALUE!</v>
      </c>
      <c r="DE166" t="e">
        <f>AND('BBP complete'!#REF!,"AAAAAFvbf2w=")</f>
        <v>#REF!</v>
      </c>
      <c r="DF166" t="e">
        <f>AND('BBP complete'!D1965,"AAAAAFvbf20=")</f>
        <v>#VALUE!</v>
      </c>
      <c r="DG166" t="e">
        <f>AND('BBP complete'!H1965,"AAAAAFvbf24=")</f>
        <v>#VALUE!</v>
      </c>
      <c r="DH166" t="e">
        <f>AND('BBP complete'!F1964,"AAAAAFvbf28=")</f>
        <v>#VALUE!</v>
      </c>
      <c r="DI166" t="e">
        <f>AND('BBP complete'!I1963,"AAAAAFvbf3A=")</f>
        <v>#VALUE!</v>
      </c>
      <c r="DJ166" t="e">
        <f>AND('BBP complete'!#REF!,"AAAAAFvbf3E=")</f>
        <v>#REF!</v>
      </c>
      <c r="DK166" t="e">
        <f>AND('BBP complete'!#REF!,"AAAAAFvbf3I=")</f>
        <v>#REF!</v>
      </c>
      <c r="DL166" t="e">
        <f>AND('BBP complete'!#REF!,"AAAAAFvbf3M=")</f>
        <v>#REF!</v>
      </c>
      <c r="DM166" t="e">
        <f>AND('BBP complete'!J1965,"AAAAAFvbf3Q=")</f>
        <v>#VALUE!</v>
      </c>
      <c r="DN166" t="e">
        <f>AND('BBP complete'!K1965,"AAAAAFvbf3U=")</f>
        <v>#VALUE!</v>
      </c>
      <c r="DO166" t="e">
        <f>AND('BBP complete'!L1964,"AAAAAFvbf3Y=")</f>
        <v>#VALUE!</v>
      </c>
      <c r="DP166" t="e">
        <f>AND('BBP complete'!M1964,"AAAAAFvbf3c=")</f>
        <v>#VALUE!</v>
      </c>
      <c r="DQ166" t="e">
        <f>AND('BBP complete'!N1964,"AAAAAFvbf3g=")</f>
        <v>#VALUE!</v>
      </c>
      <c r="DR166" t="e">
        <f>AND('BBP complete'!P1982,"AAAAAFvbf3k=")</f>
        <v>#VALUE!</v>
      </c>
      <c r="DS166" t="e">
        <f>AND('BBP complete'!Q1982,"AAAAAFvbf3o=")</f>
        <v>#VALUE!</v>
      </c>
      <c r="DT166" t="e">
        <f>AND('BBP complete'!R1982,"AAAAAFvbf3s=")</f>
        <v>#VALUE!</v>
      </c>
      <c r="DU166" t="e">
        <f>AND('BBP complete'!S1982,"AAAAAFvbf3w=")</f>
        <v>#VALUE!</v>
      </c>
      <c r="DV166" t="e">
        <f>AND('BBP complete'!A1969,"AAAAAFvbf30=")</f>
        <v>#VALUE!</v>
      </c>
      <c r="DW166" t="e">
        <f>AND('BBP complete'!#REF!,"AAAAAFvbf34=")</f>
        <v>#REF!</v>
      </c>
      <c r="DX166" t="e">
        <f>AND('BBP complete'!D1966,"AAAAAFvbf38=")</f>
        <v>#VALUE!</v>
      </c>
      <c r="DY166" t="e">
        <f>AND('BBP complete'!H1966,"AAAAAFvbf4A=")</f>
        <v>#VALUE!</v>
      </c>
      <c r="DZ166" t="e">
        <f>AND('BBP complete'!F1965,"AAAAAFvbf4E=")</f>
        <v>#VALUE!</v>
      </c>
      <c r="EA166" t="e">
        <f>AND('BBP complete'!I1964,"AAAAAFvbf4I=")</f>
        <v>#VALUE!</v>
      </c>
      <c r="EB166" t="e">
        <f>AND('BBP complete'!#REF!,"AAAAAFvbf4M=")</f>
        <v>#REF!</v>
      </c>
      <c r="EC166" t="e">
        <f>AND('BBP complete'!#REF!,"AAAAAFvbf4Q=")</f>
        <v>#REF!</v>
      </c>
      <c r="ED166" t="e">
        <f>AND('BBP complete'!#REF!,"AAAAAFvbf4U=")</f>
        <v>#REF!</v>
      </c>
      <c r="EE166" t="e">
        <f>AND('BBP complete'!J1966,"AAAAAFvbf4Y=")</f>
        <v>#VALUE!</v>
      </c>
      <c r="EF166" t="e">
        <f>AND('BBP complete'!K1966,"AAAAAFvbf4c=")</f>
        <v>#VALUE!</v>
      </c>
      <c r="EG166" t="e">
        <f>AND('BBP complete'!L1965,"AAAAAFvbf4g=")</f>
        <v>#VALUE!</v>
      </c>
      <c r="EH166" t="e">
        <f>AND('BBP complete'!M1965,"AAAAAFvbf4k=")</f>
        <v>#VALUE!</v>
      </c>
      <c r="EI166" t="e">
        <f>AND('BBP complete'!N1965,"AAAAAFvbf4o=")</f>
        <v>#VALUE!</v>
      </c>
      <c r="EJ166" t="e">
        <f>AND('BBP complete'!P1983,"AAAAAFvbf4s=")</f>
        <v>#VALUE!</v>
      </c>
      <c r="EK166" t="e">
        <f>AND('BBP complete'!Q1983,"AAAAAFvbf4w=")</f>
        <v>#VALUE!</v>
      </c>
      <c r="EL166" t="e">
        <f>AND('BBP complete'!R1983,"AAAAAFvbf40=")</f>
        <v>#VALUE!</v>
      </c>
      <c r="EM166" t="e">
        <f>AND('BBP complete'!S1983,"AAAAAFvbf44=")</f>
        <v>#VALUE!</v>
      </c>
      <c r="EN166" t="e">
        <f>AND('BBP complete'!A1970,"AAAAAFvbf48=")</f>
        <v>#VALUE!</v>
      </c>
      <c r="EO166" t="e">
        <f>AND('BBP complete'!#REF!,"AAAAAFvbf5A=")</f>
        <v>#REF!</v>
      </c>
      <c r="EP166" t="e">
        <f>AND('BBP complete'!D1967,"AAAAAFvbf5E=")</f>
        <v>#VALUE!</v>
      </c>
      <c r="EQ166" t="e">
        <f>AND('BBP complete'!H1967,"AAAAAFvbf5I=")</f>
        <v>#VALUE!</v>
      </c>
      <c r="ER166" t="e">
        <f>AND('BBP complete'!F1966,"AAAAAFvbf5M=")</f>
        <v>#VALUE!</v>
      </c>
      <c r="ES166" t="e">
        <f>AND('BBP complete'!I1965,"AAAAAFvbf5Q=")</f>
        <v>#VALUE!</v>
      </c>
      <c r="ET166" t="e">
        <f>AND('BBP complete'!#REF!,"AAAAAFvbf5U=")</f>
        <v>#REF!</v>
      </c>
      <c r="EU166" t="e">
        <f>AND('BBP complete'!#REF!,"AAAAAFvbf5Y=")</f>
        <v>#REF!</v>
      </c>
      <c r="EV166" t="e">
        <f>AND('BBP complete'!#REF!,"AAAAAFvbf5c=")</f>
        <v>#REF!</v>
      </c>
      <c r="EW166" t="e">
        <f>AND('BBP complete'!J1967,"AAAAAFvbf5g=")</f>
        <v>#VALUE!</v>
      </c>
      <c r="EX166" t="e">
        <f>AND('BBP complete'!K1967,"AAAAAFvbf5k=")</f>
        <v>#VALUE!</v>
      </c>
      <c r="EY166" t="e">
        <f>AND('BBP complete'!L1966,"AAAAAFvbf5o=")</f>
        <v>#VALUE!</v>
      </c>
      <c r="EZ166" t="e">
        <f>AND('BBP complete'!M1966,"AAAAAFvbf5s=")</f>
        <v>#VALUE!</v>
      </c>
      <c r="FA166" t="e">
        <f>AND('BBP complete'!N1966,"AAAAAFvbf5w=")</f>
        <v>#VALUE!</v>
      </c>
      <c r="FB166" t="e">
        <f>AND('BBP complete'!P1984,"AAAAAFvbf50=")</f>
        <v>#VALUE!</v>
      </c>
      <c r="FC166" t="e">
        <f>AND('BBP complete'!Q1984,"AAAAAFvbf54=")</f>
        <v>#VALUE!</v>
      </c>
      <c r="FD166" t="e">
        <f>AND('BBP complete'!R1984,"AAAAAFvbf58=")</f>
        <v>#VALUE!</v>
      </c>
      <c r="FE166" t="e">
        <f>AND('BBP complete'!S1984,"AAAAAFvbf6A=")</f>
        <v>#VALUE!</v>
      </c>
      <c r="FF166" t="e">
        <f>AND('BBP complete'!A1971,"AAAAAFvbf6E=")</f>
        <v>#VALUE!</v>
      </c>
      <c r="FG166" t="e">
        <f>AND('BBP complete'!#REF!,"AAAAAFvbf6I=")</f>
        <v>#REF!</v>
      </c>
      <c r="FH166" t="e">
        <f>AND('BBP complete'!D1968,"AAAAAFvbf6M=")</f>
        <v>#VALUE!</v>
      </c>
      <c r="FI166" t="e">
        <f>AND('BBP complete'!H1968,"AAAAAFvbf6Q=")</f>
        <v>#VALUE!</v>
      </c>
      <c r="FJ166" t="e">
        <f>AND('BBP complete'!F1967,"AAAAAFvbf6U=")</f>
        <v>#VALUE!</v>
      </c>
      <c r="FK166" t="e">
        <f>AND('BBP complete'!I1966,"AAAAAFvbf6Y=")</f>
        <v>#VALUE!</v>
      </c>
      <c r="FL166" t="e">
        <f>AND('BBP complete'!#REF!,"AAAAAFvbf6c=")</f>
        <v>#REF!</v>
      </c>
      <c r="FM166" t="e">
        <f>AND('BBP complete'!#REF!,"AAAAAFvbf6g=")</f>
        <v>#REF!</v>
      </c>
      <c r="FN166" t="e">
        <f>AND('BBP complete'!#REF!,"AAAAAFvbf6k=")</f>
        <v>#REF!</v>
      </c>
      <c r="FO166" t="e">
        <f>AND('BBP complete'!J1968,"AAAAAFvbf6o=")</f>
        <v>#VALUE!</v>
      </c>
      <c r="FP166" t="e">
        <f>AND('BBP complete'!K1968,"AAAAAFvbf6s=")</f>
        <v>#VALUE!</v>
      </c>
      <c r="FQ166" t="e">
        <f>AND('BBP complete'!L1967,"AAAAAFvbf6w=")</f>
        <v>#VALUE!</v>
      </c>
      <c r="FR166" t="e">
        <f>AND('BBP complete'!M1967,"AAAAAFvbf60=")</f>
        <v>#VALUE!</v>
      </c>
      <c r="FS166" t="e">
        <f>AND('BBP complete'!N1967,"AAAAAFvbf64=")</f>
        <v>#VALUE!</v>
      </c>
      <c r="FT166" t="e">
        <f>AND('BBP complete'!P1985,"AAAAAFvbf68=")</f>
        <v>#VALUE!</v>
      </c>
      <c r="FU166" t="e">
        <f>AND('BBP complete'!Q1985,"AAAAAFvbf7A=")</f>
        <v>#VALUE!</v>
      </c>
      <c r="FV166" t="e">
        <f>AND('BBP complete'!R1985,"AAAAAFvbf7E=")</f>
        <v>#VALUE!</v>
      </c>
      <c r="FW166" t="e">
        <f>AND('BBP complete'!S1985,"AAAAAFvbf7I=")</f>
        <v>#VALUE!</v>
      </c>
      <c r="FX166" t="e">
        <f>AND('BBP complete'!A1972,"AAAAAFvbf7M=")</f>
        <v>#VALUE!</v>
      </c>
      <c r="FY166" t="e">
        <f>AND('BBP complete'!#REF!,"AAAAAFvbf7Q=")</f>
        <v>#REF!</v>
      </c>
      <c r="FZ166" t="e">
        <f>AND('BBP complete'!D1969,"AAAAAFvbf7U=")</f>
        <v>#VALUE!</v>
      </c>
      <c r="GA166" t="e">
        <f>AND('BBP complete'!H1969,"AAAAAFvbf7Y=")</f>
        <v>#VALUE!</v>
      </c>
      <c r="GB166" t="e">
        <f>AND('BBP complete'!F1968,"AAAAAFvbf7c=")</f>
        <v>#VALUE!</v>
      </c>
      <c r="GC166" t="e">
        <f>AND('BBP complete'!I1967,"AAAAAFvbf7g=")</f>
        <v>#VALUE!</v>
      </c>
      <c r="GD166" t="e">
        <f>AND('BBP complete'!#REF!,"AAAAAFvbf7k=")</f>
        <v>#REF!</v>
      </c>
      <c r="GE166" t="e">
        <f>AND('BBP complete'!#REF!,"AAAAAFvbf7o=")</f>
        <v>#REF!</v>
      </c>
      <c r="GF166" t="e">
        <f>AND('BBP complete'!#REF!,"AAAAAFvbf7s=")</f>
        <v>#REF!</v>
      </c>
      <c r="GG166" t="e">
        <f>AND('BBP complete'!J1969,"AAAAAFvbf7w=")</f>
        <v>#VALUE!</v>
      </c>
      <c r="GH166" t="e">
        <f>AND('BBP complete'!K1969,"AAAAAFvbf70=")</f>
        <v>#VALUE!</v>
      </c>
      <c r="GI166" t="e">
        <f>AND('BBP complete'!L1968,"AAAAAFvbf74=")</f>
        <v>#VALUE!</v>
      </c>
      <c r="GJ166" t="e">
        <f>AND('BBP complete'!M1968,"AAAAAFvbf78=")</f>
        <v>#VALUE!</v>
      </c>
      <c r="GK166" t="e">
        <f>AND('BBP complete'!N1968,"AAAAAFvbf8A=")</f>
        <v>#VALUE!</v>
      </c>
      <c r="GL166" t="e">
        <f>AND('BBP complete'!P1986,"AAAAAFvbf8E=")</f>
        <v>#VALUE!</v>
      </c>
      <c r="GM166" t="e">
        <f>AND('BBP complete'!Q1986,"AAAAAFvbf8I=")</f>
        <v>#VALUE!</v>
      </c>
      <c r="GN166" t="e">
        <f>AND('BBP complete'!R1986,"AAAAAFvbf8M=")</f>
        <v>#VALUE!</v>
      </c>
      <c r="GO166" t="e">
        <f>AND('BBP complete'!S1986,"AAAAAFvbf8Q=")</f>
        <v>#VALUE!</v>
      </c>
      <c r="GP166" t="e">
        <f>AND('BBP complete'!A1973,"AAAAAFvbf8U=")</f>
        <v>#VALUE!</v>
      </c>
      <c r="GQ166" t="e">
        <f>AND('BBP complete'!#REF!,"AAAAAFvbf8Y=")</f>
        <v>#REF!</v>
      </c>
      <c r="GR166" t="e">
        <f>AND('BBP complete'!D1970,"AAAAAFvbf8c=")</f>
        <v>#VALUE!</v>
      </c>
      <c r="GS166" t="e">
        <f>AND('BBP complete'!H1970,"AAAAAFvbf8g=")</f>
        <v>#VALUE!</v>
      </c>
      <c r="GT166" t="e">
        <f>AND('BBP complete'!F1969,"AAAAAFvbf8k=")</f>
        <v>#VALUE!</v>
      </c>
      <c r="GU166" t="e">
        <f>AND('BBP complete'!I1968,"AAAAAFvbf8o=")</f>
        <v>#VALUE!</v>
      </c>
      <c r="GV166" t="e">
        <f>AND('BBP complete'!#REF!,"AAAAAFvbf8s=")</f>
        <v>#REF!</v>
      </c>
      <c r="GW166" t="e">
        <f>AND('BBP complete'!#REF!,"AAAAAFvbf8w=")</f>
        <v>#REF!</v>
      </c>
      <c r="GX166" t="e">
        <f>AND('BBP complete'!#REF!,"AAAAAFvbf80=")</f>
        <v>#REF!</v>
      </c>
      <c r="GY166" t="e">
        <f>AND('BBP complete'!J1970,"AAAAAFvbf84=")</f>
        <v>#VALUE!</v>
      </c>
      <c r="GZ166" t="e">
        <f>AND('BBP complete'!K1970,"AAAAAFvbf88=")</f>
        <v>#VALUE!</v>
      </c>
      <c r="HA166" t="e">
        <f>AND('BBP complete'!L1969,"AAAAAFvbf9A=")</f>
        <v>#VALUE!</v>
      </c>
      <c r="HB166" t="e">
        <f>AND('BBP complete'!M1969,"AAAAAFvbf9E=")</f>
        <v>#VALUE!</v>
      </c>
      <c r="HC166" t="e">
        <f>AND('BBP complete'!N1969,"AAAAAFvbf9I=")</f>
        <v>#VALUE!</v>
      </c>
      <c r="HD166" t="e">
        <f>AND('BBP complete'!P1987,"AAAAAFvbf9M=")</f>
        <v>#VALUE!</v>
      </c>
      <c r="HE166" t="e">
        <f>AND('BBP complete'!Q1987,"AAAAAFvbf9Q=")</f>
        <v>#VALUE!</v>
      </c>
      <c r="HF166" t="e">
        <f>AND('BBP complete'!R1987,"AAAAAFvbf9U=")</f>
        <v>#VALUE!</v>
      </c>
      <c r="HG166" t="e">
        <f>AND('BBP complete'!S1987,"AAAAAFvbf9Y=")</f>
        <v>#VALUE!</v>
      </c>
      <c r="HH166" t="e">
        <f>AND('BBP complete'!A1974,"AAAAAFvbf9c=")</f>
        <v>#VALUE!</v>
      </c>
      <c r="HI166" t="e">
        <f>AND('BBP complete'!#REF!,"AAAAAFvbf9g=")</f>
        <v>#REF!</v>
      </c>
      <c r="HJ166" t="e">
        <f>AND('BBP complete'!D1971,"AAAAAFvbf9k=")</f>
        <v>#VALUE!</v>
      </c>
      <c r="HK166" t="e">
        <f>AND('BBP complete'!H1971,"AAAAAFvbf9o=")</f>
        <v>#VALUE!</v>
      </c>
      <c r="HL166" t="e">
        <f>AND('BBP complete'!F1970,"AAAAAFvbf9s=")</f>
        <v>#VALUE!</v>
      </c>
      <c r="HM166" t="e">
        <f>AND('BBP complete'!I1969,"AAAAAFvbf9w=")</f>
        <v>#VALUE!</v>
      </c>
      <c r="HN166" t="e">
        <f>AND('BBP complete'!#REF!,"AAAAAFvbf90=")</f>
        <v>#REF!</v>
      </c>
      <c r="HO166" t="e">
        <f>AND('BBP complete'!#REF!,"AAAAAFvbf94=")</f>
        <v>#REF!</v>
      </c>
      <c r="HP166" t="e">
        <f>AND('BBP complete'!#REF!,"AAAAAFvbf98=")</f>
        <v>#REF!</v>
      </c>
      <c r="HQ166" t="e">
        <f>AND('BBP complete'!J1971,"AAAAAFvbf+A=")</f>
        <v>#VALUE!</v>
      </c>
      <c r="HR166" t="e">
        <f>AND('BBP complete'!K1971,"AAAAAFvbf+E=")</f>
        <v>#VALUE!</v>
      </c>
      <c r="HS166" t="e">
        <f>AND('BBP complete'!L1970,"AAAAAFvbf+I=")</f>
        <v>#VALUE!</v>
      </c>
      <c r="HT166" t="e">
        <f>AND('BBP complete'!M1970,"AAAAAFvbf+M=")</f>
        <v>#VALUE!</v>
      </c>
      <c r="HU166" t="e">
        <f>AND('BBP complete'!N1970,"AAAAAFvbf+Q=")</f>
        <v>#VALUE!</v>
      </c>
      <c r="HV166" t="e">
        <f>AND('BBP complete'!P1988,"AAAAAFvbf+U=")</f>
        <v>#VALUE!</v>
      </c>
      <c r="HW166" t="e">
        <f>AND('BBP complete'!Q1988,"AAAAAFvbf+Y=")</f>
        <v>#VALUE!</v>
      </c>
      <c r="HX166" t="e">
        <f>AND('BBP complete'!R1988,"AAAAAFvbf+c=")</f>
        <v>#VALUE!</v>
      </c>
      <c r="HY166" t="e">
        <f>AND('BBP complete'!S1988,"AAAAAFvbf+g=")</f>
        <v>#VALUE!</v>
      </c>
      <c r="HZ166" t="e">
        <f>AND('BBP complete'!A1975,"AAAAAFvbf+k=")</f>
        <v>#VALUE!</v>
      </c>
      <c r="IA166" t="e">
        <f>AND('BBP complete'!#REF!,"AAAAAFvbf+o=")</f>
        <v>#REF!</v>
      </c>
      <c r="IB166" t="e">
        <f>AND('BBP complete'!D1972,"AAAAAFvbf+s=")</f>
        <v>#VALUE!</v>
      </c>
      <c r="IC166" t="e">
        <f>AND('BBP complete'!H1972,"AAAAAFvbf+w=")</f>
        <v>#VALUE!</v>
      </c>
      <c r="ID166" t="e">
        <f>AND('BBP complete'!F1971,"AAAAAFvbf+0=")</f>
        <v>#VALUE!</v>
      </c>
      <c r="IE166" t="e">
        <f>AND('BBP complete'!I1970,"AAAAAFvbf+4=")</f>
        <v>#VALUE!</v>
      </c>
      <c r="IF166" t="e">
        <f>AND('BBP complete'!#REF!,"AAAAAFvbf+8=")</f>
        <v>#REF!</v>
      </c>
      <c r="IG166" t="e">
        <f>AND('BBP complete'!#REF!,"AAAAAFvbf/A=")</f>
        <v>#REF!</v>
      </c>
      <c r="IH166" t="e">
        <f>AND('BBP complete'!#REF!,"AAAAAFvbf/E=")</f>
        <v>#REF!</v>
      </c>
      <c r="II166" t="e">
        <f>AND('BBP complete'!J1972,"AAAAAFvbf/I=")</f>
        <v>#VALUE!</v>
      </c>
      <c r="IJ166" t="e">
        <f>AND('BBP complete'!K1972,"AAAAAFvbf/M=")</f>
        <v>#VALUE!</v>
      </c>
      <c r="IK166" t="e">
        <f>AND('BBP complete'!L1971,"AAAAAFvbf/Q=")</f>
        <v>#VALUE!</v>
      </c>
      <c r="IL166" t="e">
        <f>AND('BBP complete'!M1971,"AAAAAFvbf/U=")</f>
        <v>#VALUE!</v>
      </c>
      <c r="IM166" t="e">
        <f>AND('BBP complete'!N1971,"AAAAAFvbf/Y=")</f>
        <v>#VALUE!</v>
      </c>
      <c r="IN166" t="e">
        <f>AND('BBP complete'!P1989,"AAAAAFvbf/c=")</f>
        <v>#VALUE!</v>
      </c>
      <c r="IO166" t="e">
        <f>AND('BBP complete'!Q1989,"AAAAAFvbf/g=")</f>
        <v>#VALUE!</v>
      </c>
      <c r="IP166" t="e">
        <f>AND('BBP complete'!R1989,"AAAAAFvbf/k=")</f>
        <v>#VALUE!</v>
      </c>
      <c r="IQ166" t="e">
        <f>AND('BBP complete'!S1989,"AAAAAFvbf/o=")</f>
        <v>#VALUE!</v>
      </c>
      <c r="IR166" t="e">
        <f>AND('BBP complete'!A1976,"AAAAAFvbf/s=")</f>
        <v>#VALUE!</v>
      </c>
      <c r="IS166" t="e">
        <f>AND('BBP complete'!#REF!,"AAAAAFvbf/w=")</f>
        <v>#REF!</v>
      </c>
      <c r="IT166" t="e">
        <f>AND('BBP complete'!D1973,"AAAAAFvbf/0=")</f>
        <v>#VALUE!</v>
      </c>
      <c r="IU166" t="e">
        <f>AND('BBP complete'!H1973,"AAAAAFvbf/4=")</f>
        <v>#VALUE!</v>
      </c>
      <c r="IV166" t="e">
        <f>AND('BBP complete'!F1972,"AAAAAFvbf/8=")</f>
        <v>#VALUE!</v>
      </c>
    </row>
    <row r="167" spans="1:256" ht="15" customHeight="1" x14ac:dyDescent="0.25">
      <c r="A167" t="e">
        <f>AND('BBP complete'!I1971,"AAAAAG1QPwA=")</f>
        <v>#VALUE!</v>
      </c>
      <c r="B167" t="e">
        <f>AND('BBP complete'!#REF!,"AAAAAG1QPwE=")</f>
        <v>#REF!</v>
      </c>
      <c r="C167" t="e">
        <f>AND('BBP complete'!#REF!,"AAAAAG1QPwI=")</f>
        <v>#REF!</v>
      </c>
      <c r="D167" t="e">
        <f>AND('BBP complete'!#REF!,"AAAAAG1QPwM=")</f>
        <v>#REF!</v>
      </c>
      <c r="E167" t="e">
        <f>AND('BBP complete'!J1973,"AAAAAG1QPwQ=")</f>
        <v>#VALUE!</v>
      </c>
      <c r="F167" t="e">
        <f>AND('BBP complete'!K1973,"AAAAAG1QPwU=")</f>
        <v>#VALUE!</v>
      </c>
      <c r="G167" t="e">
        <f>AND('BBP complete'!L1972,"AAAAAG1QPwY=")</f>
        <v>#VALUE!</v>
      </c>
      <c r="H167" t="e">
        <f>AND('BBP complete'!M1972,"AAAAAG1QPwc=")</f>
        <v>#VALUE!</v>
      </c>
      <c r="I167" t="e">
        <f>AND('BBP complete'!N1972,"AAAAAG1QPwg=")</f>
        <v>#VALUE!</v>
      </c>
      <c r="J167" t="e">
        <f>AND('BBP complete'!P1990,"AAAAAG1QPwk=")</f>
        <v>#VALUE!</v>
      </c>
      <c r="K167" t="e">
        <f>AND('BBP complete'!Q1990,"AAAAAG1QPwo=")</f>
        <v>#VALUE!</v>
      </c>
      <c r="L167" t="e">
        <f>AND('BBP complete'!R1990,"AAAAAG1QPws=")</f>
        <v>#VALUE!</v>
      </c>
      <c r="M167" t="e">
        <f>AND('BBP complete'!S1990,"AAAAAG1QPww=")</f>
        <v>#VALUE!</v>
      </c>
      <c r="N167" t="e">
        <f>AND('BBP complete'!A1977,"AAAAAG1QPw0=")</f>
        <v>#VALUE!</v>
      </c>
      <c r="O167" t="e">
        <f>AND('BBP complete'!#REF!,"AAAAAG1QPw4=")</f>
        <v>#REF!</v>
      </c>
      <c r="P167" t="e">
        <f>AND('BBP complete'!D1974,"AAAAAG1QPw8=")</f>
        <v>#VALUE!</v>
      </c>
      <c r="Q167" t="e">
        <f>AND('BBP complete'!H1974,"AAAAAG1QPxA=")</f>
        <v>#VALUE!</v>
      </c>
      <c r="R167" t="e">
        <f>AND('BBP complete'!F1973,"AAAAAG1QPxE=")</f>
        <v>#VALUE!</v>
      </c>
      <c r="S167" t="e">
        <f>AND('BBP complete'!I1972,"AAAAAG1QPxI=")</f>
        <v>#VALUE!</v>
      </c>
      <c r="T167" t="e">
        <f>AND('BBP complete'!#REF!,"AAAAAG1QPxM=")</f>
        <v>#REF!</v>
      </c>
      <c r="U167" t="e">
        <f>AND('BBP complete'!#REF!,"AAAAAG1QPxQ=")</f>
        <v>#REF!</v>
      </c>
      <c r="V167" t="e">
        <f>AND('BBP complete'!#REF!,"AAAAAG1QPxU=")</f>
        <v>#REF!</v>
      </c>
      <c r="W167" t="e">
        <f>AND('BBP complete'!J1974,"AAAAAG1QPxY=")</f>
        <v>#VALUE!</v>
      </c>
      <c r="X167" t="e">
        <f>AND('BBP complete'!K1974,"AAAAAG1QPxc=")</f>
        <v>#VALUE!</v>
      </c>
      <c r="Y167" t="e">
        <f>AND('BBP complete'!L1973,"AAAAAG1QPxg=")</f>
        <v>#VALUE!</v>
      </c>
      <c r="Z167" t="e">
        <f>AND('BBP complete'!M1973,"AAAAAG1QPxk=")</f>
        <v>#VALUE!</v>
      </c>
      <c r="AA167" t="e">
        <f>AND('BBP complete'!N1973,"AAAAAG1QPxo=")</f>
        <v>#VALUE!</v>
      </c>
      <c r="AB167" t="e">
        <f>AND('BBP complete'!P1991,"AAAAAG1QPxs=")</f>
        <v>#VALUE!</v>
      </c>
      <c r="AC167" t="e">
        <f>AND('BBP complete'!Q1991,"AAAAAG1QPxw=")</f>
        <v>#VALUE!</v>
      </c>
      <c r="AD167" t="e">
        <f>AND('BBP complete'!R1991,"AAAAAG1QPx0=")</f>
        <v>#VALUE!</v>
      </c>
      <c r="AE167" t="e">
        <f>AND('BBP complete'!S1991,"AAAAAG1QPx4=")</f>
        <v>#VALUE!</v>
      </c>
      <c r="AF167" t="e">
        <f>AND('BBP complete'!A1978,"AAAAAG1QPx8=")</f>
        <v>#VALUE!</v>
      </c>
      <c r="AG167" t="e">
        <f>AND('BBP complete'!#REF!,"AAAAAG1QPyA=")</f>
        <v>#REF!</v>
      </c>
      <c r="AH167" t="e">
        <f>AND('BBP complete'!D1975,"AAAAAG1QPyE=")</f>
        <v>#VALUE!</v>
      </c>
      <c r="AI167" t="e">
        <f>AND('BBP complete'!H1975,"AAAAAG1QPyI=")</f>
        <v>#VALUE!</v>
      </c>
      <c r="AJ167" t="e">
        <f>AND('BBP complete'!F1974,"AAAAAG1QPyM=")</f>
        <v>#VALUE!</v>
      </c>
      <c r="AK167" t="e">
        <f>AND('BBP complete'!I1973,"AAAAAG1QPyQ=")</f>
        <v>#VALUE!</v>
      </c>
      <c r="AL167" t="e">
        <f>AND('BBP complete'!#REF!,"AAAAAG1QPyU=")</f>
        <v>#REF!</v>
      </c>
      <c r="AM167" t="e">
        <f>AND('BBP complete'!#REF!,"AAAAAG1QPyY=")</f>
        <v>#REF!</v>
      </c>
      <c r="AN167" t="e">
        <f>AND('BBP complete'!#REF!,"AAAAAG1QPyc=")</f>
        <v>#REF!</v>
      </c>
      <c r="AO167" t="e">
        <f>AND('BBP complete'!J1975,"AAAAAG1QPyg=")</f>
        <v>#VALUE!</v>
      </c>
      <c r="AP167" t="e">
        <f>AND('BBP complete'!K1975,"AAAAAG1QPyk=")</f>
        <v>#VALUE!</v>
      </c>
      <c r="AQ167" t="e">
        <f>AND('BBP complete'!L1974,"AAAAAG1QPyo=")</f>
        <v>#VALUE!</v>
      </c>
      <c r="AR167" t="e">
        <f>AND('BBP complete'!M1974,"AAAAAG1QPys=")</f>
        <v>#VALUE!</v>
      </c>
      <c r="AS167" t="e">
        <f>AND('BBP complete'!N1974,"AAAAAG1QPyw=")</f>
        <v>#VALUE!</v>
      </c>
      <c r="AT167" t="e">
        <f>AND('BBP complete'!P1992,"AAAAAG1QPy0=")</f>
        <v>#VALUE!</v>
      </c>
      <c r="AU167" t="e">
        <f>AND('BBP complete'!Q1992,"AAAAAG1QPy4=")</f>
        <v>#VALUE!</v>
      </c>
      <c r="AV167" t="e">
        <f>AND('BBP complete'!R1992,"AAAAAG1QPy8=")</f>
        <v>#VALUE!</v>
      </c>
      <c r="AW167" t="e">
        <f>AND('BBP complete'!S1992,"AAAAAG1QPzA=")</f>
        <v>#VALUE!</v>
      </c>
      <c r="AX167" t="e">
        <f>AND('BBP complete'!A1979,"AAAAAG1QPzE=")</f>
        <v>#VALUE!</v>
      </c>
      <c r="AY167" t="e">
        <f>AND('BBP complete'!#REF!,"AAAAAG1QPzI=")</f>
        <v>#REF!</v>
      </c>
      <c r="AZ167" t="e">
        <f>AND('BBP complete'!D1976,"AAAAAG1QPzM=")</f>
        <v>#VALUE!</v>
      </c>
      <c r="BA167" t="e">
        <f>AND('BBP complete'!H1976,"AAAAAG1QPzQ=")</f>
        <v>#VALUE!</v>
      </c>
      <c r="BB167" t="e">
        <f>AND('BBP complete'!F1975,"AAAAAG1QPzU=")</f>
        <v>#VALUE!</v>
      </c>
      <c r="BC167" t="e">
        <f>AND('BBP complete'!I1974,"AAAAAG1QPzY=")</f>
        <v>#VALUE!</v>
      </c>
      <c r="BD167" t="e">
        <f>AND('BBP complete'!#REF!,"AAAAAG1QPzc=")</f>
        <v>#REF!</v>
      </c>
      <c r="BE167" t="e">
        <f>AND('BBP complete'!#REF!,"AAAAAG1QPzg=")</f>
        <v>#REF!</v>
      </c>
      <c r="BF167" t="e">
        <f>AND('BBP complete'!#REF!,"AAAAAG1QPzk=")</f>
        <v>#REF!</v>
      </c>
      <c r="BG167" t="e">
        <f>AND('BBP complete'!J1976,"AAAAAG1QPzo=")</f>
        <v>#VALUE!</v>
      </c>
      <c r="BH167" t="e">
        <f>AND('BBP complete'!K1976,"AAAAAG1QPzs=")</f>
        <v>#VALUE!</v>
      </c>
      <c r="BI167" t="e">
        <f>AND('BBP complete'!L1975,"AAAAAG1QPzw=")</f>
        <v>#VALUE!</v>
      </c>
      <c r="BJ167" t="e">
        <f>AND('BBP complete'!M1975,"AAAAAG1QPz0=")</f>
        <v>#VALUE!</v>
      </c>
      <c r="BK167" t="e">
        <f>AND('BBP complete'!N1975,"AAAAAG1QPz4=")</f>
        <v>#VALUE!</v>
      </c>
      <c r="BL167" t="e">
        <f>AND('BBP complete'!P1993,"AAAAAG1QPz8=")</f>
        <v>#VALUE!</v>
      </c>
      <c r="BM167" t="e">
        <f>AND('BBP complete'!Q1993,"AAAAAG1QP0A=")</f>
        <v>#VALUE!</v>
      </c>
      <c r="BN167" t="e">
        <f>AND('BBP complete'!R1993,"AAAAAG1QP0E=")</f>
        <v>#VALUE!</v>
      </c>
      <c r="BO167" t="e">
        <f>AND('BBP complete'!S1993,"AAAAAG1QP0I=")</f>
        <v>#VALUE!</v>
      </c>
      <c r="BP167" t="e">
        <f>AND('BBP complete'!A1980,"AAAAAG1QP0M=")</f>
        <v>#VALUE!</v>
      </c>
      <c r="BQ167" t="e">
        <f>AND('BBP complete'!#REF!,"AAAAAG1QP0Q=")</f>
        <v>#REF!</v>
      </c>
      <c r="BR167" t="e">
        <f>AND('BBP complete'!D1977,"AAAAAG1QP0U=")</f>
        <v>#VALUE!</v>
      </c>
      <c r="BS167" t="e">
        <f>AND('BBP complete'!H1977,"AAAAAG1QP0Y=")</f>
        <v>#VALUE!</v>
      </c>
      <c r="BT167" t="e">
        <f>AND('BBP complete'!F1976,"AAAAAG1QP0c=")</f>
        <v>#VALUE!</v>
      </c>
      <c r="BU167" t="e">
        <f>AND('BBP complete'!I1975,"AAAAAG1QP0g=")</f>
        <v>#VALUE!</v>
      </c>
      <c r="BV167" t="e">
        <f>AND('BBP complete'!#REF!,"AAAAAG1QP0k=")</f>
        <v>#REF!</v>
      </c>
      <c r="BW167" t="e">
        <f>AND('BBP complete'!#REF!,"AAAAAG1QP0o=")</f>
        <v>#REF!</v>
      </c>
      <c r="BX167" t="e">
        <f>AND('BBP complete'!#REF!,"AAAAAG1QP0s=")</f>
        <v>#REF!</v>
      </c>
      <c r="BY167" t="e">
        <f>AND('BBP complete'!J1977,"AAAAAG1QP0w=")</f>
        <v>#VALUE!</v>
      </c>
      <c r="BZ167" t="e">
        <f>AND('BBP complete'!K1977,"AAAAAG1QP00=")</f>
        <v>#VALUE!</v>
      </c>
      <c r="CA167" t="e">
        <f>AND('BBP complete'!L1976,"AAAAAG1QP04=")</f>
        <v>#VALUE!</v>
      </c>
      <c r="CB167" t="e">
        <f>AND('BBP complete'!M1976,"AAAAAG1QP08=")</f>
        <v>#VALUE!</v>
      </c>
      <c r="CC167" t="e">
        <f>AND('BBP complete'!N1976,"AAAAAG1QP1A=")</f>
        <v>#VALUE!</v>
      </c>
      <c r="CD167" t="e">
        <f>AND('BBP complete'!P1994,"AAAAAG1QP1E=")</f>
        <v>#VALUE!</v>
      </c>
      <c r="CE167" t="e">
        <f>AND('BBP complete'!Q1994,"AAAAAG1QP1I=")</f>
        <v>#VALUE!</v>
      </c>
      <c r="CF167" t="e">
        <f>AND('BBP complete'!R1994,"AAAAAG1QP1M=")</f>
        <v>#VALUE!</v>
      </c>
      <c r="CG167" t="e">
        <f>AND('BBP complete'!S1994,"AAAAAG1QP1Q=")</f>
        <v>#VALUE!</v>
      </c>
      <c r="CH167" t="e">
        <f>AND('BBP complete'!A1981,"AAAAAG1QP1U=")</f>
        <v>#VALUE!</v>
      </c>
      <c r="CI167" t="e">
        <f>AND('BBP complete'!#REF!,"AAAAAG1QP1Y=")</f>
        <v>#REF!</v>
      </c>
      <c r="CJ167" t="e">
        <f>AND('BBP complete'!D1978,"AAAAAG1QP1c=")</f>
        <v>#VALUE!</v>
      </c>
      <c r="CK167" t="e">
        <f>AND('BBP complete'!H1978,"AAAAAG1QP1g=")</f>
        <v>#VALUE!</v>
      </c>
      <c r="CL167" t="e">
        <f>AND('BBP complete'!F1977,"AAAAAG1QP1k=")</f>
        <v>#VALUE!</v>
      </c>
      <c r="CM167" t="e">
        <f>AND('BBP complete'!I1976,"AAAAAG1QP1o=")</f>
        <v>#VALUE!</v>
      </c>
      <c r="CN167" t="e">
        <f>AND('BBP complete'!#REF!,"AAAAAG1QP1s=")</f>
        <v>#REF!</v>
      </c>
      <c r="CO167" t="e">
        <f>AND('BBP complete'!#REF!,"AAAAAG1QP1w=")</f>
        <v>#REF!</v>
      </c>
      <c r="CP167" t="e">
        <f>AND('BBP complete'!#REF!,"AAAAAG1QP10=")</f>
        <v>#REF!</v>
      </c>
      <c r="CQ167" t="e">
        <f>AND('BBP complete'!J1978,"AAAAAG1QP14=")</f>
        <v>#VALUE!</v>
      </c>
      <c r="CR167" t="e">
        <f>AND('BBP complete'!K1978,"AAAAAG1QP18=")</f>
        <v>#VALUE!</v>
      </c>
      <c r="CS167" t="e">
        <f>AND('BBP complete'!L1977,"AAAAAG1QP2A=")</f>
        <v>#VALUE!</v>
      </c>
      <c r="CT167" t="e">
        <f>AND('BBP complete'!M1977,"AAAAAG1QP2E=")</f>
        <v>#VALUE!</v>
      </c>
      <c r="CU167" t="e">
        <f>AND('BBP complete'!N1977,"AAAAAG1QP2I=")</f>
        <v>#VALUE!</v>
      </c>
      <c r="CV167" t="e">
        <f>AND('BBP complete'!P1995,"AAAAAG1QP2M=")</f>
        <v>#VALUE!</v>
      </c>
      <c r="CW167" t="e">
        <f>AND('BBP complete'!Q1995,"AAAAAG1QP2Q=")</f>
        <v>#VALUE!</v>
      </c>
      <c r="CX167" t="e">
        <f>AND('BBP complete'!R1995,"AAAAAG1QP2U=")</f>
        <v>#VALUE!</v>
      </c>
      <c r="CY167" t="e">
        <f>AND('BBP complete'!S1995,"AAAAAG1QP2Y=")</f>
        <v>#VALUE!</v>
      </c>
      <c r="CZ167" t="e">
        <f>AND('BBP complete'!A1982,"AAAAAG1QP2c=")</f>
        <v>#VALUE!</v>
      </c>
      <c r="DA167" t="e">
        <f>AND('BBP complete'!#REF!,"AAAAAG1QP2g=")</f>
        <v>#REF!</v>
      </c>
      <c r="DB167" t="e">
        <f>AND('BBP complete'!D1979,"AAAAAG1QP2k=")</f>
        <v>#VALUE!</v>
      </c>
      <c r="DC167" t="e">
        <f>AND('BBP complete'!H1979,"AAAAAG1QP2o=")</f>
        <v>#VALUE!</v>
      </c>
      <c r="DD167" t="e">
        <f>AND('BBP complete'!F1978,"AAAAAG1QP2s=")</f>
        <v>#VALUE!</v>
      </c>
      <c r="DE167" t="e">
        <f>AND('BBP complete'!I1977,"AAAAAG1QP2w=")</f>
        <v>#VALUE!</v>
      </c>
      <c r="DF167" t="e">
        <f>AND('BBP complete'!#REF!,"AAAAAG1QP20=")</f>
        <v>#REF!</v>
      </c>
      <c r="DG167" t="e">
        <f>AND('BBP complete'!#REF!,"AAAAAG1QP24=")</f>
        <v>#REF!</v>
      </c>
      <c r="DH167" t="e">
        <f>AND('BBP complete'!#REF!,"AAAAAG1QP28=")</f>
        <v>#REF!</v>
      </c>
      <c r="DI167" t="e">
        <f>AND('BBP complete'!J1979,"AAAAAG1QP3A=")</f>
        <v>#VALUE!</v>
      </c>
      <c r="DJ167" t="e">
        <f>AND('BBP complete'!K1979,"AAAAAG1QP3E=")</f>
        <v>#VALUE!</v>
      </c>
      <c r="DK167" t="e">
        <f>AND('BBP complete'!L1978,"AAAAAG1QP3I=")</f>
        <v>#VALUE!</v>
      </c>
      <c r="DL167" t="e">
        <f>AND('BBP complete'!M1978,"AAAAAG1QP3M=")</f>
        <v>#VALUE!</v>
      </c>
      <c r="DM167" t="e">
        <f>AND('BBP complete'!N1978,"AAAAAG1QP3Q=")</f>
        <v>#VALUE!</v>
      </c>
      <c r="DN167" t="e">
        <f>AND('BBP complete'!P1996,"AAAAAG1QP3U=")</f>
        <v>#VALUE!</v>
      </c>
      <c r="DO167" t="e">
        <f>AND('BBP complete'!Q1996,"AAAAAG1QP3Y=")</f>
        <v>#VALUE!</v>
      </c>
      <c r="DP167" t="e">
        <f>AND('BBP complete'!R1996,"AAAAAG1QP3c=")</f>
        <v>#VALUE!</v>
      </c>
      <c r="DQ167" t="e">
        <f>AND('BBP complete'!S1996,"AAAAAG1QP3g=")</f>
        <v>#VALUE!</v>
      </c>
      <c r="DR167" t="e">
        <f>AND('BBP complete'!A1983,"AAAAAG1QP3k=")</f>
        <v>#VALUE!</v>
      </c>
      <c r="DS167" t="e">
        <f>AND('BBP complete'!#REF!,"AAAAAG1QP3o=")</f>
        <v>#REF!</v>
      </c>
      <c r="DT167" t="e">
        <f>AND('BBP complete'!D1980,"AAAAAG1QP3s=")</f>
        <v>#VALUE!</v>
      </c>
      <c r="DU167" t="e">
        <f>AND('BBP complete'!H1980,"AAAAAG1QP3w=")</f>
        <v>#VALUE!</v>
      </c>
      <c r="DV167" t="e">
        <f>AND('BBP complete'!F1979,"AAAAAG1QP30=")</f>
        <v>#VALUE!</v>
      </c>
      <c r="DW167" t="e">
        <f>AND('BBP complete'!I1978,"AAAAAG1QP34=")</f>
        <v>#VALUE!</v>
      </c>
      <c r="DX167" t="e">
        <f>AND('BBP complete'!#REF!,"AAAAAG1QP38=")</f>
        <v>#REF!</v>
      </c>
      <c r="DY167" t="e">
        <f>AND('BBP complete'!#REF!,"AAAAAG1QP4A=")</f>
        <v>#REF!</v>
      </c>
      <c r="DZ167" t="e">
        <f>AND('BBP complete'!#REF!,"AAAAAG1QP4E=")</f>
        <v>#REF!</v>
      </c>
      <c r="EA167" t="e">
        <f>AND('BBP complete'!J1980,"AAAAAG1QP4I=")</f>
        <v>#VALUE!</v>
      </c>
      <c r="EB167" t="e">
        <f>AND('BBP complete'!K1980,"AAAAAG1QP4M=")</f>
        <v>#VALUE!</v>
      </c>
      <c r="EC167" t="e">
        <f>AND('BBP complete'!L1979,"AAAAAG1QP4Q=")</f>
        <v>#VALUE!</v>
      </c>
      <c r="ED167" t="e">
        <f>AND('BBP complete'!M1979,"AAAAAG1QP4U=")</f>
        <v>#VALUE!</v>
      </c>
      <c r="EE167" t="e">
        <f>AND('BBP complete'!N1979,"AAAAAG1QP4Y=")</f>
        <v>#VALUE!</v>
      </c>
      <c r="EF167" t="e">
        <f>AND('BBP complete'!P1997,"AAAAAG1QP4c=")</f>
        <v>#VALUE!</v>
      </c>
      <c r="EG167" t="e">
        <f>AND('BBP complete'!Q1997,"AAAAAG1QP4g=")</f>
        <v>#VALUE!</v>
      </c>
      <c r="EH167" t="e">
        <f>AND('BBP complete'!R1997,"AAAAAG1QP4k=")</f>
        <v>#VALUE!</v>
      </c>
      <c r="EI167" t="e">
        <f>AND('BBP complete'!S1997,"AAAAAG1QP4o=")</f>
        <v>#VALUE!</v>
      </c>
      <c r="EJ167" t="e">
        <f>AND('BBP complete'!A1984,"AAAAAG1QP4s=")</f>
        <v>#VALUE!</v>
      </c>
      <c r="EK167" t="e">
        <f>AND('BBP complete'!#REF!,"AAAAAG1QP4w=")</f>
        <v>#REF!</v>
      </c>
      <c r="EL167" t="e">
        <f>AND('BBP complete'!D1981,"AAAAAG1QP40=")</f>
        <v>#VALUE!</v>
      </c>
      <c r="EM167" t="e">
        <f>AND('BBP complete'!H1981,"AAAAAG1QP44=")</f>
        <v>#VALUE!</v>
      </c>
      <c r="EN167" t="e">
        <f>AND('BBP complete'!F1980,"AAAAAG1QP48=")</f>
        <v>#VALUE!</v>
      </c>
      <c r="EO167" t="e">
        <f>AND('BBP complete'!I1979,"AAAAAG1QP5A=")</f>
        <v>#VALUE!</v>
      </c>
      <c r="EP167" t="e">
        <f>AND('BBP complete'!#REF!,"AAAAAG1QP5E=")</f>
        <v>#REF!</v>
      </c>
      <c r="EQ167" t="e">
        <f>AND('BBP complete'!#REF!,"AAAAAG1QP5I=")</f>
        <v>#REF!</v>
      </c>
      <c r="ER167" t="e">
        <f>AND('BBP complete'!#REF!,"AAAAAG1QP5M=")</f>
        <v>#REF!</v>
      </c>
      <c r="ES167" t="e">
        <f>AND('BBP complete'!J1981,"AAAAAG1QP5Q=")</f>
        <v>#VALUE!</v>
      </c>
      <c r="ET167" t="e">
        <f>AND('BBP complete'!K1981,"AAAAAG1QP5U=")</f>
        <v>#VALUE!</v>
      </c>
      <c r="EU167" t="e">
        <f>AND('BBP complete'!L1980,"AAAAAG1QP5Y=")</f>
        <v>#VALUE!</v>
      </c>
      <c r="EV167" t="e">
        <f>AND('BBP complete'!M1980,"AAAAAG1QP5c=")</f>
        <v>#VALUE!</v>
      </c>
      <c r="EW167" t="e">
        <f>AND('BBP complete'!N1980,"AAAAAG1QP5g=")</f>
        <v>#VALUE!</v>
      </c>
      <c r="EX167" t="e">
        <f>AND('BBP complete'!P1998,"AAAAAG1QP5k=")</f>
        <v>#VALUE!</v>
      </c>
      <c r="EY167" t="e">
        <f>AND('BBP complete'!Q1998,"AAAAAG1QP5o=")</f>
        <v>#VALUE!</v>
      </c>
      <c r="EZ167" t="e">
        <f>AND('BBP complete'!R1998,"AAAAAG1QP5s=")</f>
        <v>#VALUE!</v>
      </c>
      <c r="FA167" t="e">
        <f>AND('BBP complete'!S1998,"AAAAAG1QP5w=")</f>
        <v>#VALUE!</v>
      </c>
      <c r="FB167" t="e">
        <f>AND('BBP complete'!A1985,"AAAAAG1QP50=")</f>
        <v>#VALUE!</v>
      </c>
      <c r="FC167" t="e">
        <f>AND('BBP complete'!#REF!,"AAAAAG1QP54=")</f>
        <v>#REF!</v>
      </c>
      <c r="FD167" t="e">
        <f>AND('BBP complete'!D1982,"AAAAAG1QP58=")</f>
        <v>#VALUE!</v>
      </c>
      <c r="FE167" t="e">
        <f>AND('BBP complete'!H1982,"AAAAAG1QP6A=")</f>
        <v>#VALUE!</v>
      </c>
      <c r="FF167" t="e">
        <f>AND('BBP complete'!F1981,"AAAAAG1QP6E=")</f>
        <v>#VALUE!</v>
      </c>
      <c r="FG167" t="e">
        <f>AND('BBP complete'!I1980,"AAAAAG1QP6I=")</f>
        <v>#VALUE!</v>
      </c>
      <c r="FH167" t="e">
        <f>AND('BBP complete'!#REF!,"AAAAAG1QP6M=")</f>
        <v>#REF!</v>
      </c>
      <c r="FI167" t="e">
        <f>AND('BBP complete'!#REF!,"AAAAAG1QP6Q=")</f>
        <v>#REF!</v>
      </c>
      <c r="FJ167" t="e">
        <f>AND('BBP complete'!#REF!,"AAAAAG1QP6U=")</f>
        <v>#REF!</v>
      </c>
      <c r="FK167" t="e">
        <f>AND('BBP complete'!J1982,"AAAAAG1QP6Y=")</f>
        <v>#VALUE!</v>
      </c>
      <c r="FL167" t="e">
        <f>AND('BBP complete'!K1982,"AAAAAG1QP6c=")</f>
        <v>#VALUE!</v>
      </c>
      <c r="FM167" t="e">
        <f>AND('BBP complete'!L1981,"AAAAAG1QP6g=")</f>
        <v>#VALUE!</v>
      </c>
      <c r="FN167" t="e">
        <f>AND('BBP complete'!M1981,"AAAAAG1QP6k=")</f>
        <v>#VALUE!</v>
      </c>
      <c r="FO167" t="e">
        <f>AND('BBP complete'!N1981,"AAAAAG1QP6o=")</f>
        <v>#VALUE!</v>
      </c>
      <c r="FP167" t="e">
        <f>AND('BBP complete'!P1999,"AAAAAG1QP6s=")</f>
        <v>#VALUE!</v>
      </c>
      <c r="FQ167" t="e">
        <f>AND('BBP complete'!Q1999,"AAAAAG1QP6w=")</f>
        <v>#VALUE!</v>
      </c>
      <c r="FR167" t="e">
        <f>AND('BBP complete'!R1999,"AAAAAG1QP60=")</f>
        <v>#VALUE!</v>
      </c>
      <c r="FS167" t="e">
        <f>AND('BBP complete'!S1999,"AAAAAG1QP64=")</f>
        <v>#VALUE!</v>
      </c>
      <c r="FT167" t="e">
        <f>AND('BBP complete'!A1986,"AAAAAG1QP68=")</f>
        <v>#VALUE!</v>
      </c>
      <c r="FU167" t="e">
        <f>AND('BBP complete'!#REF!,"AAAAAG1QP7A=")</f>
        <v>#REF!</v>
      </c>
      <c r="FV167" t="e">
        <f>AND('BBP complete'!D1983,"AAAAAG1QP7E=")</f>
        <v>#VALUE!</v>
      </c>
      <c r="FW167" t="e">
        <f>AND('BBP complete'!H1983,"AAAAAG1QP7I=")</f>
        <v>#VALUE!</v>
      </c>
      <c r="FX167" t="e">
        <f>AND('BBP complete'!F1982,"AAAAAG1QP7M=")</f>
        <v>#VALUE!</v>
      </c>
      <c r="FY167" t="e">
        <f>AND('BBP complete'!I1981,"AAAAAG1QP7Q=")</f>
        <v>#VALUE!</v>
      </c>
      <c r="FZ167" t="e">
        <f>AND('BBP complete'!#REF!,"AAAAAG1QP7U=")</f>
        <v>#REF!</v>
      </c>
      <c r="GA167" t="e">
        <f>AND('BBP complete'!#REF!,"AAAAAG1QP7Y=")</f>
        <v>#REF!</v>
      </c>
      <c r="GB167" t="e">
        <f>AND('BBP complete'!#REF!,"AAAAAG1QP7c=")</f>
        <v>#REF!</v>
      </c>
      <c r="GC167" t="e">
        <f>AND('BBP complete'!J1983,"AAAAAG1QP7g=")</f>
        <v>#VALUE!</v>
      </c>
      <c r="GD167" t="e">
        <f>AND('BBP complete'!K1983,"AAAAAG1QP7k=")</f>
        <v>#VALUE!</v>
      </c>
      <c r="GE167" t="e">
        <f>AND('BBP complete'!L1982,"AAAAAG1QP7o=")</f>
        <v>#VALUE!</v>
      </c>
      <c r="GF167" t="e">
        <f>AND('BBP complete'!M1982,"AAAAAG1QP7s=")</f>
        <v>#VALUE!</v>
      </c>
      <c r="GG167" t="e">
        <f>AND('BBP complete'!N1982,"AAAAAG1QP7w=")</f>
        <v>#VALUE!</v>
      </c>
      <c r="GH167" t="e">
        <f>AND('BBP complete'!P2000,"AAAAAG1QP70=")</f>
        <v>#VALUE!</v>
      </c>
      <c r="GI167" t="e">
        <f>AND('BBP complete'!Q2000,"AAAAAG1QP74=")</f>
        <v>#VALUE!</v>
      </c>
      <c r="GJ167" t="e">
        <f>AND('BBP complete'!R2000,"AAAAAG1QP78=")</f>
        <v>#VALUE!</v>
      </c>
      <c r="GK167" t="e">
        <f>AND('BBP complete'!S2000,"AAAAAG1QP8A=")</f>
        <v>#VALUE!</v>
      </c>
      <c r="GL167" t="e">
        <f>AND('BBP complete'!A1987,"AAAAAG1QP8E=")</f>
        <v>#VALUE!</v>
      </c>
      <c r="GM167" t="e">
        <f>AND('BBP complete'!#REF!,"AAAAAG1QP8I=")</f>
        <v>#REF!</v>
      </c>
      <c r="GN167" t="e">
        <f>AND('BBP complete'!D1984,"AAAAAG1QP8M=")</f>
        <v>#VALUE!</v>
      </c>
      <c r="GO167" t="e">
        <f>AND('BBP complete'!H1984,"AAAAAG1QP8Q=")</f>
        <v>#VALUE!</v>
      </c>
      <c r="GP167" t="e">
        <f>AND('BBP complete'!F1983,"AAAAAG1QP8U=")</f>
        <v>#VALUE!</v>
      </c>
      <c r="GQ167" t="e">
        <f>AND('BBP complete'!I1982,"AAAAAG1QP8Y=")</f>
        <v>#VALUE!</v>
      </c>
      <c r="GR167" t="e">
        <f>AND('BBP complete'!#REF!,"AAAAAG1QP8c=")</f>
        <v>#REF!</v>
      </c>
      <c r="GS167" t="e">
        <f>AND('BBP complete'!#REF!,"AAAAAG1QP8g=")</f>
        <v>#REF!</v>
      </c>
      <c r="GT167" t="e">
        <f>AND('BBP complete'!#REF!,"AAAAAG1QP8k=")</f>
        <v>#REF!</v>
      </c>
      <c r="GU167" t="e">
        <f>AND('BBP complete'!J1984,"AAAAAG1QP8o=")</f>
        <v>#VALUE!</v>
      </c>
      <c r="GV167" t="e">
        <f>AND('BBP complete'!K1984,"AAAAAG1QP8s=")</f>
        <v>#VALUE!</v>
      </c>
      <c r="GW167" t="e">
        <f>AND('BBP complete'!L1983,"AAAAAG1QP8w=")</f>
        <v>#VALUE!</v>
      </c>
      <c r="GX167" t="e">
        <f>AND('BBP complete'!M1983,"AAAAAG1QP80=")</f>
        <v>#VALUE!</v>
      </c>
      <c r="GY167" t="e">
        <f>AND('BBP complete'!N1983,"AAAAAG1QP84=")</f>
        <v>#VALUE!</v>
      </c>
      <c r="GZ167" t="e">
        <f>AND('BBP complete'!P2001,"AAAAAG1QP88=")</f>
        <v>#VALUE!</v>
      </c>
      <c r="HA167" t="e">
        <f>AND('BBP complete'!Q2001,"AAAAAG1QP9A=")</f>
        <v>#VALUE!</v>
      </c>
      <c r="HB167" t="e">
        <f>AND('BBP complete'!R2001,"AAAAAG1QP9E=")</f>
        <v>#VALUE!</v>
      </c>
      <c r="HC167" t="e">
        <f>AND('BBP complete'!S2001,"AAAAAG1QP9I=")</f>
        <v>#VALUE!</v>
      </c>
      <c r="HD167" t="e">
        <f>AND('BBP complete'!A1988,"AAAAAG1QP9M=")</f>
        <v>#VALUE!</v>
      </c>
      <c r="HE167" t="e">
        <f>AND('BBP complete'!#REF!,"AAAAAG1QP9Q=")</f>
        <v>#REF!</v>
      </c>
      <c r="HF167" t="e">
        <f>AND('BBP complete'!D1985,"AAAAAG1QP9U=")</f>
        <v>#VALUE!</v>
      </c>
      <c r="HG167" t="e">
        <f>AND('BBP complete'!H1985,"AAAAAG1QP9Y=")</f>
        <v>#VALUE!</v>
      </c>
      <c r="HH167" t="e">
        <f>AND('BBP complete'!F1984,"AAAAAG1QP9c=")</f>
        <v>#VALUE!</v>
      </c>
      <c r="HI167" t="e">
        <f>AND('BBP complete'!I1983,"AAAAAG1QP9g=")</f>
        <v>#VALUE!</v>
      </c>
      <c r="HJ167" t="e">
        <f>AND('BBP complete'!#REF!,"AAAAAG1QP9k=")</f>
        <v>#REF!</v>
      </c>
      <c r="HK167" t="e">
        <f>AND('BBP complete'!#REF!,"AAAAAG1QP9o=")</f>
        <v>#REF!</v>
      </c>
      <c r="HL167" t="e">
        <f>AND('BBP complete'!#REF!,"AAAAAG1QP9s=")</f>
        <v>#REF!</v>
      </c>
      <c r="HM167" t="e">
        <f>AND('BBP complete'!J1985,"AAAAAG1QP9w=")</f>
        <v>#VALUE!</v>
      </c>
      <c r="HN167" t="e">
        <f>AND('BBP complete'!K1985,"AAAAAG1QP90=")</f>
        <v>#VALUE!</v>
      </c>
      <c r="HO167" t="e">
        <f>AND('BBP complete'!L1984,"AAAAAG1QP94=")</f>
        <v>#VALUE!</v>
      </c>
      <c r="HP167" t="e">
        <f>AND('BBP complete'!M1984,"AAAAAG1QP98=")</f>
        <v>#VALUE!</v>
      </c>
      <c r="HQ167" t="e">
        <f>AND('BBP complete'!N1984,"AAAAAG1QP+A=")</f>
        <v>#VALUE!</v>
      </c>
      <c r="HR167" t="e">
        <f>AND('BBP complete'!P2002,"AAAAAG1QP+E=")</f>
        <v>#VALUE!</v>
      </c>
      <c r="HS167" t="e">
        <f>AND('BBP complete'!Q2002,"AAAAAG1QP+I=")</f>
        <v>#VALUE!</v>
      </c>
      <c r="HT167" t="e">
        <f>AND('BBP complete'!R2002,"AAAAAG1QP+M=")</f>
        <v>#VALUE!</v>
      </c>
      <c r="HU167" t="e">
        <f>AND('BBP complete'!S2002,"AAAAAG1QP+Q=")</f>
        <v>#VALUE!</v>
      </c>
      <c r="HV167" t="e">
        <f>AND('BBP complete'!A1989,"AAAAAG1QP+U=")</f>
        <v>#VALUE!</v>
      </c>
      <c r="HW167" t="e">
        <f>AND('BBP complete'!#REF!,"AAAAAG1QP+Y=")</f>
        <v>#REF!</v>
      </c>
      <c r="HX167" t="e">
        <f>AND('BBP complete'!D1986,"AAAAAG1QP+c=")</f>
        <v>#VALUE!</v>
      </c>
      <c r="HY167" t="e">
        <f>AND('BBP complete'!H1986,"AAAAAG1QP+g=")</f>
        <v>#VALUE!</v>
      </c>
      <c r="HZ167" t="e">
        <f>AND('BBP complete'!F1985,"AAAAAG1QP+k=")</f>
        <v>#VALUE!</v>
      </c>
      <c r="IA167" t="e">
        <f>AND('BBP complete'!I1984,"AAAAAG1QP+o=")</f>
        <v>#VALUE!</v>
      </c>
      <c r="IB167" t="e">
        <f>AND('BBP complete'!#REF!,"AAAAAG1QP+s=")</f>
        <v>#REF!</v>
      </c>
      <c r="IC167" t="e">
        <f>AND('BBP complete'!#REF!,"AAAAAG1QP+w=")</f>
        <v>#REF!</v>
      </c>
      <c r="ID167" t="e">
        <f>AND('BBP complete'!#REF!,"AAAAAG1QP+0=")</f>
        <v>#REF!</v>
      </c>
      <c r="IE167" t="e">
        <f>AND('BBP complete'!J1986,"AAAAAG1QP+4=")</f>
        <v>#VALUE!</v>
      </c>
      <c r="IF167" t="e">
        <f>AND('BBP complete'!K1986,"AAAAAG1QP+8=")</f>
        <v>#VALUE!</v>
      </c>
      <c r="IG167" t="e">
        <f>AND('BBP complete'!L1985,"AAAAAG1QP/A=")</f>
        <v>#VALUE!</v>
      </c>
      <c r="IH167" t="e">
        <f>AND('BBP complete'!M1985,"AAAAAG1QP/E=")</f>
        <v>#VALUE!</v>
      </c>
      <c r="II167" t="e">
        <f>AND('BBP complete'!N1985,"AAAAAG1QP/I=")</f>
        <v>#VALUE!</v>
      </c>
      <c r="IJ167" t="e">
        <f>AND('BBP complete'!P2003,"AAAAAG1QP/M=")</f>
        <v>#VALUE!</v>
      </c>
      <c r="IK167" t="e">
        <f>AND('BBP complete'!Q2003,"AAAAAG1QP/Q=")</f>
        <v>#VALUE!</v>
      </c>
      <c r="IL167" t="e">
        <f>AND('BBP complete'!R2003,"AAAAAG1QP/U=")</f>
        <v>#VALUE!</v>
      </c>
      <c r="IM167" t="e">
        <f>AND('BBP complete'!S2003,"AAAAAG1QP/Y=")</f>
        <v>#VALUE!</v>
      </c>
      <c r="IN167" t="e">
        <f>AND('BBP complete'!A1990,"AAAAAG1QP/c=")</f>
        <v>#VALUE!</v>
      </c>
      <c r="IO167" t="e">
        <f>AND('BBP complete'!#REF!,"AAAAAG1QP/g=")</f>
        <v>#REF!</v>
      </c>
      <c r="IP167" t="e">
        <f>AND('BBP complete'!D1987,"AAAAAG1QP/k=")</f>
        <v>#VALUE!</v>
      </c>
      <c r="IQ167" t="e">
        <f>AND('BBP complete'!H1987,"AAAAAG1QP/o=")</f>
        <v>#VALUE!</v>
      </c>
      <c r="IR167" t="e">
        <f>AND('BBP complete'!F1986,"AAAAAG1QP/s=")</f>
        <v>#VALUE!</v>
      </c>
      <c r="IS167" t="e">
        <f>AND('BBP complete'!I1985,"AAAAAG1QP/w=")</f>
        <v>#VALUE!</v>
      </c>
      <c r="IT167" t="e">
        <f>AND('BBP complete'!#REF!,"AAAAAG1QP/0=")</f>
        <v>#REF!</v>
      </c>
      <c r="IU167" t="e">
        <f>AND('BBP complete'!#REF!,"AAAAAG1QP/4=")</f>
        <v>#REF!</v>
      </c>
      <c r="IV167" t="e">
        <f>AND('BBP complete'!#REF!,"AAAAAG1QP/8=")</f>
        <v>#REF!</v>
      </c>
    </row>
    <row r="168" spans="1:256" ht="15" customHeight="1" x14ac:dyDescent="0.25">
      <c r="A168" t="e">
        <f>AND('BBP complete'!J1987,"AAAAAFfVLgA=")</f>
        <v>#VALUE!</v>
      </c>
      <c r="B168" t="e">
        <f>AND('BBP complete'!K1987,"AAAAAFfVLgE=")</f>
        <v>#VALUE!</v>
      </c>
      <c r="C168" t="e">
        <f>AND('BBP complete'!L1986,"AAAAAFfVLgI=")</f>
        <v>#VALUE!</v>
      </c>
      <c r="D168" t="e">
        <f>AND('BBP complete'!M1986,"AAAAAFfVLgM=")</f>
        <v>#VALUE!</v>
      </c>
      <c r="E168" t="e">
        <f>AND('BBP complete'!N1986,"AAAAAFfVLgQ=")</f>
        <v>#VALUE!</v>
      </c>
      <c r="F168" t="e">
        <f>AND('BBP complete'!P2004,"AAAAAFfVLgU=")</f>
        <v>#VALUE!</v>
      </c>
      <c r="G168" t="e">
        <f>AND('BBP complete'!Q2004,"AAAAAFfVLgY=")</f>
        <v>#VALUE!</v>
      </c>
      <c r="H168" t="e">
        <f>AND('BBP complete'!R2004,"AAAAAFfVLgc=")</f>
        <v>#VALUE!</v>
      </c>
      <c r="I168" t="e">
        <f>AND('BBP complete'!S2004,"AAAAAFfVLgg=")</f>
        <v>#VALUE!</v>
      </c>
      <c r="J168" t="e">
        <f>AND('BBP complete'!A1991,"AAAAAFfVLgk=")</f>
        <v>#VALUE!</v>
      </c>
      <c r="K168" t="e">
        <f>AND('BBP complete'!#REF!,"AAAAAFfVLgo=")</f>
        <v>#REF!</v>
      </c>
      <c r="L168" t="e">
        <f>AND('BBP complete'!D1988,"AAAAAFfVLgs=")</f>
        <v>#VALUE!</v>
      </c>
      <c r="M168" t="e">
        <f>AND('BBP complete'!H1988,"AAAAAFfVLgw=")</f>
        <v>#VALUE!</v>
      </c>
      <c r="N168" t="e">
        <f>AND('BBP complete'!F1987,"AAAAAFfVLg0=")</f>
        <v>#VALUE!</v>
      </c>
      <c r="O168" t="e">
        <f>AND('BBP complete'!I1986,"AAAAAFfVLg4=")</f>
        <v>#VALUE!</v>
      </c>
      <c r="P168" t="e">
        <f>AND('BBP complete'!#REF!,"AAAAAFfVLg8=")</f>
        <v>#REF!</v>
      </c>
      <c r="Q168" t="e">
        <f>AND('BBP complete'!#REF!,"AAAAAFfVLhA=")</f>
        <v>#REF!</v>
      </c>
      <c r="R168" t="e">
        <f>AND('BBP complete'!#REF!,"AAAAAFfVLhE=")</f>
        <v>#REF!</v>
      </c>
      <c r="S168" t="e">
        <f>AND('BBP complete'!J1988,"AAAAAFfVLhI=")</f>
        <v>#VALUE!</v>
      </c>
      <c r="T168" t="e">
        <f>AND('BBP complete'!K1988,"AAAAAFfVLhM=")</f>
        <v>#VALUE!</v>
      </c>
      <c r="U168" t="e">
        <f>AND('BBP complete'!L1987,"AAAAAFfVLhQ=")</f>
        <v>#VALUE!</v>
      </c>
      <c r="V168" t="e">
        <f>AND('BBP complete'!M1987,"AAAAAFfVLhU=")</f>
        <v>#VALUE!</v>
      </c>
      <c r="W168" t="e">
        <f>AND('BBP complete'!N1987,"AAAAAFfVLhY=")</f>
        <v>#VALUE!</v>
      </c>
      <c r="X168" t="e">
        <f>AND('BBP complete'!P2005,"AAAAAFfVLhc=")</f>
        <v>#VALUE!</v>
      </c>
      <c r="Y168" t="e">
        <f>AND('BBP complete'!Q2005,"AAAAAFfVLhg=")</f>
        <v>#VALUE!</v>
      </c>
      <c r="Z168" t="e">
        <f>AND('BBP complete'!R2005,"AAAAAFfVLhk=")</f>
        <v>#VALUE!</v>
      </c>
      <c r="AA168" t="e">
        <f>AND('BBP complete'!S2005,"AAAAAFfVLho=")</f>
        <v>#VALUE!</v>
      </c>
      <c r="AB168" t="e">
        <f>AND('BBP complete'!A1992,"AAAAAFfVLhs=")</f>
        <v>#VALUE!</v>
      </c>
      <c r="AC168" t="e">
        <f>AND('BBP complete'!#REF!,"AAAAAFfVLhw=")</f>
        <v>#REF!</v>
      </c>
      <c r="AD168" t="e">
        <f>AND('BBP complete'!D1989,"AAAAAFfVLh0=")</f>
        <v>#VALUE!</v>
      </c>
      <c r="AE168" t="e">
        <f>AND('BBP complete'!H1989,"AAAAAFfVLh4=")</f>
        <v>#VALUE!</v>
      </c>
      <c r="AF168" t="e">
        <f>AND('BBP complete'!F1988,"AAAAAFfVLh8=")</f>
        <v>#VALUE!</v>
      </c>
      <c r="AG168" t="e">
        <f>AND('BBP complete'!I1987,"AAAAAFfVLiA=")</f>
        <v>#VALUE!</v>
      </c>
      <c r="AH168" t="e">
        <f>AND('BBP complete'!#REF!,"AAAAAFfVLiE=")</f>
        <v>#REF!</v>
      </c>
      <c r="AI168" t="e">
        <f>AND('BBP complete'!#REF!,"AAAAAFfVLiI=")</f>
        <v>#REF!</v>
      </c>
      <c r="AJ168" t="e">
        <f>AND('BBP complete'!#REF!,"AAAAAFfVLiM=")</f>
        <v>#REF!</v>
      </c>
      <c r="AK168" t="e">
        <f>AND('BBP complete'!J1989,"AAAAAFfVLiQ=")</f>
        <v>#VALUE!</v>
      </c>
      <c r="AL168" t="e">
        <f>AND('BBP complete'!K1989,"AAAAAFfVLiU=")</f>
        <v>#VALUE!</v>
      </c>
      <c r="AM168" t="e">
        <f>AND('BBP complete'!L1988,"AAAAAFfVLiY=")</f>
        <v>#VALUE!</v>
      </c>
      <c r="AN168" t="e">
        <f>AND('BBP complete'!M1988,"AAAAAFfVLic=")</f>
        <v>#VALUE!</v>
      </c>
      <c r="AO168" t="e">
        <f>AND('BBP complete'!N1988,"AAAAAFfVLig=")</f>
        <v>#VALUE!</v>
      </c>
      <c r="AP168" t="e">
        <f>AND('BBP complete'!P2006,"AAAAAFfVLik=")</f>
        <v>#VALUE!</v>
      </c>
      <c r="AQ168" t="e">
        <f>AND('BBP complete'!Q2006,"AAAAAFfVLio=")</f>
        <v>#VALUE!</v>
      </c>
      <c r="AR168" t="e">
        <f>AND('BBP complete'!R2006,"AAAAAFfVLis=")</f>
        <v>#VALUE!</v>
      </c>
      <c r="AS168" t="e">
        <f>AND('BBP complete'!S2006,"AAAAAFfVLiw=")</f>
        <v>#VALUE!</v>
      </c>
      <c r="AT168" t="e">
        <f>AND('BBP complete'!A1993,"AAAAAFfVLi0=")</f>
        <v>#VALUE!</v>
      </c>
      <c r="AU168" t="e">
        <f>AND('BBP complete'!#REF!,"AAAAAFfVLi4=")</f>
        <v>#REF!</v>
      </c>
      <c r="AV168" t="e">
        <f>AND('BBP complete'!D1990,"AAAAAFfVLi8=")</f>
        <v>#VALUE!</v>
      </c>
      <c r="AW168" t="e">
        <f>AND('BBP complete'!H1990,"AAAAAFfVLjA=")</f>
        <v>#VALUE!</v>
      </c>
      <c r="AX168" t="e">
        <f>AND('BBP complete'!F1989,"AAAAAFfVLjE=")</f>
        <v>#VALUE!</v>
      </c>
      <c r="AY168" t="e">
        <f>AND('BBP complete'!I1988,"AAAAAFfVLjI=")</f>
        <v>#VALUE!</v>
      </c>
      <c r="AZ168" t="e">
        <f>AND('BBP complete'!#REF!,"AAAAAFfVLjM=")</f>
        <v>#REF!</v>
      </c>
      <c r="BA168" t="e">
        <f>AND('BBP complete'!#REF!,"AAAAAFfVLjQ=")</f>
        <v>#REF!</v>
      </c>
      <c r="BB168" t="e">
        <f>AND('BBP complete'!#REF!,"AAAAAFfVLjU=")</f>
        <v>#REF!</v>
      </c>
      <c r="BC168" t="e">
        <f>AND('BBP complete'!J1990,"AAAAAFfVLjY=")</f>
        <v>#VALUE!</v>
      </c>
      <c r="BD168" t="e">
        <f>AND('BBP complete'!K1990,"AAAAAFfVLjc=")</f>
        <v>#VALUE!</v>
      </c>
      <c r="BE168" t="e">
        <f>AND('BBP complete'!L1989,"AAAAAFfVLjg=")</f>
        <v>#VALUE!</v>
      </c>
      <c r="BF168" t="e">
        <f>AND('BBP complete'!M1989,"AAAAAFfVLjk=")</f>
        <v>#VALUE!</v>
      </c>
      <c r="BG168" t="e">
        <f>AND('BBP complete'!N1989,"AAAAAFfVLjo=")</f>
        <v>#VALUE!</v>
      </c>
      <c r="BH168" t="e">
        <f>AND('BBP complete'!P2007,"AAAAAFfVLjs=")</f>
        <v>#VALUE!</v>
      </c>
      <c r="BI168" t="e">
        <f>AND('BBP complete'!Q2007,"AAAAAFfVLjw=")</f>
        <v>#VALUE!</v>
      </c>
      <c r="BJ168" t="e">
        <f>AND('BBP complete'!R2007,"AAAAAFfVLj0=")</f>
        <v>#VALUE!</v>
      </c>
      <c r="BK168" t="e">
        <f>AND('BBP complete'!S2007,"AAAAAFfVLj4=")</f>
        <v>#VALUE!</v>
      </c>
      <c r="BL168" t="e">
        <f>AND('BBP complete'!A1994,"AAAAAFfVLj8=")</f>
        <v>#VALUE!</v>
      </c>
      <c r="BM168" t="e">
        <f>AND('BBP complete'!#REF!,"AAAAAFfVLkA=")</f>
        <v>#REF!</v>
      </c>
      <c r="BN168" t="e">
        <f>AND('BBP complete'!D1991,"AAAAAFfVLkE=")</f>
        <v>#VALUE!</v>
      </c>
      <c r="BO168" t="e">
        <f>AND('BBP complete'!H1991,"AAAAAFfVLkI=")</f>
        <v>#VALUE!</v>
      </c>
      <c r="BP168" t="e">
        <f>AND('BBP complete'!F1990,"AAAAAFfVLkM=")</f>
        <v>#VALUE!</v>
      </c>
      <c r="BQ168" t="e">
        <f>AND('BBP complete'!I1989,"AAAAAFfVLkQ=")</f>
        <v>#VALUE!</v>
      </c>
      <c r="BR168" t="e">
        <f>AND('BBP complete'!#REF!,"AAAAAFfVLkU=")</f>
        <v>#REF!</v>
      </c>
      <c r="BS168" t="e">
        <f>AND('BBP complete'!#REF!,"AAAAAFfVLkY=")</f>
        <v>#REF!</v>
      </c>
      <c r="BT168" t="e">
        <f>AND('BBP complete'!#REF!,"AAAAAFfVLkc=")</f>
        <v>#REF!</v>
      </c>
      <c r="BU168" t="e">
        <f>AND('BBP complete'!J1991,"AAAAAFfVLkg=")</f>
        <v>#VALUE!</v>
      </c>
      <c r="BV168" t="e">
        <f>AND('BBP complete'!K1991,"AAAAAFfVLkk=")</f>
        <v>#VALUE!</v>
      </c>
      <c r="BW168" t="e">
        <f>AND('BBP complete'!L1990,"AAAAAFfVLko=")</f>
        <v>#VALUE!</v>
      </c>
      <c r="BX168" t="e">
        <f>AND('BBP complete'!M1990,"AAAAAFfVLks=")</f>
        <v>#VALUE!</v>
      </c>
      <c r="BY168" t="e">
        <f>AND('BBP complete'!N1990,"AAAAAFfVLkw=")</f>
        <v>#VALUE!</v>
      </c>
      <c r="BZ168" t="e">
        <f>AND('BBP complete'!P2008,"AAAAAFfVLk0=")</f>
        <v>#VALUE!</v>
      </c>
      <c r="CA168" t="e">
        <f>AND('BBP complete'!Q2008,"AAAAAFfVLk4=")</f>
        <v>#VALUE!</v>
      </c>
      <c r="CB168" t="e">
        <f>AND('BBP complete'!R2008,"AAAAAFfVLk8=")</f>
        <v>#VALUE!</v>
      </c>
      <c r="CC168" t="e">
        <f>AND('BBP complete'!S2008,"AAAAAFfVLlA=")</f>
        <v>#VALUE!</v>
      </c>
      <c r="CD168" t="e">
        <f>AND('BBP complete'!A1995,"AAAAAFfVLlE=")</f>
        <v>#VALUE!</v>
      </c>
      <c r="CE168" t="e">
        <f>AND('BBP complete'!#REF!,"AAAAAFfVLlI=")</f>
        <v>#REF!</v>
      </c>
      <c r="CF168" t="e">
        <f>AND('BBP complete'!D1992,"AAAAAFfVLlM=")</f>
        <v>#VALUE!</v>
      </c>
      <c r="CG168" t="e">
        <f>AND('BBP complete'!H1992,"AAAAAFfVLlQ=")</f>
        <v>#VALUE!</v>
      </c>
      <c r="CH168" t="e">
        <f>AND('BBP complete'!F1991,"AAAAAFfVLlU=")</f>
        <v>#VALUE!</v>
      </c>
      <c r="CI168" t="e">
        <f>AND('BBP complete'!I1990,"AAAAAFfVLlY=")</f>
        <v>#VALUE!</v>
      </c>
      <c r="CJ168" t="e">
        <f>AND('BBP complete'!#REF!,"AAAAAFfVLlc=")</f>
        <v>#REF!</v>
      </c>
      <c r="CK168" t="e">
        <f>AND('BBP complete'!#REF!,"AAAAAFfVLlg=")</f>
        <v>#REF!</v>
      </c>
      <c r="CL168" t="e">
        <f>AND('BBP complete'!#REF!,"AAAAAFfVLlk=")</f>
        <v>#REF!</v>
      </c>
      <c r="CM168" t="e">
        <f>AND('BBP complete'!J1992,"AAAAAFfVLlo=")</f>
        <v>#VALUE!</v>
      </c>
      <c r="CN168" t="e">
        <f>AND('BBP complete'!K1992,"AAAAAFfVLls=")</f>
        <v>#VALUE!</v>
      </c>
      <c r="CO168" t="e">
        <f>AND('BBP complete'!L1991,"AAAAAFfVLlw=")</f>
        <v>#VALUE!</v>
      </c>
      <c r="CP168" t="e">
        <f>AND('BBP complete'!M1991,"AAAAAFfVLl0=")</f>
        <v>#VALUE!</v>
      </c>
      <c r="CQ168" t="e">
        <f>AND('BBP complete'!N1991,"AAAAAFfVLl4=")</f>
        <v>#VALUE!</v>
      </c>
      <c r="CR168" t="e">
        <f>AND('BBP complete'!P2009,"AAAAAFfVLl8=")</f>
        <v>#VALUE!</v>
      </c>
      <c r="CS168" t="e">
        <f>AND('BBP complete'!Q2009,"AAAAAFfVLmA=")</f>
        <v>#VALUE!</v>
      </c>
      <c r="CT168" t="e">
        <f>AND('BBP complete'!R2009,"AAAAAFfVLmE=")</f>
        <v>#VALUE!</v>
      </c>
      <c r="CU168" t="e">
        <f>AND('BBP complete'!S2009,"AAAAAFfVLmI=")</f>
        <v>#VALUE!</v>
      </c>
      <c r="CV168" t="e">
        <f>AND('BBP complete'!A1996,"AAAAAFfVLmM=")</f>
        <v>#VALUE!</v>
      </c>
      <c r="CW168" t="e">
        <f>AND('BBP complete'!#REF!,"AAAAAFfVLmQ=")</f>
        <v>#REF!</v>
      </c>
      <c r="CX168" t="e">
        <f>AND('BBP complete'!D1993,"AAAAAFfVLmU=")</f>
        <v>#VALUE!</v>
      </c>
      <c r="CY168" t="e">
        <f>AND('BBP complete'!H1993,"AAAAAFfVLmY=")</f>
        <v>#VALUE!</v>
      </c>
      <c r="CZ168" t="e">
        <f>AND('BBP complete'!F1992,"AAAAAFfVLmc=")</f>
        <v>#VALUE!</v>
      </c>
      <c r="DA168" t="e">
        <f>AND('BBP complete'!I1991,"AAAAAFfVLmg=")</f>
        <v>#VALUE!</v>
      </c>
      <c r="DB168" t="e">
        <f>AND('BBP complete'!#REF!,"AAAAAFfVLmk=")</f>
        <v>#REF!</v>
      </c>
      <c r="DC168" t="e">
        <f>AND('BBP complete'!#REF!,"AAAAAFfVLmo=")</f>
        <v>#REF!</v>
      </c>
      <c r="DD168" t="e">
        <f>AND('BBP complete'!#REF!,"AAAAAFfVLms=")</f>
        <v>#REF!</v>
      </c>
      <c r="DE168" t="e">
        <f>AND('BBP complete'!J1993,"AAAAAFfVLmw=")</f>
        <v>#VALUE!</v>
      </c>
      <c r="DF168" t="e">
        <f>AND('BBP complete'!K1993,"AAAAAFfVLm0=")</f>
        <v>#VALUE!</v>
      </c>
      <c r="DG168" t="e">
        <f>AND('BBP complete'!L1992,"AAAAAFfVLm4=")</f>
        <v>#VALUE!</v>
      </c>
      <c r="DH168" t="e">
        <f>AND('BBP complete'!M1992,"AAAAAFfVLm8=")</f>
        <v>#VALUE!</v>
      </c>
      <c r="DI168" t="e">
        <f>AND('BBP complete'!N1992,"AAAAAFfVLnA=")</f>
        <v>#VALUE!</v>
      </c>
      <c r="DJ168" t="e">
        <f>AND('BBP complete'!P2010,"AAAAAFfVLnE=")</f>
        <v>#VALUE!</v>
      </c>
      <c r="DK168" t="e">
        <f>AND('BBP complete'!Q2010,"AAAAAFfVLnI=")</f>
        <v>#VALUE!</v>
      </c>
      <c r="DL168" t="e">
        <f>AND('BBP complete'!R2010,"AAAAAFfVLnM=")</f>
        <v>#VALUE!</v>
      </c>
      <c r="DM168" t="e">
        <f>AND('BBP complete'!S2010,"AAAAAFfVLnQ=")</f>
        <v>#VALUE!</v>
      </c>
      <c r="DN168" t="e">
        <f>AND('BBP complete'!A1997,"AAAAAFfVLnU=")</f>
        <v>#VALUE!</v>
      </c>
      <c r="DO168" t="e">
        <f>AND('BBP complete'!#REF!,"AAAAAFfVLnY=")</f>
        <v>#REF!</v>
      </c>
      <c r="DP168" t="e">
        <f>AND('BBP complete'!D1994,"AAAAAFfVLnc=")</f>
        <v>#VALUE!</v>
      </c>
      <c r="DQ168" t="e">
        <f>AND('BBP complete'!H1994,"AAAAAFfVLng=")</f>
        <v>#VALUE!</v>
      </c>
      <c r="DR168" t="e">
        <f>AND('BBP complete'!F1993,"AAAAAFfVLnk=")</f>
        <v>#VALUE!</v>
      </c>
      <c r="DS168" t="e">
        <f>AND('BBP complete'!I1992,"AAAAAFfVLno=")</f>
        <v>#VALUE!</v>
      </c>
      <c r="DT168" t="e">
        <f>AND('BBP complete'!#REF!,"AAAAAFfVLns=")</f>
        <v>#REF!</v>
      </c>
      <c r="DU168" t="e">
        <f>AND('BBP complete'!#REF!,"AAAAAFfVLnw=")</f>
        <v>#REF!</v>
      </c>
      <c r="DV168" t="e">
        <f>AND('BBP complete'!#REF!,"AAAAAFfVLn0=")</f>
        <v>#REF!</v>
      </c>
      <c r="DW168" t="e">
        <f>AND('BBP complete'!J1994,"AAAAAFfVLn4=")</f>
        <v>#VALUE!</v>
      </c>
      <c r="DX168" t="e">
        <f>AND('BBP complete'!K1994,"AAAAAFfVLn8=")</f>
        <v>#VALUE!</v>
      </c>
      <c r="DY168" t="e">
        <f>AND('BBP complete'!L1993,"AAAAAFfVLoA=")</f>
        <v>#VALUE!</v>
      </c>
      <c r="DZ168" t="e">
        <f>AND('BBP complete'!M1993,"AAAAAFfVLoE=")</f>
        <v>#VALUE!</v>
      </c>
      <c r="EA168" t="e">
        <f>AND('BBP complete'!N1993,"AAAAAFfVLoI=")</f>
        <v>#VALUE!</v>
      </c>
      <c r="EB168" t="e">
        <f>AND('BBP complete'!P2011,"AAAAAFfVLoM=")</f>
        <v>#VALUE!</v>
      </c>
      <c r="EC168" t="e">
        <f>AND('BBP complete'!Q2011,"AAAAAFfVLoQ=")</f>
        <v>#VALUE!</v>
      </c>
      <c r="ED168" t="e">
        <f>AND('BBP complete'!R2011,"AAAAAFfVLoU=")</f>
        <v>#VALUE!</v>
      </c>
      <c r="EE168" t="e">
        <f>AND('BBP complete'!S2011,"AAAAAFfVLoY=")</f>
        <v>#VALUE!</v>
      </c>
      <c r="EF168" t="e">
        <f>AND('BBP complete'!A1998,"AAAAAFfVLoc=")</f>
        <v>#VALUE!</v>
      </c>
      <c r="EG168" t="e">
        <f>AND('BBP complete'!#REF!,"AAAAAFfVLog=")</f>
        <v>#REF!</v>
      </c>
      <c r="EH168" t="e">
        <f>AND('BBP complete'!D1995,"AAAAAFfVLok=")</f>
        <v>#VALUE!</v>
      </c>
      <c r="EI168" t="e">
        <f>AND('BBP complete'!H1995,"AAAAAFfVLoo=")</f>
        <v>#VALUE!</v>
      </c>
      <c r="EJ168" t="e">
        <f>AND('BBP complete'!F1994,"AAAAAFfVLos=")</f>
        <v>#VALUE!</v>
      </c>
      <c r="EK168" t="e">
        <f>AND('BBP complete'!I1993,"AAAAAFfVLow=")</f>
        <v>#VALUE!</v>
      </c>
      <c r="EL168" t="e">
        <f>AND('BBP complete'!#REF!,"AAAAAFfVLo0=")</f>
        <v>#REF!</v>
      </c>
      <c r="EM168" t="e">
        <f>AND('BBP complete'!#REF!,"AAAAAFfVLo4=")</f>
        <v>#REF!</v>
      </c>
      <c r="EN168" t="e">
        <f>AND('BBP complete'!#REF!,"AAAAAFfVLo8=")</f>
        <v>#REF!</v>
      </c>
      <c r="EO168" t="e">
        <f>AND('BBP complete'!J1995,"AAAAAFfVLpA=")</f>
        <v>#VALUE!</v>
      </c>
      <c r="EP168" t="e">
        <f>AND('BBP complete'!K1995,"AAAAAFfVLpE=")</f>
        <v>#VALUE!</v>
      </c>
      <c r="EQ168" t="e">
        <f>AND('BBP complete'!L1994,"AAAAAFfVLpI=")</f>
        <v>#VALUE!</v>
      </c>
      <c r="ER168" t="e">
        <f>AND('BBP complete'!M1994,"AAAAAFfVLpM=")</f>
        <v>#VALUE!</v>
      </c>
      <c r="ES168" t="e">
        <f>AND('BBP complete'!N1994,"AAAAAFfVLpQ=")</f>
        <v>#VALUE!</v>
      </c>
      <c r="ET168" t="e">
        <f>AND('BBP complete'!P2012,"AAAAAFfVLpU=")</f>
        <v>#VALUE!</v>
      </c>
      <c r="EU168" t="e">
        <f>AND('BBP complete'!Q2012,"AAAAAFfVLpY=")</f>
        <v>#VALUE!</v>
      </c>
      <c r="EV168" t="e">
        <f>AND('BBP complete'!R2012,"AAAAAFfVLpc=")</f>
        <v>#VALUE!</v>
      </c>
      <c r="EW168" t="e">
        <f>AND('BBP complete'!S2012,"AAAAAFfVLpg=")</f>
        <v>#VALUE!</v>
      </c>
      <c r="EX168" t="e">
        <f>AND('BBP complete'!A1999,"AAAAAFfVLpk=")</f>
        <v>#VALUE!</v>
      </c>
      <c r="EY168" t="e">
        <f>AND('BBP complete'!#REF!,"AAAAAFfVLpo=")</f>
        <v>#REF!</v>
      </c>
      <c r="EZ168" t="e">
        <f>AND('BBP complete'!D1996,"AAAAAFfVLps=")</f>
        <v>#VALUE!</v>
      </c>
      <c r="FA168" t="e">
        <f>AND('BBP complete'!H1996,"AAAAAFfVLpw=")</f>
        <v>#VALUE!</v>
      </c>
      <c r="FB168" t="e">
        <f>AND('BBP complete'!F1995,"AAAAAFfVLp0=")</f>
        <v>#VALUE!</v>
      </c>
      <c r="FC168" t="e">
        <f>AND('BBP complete'!I1994,"AAAAAFfVLp4=")</f>
        <v>#VALUE!</v>
      </c>
      <c r="FD168" t="e">
        <f>AND('BBP complete'!#REF!,"AAAAAFfVLp8=")</f>
        <v>#REF!</v>
      </c>
      <c r="FE168" t="e">
        <f>AND('BBP complete'!#REF!,"AAAAAFfVLqA=")</f>
        <v>#REF!</v>
      </c>
      <c r="FF168" t="e">
        <f>AND('BBP complete'!#REF!,"AAAAAFfVLqE=")</f>
        <v>#REF!</v>
      </c>
      <c r="FG168" t="e">
        <f>AND('BBP complete'!J1996,"AAAAAFfVLqI=")</f>
        <v>#VALUE!</v>
      </c>
      <c r="FH168" t="e">
        <f>AND('BBP complete'!K1996,"AAAAAFfVLqM=")</f>
        <v>#VALUE!</v>
      </c>
      <c r="FI168" t="e">
        <f>AND('BBP complete'!L1995,"AAAAAFfVLqQ=")</f>
        <v>#VALUE!</v>
      </c>
      <c r="FJ168" t="e">
        <f>AND('BBP complete'!M1995,"AAAAAFfVLqU=")</f>
        <v>#VALUE!</v>
      </c>
      <c r="FK168" t="e">
        <f>AND('BBP complete'!N1995,"AAAAAFfVLqY=")</f>
        <v>#VALUE!</v>
      </c>
      <c r="FL168" t="e">
        <f>AND('BBP complete'!P2013,"AAAAAFfVLqc=")</f>
        <v>#VALUE!</v>
      </c>
      <c r="FM168" t="e">
        <f>AND('BBP complete'!Q2013,"AAAAAFfVLqg=")</f>
        <v>#VALUE!</v>
      </c>
      <c r="FN168" t="e">
        <f>AND('BBP complete'!R2013,"AAAAAFfVLqk=")</f>
        <v>#VALUE!</v>
      </c>
      <c r="FO168" t="e">
        <f>AND('BBP complete'!S2013,"AAAAAFfVLqo=")</f>
        <v>#VALUE!</v>
      </c>
      <c r="FP168" t="e">
        <f>AND('BBP complete'!A2000,"AAAAAFfVLqs=")</f>
        <v>#VALUE!</v>
      </c>
      <c r="FQ168" t="e">
        <f>AND('BBP complete'!#REF!,"AAAAAFfVLqw=")</f>
        <v>#REF!</v>
      </c>
      <c r="FR168" t="e">
        <f>AND('BBP complete'!D1997,"AAAAAFfVLq0=")</f>
        <v>#VALUE!</v>
      </c>
      <c r="FS168" t="e">
        <f>AND('BBP complete'!H1997,"AAAAAFfVLq4=")</f>
        <v>#VALUE!</v>
      </c>
      <c r="FT168" t="e">
        <f>AND('BBP complete'!F1996,"AAAAAFfVLq8=")</f>
        <v>#VALUE!</v>
      </c>
      <c r="FU168" t="e">
        <f>AND('BBP complete'!I1995,"AAAAAFfVLrA=")</f>
        <v>#VALUE!</v>
      </c>
      <c r="FV168" t="e">
        <f>AND('BBP complete'!#REF!,"AAAAAFfVLrE=")</f>
        <v>#REF!</v>
      </c>
      <c r="FW168" t="e">
        <f>AND('BBP complete'!#REF!,"AAAAAFfVLrI=")</f>
        <v>#REF!</v>
      </c>
      <c r="FX168" t="e">
        <f>AND('BBP complete'!#REF!,"AAAAAFfVLrM=")</f>
        <v>#REF!</v>
      </c>
      <c r="FY168" t="e">
        <f>AND('BBP complete'!J1997,"AAAAAFfVLrQ=")</f>
        <v>#VALUE!</v>
      </c>
      <c r="FZ168" t="e">
        <f>AND('BBP complete'!K1997,"AAAAAFfVLrU=")</f>
        <v>#VALUE!</v>
      </c>
      <c r="GA168" t="e">
        <f>AND('BBP complete'!L1996,"AAAAAFfVLrY=")</f>
        <v>#VALUE!</v>
      </c>
      <c r="GB168" t="e">
        <f>AND('BBP complete'!M1996,"AAAAAFfVLrc=")</f>
        <v>#VALUE!</v>
      </c>
      <c r="GC168" t="e">
        <f>AND('BBP complete'!N1996,"AAAAAFfVLrg=")</f>
        <v>#VALUE!</v>
      </c>
      <c r="GD168" t="e">
        <f>AND('BBP complete'!P2014,"AAAAAFfVLrk=")</f>
        <v>#VALUE!</v>
      </c>
      <c r="GE168" t="e">
        <f>AND('BBP complete'!Q2014,"AAAAAFfVLro=")</f>
        <v>#VALUE!</v>
      </c>
      <c r="GF168" t="e">
        <f>AND('BBP complete'!R2014,"AAAAAFfVLrs=")</f>
        <v>#VALUE!</v>
      </c>
      <c r="GG168" t="e">
        <f>AND('BBP complete'!S2014,"AAAAAFfVLrw=")</f>
        <v>#VALUE!</v>
      </c>
      <c r="GH168" t="e">
        <f>AND('BBP complete'!A2001,"AAAAAFfVLr0=")</f>
        <v>#VALUE!</v>
      </c>
      <c r="GI168" t="e">
        <f>AND('BBP complete'!#REF!,"AAAAAFfVLr4=")</f>
        <v>#REF!</v>
      </c>
      <c r="GJ168" t="e">
        <f>AND('BBP complete'!D1998,"AAAAAFfVLr8=")</f>
        <v>#VALUE!</v>
      </c>
      <c r="GK168" t="e">
        <f>AND('BBP complete'!H1998,"AAAAAFfVLsA=")</f>
        <v>#VALUE!</v>
      </c>
      <c r="GL168" t="e">
        <f>AND('BBP complete'!F1997,"AAAAAFfVLsE=")</f>
        <v>#VALUE!</v>
      </c>
      <c r="GM168" t="e">
        <f>AND('BBP complete'!I1996,"AAAAAFfVLsI=")</f>
        <v>#VALUE!</v>
      </c>
      <c r="GN168" t="e">
        <f>AND('BBP complete'!#REF!,"AAAAAFfVLsM=")</f>
        <v>#REF!</v>
      </c>
      <c r="GO168" t="e">
        <f>AND('BBP complete'!#REF!,"AAAAAFfVLsQ=")</f>
        <v>#REF!</v>
      </c>
      <c r="GP168" t="e">
        <f>AND('BBP complete'!#REF!,"AAAAAFfVLsU=")</f>
        <v>#REF!</v>
      </c>
      <c r="GQ168" t="e">
        <f>AND('BBP complete'!J1998,"AAAAAFfVLsY=")</f>
        <v>#VALUE!</v>
      </c>
      <c r="GR168" t="e">
        <f>AND('BBP complete'!K1998,"AAAAAFfVLsc=")</f>
        <v>#VALUE!</v>
      </c>
      <c r="GS168" t="e">
        <f>AND('BBP complete'!L1997,"AAAAAFfVLsg=")</f>
        <v>#VALUE!</v>
      </c>
      <c r="GT168" t="e">
        <f>AND('BBP complete'!M1997,"AAAAAFfVLsk=")</f>
        <v>#VALUE!</v>
      </c>
      <c r="GU168" t="e">
        <f>AND('BBP complete'!N1997,"AAAAAFfVLso=")</f>
        <v>#VALUE!</v>
      </c>
      <c r="GV168" t="e">
        <f>AND('BBP complete'!P2015,"AAAAAFfVLss=")</f>
        <v>#VALUE!</v>
      </c>
      <c r="GW168" t="e">
        <f>AND('BBP complete'!Q2015,"AAAAAFfVLsw=")</f>
        <v>#VALUE!</v>
      </c>
      <c r="GX168" t="e">
        <f>AND('BBP complete'!R2015,"AAAAAFfVLs0=")</f>
        <v>#VALUE!</v>
      </c>
      <c r="GY168" t="e">
        <f>AND('BBP complete'!S2015,"AAAAAFfVLs4=")</f>
        <v>#VALUE!</v>
      </c>
      <c r="GZ168" t="e">
        <f>AND('BBP complete'!A2002,"AAAAAFfVLs8=")</f>
        <v>#VALUE!</v>
      </c>
      <c r="HA168" t="e">
        <f>AND('BBP complete'!#REF!,"AAAAAFfVLtA=")</f>
        <v>#REF!</v>
      </c>
      <c r="HB168" t="e">
        <f>AND('BBP complete'!D1999,"AAAAAFfVLtE=")</f>
        <v>#VALUE!</v>
      </c>
      <c r="HC168" t="e">
        <f>AND('BBP complete'!H1999,"AAAAAFfVLtI=")</f>
        <v>#VALUE!</v>
      </c>
      <c r="HD168" t="e">
        <f>AND('BBP complete'!F1998,"AAAAAFfVLtM=")</f>
        <v>#VALUE!</v>
      </c>
      <c r="HE168" t="e">
        <f>AND('BBP complete'!I1997,"AAAAAFfVLtQ=")</f>
        <v>#VALUE!</v>
      </c>
      <c r="HF168" t="e">
        <f>AND('BBP complete'!#REF!,"AAAAAFfVLtU=")</f>
        <v>#REF!</v>
      </c>
      <c r="HG168" t="e">
        <f>AND('BBP complete'!#REF!,"AAAAAFfVLtY=")</f>
        <v>#REF!</v>
      </c>
      <c r="HH168" t="e">
        <f>AND('BBP complete'!#REF!,"AAAAAFfVLtc=")</f>
        <v>#REF!</v>
      </c>
      <c r="HI168" t="e">
        <f>AND('BBP complete'!J1999,"AAAAAFfVLtg=")</f>
        <v>#VALUE!</v>
      </c>
      <c r="HJ168" t="e">
        <f>AND('BBP complete'!K1999,"AAAAAFfVLtk=")</f>
        <v>#VALUE!</v>
      </c>
      <c r="HK168" t="e">
        <f>AND('BBP complete'!L1998,"AAAAAFfVLto=")</f>
        <v>#VALUE!</v>
      </c>
      <c r="HL168" t="e">
        <f>AND('BBP complete'!M1998,"AAAAAFfVLts=")</f>
        <v>#VALUE!</v>
      </c>
      <c r="HM168" t="e">
        <f>AND('BBP complete'!N1998,"AAAAAFfVLtw=")</f>
        <v>#VALUE!</v>
      </c>
      <c r="HN168" t="e">
        <f>AND('BBP complete'!P2016,"AAAAAFfVLt0=")</f>
        <v>#VALUE!</v>
      </c>
      <c r="HO168" t="e">
        <f>AND('BBP complete'!Q2016,"AAAAAFfVLt4=")</f>
        <v>#VALUE!</v>
      </c>
      <c r="HP168" t="e">
        <f>AND('BBP complete'!R2016,"AAAAAFfVLt8=")</f>
        <v>#VALUE!</v>
      </c>
      <c r="HQ168" t="e">
        <f>AND('BBP complete'!S2016,"AAAAAFfVLuA=")</f>
        <v>#VALUE!</v>
      </c>
      <c r="HR168" t="e">
        <f>AND('BBP complete'!A2003,"AAAAAFfVLuE=")</f>
        <v>#VALUE!</v>
      </c>
      <c r="HS168" t="e">
        <f>AND('BBP complete'!#REF!,"AAAAAFfVLuI=")</f>
        <v>#REF!</v>
      </c>
      <c r="HT168" t="e">
        <f>AND('BBP complete'!D2000,"AAAAAFfVLuM=")</f>
        <v>#VALUE!</v>
      </c>
      <c r="HU168" t="e">
        <f>AND('BBP complete'!H2000,"AAAAAFfVLuQ=")</f>
        <v>#VALUE!</v>
      </c>
      <c r="HV168" t="e">
        <f>AND('BBP complete'!F1999,"AAAAAFfVLuU=")</f>
        <v>#VALUE!</v>
      </c>
      <c r="HW168" t="e">
        <f>AND('BBP complete'!I1998,"AAAAAFfVLuY=")</f>
        <v>#VALUE!</v>
      </c>
      <c r="HX168" t="e">
        <f>AND('BBP complete'!#REF!,"AAAAAFfVLuc=")</f>
        <v>#REF!</v>
      </c>
      <c r="HY168" t="e">
        <f>AND('BBP complete'!#REF!,"AAAAAFfVLug=")</f>
        <v>#REF!</v>
      </c>
      <c r="HZ168" t="e">
        <f>AND('BBP complete'!#REF!,"AAAAAFfVLuk=")</f>
        <v>#REF!</v>
      </c>
      <c r="IA168" t="e">
        <f>AND('BBP complete'!J2000,"AAAAAFfVLuo=")</f>
        <v>#VALUE!</v>
      </c>
      <c r="IB168" t="e">
        <f>AND('BBP complete'!K2000,"AAAAAFfVLus=")</f>
        <v>#VALUE!</v>
      </c>
      <c r="IC168" t="e">
        <f>AND('BBP complete'!L1999,"AAAAAFfVLuw=")</f>
        <v>#VALUE!</v>
      </c>
      <c r="ID168" t="e">
        <f>AND('BBP complete'!M1999,"AAAAAFfVLu0=")</f>
        <v>#VALUE!</v>
      </c>
      <c r="IE168" t="e">
        <f>AND('BBP complete'!N1999,"AAAAAFfVLu4=")</f>
        <v>#VALUE!</v>
      </c>
      <c r="IF168" t="e">
        <f>AND('BBP complete'!P2017,"AAAAAFfVLu8=")</f>
        <v>#VALUE!</v>
      </c>
      <c r="IG168" t="e">
        <f>AND('BBP complete'!Q2017,"AAAAAFfVLvA=")</f>
        <v>#VALUE!</v>
      </c>
      <c r="IH168" t="e">
        <f>AND('BBP complete'!R2017,"AAAAAFfVLvE=")</f>
        <v>#VALUE!</v>
      </c>
      <c r="II168" t="e">
        <f>AND('BBP complete'!S2017,"AAAAAFfVLvI=")</f>
        <v>#VALUE!</v>
      </c>
      <c r="IJ168" t="e">
        <f>AND('BBP complete'!A2004,"AAAAAFfVLvM=")</f>
        <v>#VALUE!</v>
      </c>
      <c r="IK168" t="e">
        <f>AND('BBP complete'!#REF!,"AAAAAFfVLvQ=")</f>
        <v>#REF!</v>
      </c>
      <c r="IL168" t="e">
        <f>AND('BBP complete'!D2001,"AAAAAFfVLvU=")</f>
        <v>#VALUE!</v>
      </c>
      <c r="IM168" t="e">
        <f>AND('BBP complete'!H2001,"AAAAAFfVLvY=")</f>
        <v>#VALUE!</v>
      </c>
      <c r="IN168" t="e">
        <f>AND('BBP complete'!F2000,"AAAAAFfVLvc=")</f>
        <v>#VALUE!</v>
      </c>
      <c r="IO168" t="e">
        <f>AND('BBP complete'!I1999,"AAAAAFfVLvg=")</f>
        <v>#VALUE!</v>
      </c>
      <c r="IP168" t="e">
        <f>AND('BBP complete'!#REF!,"AAAAAFfVLvk=")</f>
        <v>#REF!</v>
      </c>
      <c r="IQ168" t="e">
        <f>AND('BBP complete'!#REF!,"AAAAAFfVLvo=")</f>
        <v>#REF!</v>
      </c>
      <c r="IR168" t="e">
        <f>AND('BBP complete'!#REF!,"AAAAAFfVLvs=")</f>
        <v>#REF!</v>
      </c>
      <c r="IS168" t="e">
        <f>AND('BBP complete'!J2001,"AAAAAFfVLvw=")</f>
        <v>#VALUE!</v>
      </c>
      <c r="IT168" t="e">
        <f>AND('BBP complete'!K2001,"AAAAAFfVLv0=")</f>
        <v>#VALUE!</v>
      </c>
      <c r="IU168" t="e">
        <f>AND('BBP complete'!L2000,"AAAAAFfVLv4=")</f>
        <v>#VALUE!</v>
      </c>
      <c r="IV168" t="e">
        <f>AND('BBP complete'!M2000,"AAAAAFfVLv8=")</f>
        <v>#VALUE!</v>
      </c>
    </row>
    <row r="169" spans="1:256" ht="15" customHeight="1" x14ac:dyDescent="0.25">
      <c r="A169" t="e">
        <f>AND('BBP complete'!N2000,"AAAAAErfvwA=")</f>
        <v>#VALUE!</v>
      </c>
      <c r="B169" t="e">
        <f>AND('BBP complete'!P2018,"AAAAAErfvwE=")</f>
        <v>#VALUE!</v>
      </c>
      <c r="C169" t="e">
        <f>AND('BBP complete'!Q2018,"AAAAAErfvwI=")</f>
        <v>#VALUE!</v>
      </c>
      <c r="D169" t="e">
        <f>AND('BBP complete'!R2018,"AAAAAErfvwM=")</f>
        <v>#VALUE!</v>
      </c>
      <c r="E169" t="e">
        <f>AND('BBP complete'!S2018,"AAAAAErfvwQ=")</f>
        <v>#VALUE!</v>
      </c>
      <c r="F169" t="e">
        <f>AND('BBP complete'!A2005,"AAAAAErfvwU=")</f>
        <v>#VALUE!</v>
      </c>
      <c r="G169" t="e">
        <f>AND('BBP complete'!#REF!,"AAAAAErfvwY=")</f>
        <v>#REF!</v>
      </c>
      <c r="H169" t="e">
        <f>AND('BBP complete'!D2002,"AAAAAErfvwc=")</f>
        <v>#VALUE!</v>
      </c>
      <c r="I169" t="e">
        <f>AND('BBP complete'!H2002,"AAAAAErfvwg=")</f>
        <v>#VALUE!</v>
      </c>
      <c r="J169" t="e">
        <f>AND('BBP complete'!F2001,"AAAAAErfvwk=")</f>
        <v>#VALUE!</v>
      </c>
      <c r="K169" t="e">
        <f>AND('BBP complete'!I2000,"AAAAAErfvwo=")</f>
        <v>#VALUE!</v>
      </c>
      <c r="L169" t="e">
        <f>AND('BBP complete'!#REF!,"AAAAAErfvws=")</f>
        <v>#REF!</v>
      </c>
      <c r="M169" t="e">
        <f>AND('BBP complete'!#REF!,"AAAAAErfvww=")</f>
        <v>#REF!</v>
      </c>
      <c r="N169" t="e">
        <f>AND('BBP complete'!#REF!,"AAAAAErfvw0=")</f>
        <v>#REF!</v>
      </c>
      <c r="O169" t="e">
        <f>AND('BBP complete'!J2002,"AAAAAErfvw4=")</f>
        <v>#VALUE!</v>
      </c>
      <c r="P169" t="e">
        <f>AND('BBP complete'!K2002,"AAAAAErfvw8=")</f>
        <v>#VALUE!</v>
      </c>
      <c r="Q169" t="e">
        <f>AND('BBP complete'!L2001,"AAAAAErfvxA=")</f>
        <v>#VALUE!</v>
      </c>
      <c r="R169" t="e">
        <f>AND('BBP complete'!M2001,"AAAAAErfvxE=")</f>
        <v>#VALUE!</v>
      </c>
      <c r="S169" t="e">
        <f>AND('BBP complete'!N2001,"AAAAAErfvxI=")</f>
        <v>#VALUE!</v>
      </c>
      <c r="T169" t="e">
        <f>AND('BBP complete'!P2019,"AAAAAErfvxM=")</f>
        <v>#VALUE!</v>
      </c>
      <c r="U169" t="e">
        <f>AND('BBP complete'!Q2019,"AAAAAErfvxQ=")</f>
        <v>#VALUE!</v>
      </c>
      <c r="V169" t="e">
        <f>AND('BBP complete'!R2019,"AAAAAErfvxU=")</f>
        <v>#VALUE!</v>
      </c>
      <c r="W169" t="e">
        <f>AND('BBP complete'!S2019,"AAAAAErfvxY=")</f>
        <v>#VALUE!</v>
      </c>
      <c r="X169" t="e">
        <f>AND('BBP complete'!A2006,"AAAAAErfvxc=")</f>
        <v>#VALUE!</v>
      </c>
      <c r="Y169" t="e">
        <f>AND('BBP complete'!#REF!,"AAAAAErfvxg=")</f>
        <v>#REF!</v>
      </c>
      <c r="Z169" t="e">
        <f>AND('BBP complete'!D2003,"AAAAAErfvxk=")</f>
        <v>#VALUE!</v>
      </c>
      <c r="AA169" t="e">
        <f>AND('BBP complete'!H2003,"AAAAAErfvxo=")</f>
        <v>#VALUE!</v>
      </c>
      <c r="AB169" t="e">
        <f>AND('BBP complete'!F2002,"AAAAAErfvxs=")</f>
        <v>#VALUE!</v>
      </c>
      <c r="AC169" t="e">
        <f>AND('BBP complete'!I2001,"AAAAAErfvxw=")</f>
        <v>#VALUE!</v>
      </c>
      <c r="AD169" t="e">
        <f>AND('BBP complete'!#REF!,"AAAAAErfvx0=")</f>
        <v>#REF!</v>
      </c>
      <c r="AE169" t="e">
        <f>AND('BBP complete'!#REF!,"AAAAAErfvx4=")</f>
        <v>#REF!</v>
      </c>
      <c r="AF169" t="e">
        <f>AND('BBP complete'!#REF!,"AAAAAErfvx8=")</f>
        <v>#REF!</v>
      </c>
      <c r="AG169" t="e">
        <f>AND('BBP complete'!J2003,"AAAAAErfvyA=")</f>
        <v>#VALUE!</v>
      </c>
      <c r="AH169" t="e">
        <f>AND('BBP complete'!K2003,"AAAAAErfvyE=")</f>
        <v>#VALUE!</v>
      </c>
      <c r="AI169" t="e">
        <f>AND('BBP complete'!L2002,"AAAAAErfvyI=")</f>
        <v>#VALUE!</v>
      </c>
      <c r="AJ169" t="e">
        <f>AND('BBP complete'!M2002,"AAAAAErfvyM=")</f>
        <v>#VALUE!</v>
      </c>
      <c r="AK169" t="e">
        <f>AND('BBP complete'!N2002,"AAAAAErfvyQ=")</f>
        <v>#VALUE!</v>
      </c>
      <c r="AL169" t="e">
        <f>AND('BBP complete'!P2020,"AAAAAErfvyU=")</f>
        <v>#VALUE!</v>
      </c>
      <c r="AM169" t="e">
        <f>AND('BBP complete'!Q2020,"AAAAAErfvyY=")</f>
        <v>#VALUE!</v>
      </c>
      <c r="AN169" t="e">
        <f>AND('BBP complete'!R2020,"AAAAAErfvyc=")</f>
        <v>#VALUE!</v>
      </c>
      <c r="AO169" t="e">
        <f>AND('BBP complete'!S2020,"AAAAAErfvyg=")</f>
        <v>#VALUE!</v>
      </c>
      <c r="AP169" t="e">
        <f>AND('BBP complete'!A2007,"AAAAAErfvyk=")</f>
        <v>#VALUE!</v>
      </c>
      <c r="AQ169" t="e">
        <f>AND('BBP complete'!#REF!,"AAAAAErfvyo=")</f>
        <v>#REF!</v>
      </c>
      <c r="AR169" t="e">
        <f>AND('BBP complete'!D2004,"AAAAAErfvys=")</f>
        <v>#VALUE!</v>
      </c>
      <c r="AS169" t="e">
        <f>AND('BBP complete'!H2004,"AAAAAErfvyw=")</f>
        <v>#VALUE!</v>
      </c>
      <c r="AT169" t="e">
        <f>AND('BBP complete'!F2003,"AAAAAErfvy0=")</f>
        <v>#VALUE!</v>
      </c>
      <c r="AU169" t="e">
        <f>AND('BBP complete'!I2002,"AAAAAErfvy4=")</f>
        <v>#VALUE!</v>
      </c>
      <c r="AV169" t="e">
        <f>AND('BBP complete'!#REF!,"AAAAAErfvy8=")</f>
        <v>#REF!</v>
      </c>
      <c r="AW169" t="e">
        <f>AND('BBP complete'!#REF!,"AAAAAErfvzA=")</f>
        <v>#REF!</v>
      </c>
      <c r="AX169" t="e">
        <f>AND('BBP complete'!#REF!,"AAAAAErfvzE=")</f>
        <v>#REF!</v>
      </c>
      <c r="AY169" t="e">
        <f>AND('BBP complete'!J2004,"AAAAAErfvzI=")</f>
        <v>#VALUE!</v>
      </c>
      <c r="AZ169" t="e">
        <f>AND('BBP complete'!K2004,"AAAAAErfvzM=")</f>
        <v>#VALUE!</v>
      </c>
      <c r="BA169" t="e">
        <f>AND('BBP complete'!L2003,"AAAAAErfvzQ=")</f>
        <v>#VALUE!</v>
      </c>
      <c r="BB169" t="e">
        <f>AND('BBP complete'!M2003,"AAAAAErfvzU=")</f>
        <v>#VALUE!</v>
      </c>
      <c r="BC169" t="e">
        <f>AND('BBP complete'!N2003,"AAAAAErfvzY=")</f>
        <v>#VALUE!</v>
      </c>
      <c r="BD169" t="e">
        <f>AND('BBP complete'!P2021,"AAAAAErfvzc=")</f>
        <v>#VALUE!</v>
      </c>
      <c r="BE169" t="e">
        <f>AND('BBP complete'!Q2021,"AAAAAErfvzg=")</f>
        <v>#VALUE!</v>
      </c>
      <c r="BF169" t="e">
        <f>AND('BBP complete'!R2021,"AAAAAErfvzk=")</f>
        <v>#VALUE!</v>
      </c>
      <c r="BG169" t="e">
        <f>AND('BBP complete'!S2021,"AAAAAErfvzo=")</f>
        <v>#VALUE!</v>
      </c>
      <c r="BH169" t="e">
        <f>AND('BBP complete'!A2008,"AAAAAErfvzs=")</f>
        <v>#VALUE!</v>
      </c>
      <c r="BI169" t="e">
        <f>AND('BBP complete'!#REF!,"AAAAAErfvzw=")</f>
        <v>#REF!</v>
      </c>
      <c r="BJ169" t="e">
        <f>AND('BBP complete'!D2005,"AAAAAErfvz0=")</f>
        <v>#VALUE!</v>
      </c>
      <c r="BK169" t="e">
        <f>AND('BBP complete'!H2005,"AAAAAErfvz4=")</f>
        <v>#VALUE!</v>
      </c>
      <c r="BL169" t="e">
        <f>AND('BBP complete'!F2004,"AAAAAErfvz8=")</f>
        <v>#VALUE!</v>
      </c>
      <c r="BM169" t="e">
        <f>AND('BBP complete'!I2003,"AAAAAErfv0A=")</f>
        <v>#VALUE!</v>
      </c>
      <c r="BN169" t="e">
        <f>AND('BBP complete'!#REF!,"AAAAAErfv0E=")</f>
        <v>#REF!</v>
      </c>
      <c r="BO169" t="e">
        <f>AND('BBP complete'!#REF!,"AAAAAErfv0I=")</f>
        <v>#REF!</v>
      </c>
      <c r="BP169" t="e">
        <f>AND('BBP complete'!#REF!,"AAAAAErfv0M=")</f>
        <v>#REF!</v>
      </c>
      <c r="BQ169" t="e">
        <f>AND('BBP complete'!J2005,"AAAAAErfv0Q=")</f>
        <v>#VALUE!</v>
      </c>
      <c r="BR169" t="e">
        <f>AND('BBP complete'!K2005,"AAAAAErfv0U=")</f>
        <v>#VALUE!</v>
      </c>
      <c r="BS169" t="e">
        <f>AND('BBP complete'!L2004,"AAAAAErfv0Y=")</f>
        <v>#VALUE!</v>
      </c>
      <c r="BT169" t="e">
        <f>AND('BBP complete'!M2004,"AAAAAErfv0c=")</f>
        <v>#VALUE!</v>
      </c>
      <c r="BU169" t="e">
        <f>AND('BBP complete'!N2004,"AAAAAErfv0g=")</f>
        <v>#VALUE!</v>
      </c>
      <c r="BV169" t="e">
        <f>AND('BBP complete'!P2022,"AAAAAErfv0k=")</f>
        <v>#VALUE!</v>
      </c>
      <c r="BW169" t="e">
        <f>AND('BBP complete'!Q2022,"AAAAAErfv0o=")</f>
        <v>#VALUE!</v>
      </c>
      <c r="BX169" t="e">
        <f>AND('BBP complete'!R2022,"AAAAAErfv0s=")</f>
        <v>#VALUE!</v>
      </c>
      <c r="BY169" t="e">
        <f>AND('BBP complete'!S2022,"AAAAAErfv0w=")</f>
        <v>#VALUE!</v>
      </c>
      <c r="BZ169" t="e">
        <f>AND('BBP complete'!A2009,"AAAAAErfv00=")</f>
        <v>#VALUE!</v>
      </c>
      <c r="CA169" t="e">
        <f>AND('BBP complete'!#REF!,"AAAAAErfv04=")</f>
        <v>#REF!</v>
      </c>
      <c r="CB169" t="e">
        <f>AND('BBP complete'!D2006,"AAAAAErfv08=")</f>
        <v>#VALUE!</v>
      </c>
      <c r="CC169" t="e">
        <f>AND('BBP complete'!H2006,"AAAAAErfv1A=")</f>
        <v>#VALUE!</v>
      </c>
      <c r="CD169" t="e">
        <f>AND('BBP complete'!F2005,"AAAAAErfv1E=")</f>
        <v>#VALUE!</v>
      </c>
      <c r="CE169" t="e">
        <f>AND('BBP complete'!I2004,"AAAAAErfv1I=")</f>
        <v>#VALUE!</v>
      </c>
      <c r="CF169" t="e">
        <f>AND('BBP complete'!#REF!,"AAAAAErfv1M=")</f>
        <v>#REF!</v>
      </c>
      <c r="CG169" t="e">
        <f>AND('BBP complete'!#REF!,"AAAAAErfv1Q=")</f>
        <v>#REF!</v>
      </c>
      <c r="CH169" t="e">
        <f>AND('BBP complete'!#REF!,"AAAAAErfv1U=")</f>
        <v>#REF!</v>
      </c>
      <c r="CI169" t="e">
        <f>AND('BBP complete'!J2006,"AAAAAErfv1Y=")</f>
        <v>#VALUE!</v>
      </c>
      <c r="CJ169" t="e">
        <f>AND('BBP complete'!K2006,"AAAAAErfv1c=")</f>
        <v>#VALUE!</v>
      </c>
      <c r="CK169" t="e">
        <f>AND('BBP complete'!L2005,"AAAAAErfv1g=")</f>
        <v>#VALUE!</v>
      </c>
      <c r="CL169" t="e">
        <f>AND('BBP complete'!M2005,"AAAAAErfv1k=")</f>
        <v>#VALUE!</v>
      </c>
      <c r="CM169" t="e">
        <f>AND('BBP complete'!N2005,"AAAAAErfv1o=")</f>
        <v>#VALUE!</v>
      </c>
      <c r="CN169" t="e">
        <f>AND('BBP complete'!P2023,"AAAAAErfv1s=")</f>
        <v>#VALUE!</v>
      </c>
      <c r="CO169" t="e">
        <f>AND('BBP complete'!Q2023,"AAAAAErfv1w=")</f>
        <v>#VALUE!</v>
      </c>
      <c r="CP169" t="e">
        <f>AND('BBP complete'!R2023,"AAAAAErfv10=")</f>
        <v>#VALUE!</v>
      </c>
      <c r="CQ169" t="e">
        <f>AND('BBP complete'!S2023,"AAAAAErfv14=")</f>
        <v>#VALUE!</v>
      </c>
      <c r="CR169" t="e">
        <f>AND('BBP complete'!A2010,"AAAAAErfv18=")</f>
        <v>#VALUE!</v>
      </c>
      <c r="CS169" t="e">
        <f>AND('BBP complete'!#REF!,"AAAAAErfv2A=")</f>
        <v>#REF!</v>
      </c>
      <c r="CT169" t="e">
        <f>AND('BBP complete'!D2007,"AAAAAErfv2E=")</f>
        <v>#VALUE!</v>
      </c>
      <c r="CU169" t="e">
        <f>AND('BBP complete'!H2007,"AAAAAErfv2I=")</f>
        <v>#VALUE!</v>
      </c>
      <c r="CV169" t="e">
        <f>AND('BBP complete'!F2006,"AAAAAErfv2M=")</f>
        <v>#VALUE!</v>
      </c>
      <c r="CW169" t="e">
        <f>AND('BBP complete'!I2005,"AAAAAErfv2Q=")</f>
        <v>#VALUE!</v>
      </c>
      <c r="CX169" t="e">
        <f>AND('BBP complete'!#REF!,"AAAAAErfv2U=")</f>
        <v>#REF!</v>
      </c>
      <c r="CY169" t="e">
        <f>AND('BBP complete'!#REF!,"AAAAAErfv2Y=")</f>
        <v>#REF!</v>
      </c>
      <c r="CZ169" t="e">
        <f>AND('BBP complete'!#REF!,"AAAAAErfv2c=")</f>
        <v>#REF!</v>
      </c>
      <c r="DA169" t="e">
        <f>AND('BBP complete'!J2007,"AAAAAErfv2g=")</f>
        <v>#VALUE!</v>
      </c>
      <c r="DB169" t="e">
        <f>AND('BBP complete'!K2007,"AAAAAErfv2k=")</f>
        <v>#VALUE!</v>
      </c>
      <c r="DC169" t="e">
        <f>AND('BBP complete'!L2006,"AAAAAErfv2o=")</f>
        <v>#VALUE!</v>
      </c>
      <c r="DD169" t="e">
        <f>AND('BBP complete'!M2006,"AAAAAErfv2s=")</f>
        <v>#VALUE!</v>
      </c>
      <c r="DE169" t="e">
        <f>AND('BBP complete'!N2006,"AAAAAErfv2w=")</f>
        <v>#VALUE!</v>
      </c>
      <c r="DF169" t="e">
        <f>AND('BBP complete'!P2024,"AAAAAErfv20=")</f>
        <v>#VALUE!</v>
      </c>
      <c r="DG169" t="e">
        <f>AND('BBP complete'!Q2024,"AAAAAErfv24=")</f>
        <v>#VALUE!</v>
      </c>
      <c r="DH169" t="e">
        <f>AND('BBP complete'!R2024,"AAAAAErfv28=")</f>
        <v>#VALUE!</v>
      </c>
      <c r="DI169" t="e">
        <f>AND('BBP complete'!S2024,"AAAAAErfv3A=")</f>
        <v>#VALUE!</v>
      </c>
      <c r="DJ169" t="e">
        <f>AND('BBP complete'!A2011,"AAAAAErfv3E=")</f>
        <v>#VALUE!</v>
      </c>
      <c r="DK169" t="e">
        <f>AND('BBP complete'!#REF!,"AAAAAErfv3I=")</f>
        <v>#REF!</v>
      </c>
      <c r="DL169" t="e">
        <f>AND('BBP complete'!D2008,"AAAAAErfv3M=")</f>
        <v>#VALUE!</v>
      </c>
      <c r="DM169" t="e">
        <f>AND('BBP complete'!H2008,"AAAAAErfv3Q=")</f>
        <v>#VALUE!</v>
      </c>
      <c r="DN169" t="e">
        <f>AND('BBP complete'!F2007,"AAAAAErfv3U=")</f>
        <v>#VALUE!</v>
      </c>
      <c r="DO169" t="e">
        <f>AND('BBP complete'!I2006,"AAAAAErfv3Y=")</f>
        <v>#VALUE!</v>
      </c>
      <c r="DP169" t="e">
        <f>AND('BBP complete'!#REF!,"AAAAAErfv3c=")</f>
        <v>#REF!</v>
      </c>
      <c r="DQ169" t="e">
        <f>AND('BBP complete'!#REF!,"AAAAAErfv3g=")</f>
        <v>#REF!</v>
      </c>
      <c r="DR169" t="e">
        <f>AND('BBP complete'!#REF!,"AAAAAErfv3k=")</f>
        <v>#REF!</v>
      </c>
      <c r="DS169" t="e">
        <f>AND('BBP complete'!J2008,"AAAAAErfv3o=")</f>
        <v>#VALUE!</v>
      </c>
      <c r="DT169" t="e">
        <f>AND('BBP complete'!K2008,"AAAAAErfv3s=")</f>
        <v>#VALUE!</v>
      </c>
      <c r="DU169" t="e">
        <f>AND('BBP complete'!L2007,"AAAAAErfv3w=")</f>
        <v>#VALUE!</v>
      </c>
      <c r="DV169" t="e">
        <f>AND('BBP complete'!M2007,"AAAAAErfv30=")</f>
        <v>#VALUE!</v>
      </c>
      <c r="DW169" t="e">
        <f>AND('BBP complete'!N2007,"AAAAAErfv34=")</f>
        <v>#VALUE!</v>
      </c>
      <c r="DX169" t="e">
        <f>AND('BBP complete'!P2025,"AAAAAErfv38=")</f>
        <v>#VALUE!</v>
      </c>
      <c r="DY169" t="e">
        <f>AND('BBP complete'!Q2025,"AAAAAErfv4A=")</f>
        <v>#VALUE!</v>
      </c>
      <c r="DZ169" t="e">
        <f>AND('BBP complete'!R2025,"AAAAAErfv4E=")</f>
        <v>#VALUE!</v>
      </c>
      <c r="EA169" t="e">
        <f>AND('BBP complete'!S2025,"AAAAAErfv4I=")</f>
        <v>#VALUE!</v>
      </c>
      <c r="EB169" t="e">
        <f>AND('BBP complete'!A2012,"AAAAAErfv4M=")</f>
        <v>#VALUE!</v>
      </c>
      <c r="EC169" t="e">
        <f>AND('BBP complete'!#REF!,"AAAAAErfv4Q=")</f>
        <v>#REF!</v>
      </c>
      <c r="ED169" t="e">
        <f>AND('BBP complete'!D2009,"AAAAAErfv4U=")</f>
        <v>#VALUE!</v>
      </c>
      <c r="EE169" t="e">
        <f>AND('BBP complete'!H2009,"AAAAAErfv4Y=")</f>
        <v>#VALUE!</v>
      </c>
      <c r="EF169" t="e">
        <f>AND('BBP complete'!F2008,"AAAAAErfv4c=")</f>
        <v>#VALUE!</v>
      </c>
      <c r="EG169" t="e">
        <f>AND('BBP complete'!I2007,"AAAAAErfv4g=")</f>
        <v>#VALUE!</v>
      </c>
      <c r="EH169" t="e">
        <f>AND('BBP complete'!#REF!,"AAAAAErfv4k=")</f>
        <v>#REF!</v>
      </c>
      <c r="EI169" t="e">
        <f>AND('BBP complete'!#REF!,"AAAAAErfv4o=")</f>
        <v>#REF!</v>
      </c>
      <c r="EJ169" t="e">
        <f>AND('BBP complete'!#REF!,"AAAAAErfv4s=")</f>
        <v>#REF!</v>
      </c>
      <c r="EK169" t="e">
        <f>AND('BBP complete'!J2009,"AAAAAErfv4w=")</f>
        <v>#VALUE!</v>
      </c>
      <c r="EL169" t="e">
        <f>AND('BBP complete'!K2009,"AAAAAErfv40=")</f>
        <v>#VALUE!</v>
      </c>
      <c r="EM169" t="e">
        <f>AND('BBP complete'!L2008,"AAAAAErfv44=")</f>
        <v>#VALUE!</v>
      </c>
      <c r="EN169" t="e">
        <f>AND('BBP complete'!M2008,"AAAAAErfv48=")</f>
        <v>#VALUE!</v>
      </c>
      <c r="EO169" t="e">
        <f>AND('BBP complete'!N2008,"AAAAAErfv5A=")</f>
        <v>#VALUE!</v>
      </c>
      <c r="EP169" t="e">
        <f>AND('BBP complete'!P2026,"AAAAAErfv5E=")</f>
        <v>#VALUE!</v>
      </c>
      <c r="EQ169" t="e">
        <f>AND('BBP complete'!Q2026,"AAAAAErfv5I=")</f>
        <v>#VALUE!</v>
      </c>
      <c r="ER169" t="e">
        <f>AND('BBP complete'!R2026,"AAAAAErfv5M=")</f>
        <v>#VALUE!</v>
      </c>
      <c r="ES169" t="e">
        <f>AND('BBP complete'!S2026,"AAAAAErfv5Q=")</f>
        <v>#VALUE!</v>
      </c>
      <c r="ET169" t="e">
        <f>AND('BBP complete'!A2013,"AAAAAErfv5U=")</f>
        <v>#VALUE!</v>
      </c>
      <c r="EU169" t="e">
        <f>AND('BBP complete'!#REF!,"AAAAAErfv5Y=")</f>
        <v>#REF!</v>
      </c>
      <c r="EV169" t="e">
        <f>AND('BBP complete'!D2010,"AAAAAErfv5c=")</f>
        <v>#VALUE!</v>
      </c>
      <c r="EW169" t="e">
        <f>AND('BBP complete'!H2010,"AAAAAErfv5g=")</f>
        <v>#VALUE!</v>
      </c>
      <c r="EX169" t="e">
        <f>AND('BBP complete'!F2009,"AAAAAErfv5k=")</f>
        <v>#VALUE!</v>
      </c>
      <c r="EY169" t="e">
        <f>AND('BBP complete'!I2008,"AAAAAErfv5o=")</f>
        <v>#VALUE!</v>
      </c>
      <c r="EZ169" t="e">
        <f>AND('BBP complete'!#REF!,"AAAAAErfv5s=")</f>
        <v>#REF!</v>
      </c>
      <c r="FA169" t="e">
        <f>AND('BBP complete'!#REF!,"AAAAAErfv5w=")</f>
        <v>#REF!</v>
      </c>
      <c r="FB169" t="e">
        <f>AND('BBP complete'!#REF!,"AAAAAErfv50=")</f>
        <v>#REF!</v>
      </c>
      <c r="FC169" t="e">
        <f>AND('BBP complete'!J2010,"AAAAAErfv54=")</f>
        <v>#VALUE!</v>
      </c>
      <c r="FD169" t="e">
        <f>AND('BBP complete'!K2010,"AAAAAErfv58=")</f>
        <v>#VALUE!</v>
      </c>
      <c r="FE169" t="e">
        <f>AND('BBP complete'!L2009,"AAAAAErfv6A=")</f>
        <v>#VALUE!</v>
      </c>
      <c r="FF169" t="e">
        <f>AND('BBP complete'!M2009,"AAAAAErfv6E=")</f>
        <v>#VALUE!</v>
      </c>
      <c r="FG169" t="e">
        <f>AND('BBP complete'!N2009,"AAAAAErfv6I=")</f>
        <v>#VALUE!</v>
      </c>
      <c r="FH169" t="e">
        <f>AND('BBP complete'!P2027,"AAAAAErfv6M=")</f>
        <v>#VALUE!</v>
      </c>
      <c r="FI169" t="e">
        <f>AND('BBP complete'!Q2027,"AAAAAErfv6Q=")</f>
        <v>#VALUE!</v>
      </c>
      <c r="FJ169" t="e">
        <f>AND('BBP complete'!R2027,"AAAAAErfv6U=")</f>
        <v>#VALUE!</v>
      </c>
      <c r="FK169" t="e">
        <f>AND('BBP complete'!S2027,"AAAAAErfv6Y=")</f>
        <v>#VALUE!</v>
      </c>
      <c r="FL169" t="e">
        <f>AND('BBP complete'!A2014,"AAAAAErfv6c=")</f>
        <v>#VALUE!</v>
      </c>
      <c r="FM169" t="e">
        <f>AND('BBP complete'!#REF!,"AAAAAErfv6g=")</f>
        <v>#REF!</v>
      </c>
      <c r="FN169" t="e">
        <f>AND('BBP complete'!D2011,"AAAAAErfv6k=")</f>
        <v>#VALUE!</v>
      </c>
      <c r="FO169" t="e">
        <f>AND('BBP complete'!H2011,"AAAAAErfv6o=")</f>
        <v>#VALUE!</v>
      </c>
      <c r="FP169" t="e">
        <f>AND('BBP complete'!F2010,"AAAAAErfv6s=")</f>
        <v>#VALUE!</v>
      </c>
      <c r="FQ169" t="e">
        <f>AND('BBP complete'!I2009,"AAAAAErfv6w=")</f>
        <v>#VALUE!</v>
      </c>
      <c r="FR169" t="e">
        <f>AND('BBP complete'!#REF!,"AAAAAErfv60=")</f>
        <v>#REF!</v>
      </c>
      <c r="FS169" t="e">
        <f>AND('BBP complete'!#REF!,"AAAAAErfv64=")</f>
        <v>#REF!</v>
      </c>
      <c r="FT169" t="e">
        <f>AND('BBP complete'!#REF!,"AAAAAErfv68=")</f>
        <v>#REF!</v>
      </c>
      <c r="FU169" t="e">
        <f>AND('BBP complete'!J2011,"AAAAAErfv7A=")</f>
        <v>#VALUE!</v>
      </c>
      <c r="FV169" t="e">
        <f>AND('BBP complete'!K2011,"AAAAAErfv7E=")</f>
        <v>#VALUE!</v>
      </c>
      <c r="FW169" t="e">
        <f>AND('BBP complete'!L2010,"AAAAAErfv7I=")</f>
        <v>#VALUE!</v>
      </c>
      <c r="FX169" t="e">
        <f>AND('BBP complete'!M2010,"AAAAAErfv7M=")</f>
        <v>#VALUE!</v>
      </c>
      <c r="FY169" t="e">
        <f>AND('BBP complete'!N2010,"AAAAAErfv7Q=")</f>
        <v>#VALUE!</v>
      </c>
      <c r="FZ169" t="e">
        <f>AND('BBP complete'!P2028,"AAAAAErfv7U=")</f>
        <v>#VALUE!</v>
      </c>
      <c r="GA169" t="e">
        <f>AND('BBP complete'!Q2028,"AAAAAErfv7Y=")</f>
        <v>#VALUE!</v>
      </c>
      <c r="GB169" t="e">
        <f>AND('BBP complete'!R2028,"AAAAAErfv7c=")</f>
        <v>#VALUE!</v>
      </c>
      <c r="GC169" t="e">
        <f>AND('BBP complete'!S2028,"AAAAAErfv7g=")</f>
        <v>#VALUE!</v>
      </c>
      <c r="GD169" t="e">
        <f>AND('BBP complete'!A2015,"AAAAAErfv7k=")</f>
        <v>#VALUE!</v>
      </c>
      <c r="GE169" t="e">
        <f>AND('BBP complete'!#REF!,"AAAAAErfv7o=")</f>
        <v>#REF!</v>
      </c>
      <c r="GF169" t="e">
        <f>AND('BBP complete'!D2012,"AAAAAErfv7s=")</f>
        <v>#VALUE!</v>
      </c>
      <c r="GG169" t="e">
        <f>AND('BBP complete'!H2012,"AAAAAErfv7w=")</f>
        <v>#VALUE!</v>
      </c>
      <c r="GH169" t="e">
        <f>AND('BBP complete'!F2011,"AAAAAErfv70=")</f>
        <v>#VALUE!</v>
      </c>
      <c r="GI169" t="e">
        <f>AND('BBP complete'!I2010,"AAAAAErfv74=")</f>
        <v>#VALUE!</v>
      </c>
      <c r="GJ169" t="e">
        <f>AND('BBP complete'!#REF!,"AAAAAErfv78=")</f>
        <v>#REF!</v>
      </c>
      <c r="GK169" t="e">
        <f>AND('BBP complete'!#REF!,"AAAAAErfv8A=")</f>
        <v>#REF!</v>
      </c>
      <c r="GL169" t="e">
        <f>AND('BBP complete'!#REF!,"AAAAAErfv8E=")</f>
        <v>#REF!</v>
      </c>
      <c r="GM169" t="e">
        <f>AND('BBP complete'!J2012,"AAAAAErfv8I=")</f>
        <v>#VALUE!</v>
      </c>
      <c r="GN169" t="e">
        <f>AND('BBP complete'!K2012,"AAAAAErfv8M=")</f>
        <v>#VALUE!</v>
      </c>
      <c r="GO169" t="e">
        <f>AND('BBP complete'!L2011,"AAAAAErfv8Q=")</f>
        <v>#VALUE!</v>
      </c>
      <c r="GP169" t="e">
        <f>AND('BBP complete'!M2011,"AAAAAErfv8U=")</f>
        <v>#VALUE!</v>
      </c>
      <c r="GQ169" t="e">
        <f>AND('BBP complete'!N2011,"AAAAAErfv8Y=")</f>
        <v>#VALUE!</v>
      </c>
      <c r="GR169" t="e">
        <f>AND('BBP complete'!P2029,"AAAAAErfv8c=")</f>
        <v>#VALUE!</v>
      </c>
      <c r="GS169" t="e">
        <f>AND('BBP complete'!Q2029,"AAAAAErfv8g=")</f>
        <v>#VALUE!</v>
      </c>
      <c r="GT169" t="e">
        <f>AND('BBP complete'!R2029,"AAAAAErfv8k=")</f>
        <v>#VALUE!</v>
      </c>
      <c r="GU169" t="e">
        <f>AND('BBP complete'!S2029,"AAAAAErfv8o=")</f>
        <v>#VALUE!</v>
      </c>
      <c r="GV169" t="e">
        <f>AND('BBP complete'!A2016,"AAAAAErfv8s=")</f>
        <v>#VALUE!</v>
      </c>
      <c r="GW169" t="e">
        <f>AND('BBP complete'!#REF!,"AAAAAErfv8w=")</f>
        <v>#REF!</v>
      </c>
      <c r="GX169" t="e">
        <f>AND('BBP complete'!D2013,"AAAAAErfv80=")</f>
        <v>#VALUE!</v>
      </c>
      <c r="GY169" t="e">
        <f>AND('BBP complete'!H2013,"AAAAAErfv84=")</f>
        <v>#VALUE!</v>
      </c>
      <c r="GZ169" t="e">
        <f>AND('BBP complete'!F2012,"AAAAAErfv88=")</f>
        <v>#VALUE!</v>
      </c>
      <c r="HA169" t="e">
        <f>AND('BBP complete'!I2011,"AAAAAErfv9A=")</f>
        <v>#VALUE!</v>
      </c>
      <c r="HB169" t="e">
        <f>AND('BBP complete'!#REF!,"AAAAAErfv9E=")</f>
        <v>#REF!</v>
      </c>
      <c r="HC169" t="e">
        <f>AND('BBP complete'!#REF!,"AAAAAErfv9I=")</f>
        <v>#REF!</v>
      </c>
      <c r="HD169" t="e">
        <f>AND('BBP complete'!#REF!,"AAAAAErfv9M=")</f>
        <v>#REF!</v>
      </c>
      <c r="HE169" t="e">
        <f>AND('BBP complete'!J2013,"AAAAAErfv9Q=")</f>
        <v>#VALUE!</v>
      </c>
      <c r="HF169" t="e">
        <f>AND('BBP complete'!K2013,"AAAAAErfv9U=")</f>
        <v>#VALUE!</v>
      </c>
      <c r="HG169" t="e">
        <f>AND('BBP complete'!L2012,"AAAAAErfv9Y=")</f>
        <v>#VALUE!</v>
      </c>
      <c r="HH169" t="e">
        <f>AND('BBP complete'!M2012,"AAAAAErfv9c=")</f>
        <v>#VALUE!</v>
      </c>
      <c r="HI169" t="e">
        <f>AND('BBP complete'!N2012,"AAAAAErfv9g=")</f>
        <v>#VALUE!</v>
      </c>
      <c r="HJ169" t="e">
        <f>AND('BBP complete'!P2030,"AAAAAErfv9k=")</f>
        <v>#VALUE!</v>
      </c>
      <c r="HK169" t="e">
        <f>AND('BBP complete'!Q2030,"AAAAAErfv9o=")</f>
        <v>#VALUE!</v>
      </c>
      <c r="HL169" t="e">
        <f>AND('BBP complete'!R2030,"AAAAAErfv9s=")</f>
        <v>#VALUE!</v>
      </c>
      <c r="HM169" t="e">
        <f>AND('BBP complete'!S2030,"AAAAAErfv9w=")</f>
        <v>#VALUE!</v>
      </c>
      <c r="HN169" t="e">
        <f>AND('BBP complete'!A2017,"AAAAAErfv90=")</f>
        <v>#VALUE!</v>
      </c>
      <c r="HO169" t="e">
        <f>AND('BBP complete'!#REF!,"AAAAAErfv94=")</f>
        <v>#REF!</v>
      </c>
      <c r="HP169" t="e">
        <f>AND('BBP complete'!D2014,"AAAAAErfv98=")</f>
        <v>#VALUE!</v>
      </c>
      <c r="HQ169" t="e">
        <f>AND('BBP complete'!H2014,"AAAAAErfv+A=")</f>
        <v>#VALUE!</v>
      </c>
      <c r="HR169" t="e">
        <f>AND('BBP complete'!F2013,"AAAAAErfv+E=")</f>
        <v>#VALUE!</v>
      </c>
      <c r="HS169" t="e">
        <f>AND('BBP complete'!I2012,"AAAAAErfv+I=")</f>
        <v>#VALUE!</v>
      </c>
      <c r="HT169" t="e">
        <f>AND('BBP complete'!#REF!,"AAAAAErfv+M=")</f>
        <v>#REF!</v>
      </c>
      <c r="HU169" t="e">
        <f>AND('BBP complete'!#REF!,"AAAAAErfv+Q=")</f>
        <v>#REF!</v>
      </c>
      <c r="HV169" t="e">
        <f>AND('BBP complete'!#REF!,"AAAAAErfv+U=")</f>
        <v>#REF!</v>
      </c>
      <c r="HW169" t="e">
        <f>AND('BBP complete'!J2014,"AAAAAErfv+Y=")</f>
        <v>#VALUE!</v>
      </c>
      <c r="HX169" t="e">
        <f>AND('BBP complete'!K2014,"AAAAAErfv+c=")</f>
        <v>#VALUE!</v>
      </c>
      <c r="HY169" t="e">
        <f>AND('BBP complete'!L2013,"AAAAAErfv+g=")</f>
        <v>#VALUE!</v>
      </c>
      <c r="HZ169" t="e">
        <f>AND('BBP complete'!M2013,"AAAAAErfv+k=")</f>
        <v>#VALUE!</v>
      </c>
      <c r="IA169" t="e">
        <f>AND('BBP complete'!N2013,"AAAAAErfv+o=")</f>
        <v>#VALUE!</v>
      </c>
      <c r="IB169" t="e">
        <f>AND('BBP complete'!P2031,"AAAAAErfv+s=")</f>
        <v>#VALUE!</v>
      </c>
      <c r="IC169" t="e">
        <f>AND('BBP complete'!Q2031,"AAAAAErfv+w=")</f>
        <v>#VALUE!</v>
      </c>
      <c r="ID169" t="e">
        <f>AND('BBP complete'!R2031,"AAAAAErfv+0=")</f>
        <v>#VALUE!</v>
      </c>
      <c r="IE169" t="e">
        <f>AND('BBP complete'!S2031,"AAAAAErfv+4=")</f>
        <v>#VALUE!</v>
      </c>
      <c r="IF169" t="e">
        <f>AND('BBP complete'!A2018,"AAAAAErfv+8=")</f>
        <v>#VALUE!</v>
      </c>
      <c r="IG169" t="e">
        <f>AND('BBP complete'!#REF!,"AAAAAErfv/A=")</f>
        <v>#REF!</v>
      </c>
      <c r="IH169" t="e">
        <f>AND('BBP complete'!D2015,"AAAAAErfv/E=")</f>
        <v>#VALUE!</v>
      </c>
      <c r="II169" t="e">
        <f>AND('BBP complete'!H2015,"AAAAAErfv/I=")</f>
        <v>#VALUE!</v>
      </c>
      <c r="IJ169" t="e">
        <f>AND('BBP complete'!F2014,"AAAAAErfv/M=")</f>
        <v>#VALUE!</v>
      </c>
      <c r="IK169" t="e">
        <f>AND('BBP complete'!I2013,"AAAAAErfv/Q=")</f>
        <v>#VALUE!</v>
      </c>
      <c r="IL169" t="e">
        <f>AND('BBP complete'!#REF!,"AAAAAErfv/U=")</f>
        <v>#REF!</v>
      </c>
      <c r="IM169" t="e">
        <f>AND('BBP complete'!#REF!,"AAAAAErfv/Y=")</f>
        <v>#REF!</v>
      </c>
      <c r="IN169" t="e">
        <f>AND('BBP complete'!#REF!,"AAAAAErfv/c=")</f>
        <v>#REF!</v>
      </c>
      <c r="IO169" t="e">
        <f>AND('BBP complete'!J2015,"AAAAAErfv/g=")</f>
        <v>#VALUE!</v>
      </c>
      <c r="IP169" t="e">
        <f>AND('BBP complete'!K2015,"AAAAAErfv/k=")</f>
        <v>#VALUE!</v>
      </c>
      <c r="IQ169" t="e">
        <f>AND('BBP complete'!L2014,"AAAAAErfv/o=")</f>
        <v>#VALUE!</v>
      </c>
      <c r="IR169" t="e">
        <f>AND('BBP complete'!M2014,"AAAAAErfv/s=")</f>
        <v>#VALUE!</v>
      </c>
      <c r="IS169" t="e">
        <f>AND('BBP complete'!N2014,"AAAAAErfv/w=")</f>
        <v>#VALUE!</v>
      </c>
      <c r="IT169" t="e">
        <f>AND('BBP complete'!P2032,"AAAAAErfv/0=")</f>
        <v>#VALUE!</v>
      </c>
      <c r="IU169" t="e">
        <f>AND('BBP complete'!Q2032,"AAAAAErfv/4=")</f>
        <v>#VALUE!</v>
      </c>
      <c r="IV169" t="e">
        <f>AND('BBP complete'!R2032,"AAAAAErfv/8=")</f>
        <v>#VALUE!</v>
      </c>
    </row>
    <row r="170" spans="1:256" ht="15" customHeight="1" x14ac:dyDescent="0.25">
      <c r="A170" t="e">
        <f>AND('BBP complete'!S2032,"AAAAAGf3fQA=")</f>
        <v>#VALUE!</v>
      </c>
      <c r="B170" t="e">
        <f>AND('BBP complete'!A2019,"AAAAAGf3fQE=")</f>
        <v>#VALUE!</v>
      </c>
      <c r="C170" t="e">
        <f>AND('BBP complete'!#REF!,"AAAAAGf3fQI=")</f>
        <v>#REF!</v>
      </c>
      <c r="D170" t="e">
        <f>AND('BBP complete'!D2016,"AAAAAGf3fQM=")</f>
        <v>#VALUE!</v>
      </c>
      <c r="E170" t="e">
        <f>AND('BBP complete'!H2016,"AAAAAGf3fQQ=")</f>
        <v>#VALUE!</v>
      </c>
      <c r="F170" t="e">
        <f>AND('BBP complete'!F2015,"AAAAAGf3fQU=")</f>
        <v>#VALUE!</v>
      </c>
      <c r="G170" t="e">
        <f>AND('BBP complete'!I2014,"AAAAAGf3fQY=")</f>
        <v>#VALUE!</v>
      </c>
      <c r="H170" t="e">
        <f>AND('BBP complete'!#REF!,"AAAAAGf3fQc=")</f>
        <v>#REF!</v>
      </c>
      <c r="I170" t="e">
        <f>AND('BBP complete'!#REF!,"AAAAAGf3fQg=")</f>
        <v>#REF!</v>
      </c>
      <c r="J170" t="e">
        <f>AND('BBP complete'!#REF!,"AAAAAGf3fQk=")</f>
        <v>#REF!</v>
      </c>
      <c r="K170" t="e">
        <f>AND('BBP complete'!J2016,"AAAAAGf3fQo=")</f>
        <v>#VALUE!</v>
      </c>
      <c r="L170" t="e">
        <f>AND('BBP complete'!K2016,"AAAAAGf3fQs=")</f>
        <v>#VALUE!</v>
      </c>
      <c r="M170" t="e">
        <f>AND('BBP complete'!L2015,"AAAAAGf3fQw=")</f>
        <v>#VALUE!</v>
      </c>
      <c r="N170" t="e">
        <f>AND('BBP complete'!M2015,"AAAAAGf3fQ0=")</f>
        <v>#VALUE!</v>
      </c>
      <c r="O170" t="e">
        <f>AND('BBP complete'!N2015,"AAAAAGf3fQ4=")</f>
        <v>#VALUE!</v>
      </c>
      <c r="P170" t="e">
        <f>AND('BBP complete'!P2033,"AAAAAGf3fQ8=")</f>
        <v>#VALUE!</v>
      </c>
      <c r="Q170" t="e">
        <f>AND('BBP complete'!Q2033,"AAAAAGf3fRA=")</f>
        <v>#VALUE!</v>
      </c>
      <c r="R170" t="e">
        <f>AND('BBP complete'!R2033,"AAAAAGf3fRE=")</f>
        <v>#VALUE!</v>
      </c>
      <c r="S170" t="e">
        <f>AND('BBP complete'!S2033,"AAAAAGf3fRI=")</f>
        <v>#VALUE!</v>
      </c>
      <c r="T170" t="e">
        <f>AND('BBP complete'!A2020,"AAAAAGf3fRM=")</f>
        <v>#VALUE!</v>
      </c>
      <c r="U170" t="e">
        <f>AND('BBP complete'!#REF!,"AAAAAGf3fRQ=")</f>
        <v>#REF!</v>
      </c>
      <c r="V170" t="e">
        <f>AND('BBP complete'!D2017,"AAAAAGf3fRU=")</f>
        <v>#VALUE!</v>
      </c>
      <c r="W170" t="e">
        <f>AND('BBP complete'!H2017,"AAAAAGf3fRY=")</f>
        <v>#VALUE!</v>
      </c>
      <c r="X170" t="e">
        <f>AND('BBP complete'!F2016,"AAAAAGf3fRc=")</f>
        <v>#VALUE!</v>
      </c>
      <c r="Y170" t="e">
        <f>AND('BBP complete'!I2015,"AAAAAGf3fRg=")</f>
        <v>#VALUE!</v>
      </c>
      <c r="Z170" t="e">
        <f>AND('BBP complete'!#REF!,"AAAAAGf3fRk=")</f>
        <v>#REF!</v>
      </c>
      <c r="AA170" t="e">
        <f>AND('BBP complete'!#REF!,"AAAAAGf3fRo=")</f>
        <v>#REF!</v>
      </c>
      <c r="AB170" t="e">
        <f>AND('BBP complete'!#REF!,"AAAAAGf3fRs=")</f>
        <v>#REF!</v>
      </c>
      <c r="AC170" t="e">
        <f>AND('BBP complete'!J2017,"AAAAAGf3fRw=")</f>
        <v>#VALUE!</v>
      </c>
      <c r="AD170" t="e">
        <f>AND('BBP complete'!K2017,"AAAAAGf3fR0=")</f>
        <v>#VALUE!</v>
      </c>
      <c r="AE170" t="e">
        <f>AND('BBP complete'!L2016,"AAAAAGf3fR4=")</f>
        <v>#VALUE!</v>
      </c>
      <c r="AF170" t="e">
        <f>AND('BBP complete'!M2016,"AAAAAGf3fR8=")</f>
        <v>#VALUE!</v>
      </c>
      <c r="AG170" t="e">
        <f>AND('BBP complete'!N2016,"AAAAAGf3fSA=")</f>
        <v>#VALUE!</v>
      </c>
      <c r="AH170" t="e">
        <f>AND('BBP complete'!P2034,"AAAAAGf3fSE=")</f>
        <v>#VALUE!</v>
      </c>
      <c r="AI170" t="e">
        <f>AND('BBP complete'!Q2034,"AAAAAGf3fSI=")</f>
        <v>#VALUE!</v>
      </c>
      <c r="AJ170" t="e">
        <f>AND('BBP complete'!R2034,"AAAAAGf3fSM=")</f>
        <v>#VALUE!</v>
      </c>
      <c r="AK170" t="e">
        <f>AND('BBP complete'!S2034,"AAAAAGf3fSQ=")</f>
        <v>#VALUE!</v>
      </c>
      <c r="AL170" t="e">
        <f>AND('BBP complete'!A2021,"AAAAAGf3fSU=")</f>
        <v>#VALUE!</v>
      </c>
      <c r="AM170" t="e">
        <f>AND('BBP complete'!#REF!,"AAAAAGf3fSY=")</f>
        <v>#REF!</v>
      </c>
      <c r="AN170" t="e">
        <f>AND('BBP complete'!D2018,"AAAAAGf3fSc=")</f>
        <v>#VALUE!</v>
      </c>
      <c r="AO170" t="e">
        <f>AND('BBP complete'!H2018,"AAAAAGf3fSg=")</f>
        <v>#VALUE!</v>
      </c>
      <c r="AP170" t="e">
        <f>AND('BBP complete'!F2017,"AAAAAGf3fSk=")</f>
        <v>#VALUE!</v>
      </c>
      <c r="AQ170" t="e">
        <f>AND('BBP complete'!I2016,"AAAAAGf3fSo=")</f>
        <v>#VALUE!</v>
      </c>
      <c r="AR170" t="e">
        <f>AND('BBP complete'!#REF!,"AAAAAGf3fSs=")</f>
        <v>#REF!</v>
      </c>
      <c r="AS170" t="e">
        <f>AND('BBP complete'!#REF!,"AAAAAGf3fSw=")</f>
        <v>#REF!</v>
      </c>
      <c r="AT170" t="e">
        <f>AND('BBP complete'!#REF!,"AAAAAGf3fS0=")</f>
        <v>#REF!</v>
      </c>
      <c r="AU170" t="e">
        <f>AND('BBP complete'!J2018,"AAAAAGf3fS4=")</f>
        <v>#VALUE!</v>
      </c>
      <c r="AV170" t="e">
        <f>AND('BBP complete'!K2018,"AAAAAGf3fS8=")</f>
        <v>#VALUE!</v>
      </c>
      <c r="AW170" t="e">
        <f>AND('BBP complete'!L2017,"AAAAAGf3fTA=")</f>
        <v>#VALUE!</v>
      </c>
      <c r="AX170" t="e">
        <f>AND('BBP complete'!M2017,"AAAAAGf3fTE=")</f>
        <v>#VALUE!</v>
      </c>
      <c r="AY170" t="e">
        <f>AND('BBP complete'!N2017,"AAAAAGf3fTI=")</f>
        <v>#VALUE!</v>
      </c>
      <c r="AZ170" t="e">
        <f>AND('BBP complete'!P2035,"AAAAAGf3fTM=")</f>
        <v>#VALUE!</v>
      </c>
      <c r="BA170" t="e">
        <f>AND('BBP complete'!Q2035,"AAAAAGf3fTQ=")</f>
        <v>#VALUE!</v>
      </c>
      <c r="BB170" t="e">
        <f>AND('BBP complete'!R2035,"AAAAAGf3fTU=")</f>
        <v>#VALUE!</v>
      </c>
      <c r="BC170" t="e">
        <f>AND('BBP complete'!S2035,"AAAAAGf3fTY=")</f>
        <v>#VALUE!</v>
      </c>
      <c r="BD170" t="e">
        <f>AND('BBP complete'!A2022,"AAAAAGf3fTc=")</f>
        <v>#VALUE!</v>
      </c>
      <c r="BE170" t="e">
        <f>AND('BBP complete'!#REF!,"AAAAAGf3fTg=")</f>
        <v>#REF!</v>
      </c>
      <c r="BF170" t="e">
        <f>AND('BBP complete'!D2019,"AAAAAGf3fTk=")</f>
        <v>#VALUE!</v>
      </c>
      <c r="BG170" t="e">
        <f>AND('BBP complete'!H2019,"AAAAAGf3fTo=")</f>
        <v>#VALUE!</v>
      </c>
      <c r="BH170" t="e">
        <f>AND('BBP complete'!F2018,"AAAAAGf3fTs=")</f>
        <v>#VALUE!</v>
      </c>
      <c r="BI170" t="e">
        <f>AND('BBP complete'!I2017,"AAAAAGf3fTw=")</f>
        <v>#VALUE!</v>
      </c>
      <c r="BJ170" t="e">
        <f>AND('BBP complete'!#REF!,"AAAAAGf3fT0=")</f>
        <v>#REF!</v>
      </c>
      <c r="BK170" t="e">
        <f>AND('BBP complete'!#REF!,"AAAAAGf3fT4=")</f>
        <v>#REF!</v>
      </c>
      <c r="BL170" t="e">
        <f>AND('BBP complete'!#REF!,"AAAAAGf3fT8=")</f>
        <v>#REF!</v>
      </c>
      <c r="BM170" t="e">
        <f>AND('BBP complete'!J2019,"AAAAAGf3fUA=")</f>
        <v>#VALUE!</v>
      </c>
      <c r="BN170" t="e">
        <f>AND('BBP complete'!K2019,"AAAAAGf3fUE=")</f>
        <v>#VALUE!</v>
      </c>
      <c r="BO170" t="e">
        <f>AND('BBP complete'!L2018,"AAAAAGf3fUI=")</f>
        <v>#VALUE!</v>
      </c>
      <c r="BP170" t="e">
        <f>AND('BBP complete'!M2018,"AAAAAGf3fUM=")</f>
        <v>#VALUE!</v>
      </c>
      <c r="BQ170" t="e">
        <f>AND('BBP complete'!N2018,"AAAAAGf3fUQ=")</f>
        <v>#VALUE!</v>
      </c>
      <c r="BR170" t="e">
        <f>AND('BBP complete'!P2036,"AAAAAGf3fUU=")</f>
        <v>#VALUE!</v>
      </c>
      <c r="BS170" t="e">
        <f>AND('BBP complete'!Q2036,"AAAAAGf3fUY=")</f>
        <v>#VALUE!</v>
      </c>
      <c r="BT170" t="e">
        <f>AND('BBP complete'!R2036,"AAAAAGf3fUc=")</f>
        <v>#VALUE!</v>
      </c>
      <c r="BU170" t="e">
        <f>AND('BBP complete'!S2036,"AAAAAGf3fUg=")</f>
        <v>#VALUE!</v>
      </c>
      <c r="BV170" t="e">
        <f>AND('BBP complete'!A2023,"AAAAAGf3fUk=")</f>
        <v>#VALUE!</v>
      </c>
      <c r="BW170" t="e">
        <f>AND('BBP complete'!#REF!,"AAAAAGf3fUo=")</f>
        <v>#REF!</v>
      </c>
      <c r="BX170" t="e">
        <f>AND('BBP complete'!D2020,"AAAAAGf3fUs=")</f>
        <v>#VALUE!</v>
      </c>
      <c r="BY170" t="e">
        <f>AND('BBP complete'!H2020,"AAAAAGf3fUw=")</f>
        <v>#VALUE!</v>
      </c>
      <c r="BZ170" t="e">
        <f>AND('BBP complete'!F2019,"AAAAAGf3fU0=")</f>
        <v>#VALUE!</v>
      </c>
      <c r="CA170" t="e">
        <f>AND('BBP complete'!I2018,"AAAAAGf3fU4=")</f>
        <v>#VALUE!</v>
      </c>
      <c r="CB170" t="e">
        <f>AND('BBP complete'!#REF!,"AAAAAGf3fU8=")</f>
        <v>#REF!</v>
      </c>
      <c r="CC170" t="e">
        <f>AND('BBP complete'!#REF!,"AAAAAGf3fVA=")</f>
        <v>#REF!</v>
      </c>
      <c r="CD170" t="e">
        <f>AND('BBP complete'!#REF!,"AAAAAGf3fVE=")</f>
        <v>#REF!</v>
      </c>
      <c r="CE170" t="e">
        <f>AND('BBP complete'!J2020,"AAAAAGf3fVI=")</f>
        <v>#VALUE!</v>
      </c>
      <c r="CF170" t="e">
        <f>AND('BBP complete'!K2020,"AAAAAGf3fVM=")</f>
        <v>#VALUE!</v>
      </c>
      <c r="CG170" t="e">
        <f>AND('BBP complete'!L2019,"AAAAAGf3fVQ=")</f>
        <v>#VALUE!</v>
      </c>
      <c r="CH170" t="e">
        <f>AND('BBP complete'!M2019,"AAAAAGf3fVU=")</f>
        <v>#VALUE!</v>
      </c>
      <c r="CI170" t="e">
        <f>AND('BBP complete'!N2019,"AAAAAGf3fVY=")</f>
        <v>#VALUE!</v>
      </c>
      <c r="CJ170" t="e">
        <f>AND('BBP complete'!P2037,"AAAAAGf3fVc=")</f>
        <v>#VALUE!</v>
      </c>
      <c r="CK170" t="e">
        <f>AND('BBP complete'!Q2037,"AAAAAGf3fVg=")</f>
        <v>#VALUE!</v>
      </c>
      <c r="CL170" t="e">
        <f>AND('BBP complete'!R2037,"AAAAAGf3fVk=")</f>
        <v>#VALUE!</v>
      </c>
      <c r="CM170" t="e">
        <f>AND('BBP complete'!S2037,"AAAAAGf3fVo=")</f>
        <v>#VALUE!</v>
      </c>
      <c r="CN170" t="e">
        <f>AND('BBP complete'!A2024,"AAAAAGf3fVs=")</f>
        <v>#VALUE!</v>
      </c>
      <c r="CO170" t="e">
        <f>AND('BBP complete'!#REF!,"AAAAAGf3fVw=")</f>
        <v>#REF!</v>
      </c>
      <c r="CP170" t="e">
        <f>AND('BBP complete'!D2021,"AAAAAGf3fV0=")</f>
        <v>#VALUE!</v>
      </c>
      <c r="CQ170" t="e">
        <f>AND('BBP complete'!H2021,"AAAAAGf3fV4=")</f>
        <v>#VALUE!</v>
      </c>
      <c r="CR170" t="e">
        <f>AND('BBP complete'!F2020,"AAAAAGf3fV8=")</f>
        <v>#VALUE!</v>
      </c>
      <c r="CS170" t="e">
        <f>AND('BBP complete'!I2019,"AAAAAGf3fWA=")</f>
        <v>#VALUE!</v>
      </c>
      <c r="CT170" t="e">
        <f>AND('BBP complete'!#REF!,"AAAAAGf3fWE=")</f>
        <v>#REF!</v>
      </c>
      <c r="CU170" t="e">
        <f>AND('BBP complete'!#REF!,"AAAAAGf3fWI=")</f>
        <v>#REF!</v>
      </c>
      <c r="CV170" t="e">
        <f>AND('BBP complete'!#REF!,"AAAAAGf3fWM=")</f>
        <v>#REF!</v>
      </c>
      <c r="CW170" t="e">
        <f>AND('BBP complete'!J2021,"AAAAAGf3fWQ=")</f>
        <v>#VALUE!</v>
      </c>
      <c r="CX170" t="e">
        <f>AND('BBP complete'!K2021,"AAAAAGf3fWU=")</f>
        <v>#VALUE!</v>
      </c>
      <c r="CY170" t="e">
        <f>AND('BBP complete'!L2020,"AAAAAGf3fWY=")</f>
        <v>#VALUE!</v>
      </c>
      <c r="CZ170" t="e">
        <f>AND('BBP complete'!M2020,"AAAAAGf3fWc=")</f>
        <v>#VALUE!</v>
      </c>
      <c r="DA170" t="e">
        <f>AND('BBP complete'!N2020,"AAAAAGf3fWg=")</f>
        <v>#VALUE!</v>
      </c>
      <c r="DB170" t="e">
        <f>AND('BBP complete'!P2038,"AAAAAGf3fWk=")</f>
        <v>#VALUE!</v>
      </c>
      <c r="DC170" t="e">
        <f>AND('BBP complete'!Q2038,"AAAAAGf3fWo=")</f>
        <v>#VALUE!</v>
      </c>
      <c r="DD170" t="e">
        <f>AND('BBP complete'!R2038,"AAAAAGf3fWs=")</f>
        <v>#VALUE!</v>
      </c>
      <c r="DE170" t="e">
        <f>AND('BBP complete'!S2038,"AAAAAGf3fWw=")</f>
        <v>#VALUE!</v>
      </c>
      <c r="DF170" t="e">
        <f>AND('BBP complete'!A2025,"AAAAAGf3fW0=")</f>
        <v>#VALUE!</v>
      </c>
      <c r="DG170" t="e">
        <f>AND('BBP complete'!#REF!,"AAAAAGf3fW4=")</f>
        <v>#REF!</v>
      </c>
      <c r="DH170" t="e">
        <f>AND('BBP complete'!D2022,"AAAAAGf3fW8=")</f>
        <v>#VALUE!</v>
      </c>
      <c r="DI170" t="e">
        <f>AND('BBP complete'!H2022,"AAAAAGf3fXA=")</f>
        <v>#VALUE!</v>
      </c>
      <c r="DJ170" t="e">
        <f>AND('BBP complete'!F2021,"AAAAAGf3fXE=")</f>
        <v>#VALUE!</v>
      </c>
      <c r="DK170" t="e">
        <f>AND('BBP complete'!I2020,"AAAAAGf3fXI=")</f>
        <v>#VALUE!</v>
      </c>
      <c r="DL170" t="e">
        <f>AND('BBP complete'!#REF!,"AAAAAGf3fXM=")</f>
        <v>#REF!</v>
      </c>
      <c r="DM170" t="e">
        <f>AND('BBP complete'!#REF!,"AAAAAGf3fXQ=")</f>
        <v>#REF!</v>
      </c>
      <c r="DN170" t="e">
        <f>AND('BBP complete'!#REF!,"AAAAAGf3fXU=")</f>
        <v>#REF!</v>
      </c>
      <c r="DO170" t="e">
        <f>AND('BBP complete'!J2022,"AAAAAGf3fXY=")</f>
        <v>#VALUE!</v>
      </c>
      <c r="DP170" t="e">
        <f>AND('BBP complete'!K2022,"AAAAAGf3fXc=")</f>
        <v>#VALUE!</v>
      </c>
      <c r="DQ170" t="e">
        <f>AND('BBP complete'!L2021,"AAAAAGf3fXg=")</f>
        <v>#VALUE!</v>
      </c>
      <c r="DR170" t="e">
        <f>AND('BBP complete'!M2021,"AAAAAGf3fXk=")</f>
        <v>#VALUE!</v>
      </c>
      <c r="DS170" t="e">
        <f>AND('BBP complete'!N2021,"AAAAAGf3fXo=")</f>
        <v>#VALUE!</v>
      </c>
      <c r="DT170" t="e">
        <f>AND('BBP complete'!P2039,"AAAAAGf3fXs=")</f>
        <v>#VALUE!</v>
      </c>
      <c r="DU170" t="e">
        <f>AND('BBP complete'!Q2039,"AAAAAGf3fXw=")</f>
        <v>#VALUE!</v>
      </c>
      <c r="DV170" t="e">
        <f>AND('BBP complete'!R2039,"AAAAAGf3fX0=")</f>
        <v>#VALUE!</v>
      </c>
      <c r="DW170" t="e">
        <f>AND('BBP complete'!S2039,"AAAAAGf3fX4=")</f>
        <v>#VALUE!</v>
      </c>
      <c r="DX170" t="e">
        <f>AND('BBP complete'!A2026,"AAAAAGf3fX8=")</f>
        <v>#VALUE!</v>
      </c>
      <c r="DY170" t="e">
        <f>AND('BBP complete'!#REF!,"AAAAAGf3fYA=")</f>
        <v>#REF!</v>
      </c>
      <c r="DZ170" t="e">
        <f>AND('BBP complete'!D2023,"AAAAAGf3fYE=")</f>
        <v>#VALUE!</v>
      </c>
      <c r="EA170" t="e">
        <f>AND('BBP complete'!H2023,"AAAAAGf3fYI=")</f>
        <v>#VALUE!</v>
      </c>
      <c r="EB170" t="e">
        <f>AND('BBP complete'!F2022,"AAAAAGf3fYM=")</f>
        <v>#VALUE!</v>
      </c>
      <c r="EC170" t="e">
        <f>AND('BBP complete'!I2021,"AAAAAGf3fYQ=")</f>
        <v>#VALUE!</v>
      </c>
      <c r="ED170" t="e">
        <f>AND('BBP complete'!#REF!,"AAAAAGf3fYU=")</f>
        <v>#REF!</v>
      </c>
      <c r="EE170" t="e">
        <f>AND('BBP complete'!#REF!,"AAAAAGf3fYY=")</f>
        <v>#REF!</v>
      </c>
      <c r="EF170" t="e">
        <f>AND('BBP complete'!#REF!,"AAAAAGf3fYc=")</f>
        <v>#REF!</v>
      </c>
      <c r="EG170" t="e">
        <f>AND('BBP complete'!J2023,"AAAAAGf3fYg=")</f>
        <v>#VALUE!</v>
      </c>
      <c r="EH170" t="e">
        <f>AND('BBP complete'!K2023,"AAAAAGf3fYk=")</f>
        <v>#VALUE!</v>
      </c>
      <c r="EI170" t="e">
        <f>AND('BBP complete'!L2022,"AAAAAGf3fYo=")</f>
        <v>#VALUE!</v>
      </c>
      <c r="EJ170" t="e">
        <f>AND('BBP complete'!M2022,"AAAAAGf3fYs=")</f>
        <v>#VALUE!</v>
      </c>
      <c r="EK170" t="e">
        <f>AND('BBP complete'!N2022,"AAAAAGf3fYw=")</f>
        <v>#VALUE!</v>
      </c>
      <c r="EL170" t="e">
        <f>AND('BBP complete'!P2040,"AAAAAGf3fY0=")</f>
        <v>#VALUE!</v>
      </c>
      <c r="EM170" t="e">
        <f>AND('BBP complete'!Q2040,"AAAAAGf3fY4=")</f>
        <v>#VALUE!</v>
      </c>
      <c r="EN170" t="e">
        <f>AND('BBP complete'!R2040,"AAAAAGf3fY8=")</f>
        <v>#VALUE!</v>
      </c>
      <c r="EO170" t="e">
        <f>AND('BBP complete'!S2040,"AAAAAGf3fZA=")</f>
        <v>#VALUE!</v>
      </c>
      <c r="EP170" t="e">
        <f>AND('BBP complete'!A2027,"AAAAAGf3fZE=")</f>
        <v>#VALUE!</v>
      </c>
      <c r="EQ170" t="e">
        <f>AND('BBP complete'!#REF!,"AAAAAGf3fZI=")</f>
        <v>#REF!</v>
      </c>
      <c r="ER170" t="e">
        <f>AND('BBP complete'!D2024,"AAAAAGf3fZM=")</f>
        <v>#VALUE!</v>
      </c>
      <c r="ES170" t="e">
        <f>AND('BBP complete'!H2024,"AAAAAGf3fZQ=")</f>
        <v>#VALUE!</v>
      </c>
      <c r="ET170" t="e">
        <f>AND('BBP complete'!F2023,"AAAAAGf3fZU=")</f>
        <v>#VALUE!</v>
      </c>
      <c r="EU170" t="e">
        <f>AND('BBP complete'!I2022,"AAAAAGf3fZY=")</f>
        <v>#VALUE!</v>
      </c>
      <c r="EV170" t="e">
        <f>AND('BBP complete'!#REF!,"AAAAAGf3fZc=")</f>
        <v>#REF!</v>
      </c>
      <c r="EW170" t="e">
        <f>AND('BBP complete'!#REF!,"AAAAAGf3fZg=")</f>
        <v>#REF!</v>
      </c>
      <c r="EX170" t="e">
        <f>AND('BBP complete'!#REF!,"AAAAAGf3fZk=")</f>
        <v>#REF!</v>
      </c>
      <c r="EY170" t="e">
        <f>AND('BBP complete'!J2024,"AAAAAGf3fZo=")</f>
        <v>#VALUE!</v>
      </c>
      <c r="EZ170" t="e">
        <f>AND('BBP complete'!K2024,"AAAAAGf3fZs=")</f>
        <v>#VALUE!</v>
      </c>
      <c r="FA170" t="e">
        <f>AND('BBP complete'!L2023,"AAAAAGf3fZw=")</f>
        <v>#VALUE!</v>
      </c>
      <c r="FB170" t="e">
        <f>AND('BBP complete'!M2023,"AAAAAGf3fZ0=")</f>
        <v>#VALUE!</v>
      </c>
      <c r="FC170" t="e">
        <f>AND('BBP complete'!N2023,"AAAAAGf3fZ4=")</f>
        <v>#VALUE!</v>
      </c>
      <c r="FD170" t="e">
        <f>AND('BBP complete'!P2041,"AAAAAGf3fZ8=")</f>
        <v>#VALUE!</v>
      </c>
      <c r="FE170" t="e">
        <f>AND('BBP complete'!Q2041,"AAAAAGf3faA=")</f>
        <v>#VALUE!</v>
      </c>
      <c r="FF170" t="e">
        <f>AND('BBP complete'!R2041,"AAAAAGf3faE=")</f>
        <v>#VALUE!</v>
      </c>
      <c r="FG170" t="e">
        <f>AND('BBP complete'!S2041,"AAAAAGf3faI=")</f>
        <v>#VALUE!</v>
      </c>
      <c r="FH170" t="e">
        <f>AND('BBP complete'!A2028,"AAAAAGf3faM=")</f>
        <v>#VALUE!</v>
      </c>
      <c r="FI170" t="e">
        <f>AND('BBP complete'!#REF!,"AAAAAGf3faQ=")</f>
        <v>#REF!</v>
      </c>
      <c r="FJ170" t="e">
        <f>AND('BBP complete'!D2025,"AAAAAGf3faU=")</f>
        <v>#VALUE!</v>
      </c>
      <c r="FK170" t="e">
        <f>AND('BBP complete'!H2025,"AAAAAGf3faY=")</f>
        <v>#VALUE!</v>
      </c>
      <c r="FL170" t="e">
        <f>AND('BBP complete'!F2024,"AAAAAGf3fac=")</f>
        <v>#VALUE!</v>
      </c>
      <c r="FM170" t="e">
        <f>AND('BBP complete'!I2023,"AAAAAGf3fag=")</f>
        <v>#VALUE!</v>
      </c>
      <c r="FN170" t="e">
        <f>AND('BBP complete'!#REF!,"AAAAAGf3fak=")</f>
        <v>#REF!</v>
      </c>
      <c r="FO170" t="e">
        <f>AND('BBP complete'!#REF!,"AAAAAGf3fao=")</f>
        <v>#REF!</v>
      </c>
      <c r="FP170" t="e">
        <f>AND('BBP complete'!#REF!,"AAAAAGf3fas=")</f>
        <v>#REF!</v>
      </c>
      <c r="FQ170" t="e">
        <f>AND('BBP complete'!J2025,"AAAAAGf3faw=")</f>
        <v>#VALUE!</v>
      </c>
      <c r="FR170" t="e">
        <f>AND('BBP complete'!K2025,"AAAAAGf3fa0=")</f>
        <v>#VALUE!</v>
      </c>
      <c r="FS170" t="e">
        <f>AND('BBP complete'!L2024,"AAAAAGf3fa4=")</f>
        <v>#VALUE!</v>
      </c>
      <c r="FT170" t="e">
        <f>AND('BBP complete'!M2024,"AAAAAGf3fa8=")</f>
        <v>#VALUE!</v>
      </c>
      <c r="FU170" t="e">
        <f>AND('BBP complete'!N2024,"AAAAAGf3fbA=")</f>
        <v>#VALUE!</v>
      </c>
      <c r="FV170" t="e">
        <f>AND('BBP complete'!P2042,"AAAAAGf3fbE=")</f>
        <v>#VALUE!</v>
      </c>
      <c r="FW170" t="e">
        <f>AND('BBP complete'!Q2042,"AAAAAGf3fbI=")</f>
        <v>#VALUE!</v>
      </c>
      <c r="FX170" t="e">
        <f>AND('BBP complete'!R2042,"AAAAAGf3fbM=")</f>
        <v>#VALUE!</v>
      </c>
      <c r="FY170" t="e">
        <f>AND('BBP complete'!S2042,"AAAAAGf3fbQ=")</f>
        <v>#VALUE!</v>
      </c>
      <c r="FZ170" t="str">
        <f>IF('BBP complete'!Q:Q,"AAAAAGf3fbU=",0)</f>
        <v>AAAAAGf3fbU=</v>
      </c>
      <c r="GA170" t="str">
        <f>IF('BBP complete'!R:R,"AAAAAGf3fbY=",0)</f>
        <v>AAAAAGf3fbY=</v>
      </c>
      <c r="GB170" t="str">
        <f>IF('BBP complete'!S:S,"AAAAAGf3fbc=",0)</f>
        <v>AAAAAGf3fbc=</v>
      </c>
      <c r="GC170" t="e">
        <f>AND(Hoja2!H1,"AAAAAGf3fbg=")</f>
        <v>#VALUE!</v>
      </c>
      <c r="GD170" t="e">
        <f>AND(Hoja2!I1,"AAAAAGf3fbk=")</f>
        <v>#VALUE!</v>
      </c>
      <c r="GE170" t="e">
        <f>AND(Hoja2!J1,"AAAAAGf3fbo=")</f>
        <v>#VALUE!</v>
      </c>
      <c r="GF170" t="e">
        <f>AND(Hoja2!K1,"AAAAAGf3fbs=")</f>
        <v>#VALUE!</v>
      </c>
      <c r="GG170" t="e">
        <f>AND(Hoja2!L1,"AAAAAGf3fbw=")</f>
        <v>#VALUE!</v>
      </c>
      <c r="GH170" t="e">
        <f>AND(Hoja2!M1,"AAAAAGf3fb0=")</f>
        <v>#VALUE!</v>
      </c>
      <c r="GI170" t="e">
        <f>AND(Hoja2!H2,"AAAAAGf3fb4=")</f>
        <v>#VALUE!</v>
      </c>
      <c r="GJ170" t="e">
        <f>AND(Hoja2!I2,"AAAAAGf3fb8=")</f>
        <v>#VALUE!</v>
      </c>
      <c r="GK170" t="e">
        <f>AND(Hoja2!J2,"AAAAAGf3fcA=")</f>
        <v>#VALUE!</v>
      </c>
      <c r="GL170" t="e">
        <f>AND(Hoja2!K2,"AAAAAGf3fcE=")</f>
        <v>#VALUE!</v>
      </c>
      <c r="GM170" t="e">
        <f>AND(Hoja2!L2,"AAAAAGf3fcI=")</f>
        <v>#VALUE!</v>
      </c>
      <c r="GN170" t="e">
        <f>AND(Hoja2!M2,"AAAAAGf3fcM=")</f>
        <v>#VALUE!</v>
      </c>
      <c r="GO170" t="e">
        <f>AND(Hoja2!H3,"AAAAAGf3fcQ=")</f>
        <v>#VALUE!</v>
      </c>
      <c r="GP170" t="e">
        <f>AND(Hoja2!I3,"AAAAAGf3fcU=")</f>
        <v>#VALUE!</v>
      </c>
      <c r="GQ170" t="e">
        <f>AND(Hoja2!J3,"AAAAAGf3fcY=")</f>
        <v>#VALUE!</v>
      </c>
      <c r="GR170" t="e">
        <f>AND(Hoja2!K3,"AAAAAGf3fcc=")</f>
        <v>#VALUE!</v>
      </c>
      <c r="GS170" t="e">
        <f>AND(Hoja2!L3,"AAAAAGf3fcg=")</f>
        <v>#VALUE!</v>
      </c>
      <c r="GT170" t="e">
        <f>AND(Hoja2!M3,"AAAAAGf3fck=")</f>
        <v>#VALUE!</v>
      </c>
      <c r="GU170" t="e">
        <f>AND(Hoja2!H4,"AAAAAGf3fco=")</f>
        <v>#VALUE!</v>
      </c>
      <c r="GV170" t="e">
        <f>AND(Hoja2!I4,"AAAAAGf3fcs=")</f>
        <v>#VALUE!</v>
      </c>
      <c r="GW170" t="e">
        <f>AND(Hoja2!J4,"AAAAAGf3fcw=")</f>
        <v>#VALUE!</v>
      </c>
      <c r="GX170" t="e">
        <f>AND(Hoja2!K4,"AAAAAGf3fc0=")</f>
        <v>#VALUE!</v>
      </c>
      <c r="GY170" t="e">
        <f>AND(Hoja2!L4,"AAAAAGf3fc4=")</f>
        <v>#VALUE!</v>
      </c>
      <c r="GZ170" t="e">
        <f>AND(Hoja2!M4,"AAAAAGf3fc8=")</f>
        <v>#VALUE!</v>
      </c>
      <c r="HA170" t="e">
        <f>AND(Hoja2!H5,"AAAAAGf3fdA=")</f>
        <v>#VALUE!</v>
      </c>
      <c r="HB170" t="e">
        <f>AND(Hoja2!I5,"AAAAAGf3fdE=")</f>
        <v>#VALUE!</v>
      </c>
      <c r="HC170" t="e">
        <f>AND(Hoja2!J5,"AAAAAGf3fdI=")</f>
        <v>#VALUE!</v>
      </c>
      <c r="HD170" t="e">
        <f>AND(Hoja2!K5,"AAAAAGf3fdM=")</f>
        <v>#VALUE!</v>
      </c>
      <c r="HE170" t="e">
        <f>AND(Hoja2!L5,"AAAAAGf3fdQ=")</f>
        <v>#VALUE!</v>
      </c>
      <c r="HF170" t="e">
        <f>AND(Hoja2!M5,"AAAAAGf3fdU=")</f>
        <v>#VALUE!</v>
      </c>
      <c r="HG170" t="e">
        <f>AND(Hoja2!H6,"AAAAAGf3fdY=")</f>
        <v>#VALUE!</v>
      </c>
      <c r="HH170" t="e">
        <f>AND(Hoja2!I6,"AAAAAGf3fdc=")</f>
        <v>#VALUE!</v>
      </c>
      <c r="HI170" t="e">
        <f>AND(Hoja2!J6,"AAAAAGf3fdg=")</f>
        <v>#VALUE!</v>
      </c>
      <c r="HJ170" t="e">
        <f>AND(Hoja2!K6,"AAAAAGf3fdk=")</f>
        <v>#VALUE!</v>
      </c>
      <c r="HK170" t="e">
        <f>AND(Hoja2!L6,"AAAAAGf3fdo=")</f>
        <v>#VALUE!</v>
      </c>
      <c r="HL170" t="e">
        <f>AND(Hoja2!M6,"AAAAAGf3fds=")</f>
        <v>#VALUE!</v>
      </c>
      <c r="HM170" t="e">
        <f>AND(Hoja2!H7,"AAAAAGf3fdw=")</f>
        <v>#VALUE!</v>
      </c>
      <c r="HN170" t="e">
        <f>AND(Hoja2!I7,"AAAAAGf3fd0=")</f>
        <v>#VALUE!</v>
      </c>
      <c r="HO170" t="e">
        <f>AND(Hoja2!J7,"AAAAAGf3fd4=")</f>
        <v>#VALUE!</v>
      </c>
      <c r="HP170" t="e">
        <f>AND(Hoja2!K7,"AAAAAGf3fd8=")</f>
        <v>#VALUE!</v>
      </c>
      <c r="HQ170" t="e">
        <f>AND(Hoja2!L7,"AAAAAGf3feA=")</f>
        <v>#VALUE!</v>
      </c>
      <c r="HR170" t="e">
        <f>AND(Hoja2!M7,"AAAAAGf3feE=")</f>
        <v>#VALUE!</v>
      </c>
      <c r="HS170" t="e">
        <f>AND(Hoja2!H8,"AAAAAGf3feI=")</f>
        <v>#VALUE!</v>
      </c>
      <c r="HT170" t="e">
        <f>AND(Hoja2!I8,"AAAAAGf3feM=")</f>
        <v>#VALUE!</v>
      </c>
      <c r="HU170" t="e">
        <f>AND(Hoja2!J8,"AAAAAGf3feQ=")</f>
        <v>#VALUE!</v>
      </c>
      <c r="HV170" t="e">
        <f>AND(Hoja2!K8,"AAAAAGf3feU=")</f>
        <v>#VALUE!</v>
      </c>
      <c r="HW170" t="e">
        <f>AND(Hoja2!L8,"AAAAAGf3feY=")</f>
        <v>#VALUE!</v>
      </c>
      <c r="HX170" t="e">
        <f>AND(Hoja2!M8,"AAAAAGf3fec=")</f>
        <v>#VALUE!</v>
      </c>
      <c r="HY170" t="e">
        <f>AND(Hoja2!H9,"AAAAAGf3feg=")</f>
        <v>#VALUE!</v>
      </c>
      <c r="HZ170" t="e">
        <f>AND(Hoja2!I9,"AAAAAGf3fek=")</f>
        <v>#VALUE!</v>
      </c>
      <c r="IA170" t="e">
        <f>AND(Hoja2!J9,"AAAAAGf3feo=")</f>
        <v>#VALUE!</v>
      </c>
      <c r="IB170" t="e">
        <f>AND(Hoja2!K9,"AAAAAGf3fes=")</f>
        <v>#VALUE!</v>
      </c>
      <c r="IC170" t="e">
        <f>AND(Hoja2!L9,"AAAAAGf3few=")</f>
        <v>#VALUE!</v>
      </c>
      <c r="ID170" t="e">
        <f>AND(Hoja2!M9,"AAAAAGf3fe0=")</f>
        <v>#VALUE!</v>
      </c>
      <c r="IE170" t="e">
        <f>AND(Hoja2!H10,"AAAAAGf3fe4=")</f>
        <v>#VALUE!</v>
      </c>
      <c r="IF170" t="e">
        <f>AND(Hoja2!I10,"AAAAAGf3fe8=")</f>
        <v>#VALUE!</v>
      </c>
      <c r="IG170" t="e">
        <f>AND(Hoja2!J10,"AAAAAGf3ffA=")</f>
        <v>#VALUE!</v>
      </c>
      <c r="IH170" t="e">
        <f>AND(Hoja2!K10,"AAAAAGf3ffE=")</f>
        <v>#VALUE!</v>
      </c>
      <c r="II170" t="e">
        <f>AND(Hoja2!L10,"AAAAAGf3ffI=")</f>
        <v>#VALUE!</v>
      </c>
      <c r="IJ170" t="e">
        <f>AND(Hoja2!M10,"AAAAAGf3ffM=")</f>
        <v>#VALUE!</v>
      </c>
      <c r="IK170" t="e">
        <f>AND(Hoja2!H11,"AAAAAGf3ffQ=")</f>
        <v>#VALUE!</v>
      </c>
      <c r="IL170" t="e">
        <f>AND(Hoja2!I11,"AAAAAGf3ffU=")</f>
        <v>#VALUE!</v>
      </c>
      <c r="IM170" t="e">
        <f>AND(Hoja2!J11,"AAAAAGf3ffY=")</f>
        <v>#VALUE!</v>
      </c>
      <c r="IN170" t="e">
        <f>AND(Hoja2!K11,"AAAAAGf3ffc=")</f>
        <v>#VALUE!</v>
      </c>
      <c r="IO170" t="e">
        <f>AND(Hoja2!L11,"AAAAAGf3ffg=")</f>
        <v>#VALUE!</v>
      </c>
      <c r="IP170" t="e">
        <f>AND(Hoja2!M11,"AAAAAGf3ffk=")</f>
        <v>#VALUE!</v>
      </c>
      <c r="IQ170" t="e">
        <f>AND(Hoja2!H12,"AAAAAGf3ffo=")</f>
        <v>#VALUE!</v>
      </c>
      <c r="IR170" t="e">
        <f>AND(Hoja2!I12,"AAAAAGf3ffs=")</f>
        <v>#VALUE!</v>
      </c>
      <c r="IS170" t="e">
        <f>AND(Hoja2!J12,"AAAAAGf3ffw=")</f>
        <v>#VALUE!</v>
      </c>
      <c r="IT170" t="e">
        <f>AND(Hoja2!K12,"AAAAAGf3ff0=")</f>
        <v>#VALUE!</v>
      </c>
      <c r="IU170" t="e">
        <f>AND(Hoja2!L12,"AAAAAGf3ff4=")</f>
        <v>#VALUE!</v>
      </c>
      <c r="IV170" t="e">
        <f>AND(Hoja2!M12,"AAAAAGf3ff8=")</f>
        <v>#VALUE!</v>
      </c>
    </row>
    <row r="171" spans="1:256" ht="15" customHeight="1" x14ac:dyDescent="0.25">
      <c r="A171" t="e">
        <f>AND(Hoja2!H13,"AAAAAH/q1wA=")</f>
        <v>#VALUE!</v>
      </c>
      <c r="B171" t="e">
        <f>AND(Hoja2!I13,"AAAAAH/q1wE=")</f>
        <v>#VALUE!</v>
      </c>
      <c r="C171" t="e">
        <f>AND(Hoja2!J13,"AAAAAH/q1wI=")</f>
        <v>#VALUE!</v>
      </c>
      <c r="D171" t="e">
        <f>AND(Hoja2!K13,"AAAAAH/q1wM=")</f>
        <v>#VALUE!</v>
      </c>
      <c r="E171" t="e">
        <f>AND(Hoja2!L13,"AAAAAH/q1wQ=")</f>
        <v>#VALUE!</v>
      </c>
      <c r="F171" t="e">
        <f>AND(Hoja2!M13,"AAAAAH/q1wU=")</f>
        <v>#VALUE!</v>
      </c>
      <c r="G171" t="e">
        <f>AND(Hoja2!H14,"AAAAAH/q1wY=")</f>
        <v>#VALUE!</v>
      </c>
      <c r="H171" t="e">
        <f>AND(Hoja2!I14,"AAAAAH/q1wc=")</f>
        <v>#VALUE!</v>
      </c>
      <c r="I171" t="e">
        <f>AND(Hoja2!J14,"AAAAAH/q1wg=")</f>
        <v>#VALUE!</v>
      </c>
      <c r="J171" t="e">
        <f>AND(Hoja2!K14,"AAAAAH/q1wk=")</f>
        <v>#VALUE!</v>
      </c>
      <c r="K171" t="e">
        <f>AND(Hoja2!L14,"AAAAAH/q1wo=")</f>
        <v>#VALUE!</v>
      </c>
      <c r="L171" t="e">
        <f>AND(Hoja2!M14,"AAAAAH/q1ws=")</f>
        <v>#VALUE!</v>
      </c>
      <c r="M171" t="e">
        <f>AND(Hoja2!H15,"AAAAAH/q1ww=")</f>
        <v>#VALUE!</v>
      </c>
      <c r="N171" t="e">
        <f>AND(Hoja2!I15,"AAAAAH/q1w0=")</f>
        <v>#VALUE!</v>
      </c>
      <c r="O171" t="e">
        <f>AND(Hoja2!J15,"AAAAAH/q1w4=")</f>
        <v>#VALUE!</v>
      </c>
      <c r="P171" t="e">
        <f>AND(Hoja2!K15,"AAAAAH/q1w8=")</f>
        <v>#VALUE!</v>
      </c>
      <c r="Q171" t="e">
        <f>AND(Hoja2!L15,"AAAAAH/q1xA=")</f>
        <v>#VALUE!</v>
      </c>
      <c r="R171" t="e">
        <f>AND(Hoja2!M15,"AAAAAH/q1xE=")</f>
        <v>#VALUE!</v>
      </c>
      <c r="S171" t="e">
        <f>AND(Hoja2!B16,"AAAAAH/q1xI=")</f>
        <v>#VALUE!</v>
      </c>
      <c r="T171" t="e">
        <f>AND(Hoja2!C16,"AAAAAH/q1xM=")</f>
        <v>#VALUE!</v>
      </c>
      <c r="U171" t="e">
        <f>AND(Hoja2!D16,"AAAAAH/q1xQ=")</f>
        <v>#VALUE!</v>
      </c>
      <c r="V171" t="e">
        <f>AND(Hoja2!E16,"AAAAAH/q1xU=")</f>
        <v>#VALUE!</v>
      </c>
      <c r="W171" t="e">
        <f>AND(Hoja2!F16,"AAAAAH/q1xY=")</f>
        <v>#VALUE!</v>
      </c>
      <c r="X171" t="e">
        <f>AND(Hoja2!G16,"AAAAAH/q1xc=")</f>
        <v>#VALUE!</v>
      </c>
      <c r="Y171" t="e">
        <f>AND(Hoja2!H16,"AAAAAH/q1xg=")</f>
        <v>#VALUE!</v>
      </c>
      <c r="Z171" t="e">
        <f>AND(Hoja2!I16,"AAAAAH/q1xk=")</f>
        <v>#VALUE!</v>
      </c>
      <c r="AA171" t="e">
        <f>AND(Hoja2!J16,"AAAAAH/q1xo=")</f>
        <v>#VALUE!</v>
      </c>
      <c r="AB171" t="e">
        <f>AND(Hoja2!K16,"AAAAAH/q1xs=")</f>
        <v>#VALUE!</v>
      </c>
      <c r="AC171" t="e">
        <f>AND(Hoja2!L16,"AAAAAH/q1xw=")</f>
        <v>#VALUE!</v>
      </c>
      <c r="AD171" t="e">
        <f>AND(Hoja2!M16,"AAAAAH/q1x0=")</f>
        <v>#VALUE!</v>
      </c>
      <c r="AE171" t="e">
        <f>AND(Hoja2!H17,"AAAAAH/q1x4=")</f>
        <v>#VALUE!</v>
      </c>
      <c r="AF171" t="e">
        <f>AND(Hoja2!I17,"AAAAAH/q1x8=")</f>
        <v>#VALUE!</v>
      </c>
      <c r="AG171" t="e">
        <f>AND(Hoja2!J17,"AAAAAH/q1yA=")</f>
        <v>#VALUE!</v>
      </c>
      <c r="AH171" t="e">
        <f>AND(Hoja2!K17,"AAAAAH/q1yE=")</f>
        <v>#VALUE!</v>
      </c>
      <c r="AI171" t="e">
        <f>AND(Hoja2!L17,"AAAAAH/q1yI=")</f>
        <v>#VALUE!</v>
      </c>
      <c r="AJ171" t="e">
        <f>AND(Hoja2!M17,"AAAAAH/q1yM=")</f>
        <v>#VALUE!</v>
      </c>
      <c r="AK171" t="e">
        <f>AND(Hoja2!A18,"AAAAAH/q1yQ=")</f>
        <v>#VALUE!</v>
      </c>
      <c r="AL171" t="e">
        <f>AND(Hoja2!B18,"AAAAAH/q1yU=")</f>
        <v>#VALUE!</v>
      </c>
      <c r="AM171" t="e">
        <f>AND(Hoja2!C18,"AAAAAH/q1yY=")</f>
        <v>#VALUE!</v>
      </c>
      <c r="AN171" t="e">
        <f>AND(Hoja2!D18,"AAAAAH/q1yc=")</f>
        <v>#VALUE!</v>
      </c>
      <c r="AO171" t="e">
        <f>AND(Hoja2!E18,"AAAAAH/q1yg=")</f>
        <v>#VALUE!</v>
      </c>
      <c r="AP171" t="e">
        <f>AND(Hoja2!F18,"AAAAAH/q1yk=")</f>
        <v>#VALUE!</v>
      </c>
      <c r="AQ171" t="e">
        <f>AND(Hoja2!G18,"AAAAAH/q1yo=")</f>
        <v>#VALUE!</v>
      </c>
      <c r="AR171" t="e">
        <f>AND(Hoja2!H18,"AAAAAH/q1ys=")</f>
        <v>#VALUE!</v>
      </c>
      <c r="AS171" t="e">
        <f>AND(Hoja2!I18,"AAAAAH/q1yw=")</f>
        <v>#VALUE!</v>
      </c>
      <c r="AT171" t="e">
        <f>AND(Hoja2!J18,"AAAAAH/q1y0=")</f>
        <v>#VALUE!</v>
      </c>
      <c r="AU171" t="e">
        <f>AND(Hoja2!K18,"AAAAAH/q1y4=")</f>
        <v>#VALUE!</v>
      </c>
      <c r="AV171" t="e">
        <f>AND(Hoja2!L18,"AAAAAH/q1y8=")</f>
        <v>#VALUE!</v>
      </c>
      <c r="AW171" t="e">
        <f>AND(Hoja2!M18,"AAAAAH/q1zA=")</f>
        <v>#VALUE!</v>
      </c>
      <c r="AX171" t="e">
        <f>AND(Hoja2!A19,"AAAAAH/q1zE=")</f>
        <v>#VALUE!</v>
      </c>
      <c r="AY171" t="e">
        <f>AND(Hoja2!B19,"AAAAAH/q1zI=")</f>
        <v>#VALUE!</v>
      </c>
      <c r="AZ171" t="e">
        <f>AND(Hoja2!C19,"AAAAAH/q1zM=")</f>
        <v>#VALUE!</v>
      </c>
      <c r="BA171" t="e">
        <f>AND(Hoja2!D19,"AAAAAH/q1zQ=")</f>
        <v>#VALUE!</v>
      </c>
      <c r="BB171" t="e">
        <f>AND(Hoja2!E19,"AAAAAH/q1zU=")</f>
        <v>#VALUE!</v>
      </c>
      <c r="BC171" t="e">
        <f>AND(Hoja2!F19,"AAAAAH/q1zY=")</f>
        <v>#VALUE!</v>
      </c>
      <c r="BD171" t="e">
        <f>AND(Hoja2!G19,"AAAAAH/q1zc=")</f>
        <v>#VALUE!</v>
      </c>
      <c r="BE171" t="e">
        <f>AND(Hoja2!H19,"AAAAAH/q1zg=")</f>
        <v>#VALUE!</v>
      </c>
      <c r="BF171" t="e">
        <f>AND(Hoja2!I19,"AAAAAH/q1zk=")</f>
        <v>#VALUE!</v>
      </c>
      <c r="BG171" t="e">
        <f>AND(Hoja2!J19,"AAAAAH/q1zo=")</f>
        <v>#VALUE!</v>
      </c>
      <c r="BH171" t="e">
        <f>AND(Hoja2!K19,"AAAAAH/q1zs=")</f>
        <v>#VALUE!</v>
      </c>
      <c r="BI171" t="e">
        <f>AND(Hoja2!L19,"AAAAAH/q1zw=")</f>
        <v>#VALUE!</v>
      </c>
      <c r="BJ171" t="e">
        <f>AND(Hoja2!M19,"AAAAAH/q1z0=")</f>
        <v>#VALUE!</v>
      </c>
      <c r="BK171" t="e">
        <f>AND(Hoja2!A20,"AAAAAH/q1z4=")</f>
        <v>#VALUE!</v>
      </c>
      <c r="BL171" t="e">
        <f>AND(Hoja2!B20,"AAAAAH/q1z8=")</f>
        <v>#VALUE!</v>
      </c>
      <c r="BM171" t="e">
        <f>AND(Hoja2!C20,"AAAAAH/q10A=")</f>
        <v>#VALUE!</v>
      </c>
      <c r="BN171" t="e">
        <f>AND(Hoja2!D20,"AAAAAH/q10E=")</f>
        <v>#VALUE!</v>
      </c>
      <c r="BO171" t="e">
        <f>AND(Hoja2!E20,"AAAAAH/q10I=")</f>
        <v>#VALUE!</v>
      </c>
      <c r="BP171" t="e">
        <f>AND(Hoja2!F20,"AAAAAH/q10M=")</f>
        <v>#VALUE!</v>
      </c>
      <c r="BQ171" t="e">
        <f>AND(Hoja2!G20,"AAAAAH/q10Q=")</f>
        <v>#VALUE!</v>
      </c>
      <c r="BR171" t="e">
        <f>AND(Hoja2!H20,"AAAAAH/q10U=")</f>
        <v>#VALUE!</v>
      </c>
      <c r="BS171" t="e">
        <f>AND(Hoja2!I20,"AAAAAH/q10Y=")</f>
        <v>#VALUE!</v>
      </c>
      <c r="BT171" t="e">
        <f>AND(Hoja2!J20,"AAAAAH/q10c=")</f>
        <v>#VALUE!</v>
      </c>
      <c r="BU171" t="e">
        <f>AND(Hoja2!K20,"AAAAAH/q10g=")</f>
        <v>#VALUE!</v>
      </c>
      <c r="BV171" t="e">
        <f>AND(Hoja2!L20,"AAAAAH/q10k=")</f>
        <v>#VALUE!</v>
      </c>
      <c r="BW171" t="e">
        <f>AND(Hoja2!M20,"AAAAAH/q10o=")</f>
        <v>#VALUE!</v>
      </c>
      <c r="BX171" t="e">
        <f>AND(Hoja2!A21,"AAAAAH/q10s=")</f>
        <v>#VALUE!</v>
      </c>
      <c r="BY171" t="e">
        <f>AND(Hoja2!B21,"AAAAAH/q10w=")</f>
        <v>#VALUE!</v>
      </c>
      <c r="BZ171" t="e">
        <f>AND(Hoja2!C21,"AAAAAH/q100=")</f>
        <v>#VALUE!</v>
      </c>
      <c r="CA171" t="e">
        <f>AND(Hoja2!D21,"AAAAAH/q104=")</f>
        <v>#VALUE!</v>
      </c>
      <c r="CB171" t="e">
        <f>AND(Hoja2!E21,"AAAAAH/q108=")</f>
        <v>#VALUE!</v>
      </c>
      <c r="CC171" t="e">
        <f>AND(Hoja2!F21,"AAAAAH/q11A=")</f>
        <v>#VALUE!</v>
      </c>
      <c r="CD171" t="e">
        <f>AND(Hoja2!G21,"AAAAAH/q11E=")</f>
        <v>#VALUE!</v>
      </c>
      <c r="CE171" t="e">
        <f>AND(Hoja2!H21,"AAAAAH/q11I=")</f>
        <v>#VALUE!</v>
      </c>
      <c r="CF171" t="e">
        <f>AND(Hoja2!I21,"AAAAAH/q11M=")</f>
        <v>#VALUE!</v>
      </c>
      <c r="CG171" t="e">
        <f>AND(Hoja2!J21,"AAAAAH/q11Q=")</f>
        <v>#VALUE!</v>
      </c>
      <c r="CH171" t="e">
        <f>AND(Hoja2!K21,"AAAAAH/q11U=")</f>
        <v>#VALUE!</v>
      </c>
      <c r="CI171" t="e">
        <f>AND(Hoja2!L21,"AAAAAH/q11Y=")</f>
        <v>#VALUE!</v>
      </c>
      <c r="CJ171" t="e">
        <f>AND(Hoja2!M21,"AAAAAH/q11c=")</f>
        <v>#VALUE!</v>
      </c>
      <c r="CK171" t="e">
        <f>AND(Hoja2!A22,"AAAAAH/q11g=")</f>
        <v>#VALUE!</v>
      </c>
      <c r="CL171" t="e">
        <f>AND(Hoja2!B22,"AAAAAH/q11k=")</f>
        <v>#VALUE!</v>
      </c>
      <c r="CM171" t="e">
        <f>AND(Hoja2!C22,"AAAAAH/q11o=")</f>
        <v>#VALUE!</v>
      </c>
      <c r="CN171" t="e">
        <f>AND(Hoja2!D22,"AAAAAH/q11s=")</f>
        <v>#VALUE!</v>
      </c>
      <c r="CO171" t="e">
        <f>AND(Hoja2!E22,"AAAAAH/q11w=")</f>
        <v>#VALUE!</v>
      </c>
      <c r="CP171" t="e">
        <f>AND(Hoja2!F22,"AAAAAH/q110=")</f>
        <v>#VALUE!</v>
      </c>
      <c r="CQ171" t="e">
        <f>AND(Hoja2!G22,"AAAAAH/q114=")</f>
        <v>#VALUE!</v>
      </c>
      <c r="CR171" t="e">
        <f>AND(Hoja2!H22,"AAAAAH/q118=")</f>
        <v>#VALUE!</v>
      </c>
      <c r="CS171" t="e">
        <f>AND(Hoja2!I22,"AAAAAH/q12A=")</f>
        <v>#VALUE!</v>
      </c>
      <c r="CT171" t="e">
        <f>AND(Hoja2!J22,"AAAAAH/q12E=")</f>
        <v>#VALUE!</v>
      </c>
      <c r="CU171" t="e">
        <f>AND(Hoja2!K22,"AAAAAH/q12I=")</f>
        <v>#VALUE!</v>
      </c>
      <c r="CV171" t="e">
        <f>AND(Hoja2!L22,"AAAAAH/q12M=")</f>
        <v>#VALUE!</v>
      </c>
      <c r="CW171" t="e">
        <f>AND(Hoja2!M22,"AAAAAH/q12Q=")</f>
        <v>#VALUE!</v>
      </c>
      <c r="CX171" t="e">
        <f>AND(Hoja2!A23,"AAAAAH/q12U=")</f>
        <v>#VALUE!</v>
      </c>
      <c r="CY171" t="e">
        <f>AND(Hoja2!B23,"AAAAAH/q12Y=")</f>
        <v>#VALUE!</v>
      </c>
      <c r="CZ171" t="e">
        <f>AND(Hoja2!C23,"AAAAAH/q12c=")</f>
        <v>#VALUE!</v>
      </c>
      <c r="DA171" t="e">
        <f>AND(Hoja2!D23,"AAAAAH/q12g=")</f>
        <v>#VALUE!</v>
      </c>
      <c r="DB171" t="e">
        <f>AND(Hoja2!E23,"AAAAAH/q12k=")</f>
        <v>#VALUE!</v>
      </c>
      <c r="DC171" t="e">
        <f>AND(Hoja2!F23,"AAAAAH/q12o=")</f>
        <v>#VALUE!</v>
      </c>
      <c r="DD171" t="e">
        <f>AND(Hoja2!G23,"AAAAAH/q12s=")</f>
        <v>#VALUE!</v>
      </c>
      <c r="DE171" t="e">
        <f>AND(Hoja2!H23,"AAAAAH/q12w=")</f>
        <v>#VALUE!</v>
      </c>
      <c r="DF171" t="e">
        <f>AND(Hoja2!I23,"AAAAAH/q120=")</f>
        <v>#VALUE!</v>
      </c>
      <c r="DG171" t="e">
        <f>AND(Hoja2!J23,"AAAAAH/q124=")</f>
        <v>#VALUE!</v>
      </c>
      <c r="DH171" t="e">
        <f>AND(Hoja2!K23,"AAAAAH/q128=")</f>
        <v>#VALUE!</v>
      </c>
      <c r="DI171" t="e">
        <f>AND(Hoja2!L23,"AAAAAH/q13A=")</f>
        <v>#VALUE!</v>
      </c>
      <c r="DJ171" t="e">
        <f>AND(Hoja2!M23,"AAAAAH/q13E=")</f>
        <v>#VALUE!</v>
      </c>
      <c r="DK171" t="e">
        <f>AND(Hoja2!A24,"AAAAAH/q13I=")</f>
        <v>#VALUE!</v>
      </c>
      <c r="DL171" t="e">
        <f>AND(Hoja2!B24,"AAAAAH/q13M=")</f>
        <v>#VALUE!</v>
      </c>
      <c r="DM171" t="e">
        <f>AND(Hoja2!C24,"AAAAAH/q13Q=")</f>
        <v>#VALUE!</v>
      </c>
      <c r="DN171" t="e">
        <f>AND(Hoja2!D24,"AAAAAH/q13U=")</f>
        <v>#VALUE!</v>
      </c>
      <c r="DO171" t="e">
        <f>AND(Hoja2!E24,"AAAAAH/q13Y=")</f>
        <v>#VALUE!</v>
      </c>
      <c r="DP171" t="e">
        <f>AND(Hoja2!F24,"AAAAAH/q13c=")</f>
        <v>#VALUE!</v>
      </c>
      <c r="DQ171" t="e">
        <f>AND(Hoja2!G24,"AAAAAH/q13g=")</f>
        <v>#VALUE!</v>
      </c>
      <c r="DR171" t="e">
        <f>AND(Hoja2!H24,"AAAAAH/q13k=")</f>
        <v>#VALUE!</v>
      </c>
      <c r="DS171" t="e">
        <f>AND(Hoja2!I24,"AAAAAH/q13o=")</f>
        <v>#VALUE!</v>
      </c>
      <c r="DT171" t="e">
        <f>AND(Hoja2!J24,"AAAAAH/q13s=")</f>
        <v>#VALUE!</v>
      </c>
      <c r="DU171" t="e">
        <f>AND(Hoja2!K24,"AAAAAH/q13w=")</f>
        <v>#VALUE!</v>
      </c>
      <c r="DV171" t="e">
        <f>AND(Hoja2!L24,"AAAAAH/q130=")</f>
        <v>#VALUE!</v>
      </c>
      <c r="DW171" t="e">
        <f>AND(Hoja2!M24,"AAAAAH/q134=")</f>
        <v>#VALUE!</v>
      </c>
      <c r="DX171" s="60">
        <f>IF(Hoja2!25:25,"AAAAAH/q138=",0)</f>
        <v>0</v>
      </c>
      <c r="DY171" t="e">
        <f>AND(Hoja2!H25,"AAAAAH/q14A=")</f>
        <v>#VALUE!</v>
      </c>
      <c r="DZ171" t="e">
        <f>AND(Hoja2!I25,"AAAAAH/q14E=")</f>
        <v>#VALUE!</v>
      </c>
      <c r="EA171" t="e">
        <f>AND(Hoja2!J25,"AAAAAH/q14I=")</f>
        <v>#VALUE!</v>
      </c>
      <c r="EB171" t="e">
        <f>AND(Hoja2!K25,"AAAAAH/q14M=")</f>
        <v>#VALUE!</v>
      </c>
      <c r="EC171" t="e">
        <f>AND(Hoja2!L25,"AAAAAH/q14Q=")</f>
        <v>#VALUE!</v>
      </c>
      <c r="ED171" t="e">
        <f>AND(Hoja2!M25,"AAAAAH/q14U=")</f>
        <v>#VALUE!</v>
      </c>
      <c r="EE171" s="60">
        <f>IF(Hoja2!26:26,"AAAAAH/q14Y=",0)</f>
        <v>0</v>
      </c>
      <c r="EF171" t="e">
        <f>AND(Hoja2!H26,"AAAAAH/q14c=")</f>
        <v>#VALUE!</v>
      </c>
      <c r="EG171" t="e">
        <f>AND(Hoja2!I26,"AAAAAH/q14g=")</f>
        <v>#VALUE!</v>
      </c>
      <c r="EH171" t="e">
        <f>AND(Hoja2!J26,"AAAAAH/q14k=")</f>
        <v>#VALUE!</v>
      </c>
      <c r="EI171" t="e">
        <f>AND(Hoja2!K26,"AAAAAH/q14o=")</f>
        <v>#VALUE!</v>
      </c>
      <c r="EJ171" t="e">
        <f>AND(Hoja2!L26,"AAAAAH/q14s=")</f>
        <v>#VALUE!</v>
      </c>
      <c r="EK171" t="e">
        <f>AND(Hoja2!M26,"AAAAAH/q14w=")</f>
        <v>#VALUE!</v>
      </c>
      <c r="EL171" s="60">
        <f>IF(Hoja2!27:27,"AAAAAH/q140=",0)</f>
        <v>0</v>
      </c>
      <c r="EM171" t="e">
        <f>AND(Hoja2!H27,"AAAAAH/q144=")</f>
        <v>#VALUE!</v>
      </c>
      <c r="EN171" t="e">
        <f>AND(Hoja2!I27,"AAAAAH/q148=")</f>
        <v>#VALUE!</v>
      </c>
      <c r="EO171" t="e">
        <f>AND(Hoja2!J27,"AAAAAH/q15A=")</f>
        <v>#VALUE!</v>
      </c>
      <c r="EP171" t="e">
        <f>AND(Hoja2!K27,"AAAAAH/q15E=")</f>
        <v>#VALUE!</v>
      </c>
      <c r="EQ171" t="e">
        <f>AND(Hoja2!L27,"AAAAAH/q15I=")</f>
        <v>#VALUE!</v>
      </c>
      <c r="ER171" t="e">
        <f>AND(Hoja2!M27,"AAAAAH/q15M=")</f>
        <v>#VALUE!</v>
      </c>
      <c r="ES171" s="60">
        <f>IF(Hoja2!28:28,"AAAAAH/q15Q=",0)</f>
        <v>0</v>
      </c>
      <c r="ET171" t="e">
        <f>AND(Hoja2!H28,"AAAAAH/q15U=")</f>
        <v>#VALUE!</v>
      </c>
      <c r="EU171" t="e">
        <f>AND(Hoja2!I28,"AAAAAH/q15Y=")</f>
        <v>#VALUE!</v>
      </c>
      <c r="EV171" t="e">
        <f>AND(Hoja2!J28,"AAAAAH/q15c=")</f>
        <v>#VALUE!</v>
      </c>
      <c r="EW171" t="e">
        <f>AND(Hoja2!K28,"AAAAAH/q15g=")</f>
        <v>#VALUE!</v>
      </c>
      <c r="EX171" t="e">
        <f>AND(Hoja2!L28,"AAAAAH/q15k=")</f>
        <v>#VALUE!</v>
      </c>
      <c r="EY171" t="e">
        <f>AND(Hoja2!M28,"AAAAAH/q15o=")</f>
        <v>#VALUE!</v>
      </c>
      <c r="EZ171" s="60">
        <f>IF(Hoja2!29:29,"AAAAAH/q15s=",0)</f>
        <v>0</v>
      </c>
      <c r="FA171" t="e">
        <f>AND(Hoja2!H29,"AAAAAH/q15w=")</f>
        <v>#VALUE!</v>
      </c>
      <c r="FB171" t="e">
        <f>AND(Hoja2!I29,"AAAAAH/q150=")</f>
        <v>#VALUE!</v>
      </c>
      <c r="FC171" t="e">
        <f>AND(Hoja2!J29,"AAAAAH/q154=")</f>
        <v>#VALUE!</v>
      </c>
      <c r="FD171" t="e">
        <f>AND(Hoja2!K29,"AAAAAH/q158=")</f>
        <v>#VALUE!</v>
      </c>
      <c r="FE171" t="e">
        <f>AND(Hoja2!L29,"AAAAAH/q16A=")</f>
        <v>#VALUE!</v>
      </c>
      <c r="FF171" t="e">
        <f>AND(Hoja2!M29,"AAAAAH/q16E=")</f>
        <v>#VALUE!</v>
      </c>
      <c r="FG171" s="60">
        <f>IF(Hoja2!30:30,"AAAAAH/q16I=",0)</f>
        <v>0</v>
      </c>
      <c r="FH171" t="e">
        <f>AND(Hoja2!H30,"AAAAAH/q16M=")</f>
        <v>#VALUE!</v>
      </c>
      <c r="FI171" t="e">
        <f>AND(Hoja2!I30,"AAAAAH/q16Q=")</f>
        <v>#VALUE!</v>
      </c>
      <c r="FJ171" t="e">
        <f>AND(Hoja2!J30,"AAAAAH/q16U=")</f>
        <v>#VALUE!</v>
      </c>
      <c r="FK171" t="e">
        <f>AND(Hoja2!K30,"AAAAAH/q16Y=")</f>
        <v>#VALUE!</v>
      </c>
      <c r="FL171" t="e">
        <f>AND(Hoja2!L30,"AAAAAH/q16c=")</f>
        <v>#VALUE!</v>
      </c>
      <c r="FM171" t="e">
        <f>AND(Hoja2!M30,"AAAAAH/q16g=")</f>
        <v>#VALUE!</v>
      </c>
      <c r="FN171" s="60">
        <f>IF(Hoja2!31:31,"AAAAAH/q16k=",0)</f>
        <v>0</v>
      </c>
      <c r="FO171" t="e">
        <f>AND(Hoja2!H31,"AAAAAH/q16o=")</f>
        <v>#VALUE!</v>
      </c>
      <c r="FP171" t="e">
        <f>AND(Hoja2!I31,"AAAAAH/q16s=")</f>
        <v>#VALUE!</v>
      </c>
      <c r="FQ171" t="e">
        <f>AND(Hoja2!J31,"AAAAAH/q16w=")</f>
        <v>#VALUE!</v>
      </c>
      <c r="FR171" t="e">
        <f>AND(Hoja2!K31,"AAAAAH/q160=")</f>
        <v>#VALUE!</v>
      </c>
      <c r="FS171" t="e">
        <f>AND(Hoja2!L31,"AAAAAH/q164=")</f>
        <v>#VALUE!</v>
      </c>
      <c r="FT171" t="e">
        <f>AND(Hoja2!M31,"AAAAAH/q168=")</f>
        <v>#VALUE!</v>
      </c>
      <c r="FU171" s="60">
        <f>IF(Hoja2!32:32,"AAAAAH/q17A=",0)</f>
        <v>0</v>
      </c>
      <c r="FV171" t="e">
        <f>AND(Hoja2!A32,"AAAAAH/q17E=")</f>
        <v>#VALUE!</v>
      </c>
      <c r="FW171" t="e">
        <f>AND(Hoja2!B32,"AAAAAH/q17I=")</f>
        <v>#VALUE!</v>
      </c>
      <c r="FX171" t="e">
        <f>AND(Hoja2!C32,"AAAAAH/q17M=")</f>
        <v>#VALUE!</v>
      </c>
      <c r="FY171" t="e">
        <f>AND(Hoja2!D32,"AAAAAH/q17Q=")</f>
        <v>#VALUE!</v>
      </c>
      <c r="FZ171" t="e">
        <f>AND(Hoja2!E32,"AAAAAH/q17U=")</f>
        <v>#VALUE!</v>
      </c>
      <c r="GA171" t="e">
        <f>AND(Hoja2!F32,"AAAAAH/q17Y=")</f>
        <v>#VALUE!</v>
      </c>
      <c r="GB171" t="e">
        <f>AND(Hoja2!G32,"AAAAAH/q17c=")</f>
        <v>#VALUE!</v>
      </c>
      <c r="GC171" t="e">
        <f>AND(Hoja2!H32,"AAAAAH/q17g=")</f>
        <v>#VALUE!</v>
      </c>
      <c r="GD171" t="e">
        <f>AND(Hoja2!I32,"AAAAAH/q17k=")</f>
        <v>#VALUE!</v>
      </c>
      <c r="GE171" s="60">
        <f>IF(Hoja2!33:33,"AAAAAH/q17o=",0)</f>
        <v>0</v>
      </c>
      <c r="GF171" t="e">
        <f>AND(Hoja2!A33,"AAAAAH/q17s=")</f>
        <v>#VALUE!</v>
      </c>
      <c r="GG171" t="e">
        <f>AND(Hoja2!B33,"AAAAAH/q17w=")</f>
        <v>#VALUE!</v>
      </c>
      <c r="GH171" t="e">
        <f>AND(Hoja2!C33,"AAAAAH/q170=")</f>
        <v>#VALUE!</v>
      </c>
      <c r="GI171" t="e">
        <f>AND(Hoja2!D33,"AAAAAH/q174=")</f>
        <v>#VALUE!</v>
      </c>
      <c r="GJ171" t="e">
        <f>AND(Hoja2!E33,"AAAAAH/q178=")</f>
        <v>#VALUE!</v>
      </c>
      <c r="GK171" t="e">
        <f>AND(Hoja2!F33,"AAAAAH/q18A=")</f>
        <v>#VALUE!</v>
      </c>
      <c r="GL171" t="e">
        <f>AND(Hoja2!G33,"AAAAAH/q18E=")</f>
        <v>#VALUE!</v>
      </c>
      <c r="GM171" t="e">
        <f>AND(Hoja2!H33,"AAAAAH/q18I=")</f>
        <v>#VALUE!</v>
      </c>
      <c r="GN171" t="e">
        <f>AND(Hoja2!I33,"AAAAAH/q18M=")</f>
        <v>#VALUE!</v>
      </c>
      <c r="GO171" s="60">
        <f>IF(Hoja2!H:H,"AAAAAH/q18Q=",0)</f>
        <v>0</v>
      </c>
      <c r="GP171" s="60">
        <f>IF(Hoja2!I:I,"AAAAAH/q18U=",0)</f>
        <v>0</v>
      </c>
      <c r="GQ171" s="60">
        <f>IF(Hoja2!J:J,"AAAAAH/q18Y=",0)</f>
        <v>0</v>
      </c>
      <c r="GR171" s="60">
        <f>IF(Hoja2!K:K,"AAAAAH/q18c=",0)</f>
        <v>0</v>
      </c>
      <c r="GS171" s="60">
        <f>IF(Hoja2!L:L,"AAAAAH/q18g=",0)</f>
        <v>0</v>
      </c>
      <c r="GT171" s="60">
        <f>IF(Hoja2!M:M,"AAAAAH/q18k=",0)</f>
        <v>0</v>
      </c>
      <c r="GU171" t="e">
        <f>AND(Hoja3!B1,"AAAAAH/q18o=")</f>
        <v>#VALUE!</v>
      </c>
      <c r="GV171" t="e">
        <f>AND(Hoja3!C1,"AAAAAH/q18s=")</f>
        <v>#VALUE!</v>
      </c>
      <c r="GW171" t="e">
        <f>AND(Hoja3!D1,"AAAAAH/q18w=")</f>
        <v>#VALUE!</v>
      </c>
      <c r="GX171" t="e">
        <f>AND(Hoja3!E1,"AAAAAH/q180=")</f>
        <v>#VALUE!</v>
      </c>
      <c r="GY171" t="e">
        <f>AND(Hoja3!F1,"AAAAAH/q184=")</f>
        <v>#VALUE!</v>
      </c>
      <c r="GZ171" t="e">
        <f>AND(Hoja3!G1,"AAAAAH/q188=")</f>
        <v>#VALUE!</v>
      </c>
      <c r="HA171" t="e">
        <f>AND(Hoja3!H1,"AAAAAH/q19A=")</f>
        <v>#VALUE!</v>
      </c>
      <c r="HB171" t="e">
        <f>AND(Hoja3!I1,"AAAAAH/q19E=")</f>
        <v>#VALUE!</v>
      </c>
      <c r="HC171" t="e">
        <f>AND(Hoja3!J1,"AAAAAH/q19I=")</f>
        <v>#VALUE!</v>
      </c>
      <c r="HD171" t="e">
        <f>AND(Hoja3!K1,"AAAAAH/q19M=")</f>
        <v>#VALUE!</v>
      </c>
      <c r="HE171" t="e">
        <f>AND(Hoja3!L1,"AAAAAH/q19Q=")</f>
        <v>#VALUE!</v>
      </c>
      <c r="HF171" t="e">
        <f>AND(Hoja3!M1,"AAAAAH/q19U=")</f>
        <v>#VALUE!</v>
      </c>
      <c r="HG171" t="e">
        <f>AND(Hoja3!N1,"AAAAAH/q19Y=")</f>
        <v>#VALUE!</v>
      </c>
      <c r="HH171" t="e">
        <f>AND(Hoja3!O1,"AAAAAH/q19c=")</f>
        <v>#VALUE!</v>
      </c>
      <c r="HI171" t="e">
        <f>AND(Hoja3!P1,"AAAAAH/q19g=")</f>
        <v>#VALUE!</v>
      </c>
      <c r="HJ171" t="e">
        <f>AND(Hoja3!Q1,"AAAAAH/q19k=")</f>
        <v>#VALUE!</v>
      </c>
      <c r="HK171" s="60">
        <f>IF(Hoja3!2:2,"AAAAAH/q19o=",0)</f>
        <v>0</v>
      </c>
      <c r="HL171" t="e">
        <f>AND(Hoja3!A2,"AAAAAH/q19s=")</f>
        <v>#VALUE!</v>
      </c>
      <c r="HM171" t="e">
        <f>AND(Hoja3!B2,"AAAAAH/q19w=")</f>
        <v>#VALUE!</v>
      </c>
      <c r="HN171" t="e">
        <f>AND(Hoja3!C2,"AAAAAH/q190=")</f>
        <v>#VALUE!</v>
      </c>
      <c r="HO171" t="e">
        <f>AND(Hoja3!D2,"AAAAAH/q194=")</f>
        <v>#VALUE!</v>
      </c>
      <c r="HP171" t="e">
        <f>AND(Hoja3!E2,"AAAAAH/q198=")</f>
        <v>#VALUE!</v>
      </c>
      <c r="HQ171" t="e">
        <f>AND(Hoja3!F2,"AAAAAH/q1+A=")</f>
        <v>#VALUE!</v>
      </c>
      <c r="HR171" t="e">
        <f>AND(Hoja3!G2,"AAAAAH/q1+E=")</f>
        <v>#VALUE!</v>
      </c>
      <c r="HS171" t="e">
        <f>AND(Hoja3!H2,"AAAAAH/q1+I=")</f>
        <v>#VALUE!</v>
      </c>
      <c r="HT171" t="e">
        <f>AND(Hoja3!I2,"AAAAAH/q1+M=")</f>
        <v>#VALUE!</v>
      </c>
      <c r="HU171" t="e">
        <f>AND(Hoja3!J2,"AAAAAH/q1+Q=")</f>
        <v>#VALUE!</v>
      </c>
      <c r="HV171" t="e">
        <f>AND(Hoja3!K2,"AAAAAH/q1+U=")</f>
        <v>#VALUE!</v>
      </c>
      <c r="HW171" t="e">
        <f>AND(Hoja3!L2,"AAAAAH/q1+Y=")</f>
        <v>#VALUE!</v>
      </c>
      <c r="HX171" t="e">
        <f>AND(Hoja3!M2,"AAAAAH/q1+c=")</f>
        <v>#VALUE!</v>
      </c>
      <c r="HY171" t="e">
        <f>AND(Hoja3!N2,"AAAAAH/q1+g=")</f>
        <v>#VALUE!</v>
      </c>
      <c r="HZ171" t="e">
        <f>AND(Hoja3!O2,"AAAAAH/q1+k=")</f>
        <v>#VALUE!</v>
      </c>
      <c r="IA171" t="e">
        <f>AND(Hoja3!P2,"AAAAAH/q1+o=")</f>
        <v>#VALUE!</v>
      </c>
      <c r="IB171" t="e">
        <f>AND(Hoja3!Q2,"AAAAAH/q1+s=")</f>
        <v>#VALUE!</v>
      </c>
      <c r="IC171" s="60">
        <f>IF(Hoja3!3:3,"AAAAAH/q1+w=",0)</f>
        <v>0</v>
      </c>
      <c r="ID171" t="e">
        <f>AND(Hoja3!A3,"AAAAAH/q1+0=")</f>
        <v>#VALUE!</v>
      </c>
      <c r="IE171" t="e">
        <f>AND(Hoja3!B3,"AAAAAH/q1+4=")</f>
        <v>#VALUE!</v>
      </c>
      <c r="IF171" t="e">
        <f>AND(Hoja3!C3,"AAAAAH/q1+8=")</f>
        <v>#VALUE!</v>
      </c>
      <c r="IG171" t="e">
        <f>AND(Hoja3!D3,"AAAAAH/q1/A=")</f>
        <v>#VALUE!</v>
      </c>
      <c r="IH171" t="e">
        <f>AND(Hoja3!E3,"AAAAAH/q1/E=")</f>
        <v>#VALUE!</v>
      </c>
      <c r="II171" t="e">
        <f>AND(Hoja3!F3,"AAAAAH/q1/I=")</f>
        <v>#VALUE!</v>
      </c>
      <c r="IJ171" t="e">
        <f>AND(Hoja3!G3,"AAAAAH/q1/M=")</f>
        <v>#VALUE!</v>
      </c>
      <c r="IK171" t="e">
        <f>AND(Hoja3!H3,"AAAAAH/q1/Q=")</f>
        <v>#VALUE!</v>
      </c>
      <c r="IL171" t="e">
        <f>AND(Hoja3!I3,"AAAAAH/q1/U=")</f>
        <v>#VALUE!</v>
      </c>
      <c r="IM171" t="e">
        <f>AND(Hoja3!J3,"AAAAAH/q1/Y=")</f>
        <v>#VALUE!</v>
      </c>
      <c r="IN171" t="e">
        <f>AND(Hoja3!K3,"AAAAAH/q1/c=")</f>
        <v>#VALUE!</v>
      </c>
      <c r="IO171" t="e">
        <f>AND(Hoja3!L3,"AAAAAH/q1/g=")</f>
        <v>#VALUE!</v>
      </c>
      <c r="IP171" t="e">
        <f>AND(Hoja3!M3,"AAAAAH/q1/k=")</f>
        <v>#VALUE!</v>
      </c>
      <c r="IQ171" t="e">
        <f>AND(Hoja3!N3,"AAAAAH/q1/o=")</f>
        <v>#VALUE!</v>
      </c>
      <c r="IR171" t="e">
        <f>AND(Hoja3!O3,"AAAAAH/q1/s=")</f>
        <v>#VALUE!</v>
      </c>
      <c r="IS171" t="e">
        <f>AND(Hoja3!P3,"AAAAAH/q1/w=")</f>
        <v>#VALUE!</v>
      </c>
      <c r="IT171" t="e">
        <f>AND(Hoja3!Q3,"AAAAAH/q1/0=")</f>
        <v>#VALUE!</v>
      </c>
      <c r="IU171" s="60">
        <f>IF(Hoja3!4:4,"AAAAAH/q1/4=",0)</f>
        <v>0</v>
      </c>
      <c r="IV171" t="e">
        <f>AND(Hoja3!A4,"AAAAAH/q1/8=")</f>
        <v>#VALUE!</v>
      </c>
    </row>
    <row r="172" spans="1:256" ht="15" customHeight="1" x14ac:dyDescent="0.25">
      <c r="A172" t="e">
        <f>AND(Hoja3!B4,"AAAAAH72+wA=")</f>
        <v>#VALUE!</v>
      </c>
      <c r="B172" t="e">
        <f>AND(Hoja3!C4,"AAAAAH72+wE=")</f>
        <v>#VALUE!</v>
      </c>
      <c r="C172" t="e">
        <f>AND(Hoja3!D4,"AAAAAH72+wI=")</f>
        <v>#VALUE!</v>
      </c>
      <c r="D172" t="e">
        <f>AND(Hoja3!E4,"AAAAAH72+wM=")</f>
        <v>#VALUE!</v>
      </c>
      <c r="E172" t="e">
        <f>AND(Hoja3!F4,"AAAAAH72+wQ=")</f>
        <v>#VALUE!</v>
      </c>
      <c r="F172" t="e">
        <f>AND(Hoja3!G4,"AAAAAH72+wU=")</f>
        <v>#VALUE!</v>
      </c>
      <c r="G172" t="e">
        <f>AND(Hoja3!H4,"AAAAAH72+wY=")</f>
        <v>#VALUE!</v>
      </c>
      <c r="H172" t="e">
        <f>AND(Hoja3!I4,"AAAAAH72+wc=")</f>
        <v>#VALUE!</v>
      </c>
      <c r="I172" t="e">
        <f>AND(Hoja3!J4,"AAAAAH72+wg=")</f>
        <v>#VALUE!</v>
      </c>
      <c r="J172" t="e">
        <f>AND(Hoja3!K4,"AAAAAH72+wk=")</f>
        <v>#VALUE!</v>
      </c>
      <c r="K172" t="e">
        <f>AND(Hoja3!L4,"AAAAAH72+wo=")</f>
        <v>#VALUE!</v>
      </c>
      <c r="L172" t="e">
        <f>AND(Hoja3!M4,"AAAAAH72+ws=")</f>
        <v>#VALUE!</v>
      </c>
      <c r="M172" t="e">
        <f>AND(Hoja3!N4,"AAAAAH72+ww=")</f>
        <v>#VALUE!</v>
      </c>
      <c r="N172" t="e">
        <f>AND(Hoja3!O4,"AAAAAH72+w0=")</f>
        <v>#VALUE!</v>
      </c>
      <c r="O172" t="e">
        <f>AND(Hoja3!P4,"AAAAAH72+w4=")</f>
        <v>#VALUE!</v>
      </c>
      <c r="P172" t="e">
        <f>AND(Hoja3!Q4,"AAAAAH72+w8=")</f>
        <v>#VALUE!</v>
      </c>
      <c r="Q172" s="60">
        <f>IF(Hoja3!5:5,"AAAAAH72+xA=",0)</f>
        <v>0</v>
      </c>
      <c r="R172" t="e">
        <f>AND(Hoja3!A5,"AAAAAH72+xE=")</f>
        <v>#VALUE!</v>
      </c>
      <c r="S172" t="e">
        <f>AND(Hoja3!B5,"AAAAAH72+xI=")</f>
        <v>#VALUE!</v>
      </c>
      <c r="T172" t="e">
        <f>AND(Hoja3!C5,"AAAAAH72+xM=")</f>
        <v>#VALUE!</v>
      </c>
      <c r="U172" t="e">
        <f>AND(Hoja3!D5,"AAAAAH72+xQ=")</f>
        <v>#VALUE!</v>
      </c>
      <c r="V172" t="e">
        <f>AND(Hoja3!E5,"AAAAAH72+xU=")</f>
        <v>#VALUE!</v>
      </c>
      <c r="W172" t="e">
        <f>AND(Hoja3!F5,"AAAAAH72+xY=")</f>
        <v>#VALUE!</v>
      </c>
      <c r="X172" t="e">
        <f>AND(Hoja3!G5,"AAAAAH72+xc=")</f>
        <v>#VALUE!</v>
      </c>
      <c r="Y172" t="e">
        <f>AND(Hoja3!H5,"AAAAAH72+xg=")</f>
        <v>#VALUE!</v>
      </c>
      <c r="Z172" t="e">
        <f>AND(Hoja3!I5,"AAAAAH72+xk=")</f>
        <v>#VALUE!</v>
      </c>
      <c r="AA172" t="e">
        <f>AND(Hoja3!J5,"AAAAAH72+xo=")</f>
        <v>#VALUE!</v>
      </c>
      <c r="AB172" t="e">
        <f>AND(Hoja3!K5,"AAAAAH72+xs=")</f>
        <v>#VALUE!</v>
      </c>
      <c r="AC172" t="e">
        <f>AND(Hoja3!L5,"AAAAAH72+xw=")</f>
        <v>#VALUE!</v>
      </c>
      <c r="AD172" t="e">
        <f>AND(Hoja3!M5,"AAAAAH72+x0=")</f>
        <v>#VALUE!</v>
      </c>
      <c r="AE172" t="e">
        <f>AND(Hoja3!N5,"AAAAAH72+x4=")</f>
        <v>#VALUE!</v>
      </c>
      <c r="AF172" t="e">
        <f>AND(Hoja3!O5,"AAAAAH72+x8=")</f>
        <v>#VALUE!</v>
      </c>
      <c r="AG172" t="e">
        <f>AND(Hoja3!P5,"AAAAAH72+yA=")</f>
        <v>#VALUE!</v>
      </c>
      <c r="AH172" t="e">
        <f>AND(Hoja3!Q5,"AAAAAH72+yE=")</f>
        <v>#VALUE!</v>
      </c>
      <c r="AI172" s="60">
        <f>IF(Hoja3!6:6,"AAAAAH72+yI=",0)</f>
        <v>0</v>
      </c>
      <c r="AJ172" t="e">
        <f>AND(Hoja3!A6,"AAAAAH72+yM=")</f>
        <v>#VALUE!</v>
      </c>
      <c r="AK172" t="e">
        <f>AND(Hoja3!B6,"AAAAAH72+yQ=")</f>
        <v>#VALUE!</v>
      </c>
      <c r="AL172" t="e">
        <f>AND(Hoja3!C6,"AAAAAH72+yU=")</f>
        <v>#VALUE!</v>
      </c>
      <c r="AM172" t="e">
        <f>AND(Hoja3!D6,"AAAAAH72+yY=")</f>
        <v>#VALUE!</v>
      </c>
      <c r="AN172" t="e">
        <f>AND(Hoja3!E6,"AAAAAH72+yc=")</f>
        <v>#VALUE!</v>
      </c>
      <c r="AO172" t="e">
        <f>AND(Hoja3!F6,"AAAAAH72+yg=")</f>
        <v>#VALUE!</v>
      </c>
      <c r="AP172" t="e">
        <f>AND(Hoja3!G6,"AAAAAH72+yk=")</f>
        <v>#VALUE!</v>
      </c>
      <c r="AQ172" t="e">
        <f>AND(Hoja3!H6,"AAAAAH72+yo=")</f>
        <v>#VALUE!</v>
      </c>
      <c r="AR172" t="e">
        <f>AND(Hoja3!I6,"AAAAAH72+ys=")</f>
        <v>#VALUE!</v>
      </c>
      <c r="AS172" t="e">
        <f>AND(Hoja3!J6,"AAAAAH72+yw=")</f>
        <v>#VALUE!</v>
      </c>
      <c r="AT172" t="e">
        <f>AND(Hoja3!K6,"AAAAAH72+y0=")</f>
        <v>#VALUE!</v>
      </c>
      <c r="AU172" t="e">
        <f>AND(Hoja3!L6,"AAAAAH72+y4=")</f>
        <v>#VALUE!</v>
      </c>
      <c r="AV172" t="e">
        <f>AND(Hoja3!M6,"AAAAAH72+y8=")</f>
        <v>#VALUE!</v>
      </c>
      <c r="AW172" t="e">
        <f>AND(Hoja3!N6,"AAAAAH72+zA=")</f>
        <v>#VALUE!</v>
      </c>
      <c r="AX172" t="e">
        <f>AND(Hoja3!O6,"AAAAAH72+zE=")</f>
        <v>#VALUE!</v>
      </c>
      <c r="AY172" t="e">
        <f>AND(Hoja3!P6,"AAAAAH72+zI=")</f>
        <v>#VALUE!</v>
      </c>
      <c r="AZ172" t="e">
        <f>AND(Hoja3!Q6,"AAAAAH72+zM=")</f>
        <v>#VALUE!</v>
      </c>
      <c r="BA172" s="60">
        <f>IF(Hoja3!7:7,"AAAAAH72+zQ=",0)</f>
        <v>0</v>
      </c>
      <c r="BB172" t="e">
        <f>AND(Hoja3!A7,"AAAAAH72+zU=")</f>
        <v>#VALUE!</v>
      </c>
      <c r="BC172" t="e">
        <f>AND(Hoja3!B7,"AAAAAH72+zY=")</f>
        <v>#VALUE!</v>
      </c>
      <c r="BD172" t="e">
        <f>AND(Hoja3!C7,"AAAAAH72+zc=")</f>
        <v>#VALUE!</v>
      </c>
      <c r="BE172" t="e">
        <f>AND(Hoja3!D7,"AAAAAH72+zg=")</f>
        <v>#VALUE!</v>
      </c>
      <c r="BF172" t="e">
        <f>AND(Hoja3!E7,"AAAAAH72+zk=")</f>
        <v>#VALUE!</v>
      </c>
      <c r="BG172" t="e">
        <f>AND(Hoja3!F7,"AAAAAH72+zo=")</f>
        <v>#VALUE!</v>
      </c>
      <c r="BH172" t="e">
        <f>AND(Hoja3!G7,"AAAAAH72+zs=")</f>
        <v>#VALUE!</v>
      </c>
      <c r="BI172" t="e">
        <f>AND(Hoja3!H7,"AAAAAH72+zw=")</f>
        <v>#VALUE!</v>
      </c>
      <c r="BJ172" t="e">
        <f>AND(Hoja3!I7,"AAAAAH72+z0=")</f>
        <v>#VALUE!</v>
      </c>
      <c r="BK172" t="e">
        <f>AND(Hoja3!J7,"AAAAAH72+z4=")</f>
        <v>#VALUE!</v>
      </c>
      <c r="BL172" t="e">
        <f>AND(Hoja3!K7,"AAAAAH72+z8=")</f>
        <v>#VALUE!</v>
      </c>
      <c r="BM172" t="e">
        <f>AND(Hoja3!L7,"AAAAAH72+0A=")</f>
        <v>#VALUE!</v>
      </c>
      <c r="BN172" t="e">
        <f>AND(Hoja3!M7,"AAAAAH72+0E=")</f>
        <v>#VALUE!</v>
      </c>
      <c r="BO172" t="e">
        <f>AND(Hoja3!N7,"AAAAAH72+0I=")</f>
        <v>#VALUE!</v>
      </c>
      <c r="BP172" t="e">
        <f>AND(Hoja3!O7,"AAAAAH72+0M=")</f>
        <v>#VALUE!</v>
      </c>
      <c r="BQ172" t="e">
        <f>AND(Hoja3!P7,"AAAAAH72+0Q=")</f>
        <v>#VALUE!</v>
      </c>
      <c r="BR172" t="e">
        <f>AND(Hoja3!Q7,"AAAAAH72+0U=")</f>
        <v>#VALUE!</v>
      </c>
      <c r="BS172" s="60">
        <f>IF(Hoja3!8:8,"AAAAAH72+0Y=",0)</f>
        <v>0</v>
      </c>
      <c r="BT172" t="e">
        <f>AND(Hoja3!A8,"AAAAAH72+0c=")</f>
        <v>#VALUE!</v>
      </c>
      <c r="BU172" t="e">
        <f>AND(Hoja3!B8,"AAAAAH72+0g=")</f>
        <v>#VALUE!</v>
      </c>
      <c r="BV172" t="e">
        <f>AND(Hoja3!C8,"AAAAAH72+0k=")</f>
        <v>#VALUE!</v>
      </c>
      <c r="BW172" t="e">
        <f>AND(Hoja3!D8,"AAAAAH72+0o=")</f>
        <v>#VALUE!</v>
      </c>
      <c r="BX172" t="e">
        <f>AND(Hoja3!E8,"AAAAAH72+0s=")</f>
        <v>#VALUE!</v>
      </c>
      <c r="BY172" t="e">
        <f>AND(Hoja3!F8,"AAAAAH72+0w=")</f>
        <v>#VALUE!</v>
      </c>
      <c r="BZ172" t="e">
        <f>AND(Hoja3!G8,"AAAAAH72+00=")</f>
        <v>#VALUE!</v>
      </c>
      <c r="CA172" t="e">
        <f>AND(Hoja3!H8,"AAAAAH72+04=")</f>
        <v>#VALUE!</v>
      </c>
      <c r="CB172" t="e">
        <f>AND(Hoja3!I8,"AAAAAH72+08=")</f>
        <v>#VALUE!</v>
      </c>
      <c r="CC172" t="e">
        <f>AND(Hoja3!J8,"AAAAAH72+1A=")</f>
        <v>#VALUE!</v>
      </c>
      <c r="CD172" t="e">
        <f>AND(Hoja3!K8,"AAAAAH72+1E=")</f>
        <v>#VALUE!</v>
      </c>
      <c r="CE172" t="e">
        <f>AND(Hoja3!L8,"AAAAAH72+1I=")</f>
        <v>#VALUE!</v>
      </c>
      <c r="CF172" t="e">
        <f>AND(Hoja3!M8,"AAAAAH72+1M=")</f>
        <v>#VALUE!</v>
      </c>
      <c r="CG172" t="e">
        <f>AND(Hoja3!N8,"AAAAAH72+1Q=")</f>
        <v>#VALUE!</v>
      </c>
      <c r="CH172" t="e">
        <f>AND(Hoja3!O8,"AAAAAH72+1U=")</f>
        <v>#VALUE!</v>
      </c>
      <c r="CI172" t="e">
        <f>AND(Hoja3!P8,"AAAAAH72+1Y=")</f>
        <v>#VALUE!</v>
      </c>
      <c r="CJ172" t="e">
        <f>AND(Hoja3!Q8,"AAAAAH72+1c=")</f>
        <v>#VALUE!</v>
      </c>
      <c r="CK172" s="60">
        <f>IF(Hoja3!9:9,"AAAAAH72+1g=",0)</f>
        <v>0</v>
      </c>
      <c r="CL172" t="e">
        <f>AND(Hoja3!A9,"AAAAAH72+1k=")</f>
        <v>#VALUE!</v>
      </c>
      <c r="CM172" t="e">
        <f>AND(Hoja3!B9,"AAAAAH72+1o=")</f>
        <v>#VALUE!</v>
      </c>
      <c r="CN172" t="e">
        <f>AND(Hoja3!C9,"AAAAAH72+1s=")</f>
        <v>#VALUE!</v>
      </c>
      <c r="CO172" t="e">
        <f>AND(Hoja3!D9,"AAAAAH72+1w=")</f>
        <v>#VALUE!</v>
      </c>
      <c r="CP172" t="e">
        <f>AND(Hoja3!E9,"AAAAAH72+10=")</f>
        <v>#VALUE!</v>
      </c>
      <c r="CQ172" t="e">
        <f>AND(Hoja3!F9,"AAAAAH72+14=")</f>
        <v>#VALUE!</v>
      </c>
      <c r="CR172" t="e">
        <f>AND(Hoja3!G9,"AAAAAH72+18=")</f>
        <v>#VALUE!</v>
      </c>
      <c r="CS172" t="e">
        <f>AND(Hoja3!H9,"AAAAAH72+2A=")</f>
        <v>#VALUE!</v>
      </c>
      <c r="CT172" t="e">
        <f>AND(Hoja3!I9,"AAAAAH72+2E=")</f>
        <v>#VALUE!</v>
      </c>
      <c r="CU172" t="e">
        <f>AND(Hoja3!J9,"AAAAAH72+2I=")</f>
        <v>#VALUE!</v>
      </c>
      <c r="CV172" t="e">
        <f>AND(Hoja3!K9,"AAAAAH72+2M=")</f>
        <v>#VALUE!</v>
      </c>
      <c r="CW172" t="e">
        <f>AND(Hoja3!L9,"AAAAAH72+2Q=")</f>
        <v>#VALUE!</v>
      </c>
      <c r="CX172" t="e">
        <f>AND(Hoja3!M9,"AAAAAH72+2U=")</f>
        <v>#VALUE!</v>
      </c>
      <c r="CY172" t="e">
        <f>AND(Hoja3!N9,"AAAAAH72+2Y=")</f>
        <v>#VALUE!</v>
      </c>
      <c r="CZ172" t="e">
        <f>AND(Hoja3!O9,"AAAAAH72+2c=")</f>
        <v>#VALUE!</v>
      </c>
      <c r="DA172" t="e">
        <f>AND(Hoja3!P9,"AAAAAH72+2g=")</f>
        <v>#VALUE!</v>
      </c>
      <c r="DB172" t="e">
        <f>AND(Hoja3!Q9,"AAAAAH72+2k=")</f>
        <v>#VALUE!</v>
      </c>
      <c r="DC172" s="60">
        <f>IF(Hoja3!10:10,"AAAAAH72+2o=",0)</f>
        <v>0</v>
      </c>
      <c r="DD172" t="e">
        <f>AND(Hoja3!A10,"AAAAAH72+2s=")</f>
        <v>#VALUE!</v>
      </c>
      <c r="DE172" t="e">
        <f>AND(Hoja3!B10,"AAAAAH72+2w=")</f>
        <v>#VALUE!</v>
      </c>
      <c r="DF172" t="e">
        <f>AND(Hoja3!C10,"AAAAAH72+20=")</f>
        <v>#VALUE!</v>
      </c>
      <c r="DG172" t="e">
        <f>AND(Hoja3!D10,"AAAAAH72+24=")</f>
        <v>#VALUE!</v>
      </c>
      <c r="DH172" t="e">
        <f>AND(Hoja3!E10,"AAAAAH72+28=")</f>
        <v>#VALUE!</v>
      </c>
      <c r="DI172" t="e">
        <f>AND(Hoja3!F10,"AAAAAH72+3A=")</f>
        <v>#VALUE!</v>
      </c>
      <c r="DJ172" t="e">
        <f>AND(Hoja3!G10,"AAAAAH72+3E=")</f>
        <v>#VALUE!</v>
      </c>
      <c r="DK172" t="e">
        <f>AND(Hoja3!H10,"AAAAAH72+3I=")</f>
        <v>#VALUE!</v>
      </c>
      <c r="DL172" t="e">
        <f>AND(Hoja3!I10,"AAAAAH72+3M=")</f>
        <v>#VALUE!</v>
      </c>
      <c r="DM172" t="e">
        <f>AND(Hoja3!J10,"AAAAAH72+3Q=")</f>
        <v>#VALUE!</v>
      </c>
      <c r="DN172" t="e">
        <f>AND(Hoja3!K10,"AAAAAH72+3U=")</f>
        <v>#VALUE!</v>
      </c>
      <c r="DO172" t="e">
        <f>AND(Hoja3!L10,"AAAAAH72+3Y=")</f>
        <v>#VALUE!</v>
      </c>
      <c r="DP172" t="e">
        <f>AND(Hoja3!M10,"AAAAAH72+3c=")</f>
        <v>#VALUE!</v>
      </c>
      <c r="DQ172" t="e">
        <f>AND(Hoja3!N10,"AAAAAH72+3g=")</f>
        <v>#VALUE!</v>
      </c>
      <c r="DR172" t="e">
        <f>AND(Hoja3!O10,"AAAAAH72+3k=")</f>
        <v>#VALUE!</v>
      </c>
      <c r="DS172" t="e">
        <f>AND(Hoja3!P10,"AAAAAH72+3o=")</f>
        <v>#VALUE!</v>
      </c>
      <c r="DT172" t="e">
        <f>AND(Hoja3!Q10,"AAAAAH72+3s=")</f>
        <v>#VALUE!</v>
      </c>
      <c r="DU172" s="60">
        <f>IF(Hoja3!11:11,"AAAAAH72+3w=",0)</f>
        <v>0</v>
      </c>
      <c r="DV172" t="e">
        <f>AND(Hoja3!A11,"AAAAAH72+30=")</f>
        <v>#VALUE!</v>
      </c>
      <c r="DW172" t="e">
        <f>AND(Hoja3!B11,"AAAAAH72+34=")</f>
        <v>#VALUE!</v>
      </c>
      <c r="DX172" t="e">
        <f>AND(Hoja3!C11,"AAAAAH72+38=")</f>
        <v>#VALUE!</v>
      </c>
      <c r="DY172" t="e">
        <f>AND(Hoja3!D11,"AAAAAH72+4A=")</f>
        <v>#VALUE!</v>
      </c>
      <c r="DZ172" t="e">
        <f>AND(Hoja3!E11,"AAAAAH72+4E=")</f>
        <v>#VALUE!</v>
      </c>
      <c r="EA172" t="e">
        <f>AND(Hoja3!F11,"AAAAAH72+4I=")</f>
        <v>#VALUE!</v>
      </c>
      <c r="EB172" t="e">
        <f>AND(Hoja3!G11,"AAAAAH72+4M=")</f>
        <v>#VALUE!</v>
      </c>
      <c r="EC172" t="e">
        <f>AND(Hoja3!H11,"AAAAAH72+4Q=")</f>
        <v>#VALUE!</v>
      </c>
      <c r="ED172" t="e">
        <f>AND(Hoja3!I11,"AAAAAH72+4U=")</f>
        <v>#VALUE!</v>
      </c>
      <c r="EE172" t="e">
        <f>AND(Hoja3!J11,"AAAAAH72+4Y=")</f>
        <v>#VALUE!</v>
      </c>
      <c r="EF172" t="e">
        <f>AND(Hoja3!K11,"AAAAAH72+4c=")</f>
        <v>#VALUE!</v>
      </c>
      <c r="EG172" t="e">
        <f>AND(Hoja3!L11,"AAAAAH72+4g=")</f>
        <v>#VALUE!</v>
      </c>
      <c r="EH172" t="e">
        <f>AND(Hoja3!M11,"AAAAAH72+4k=")</f>
        <v>#VALUE!</v>
      </c>
      <c r="EI172" t="e">
        <f>AND(Hoja3!N11,"AAAAAH72+4o=")</f>
        <v>#VALUE!</v>
      </c>
      <c r="EJ172" t="e">
        <f>AND(Hoja3!O11,"AAAAAH72+4s=")</f>
        <v>#VALUE!</v>
      </c>
      <c r="EK172" t="e">
        <f>AND(Hoja3!P11,"AAAAAH72+4w=")</f>
        <v>#VALUE!</v>
      </c>
      <c r="EL172" t="e">
        <f>AND(Hoja3!Q11,"AAAAAH72+40=")</f>
        <v>#VALUE!</v>
      </c>
      <c r="EM172" s="60">
        <f>IF(Hoja3!12:12,"AAAAAH72+44=",0)</f>
        <v>0</v>
      </c>
      <c r="EN172" t="e">
        <f>AND(Hoja3!A12,"AAAAAH72+48=")</f>
        <v>#VALUE!</v>
      </c>
      <c r="EO172" t="e">
        <f>AND(Hoja3!B12,"AAAAAH72+5A=")</f>
        <v>#VALUE!</v>
      </c>
      <c r="EP172" t="e">
        <f>AND(Hoja3!C12,"AAAAAH72+5E=")</f>
        <v>#VALUE!</v>
      </c>
      <c r="EQ172" t="e">
        <f>AND(Hoja3!D12,"AAAAAH72+5I=")</f>
        <v>#VALUE!</v>
      </c>
      <c r="ER172" t="e">
        <f>AND(Hoja3!E12,"AAAAAH72+5M=")</f>
        <v>#VALUE!</v>
      </c>
      <c r="ES172" t="e">
        <f>AND(Hoja3!F12,"AAAAAH72+5Q=")</f>
        <v>#VALUE!</v>
      </c>
      <c r="ET172" t="e">
        <f>AND(Hoja3!G12,"AAAAAH72+5U=")</f>
        <v>#VALUE!</v>
      </c>
      <c r="EU172" t="e">
        <f>AND(Hoja3!H12,"AAAAAH72+5Y=")</f>
        <v>#VALUE!</v>
      </c>
      <c r="EV172" t="e">
        <f>AND(Hoja3!I12,"AAAAAH72+5c=")</f>
        <v>#VALUE!</v>
      </c>
      <c r="EW172" t="e">
        <f>AND(Hoja3!J12,"AAAAAH72+5g=")</f>
        <v>#VALUE!</v>
      </c>
      <c r="EX172" t="e">
        <f>AND(Hoja3!K12,"AAAAAH72+5k=")</f>
        <v>#VALUE!</v>
      </c>
      <c r="EY172" t="e">
        <f>AND(Hoja3!L12,"AAAAAH72+5o=")</f>
        <v>#VALUE!</v>
      </c>
      <c r="EZ172" t="e">
        <f>AND(Hoja3!M12,"AAAAAH72+5s=")</f>
        <v>#VALUE!</v>
      </c>
      <c r="FA172" t="e">
        <f>AND(Hoja3!N12,"AAAAAH72+5w=")</f>
        <v>#VALUE!</v>
      </c>
      <c r="FB172" t="e">
        <f>AND(Hoja3!O12,"AAAAAH72+50=")</f>
        <v>#VALUE!</v>
      </c>
      <c r="FC172" t="e">
        <f>AND(Hoja3!P12,"AAAAAH72+54=")</f>
        <v>#VALUE!</v>
      </c>
      <c r="FD172" t="e">
        <f>AND(Hoja3!Q12,"AAAAAH72+58=")</f>
        <v>#VALUE!</v>
      </c>
      <c r="FE172" s="60">
        <f>IF(Hoja3!13:13,"AAAAAH72+6A=",0)</f>
        <v>0</v>
      </c>
      <c r="FF172" t="e">
        <f>AND(Hoja3!A13,"AAAAAH72+6E=")</f>
        <v>#VALUE!</v>
      </c>
      <c r="FG172" t="e">
        <f>AND(Hoja3!B13,"AAAAAH72+6I=")</f>
        <v>#VALUE!</v>
      </c>
      <c r="FH172" t="e">
        <f>AND(Hoja3!C13,"AAAAAH72+6M=")</f>
        <v>#VALUE!</v>
      </c>
      <c r="FI172" t="e">
        <f>AND(Hoja3!D13,"AAAAAH72+6Q=")</f>
        <v>#VALUE!</v>
      </c>
      <c r="FJ172" t="e">
        <f>AND(Hoja3!E13,"AAAAAH72+6U=")</f>
        <v>#VALUE!</v>
      </c>
      <c r="FK172" t="e">
        <f>AND(Hoja3!F13,"AAAAAH72+6Y=")</f>
        <v>#VALUE!</v>
      </c>
      <c r="FL172" t="e">
        <f>AND(Hoja3!G13,"AAAAAH72+6c=")</f>
        <v>#VALUE!</v>
      </c>
      <c r="FM172" t="e">
        <f>AND(Hoja3!H13,"AAAAAH72+6g=")</f>
        <v>#VALUE!</v>
      </c>
      <c r="FN172" t="e">
        <f>AND(Hoja3!I13,"AAAAAH72+6k=")</f>
        <v>#VALUE!</v>
      </c>
      <c r="FO172" t="e">
        <f>AND(Hoja3!J13,"AAAAAH72+6o=")</f>
        <v>#VALUE!</v>
      </c>
      <c r="FP172" t="e">
        <f>AND(Hoja3!K13,"AAAAAH72+6s=")</f>
        <v>#VALUE!</v>
      </c>
      <c r="FQ172" t="e">
        <f>AND(Hoja3!L13,"AAAAAH72+6w=")</f>
        <v>#VALUE!</v>
      </c>
      <c r="FR172" t="e">
        <f>AND(Hoja3!M13,"AAAAAH72+60=")</f>
        <v>#VALUE!</v>
      </c>
      <c r="FS172" t="e">
        <f>AND(Hoja3!N13,"AAAAAH72+64=")</f>
        <v>#VALUE!</v>
      </c>
      <c r="FT172" t="e">
        <f>AND(Hoja3!O13,"AAAAAH72+68=")</f>
        <v>#VALUE!</v>
      </c>
      <c r="FU172" t="e">
        <f>AND(Hoja3!P13,"AAAAAH72+7A=")</f>
        <v>#VALUE!</v>
      </c>
      <c r="FV172" t="e">
        <f>AND(Hoja3!Q13,"AAAAAH72+7E=")</f>
        <v>#VALUE!</v>
      </c>
      <c r="FW172" s="60">
        <f>IF(Hoja3!14:14,"AAAAAH72+7I=",0)</f>
        <v>0</v>
      </c>
      <c r="FX172" t="e">
        <f>AND(Hoja3!A14,"AAAAAH72+7M=")</f>
        <v>#VALUE!</v>
      </c>
      <c r="FY172" t="e">
        <f>AND(Hoja3!B14,"AAAAAH72+7Q=")</f>
        <v>#VALUE!</v>
      </c>
      <c r="FZ172" t="e">
        <f>AND(Hoja3!C14,"AAAAAH72+7U=")</f>
        <v>#VALUE!</v>
      </c>
      <c r="GA172" t="e">
        <f>AND(Hoja3!D14,"AAAAAH72+7Y=")</f>
        <v>#VALUE!</v>
      </c>
      <c r="GB172" t="e">
        <f>AND(Hoja3!E14,"AAAAAH72+7c=")</f>
        <v>#VALUE!</v>
      </c>
      <c r="GC172" t="e">
        <f>AND(Hoja3!F14,"AAAAAH72+7g=")</f>
        <v>#VALUE!</v>
      </c>
      <c r="GD172" t="e">
        <f>AND(Hoja3!G14,"AAAAAH72+7k=")</f>
        <v>#VALUE!</v>
      </c>
      <c r="GE172" t="e">
        <f>AND(Hoja3!H14,"AAAAAH72+7o=")</f>
        <v>#VALUE!</v>
      </c>
      <c r="GF172" t="e">
        <f>AND(Hoja3!I14,"AAAAAH72+7s=")</f>
        <v>#VALUE!</v>
      </c>
      <c r="GG172" t="e">
        <f>AND(Hoja3!J14,"AAAAAH72+7w=")</f>
        <v>#VALUE!</v>
      </c>
      <c r="GH172" t="e">
        <f>AND(Hoja3!K14,"AAAAAH72+70=")</f>
        <v>#VALUE!</v>
      </c>
      <c r="GI172" t="e">
        <f>AND(Hoja3!L14,"AAAAAH72+74=")</f>
        <v>#VALUE!</v>
      </c>
      <c r="GJ172" t="e">
        <f>AND(Hoja3!M14,"AAAAAH72+78=")</f>
        <v>#VALUE!</v>
      </c>
      <c r="GK172" t="e">
        <f>AND(Hoja3!N14,"AAAAAH72+8A=")</f>
        <v>#VALUE!</v>
      </c>
      <c r="GL172" t="e">
        <f>AND(Hoja3!O14,"AAAAAH72+8E=")</f>
        <v>#VALUE!</v>
      </c>
      <c r="GM172" t="e">
        <f>AND(Hoja3!P14,"AAAAAH72+8I=")</f>
        <v>#VALUE!</v>
      </c>
      <c r="GN172" t="e">
        <f>AND(Hoja3!Q14,"AAAAAH72+8M=")</f>
        <v>#VALUE!</v>
      </c>
      <c r="GO172" s="60">
        <f>IF(Hoja3!15:15,"AAAAAH72+8Q=",0)</f>
        <v>0</v>
      </c>
      <c r="GP172" t="e">
        <f>AND(Hoja3!A15,"AAAAAH72+8U=")</f>
        <v>#VALUE!</v>
      </c>
      <c r="GQ172" t="e">
        <f>AND(Hoja3!B15,"AAAAAH72+8Y=")</f>
        <v>#VALUE!</v>
      </c>
      <c r="GR172" t="e">
        <f>AND(Hoja3!C15,"AAAAAH72+8c=")</f>
        <v>#VALUE!</v>
      </c>
      <c r="GS172" t="e">
        <f>AND(Hoja3!D15,"AAAAAH72+8g=")</f>
        <v>#VALUE!</v>
      </c>
      <c r="GT172" t="e">
        <f>AND(Hoja3!E15,"AAAAAH72+8k=")</f>
        <v>#VALUE!</v>
      </c>
      <c r="GU172" t="e">
        <f>AND(Hoja3!F15,"AAAAAH72+8o=")</f>
        <v>#VALUE!</v>
      </c>
      <c r="GV172" t="e">
        <f>AND(Hoja3!G15,"AAAAAH72+8s=")</f>
        <v>#VALUE!</v>
      </c>
      <c r="GW172" t="e">
        <f>AND(Hoja3!H15,"AAAAAH72+8w=")</f>
        <v>#VALUE!</v>
      </c>
      <c r="GX172" t="e">
        <f>AND(Hoja3!I15,"AAAAAH72+80=")</f>
        <v>#VALUE!</v>
      </c>
      <c r="GY172" t="e">
        <f>AND(Hoja3!J15,"AAAAAH72+84=")</f>
        <v>#VALUE!</v>
      </c>
      <c r="GZ172" t="e">
        <f>AND(Hoja3!K15,"AAAAAH72+88=")</f>
        <v>#VALUE!</v>
      </c>
      <c r="HA172" t="e">
        <f>AND(Hoja3!L15,"AAAAAH72+9A=")</f>
        <v>#VALUE!</v>
      </c>
      <c r="HB172" t="e">
        <f>AND(Hoja3!M15,"AAAAAH72+9E=")</f>
        <v>#VALUE!</v>
      </c>
      <c r="HC172" t="e">
        <f>AND(Hoja3!N15,"AAAAAH72+9I=")</f>
        <v>#VALUE!</v>
      </c>
      <c r="HD172" t="e">
        <f>AND(Hoja3!O15,"AAAAAH72+9M=")</f>
        <v>#VALUE!</v>
      </c>
      <c r="HE172" t="e">
        <f>AND(Hoja3!P15,"AAAAAH72+9Q=")</f>
        <v>#VALUE!</v>
      </c>
      <c r="HF172" t="e">
        <f>AND(Hoja3!Q15,"AAAAAH72+9U=")</f>
        <v>#VALUE!</v>
      </c>
      <c r="HG172" s="60">
        <f>IF(Hoja3!16:16,"AAAAAH72+9Y=",0)</f>
        <v>0</v>
      </c>
      <c r="HH172" t="e">
        <f>AND(Hoja3!A16,"AAAAAH72+9c=")</f>
        <v>#VALUE!</v>
      </c>
      <c r="HI172" t="e">
        <f>AND(Hoja3!B16,"AAAAAH72+9g=")</f>
        <v>#VALUE!</v>
      </c>
      <c r="HJ172" t="e">
        <f>AND(Hoja3!C16,"AAAAAH72+9k=")</f>
        <v>#VALUE!</v>
      </c>
      <c r="HK172" t="e">
        <f>AND(Hoja3!D16,"AAAAAH72+9o=")</f>
        <v>#VALUE!</v>
      </c>
      <c r="HL172" t="e">
        <f>AND(Hoja3!E16,"AAAAAH72+9s=")</f>
        <v>#VALUE!</v>
      </c>
      <c r="HM172" t="e">
        <f>AND(Hoja3!F16,"AAAAAH72+9w=")</f>
        <v>#VALUE!</v>
      </c>
      <c r="HN172" t="e">
        <f>AND(Hoja3!G16,"AAAAAH72+90=")</f>
        <v>#VALUE!</v>
      </c>
      <c r="HO172" t="e">
        <f>AND(Hoja3!H16,"AAAAAH72+94=")</f>
        <v>#VALUE!</v>
      </c>
      <c r="HP172" t="e">
        <f>AND(Hoja3!I16,"AAAAAH72+98=")</f>
        <v>#VALUE!</v>
      </c>
      <c r="HQ172" t="e">
        <f>AND(Hoja3!J16,"AAAAAH72++A=")</f>
        <v>#VALUE!</v>
      </c>
      <c r="HR172" t="e">
        <f>AND(Hoja3!K16,"AAAAAH72++E=")</f>
        <v>#VALUE!</v>
      </c>
      <c r="HS172" t="e">
        <f>AND(Hoja3!L16,"AAAAAH72++I=")</f>
        <v>#VALUE!</v>
      </c>
      <c r="HT172" t="e">
        <f>AND(Hoja3!M16,"AAAAAH72++M=")</f>
        <v>#VALUE!</v>
      </c>
      <c r="HU172" t="e">
        <f>AND(Hoja3!N16,"AAAAAH72++Q=")</f>
        <v>#VALUE!</v>
      </c>
      <c r="HV172" t="e">
        <f>AND(Hoja3!O16,"AAAAAH72++U=")</f>
        <v>#VALUE!</v>
      </c>
      <c r="HW172" t="e">
        <f>AND(Hoja3!P16,"AAAAAH72++Y=")</f>
        <v>#VALUE!</v>
      </c>
      <c r="HX172" t="e">
        <f>AND(Hoja3!Q16,"AAAAAH72++c=")</f>
        <v>#VALUE!</v>
      </c>
      <c r="HY172" s="60">
        <f>IF(Hoja3!17:17,"AAAAAH72++g=",0)</f>
        <v>0</v>
      </c>
      <c r="HZ172" t="e">
        <f>AND(Hoja3!A17,"AAAAAH72++k=")</f>
        <v>#VALUE!</v>
      </c>
      <c r="IA172" t="e">
        <f>AND(Hoja3!B17,"AAAAAH72++o=")</f>
        <v>#VALUE!</v>
      </c>
      <c r="IB172" t="e">
        <f>AND(Hoja3!C17,"AAAAAH72++s=")</f>
        <v>#VALUE!</v>
      </c>
      <c r="IC172" t="e">
        <f>AND(Hoja3!D17,"AAAAAH72++w=")</f>
        <v>#VALUE!</v>
      </c>
      <c r="ID172" t="e">
        <f>AND(Hoja3!E17,"AAAAAH72++0=")</f>
        <v>#VALUE!</v>
      </c>
      <c r="IE172" t="e">
        <f>AND(Hoja3!F17,"AAAAAH72++4=")</f>
        <v>#VALUE!</v>
      </c>
      <c r="IF172" t="e">
        <f>AND(Hoja3!G17,"AAAAAH72++8=")</f>
        <v>#VALUE!</v>
      </c>
      <c r="IG172" t="e">
        <f>AND(Hoja3!H17,"AAAAAH72+/A=")</f>
        <v>#VALUE!</v>
      </c>
      <c r="IH172" t="e">
        <f>AND(Hoja3!I17,"AAAAAH72+/E=")</f>
        <v>#VALUE!</v>
      </c>
      <c r="II172" t="e">
        <f>AND(Hoja3!J17,"AAAAAH72+/I=")</f>
        <v>#VALUE!</v>
      </c>
      <c r="IJ172" t="e">
        <f>AND(Hoja3!K17,"AAAAAH72+/M=")</f>
        <v>#VALUE!</v>
      </c>
      <c r="IK172" t="e">
        <f>AND(Hoja3!L17,"AAAAAH72+/Q=")</f>
        <v>#VALUE!</v>
      </c>
      <c r="IL172" t="e">
        <f>AND(Hoja3!M17,"AAAAAH72+/U=")</f>
        <v>#VALUE!</v>
      </c>
      <c r="IM172" t="e">
        <f>AND(Hoja3!N17,"AAAAAH72+/Y=")</f>
        <v>#VALUE!</v>
      </c>
      <c r="IN172" t="e">
        <f>AND(Hoja3!O17,"AAAAAH72+/c=")</f>
        <v>#VALUE!</v>
      </c>
      <c r="IO172" t="e">
        <f>AND(Hoja3!P17,"AAAAAH72+/g=")</f>
        <v>#VALUE!</v>
      </c>
      <c r="IP172" t="e">
        <f>AND(Hoja3!Q17,"AAAAAH72+/k=")</f>
        <v>#VALUE!</v>
      </c>
      <c r="IQ172" s="60">
        <f>IF(Hoja3!18:18,"AAAAAH72+/o=",0)</f>
        <v>0</v>
      </c>
      <c r="IR172" t="e">
        <f>AND(Hoja3!A18,"AAAAAH72+/s=")</f>
        <v>#VALUE!</v>
      </c>
      <c r="IS172" t="e">
        <f>AND(Hoja3!B18,"AAAAAH72+/w=")</f>
        <v>#VALUE!</v>
      </c>
      <c r="IT172" t="e">
        <f>AND(Hoja3!C18,"AAAAAH72+/0=")</f>
        <v>#VALUE!</v>
      </c>
      <c r="IU172" t="e">
        <f>AND(Hoja3!D18,"AAAAAH72+/4=")</f>
        <v>#VALUE!</v>
      </c>
      <c r="IV172" t="e">
        <f>AND(Hoja3!E18,"AAAAAH72+/8=")</f>
        <v>#VALUE!</v>
      </c>
    </row>
    <row r="173" spans="1:256" ht="15" customHeight="1" x14ac:dyDescent="0.25">
      <c r="A173" t="e">
        <f>AND(Hoja3!F18,"AAAAAF3+/AA=")</f>
        <v>#VALUE!</v>
      </c>
      <c r="B173" t="e">
        <f>AND(Hoja3!G18,"AAAAAF3+/AE=")</f>
        <v>#VALUE!</v>
      </c>
      <c r="C173" t="e">
        <f>AND(Hoja3!H18,"AAAAAF3+/AI=")</f>
        <v>#VALUE!</v>
      </c>
      <c r="D173" t="e">
        <f>AND(Hoja3!I18,"AAAAAF3+/AM=")</f>
        <v>#VALUE!</v>
      </c>
      <c r="E173" t="e">
        <f>AND(Hoja3!J18,"AAAAAF3+/AQ=")</f>
        <v>#VALUE!</v>
      </c>
      <c r="F173" t="e">
        <f>AND(Hoja3!K18,"AAAAAF3+/AU=")</f>
        <v>#VALUE!</v>
      </c>
      <c r="G173" t="e">
        <f>AND(Hoja3!L18,"AAAAAF3+/AY=")</f>
        <v>#VALUE!</v>
      </c>
      <c r="H173" t="e">
        <f>AND(Hoja3!M18,"AAAAAF3+/Ac=")</f>
        <v>#VALUE!</v>
      </c>
      <c r="I173" t="e">
        <f>AND(Hoja3!N18,"AAAAAF3+/Ag=")</f>
        <v>#VALUE!</v>
      </c>
      <c r="J173" t="e">
        <f>AND(Hoja3!O18,"AAAAAF3+/Ak=")</f>
        <v>#VALUE!</v>
      </c>
      <c r="K173" t="e">
        <f>AND(Hoja3!P18,"AAAAAF3+/Ao=")</f>
        <v>#VALUE!</v>
      </c>
      <c r="L173" t="e">
        <f>AND(Hoja3!Q18,"AAAAAF3+/As=")</f>
        <v>#VALUE!</v>
      </c>
      <c r="M173" t="str">
        <f>IF(Hoja3!19:19,"AAAAAF3+/Aw=",0)</f>
        <v>AAAAAF3+/Aw=</v>
      </c>
      <c r="N173" t="e">
        <f>AND(Hoja3!A19,"AAAAAF3+/A0=")</f>
        <v>#VALUE!</v>
      </c>
      <c r="O173" t="e">
        <f>AND(Hoja3!B19,"AAAAAF3+/A4=")</f>
        <v>#VALUE!</v>
      </c>
      <c r="P173" t="e">
        <f>AND(Hoja3!C19,"AAAAAF3+/A8=")</f>
        <v>#VALUE!</v>
      </c>
      <c r="Q173" t="e">
        <f>AND(Hoja3!D19,"AAAAAF3+/BA=")</f>
        <v>#VALUE!</v>
      </c>
      <c r="R173" t="e">
        <f>AND(Hoja3!E19,"AAAAAF3+/BE=")</f>
        <v>#VALUE!</v>
      </c>
      <c r="S173" t="e">
        <f>AND(Hoja3!F19,"AAAAAF3+/BI=")</f>
        <v>#VALUE!</v>
      </c>
      <c r="T173" t="e">
        <f>AND(Hoja3!G19,"AAAAAF3+/BM=")</f>
        <v>#VALUE!</v>
      </c>
      <c r="U173" t="e">
        <f>AND(Hoja3!H19,"AAAAAF3+/BQ=")</f>
        <v>#VALUE!</v>
      </c>
      <c r="V173" t="e">
        <f>AND(Hoja3!I19,"AAAAAF3+/BU=")</f>
        <v>#VALUE!</v>
      </c>
      <c r="W173" t="e">
        <f>AND(Hoja3!J19,"AAAAAF3+/BY=")</f>
        <v>#VALUE!</v>
      </c>
      <c r="X173" t="e">
        <f>AND(Hoja3!K19,"AAAAAF3+/Bc=")</f>
        <v>#VALUE!</v>
      </c>
      <c r="Y173" t="e">
        <f>AND(Hoja3!L19,"AAAAAF3+/Bg=")</f>
        <v>#VALUE!</v>
      </c>
      <c r="Z173" t="e">
        <f>AND(Hoja3!M19,"AAAAAF3+/Bk=")</f>
        <v>#VALUE!</v>
      </c>
      <c r="AA173" t="e">
        <f>AND(Hoja3!N19,"AAAAAF3+/Bo=")</f>
        <v>#VALUE!</v>
      </c>
      <c r="AB173" t="e">
        <f>AND(Hoja3!O19,"AAAAAF3+/Bs=")</f>
        <v>#VALUE!</v>
      </c>
      <c r="AC173" t="e">
        <f>AND(Hoja3!P19,"AAAAAF3+/Bw=")</f>
        <v>#VALUE!</v>
      </c>
      <c r="AD173" t="e">
        <f>AND(Hoja3!Q19,"AAAAAF3+/B0=")</f>
        <v>#VALUE!</v>
      </c>
      <c r="AE173" s="60">
        <f>IF(Hoja3!20:20,"AAAAAF3+/B4=",0)</f>
        <v>0</v>
      </c>
      <c r="AF173" t="e">
        <f>AND(Hoja3!A20,"AAAAAF3+/B8=")</f>
        <v>#VALUE!</v>
      </c>
      <c r="AG173" t="e">
        <f>AND(Hoja3!B20,"AAAAAF3+/CA=")</f>
        <v>#VALUE!</v>
      </c>
      <c r="AH173" t="e">
        <f>AND(Hoja3!C20,"AAAAAF3+/CE=")</f>
        <v>#VALUE!</v>
      </c>
      <c r="AI173" t="e">
        <f>AND(Hoja3!D20,"AAAAAF3+/CI=")</f>
        <v>#VALUE!</v>
      </c>
      <c r="AJ173" t="e">
        <f>AND(Hoja3!E20,"AAAAAF3+/CM=")</f>
        <v>#VALUE!</v>
      </c>
      <c r="AK173" t="e">
        <f>AND(Hoja3!F20,"AAAAAF3+/CQ=")</f>
        <v>#VALUE!</v>
      </c>
      <c r="AL173" t="e">
        <f>AND(Hoja3!G20,"AAAAAF3+/CU=")</f>
        <v>#VALUE!</v>
      </c>
      <c r="AM173" t="e">
        <f>AND(Hoja3!H20,"AAAAAF3+/CY=")</f>
        <v>#VALUE!</v>
      </c>
      <c r="AN173" t="e">
        <f>AND(Hoja3!I20,"AAAAAF3+/Cc=")</f>
        <v>#VALUE!</v>
      </c>
      <c r="AO173" t="e">
        <f>AND(Hoja3!J20,"AAAAAF3+/Cg=")</f>
        <v>#VALUE!</v>
      </c>
      <c r="AP173" t="e">
        <f>AND(Hoja3!K20,"AAAAAF3+/Ck=")</f>
        <v>#VALUE!</v>
      </c>
      <c r="AQ173" t="e">
        <f>AND(Hoja3!L20,"AAAAAF3+/Co=")</f>
        <v>#VALUE!</v>
      </c>
      <c r="AR173" t="e">
        <f>AND(Hoja3!M20,"AAAAAF3+/Cs=")</f>
        <v>#VALUE!</v>
      </c>
      <c r="AS173" t="e">
        <f>AND(Hoja3!N20,"AAAAAF3+/Cw=")</f>
        <v>#VALUE!</v>
      </c>
      <c r="AT173" t="e">
        <f>AND(Hoja3!O20,"AAAAAF3+/C0=")</f>
        <v>#VALUE!</v>
      </c>
      <c r="AU173" t="e">
        <f>AND(Hoja3!P20,"AAAAAF3+/C4=")</f>
        <v>#VALUE!</v>
      </c>
      <c r="AV173" t="e">
        <f>AND(Hoja3!Q20,"AAAAAF3+/C8=")</f>
        <v>#VALUE!</v>
      </c>
      <c r="AW173" s="60">
        <f>IF(Hoja3!21:21,"AAAAAF3+/DA=",0)</f>
        <v>0</v>
      </c>
      <c r="AX173" t="e">
        <f>AND(Hoja3!A21,"AAAAAF3+/DE=")</f>
        <v>#VALUE!</v>
      </c>
      <c r="AY173" t="e">
        <f>AND(Hoja3!B21,"AAAAAF3+/DI=")</f>
        <v>#VALUE!</v>
      </c>
      <c r="AZ173" t="e">
        <f>AND(Hoja3!C21,"AAAAAF3+/DM=")</f>
        <v>#VALUE!</v>
      </c>
      <c r="BA173" t="e">
        <f>AND(Hoja3!D21,"AAAAAF3+/DQ=")</f>
        <v>#VALUE!</v>
      </c>
      <c r="BB173" t="e">
        <f>AND(Hoja3!E21,"AAAAAF3+/DU=")</f>
        <v>#VALUE!</v>
      </c>
      <c r="BC173" t="e">
        <f>AND(Hoja3!F21,"AAAAAF3+/DY=")</f>
        <v>#VALUE!</v>
      </c>
      <c r="BD173" t="e">
        <f>AND(Hoja3!G21,"AAAAAF3+/Dc=")</f>
        <v>#VALUE!</v>
      </c>
      <c r="BE173" t="e">
        <f>AND(Hoja3!H21,"AAAAAF3+/Dg=")</f>
        <v>#VALUE!</v>
      </c>
      <c r="BF173" t="e">
        <f>AND(Hoja3!I21,"AAAAAF3+/Dk=")</f>
        <v>#VALUE!</v>
      </c>
      <c r="BG173" t="e">
        <f>AND(Hoja3!J21,"AAAAAF3+/Do=")</f>
        <v>#VALUE!</v>
      </c>
      <c r="BH173" t="e">
        <f>AND(Hoja3!K21,"AAAAAF3+/Ds=")</f>
        <v>#VALUE!</v>
      </c>
      <c r="BI173" t="e">
        <f>AND(Hoja3!L21,"AAAAAF3+/Dw=")</f>
        <v>#VALUE!</v>
      </c>
      <c r="BJ173" t="e">
        <f>AND(Hoja3!M21,"AAAAAF3+/D0=")</f>
        <v>#VALUE!</v>
      </c>
      <c r="BK173" t="e">
        <f>AND(Hoja3!N21,"AAAAAF3+/D4=")</f>
        <v>#VALUE!</v>
      </c>
      <c r="BL173" t="e">
        <f>AND(Hoja3!O21,"AAAAAF3+/D8=")</f>
        <v>#VALUE!</v>
      </c>
      <c r="BM173" t="e">
        <f>AND(Hoja3!P21,"AAAAAF3+/EA=")</f>
        <v>#VALUE!</v>
      </c>
      <c r="BN173" t="e">
        <f>AND(Hoja3!Q21,"AAAAAF3+/EE=")</f>
        <v>#VALUE!</v>
      </c>
      <c r="BO173" s="60">
        <f>IF(Hoja3!22:22,"AAAAAF3+/EI=",0)</f>
        <v>0</v>
      </c>
      <c r="BP173" t="e">
        <f>AND(Hoja3!A22,"AAAAAF3+/EM=")</f>
        <v>#VALUE!</v>
      </c>
      <c r="BQ173" t="e">
        <f>AND(Hoja3!B22,"AAAAAF3+/EQ=")</f>
        <v>#VALUE!</v>
      </c>
      <c r="BR173" t="e">
        <f>AND(Hoja3!C22,"AAAAAF3+/EU=")</f>
        <v>#VALUE!</v>
      </c>
      <c r="BS173" t="e">
        <f>AND(Hoja3!D22,"AAAAAF3+/EY=")</f>
        <v>#VALUE!</v>
      </c>
      <c r="BT173" t="e">
        <f>AND(Hoja3!E22,"AAAAAF3+/Ec=")</f>
        <v>#VALUE!</v>
      </c>
      <c r="BU173" t="e">
        <f>AND(Hoja3!F22,"AAAAAF3+/Eg=")</f>
        <v>#VALUE!</v>
      </c>
      <c r="BV173" t="e">
        <f>AND(Hoja3!G22,"AAAAAF3+/Ek=")</f>
        <v>#VALUE!</v>
      </c>
      <c r="BW173" t="e">
        <f>AND(Hoja3!H22,"AAAAAF3+/Eo=")</f>
        <v>#VALUE!</v>
      </c>
      <c r="BX173" t="e">
        <f>AND(Hoja3!I22,"AAAAAF3+/Es=")</f>
        <v>#VALUE!</v>
      </c>
      <c r="BY173" t="e">
        <f>AND(Hoja3!J22,"AAAAAF3+/Ew=")</f>
        <v>#VALUE!</v>
      </c>
      <c r="BZ173" t="e">
        <f>AND(Hoja3!K22,"AAAAAF3+/E0=")</f>
        <v>#VALUE!</v>
      </c>
      <c r="CA173" t="e">
        <f>AND(Hoja3!L22,"AAAAAF3+/E4=")</f>
        <v>#VALUE!</v>
      </c>
      <c r="CB173" t="e">
        <f>AND(Hoja3!M22,"AAAAAF3+/E8=")</f>
        <v>#VALUE!</v>
      </c>
      <c r="CC173" t="e">
        <f>AND(Hoja3!N22,"AAAAAF3+/FA=")</f>
        <v>#VALUE!</v>
      </c>
      <c r="CD173" t="e">
        <f>AND(Hoja3!O22,"AAAAAF3+/FE=")</f>
        <v>#VALUE!</v>
      </c>
      <c r="CE173" t="e">
        <f>AND(Hoja3!P22,"AAAAAF3+/FI=")</f>
        <v>#VALUE!</v>
      </c>
      <c r="CF173" t="e">
        <f>AND(Hoja3!Q22,"AAAAAF3+/FM=")</f>
        <v>#VALUE!</v>
      </c>
      <c r="CG173" s="60">
        <f>IF(Hoja3!23:23,"AAAAAF3+/FQ=",0)</f>
        <v>0</v>
      </c>
      <c r="CH173" t="e">
        <f>AND(Hoja3!A23,"AAAAAF3+/FU=")</f>
        <v>#VALUE!</v>
      </c>
      <c r="CI173" t="e">
        <f>AND(Hoja3!B23,"AAAAAF3+/FY=")</f>
        <v>#VALUE!</v>
      </c>
      <c r="CJ173" t="e">
        <f>AND(Hoja3!C23,"AAAAAF3+/Fc=")</f>
        <v>#VALUE!</v>
      </c>
      <c r="CK173" t="e">
        <f>AND(Hoja3!D23,"AAAAAF3+/Fg=")</f>
        <v>#VALUE!</v>
      </c>
      <c r="CL173" t="e">
        <f>AND(Hoja3!E23,"AAAAAF3+/Fk=")</f>
        <v>#VALUE!</v>
      </c>
      <c r="CM173" t="e">
        <f>AND(Hoja3!F23,"AAAAAF3+/Fo=")</f>
        <v>#VALUE!</v>
      </c>
      <c r="CN173" t="e">
        <f>AND(Hoja3!G23,"AAAAAF3+/Fs=")</f>
        <v>#VALUE!</v>
      </c>
      <c r="CO173" t="e">
        <f>AND(Hoja3!H23,"AAAAAF3+/Fw=")</f>
        <v>#VALUE!</v>
      </c>
      <c r="CP173" t="e">
        <f>AND(Hoja3!I23,"AAAAAF3+/F0=")</f>
        <v>#VALUE!</v>
      </c>
      <c r="CQ173" t="e">
        <f>AND(Hoja3!J23,"AAAAAF3+/F4=")</f>
        <v>#VALUE!</v>
      </c>
      <c r="CR173" t="e">
        <f>AND(Hoja3!K23,"AAAAAF3+/F8=")</f>
        <v>#VALUE!</v>
      </c>
      <c r="CS173" t="e">
        <f>AND(Hoja3!L23,"AAAAAF3+/GA=")</f>
        <v>#VALUE!</v>
      </c>
      <c r="CT173" t="e">
        <f>AND(Hoja3!M23,"AAAAAF3+/GE=")</f>
        <v>#VALUE!</v>
      </c>
      <c r="CU173" t="e">
        <f>AND(Hoja3!N23,"AAAAAF3+/GI=")</f>
        <v>#VALUE!</v>
      </c>
      <c r="CV173" t="e">
        <f>AND(Hoja3!O23,"AAAAAF3+/GM=")</f>
        <v>#VALUE!</v>
      </c>
      <c r="CW173" t="e">
        <f>AND(Hoja3!P23,"AAAAAF3+/GQ=")</f>
        <v>#VALUE!</v>
      </c>
      <c r="CX173" t="e">
        <f>AND(Hoja3!Q23,"AAAAAF3+/GU=")</f>
        <v>#VALUE!</v>
      </c>
      <c r="CY173" s="60">
        <f>IF(Hoja3!24:24,"AAAAAF3+/GY=",0)</f>
        <v>0</v>
      </c>
      <c r="CZ173" t="e">
        <f>AND(Hoja3!A24,"AAAAAF3+/Gc=")</f>
        <v>#VALUE!</v>
      </c>
      <c r="DA173" t="e">
        <f>AND(Hoja3!B24,"AAAAAF3+/Gg=")</f>
        <v>#VALUE!</v>
      </c>
      <c r="DB173" t="e">
        <f>AND(Hoja3!C24,"AAAAAF3+/Gk=")</f>
        <v>#VALUE!</v>
      </c>
      <c r="DC173" t="e">
        <f>AND(Hoja3!D24,"AAAAAF3+/Go=")</f>
        <v>#VALUE!</v>
      </c>
      <c r="DD173" t="e">
        <f>AND(Hoja3!E24,"AAAAAF3+/Gs=")</f>
        <v>#VALUE!</v>
      </c>
      <c r="DE173" t="e">
        <f>AND(Hoja3!F24,"AAAAAF3+/Gw=")</f>
        <v>#VALUE!</v>
      </c>
      <c r="DF173" t="e">
        <f>AND(Hoja3!G24,"AAAAAF3+/G0=")</f>
        <v>#VALUE!</v>
      </c>
      <c r="DG173" t="e">
        <f>AND(Hoja3!H24,"AAAAAF3+/G4=")</f>
        <v>#VALUE!</v>
      </c>
      <c r="DH173" t="e">
        <f>AND(Hoja3!I24,"AAAAAF3+/G8=")</f>
        <v>#VALUE!</v>
      </c>
      <c r="DI173" t="e">
        <f>AND(Hoja3!J24,"AAAAAF3+/HA=")</f>
        <v>#VALUE!</v>
      </c>
      <c r="DJ173" t="e">
        <f>AND(Hoja3!K24,"AAAAAF3+/HE=")</f>
        <v>#VALUE!</v>
      </c>
      <c r="DK173" t="e">
        <f>AND(Hoja3!L24,"AAAAAF3+/HI=")</f>
        <v>#VALUE!</v>
      </c>
      <c r="DL173" t="e">
        <f>AND(Hoja3!M24,"AAAAAF3+/HM=")</f>
        <v>#VALUE!</v>
      </c>
      <c r="DM173" t="e">
        <f>AND(Hoja3!N24,"AAAAAF3+/HQ=")</f>
        <v>#VALUE!</v>
      </c>
      <c r="DN173" t="e">
        <f>AND(Hoja3!O24,"AAAAAF3+/HU=")</f>
        <v>#VALUE!</v>
      </c>
      <c r="DO173" t="e">
        <f>AND(Hoja3!P24,"AAAAAF3+/HY=")</f>
        <v>#VALUE!</v>
      </c>
      <c r="DP173" t="e">
        <f>AND(Hoja3!Q24,"AAAAAF3+/Hc=")</f>
        <v>#VALUE!</v>
      </c>
      <c r="DQ173" s="60">
        <f>IF(Hoja3!25:25,"AAAAAF3+/Hg=",0)</f>
        <v>0</v>
      </c>
      <c r="DR173" t="e">
        <f>AND(Hoja3!A25,"AAAAAF3+/Hk=")</f>
        <v>#VALUE!</v>
      </c>
      <c r="DS173" t="e">
        <f>AND(Hoja3!B25,"AAAAAF3+/Ho=")</f>
        <v>#VALUE!</v>
      </c>
      <c r="DT173" t="e">
        <f>AND(Hoja3!C25,"AAAAAF3+/Hs=")</f>
        <v>#VALUE!</v>
      </c>
      <c r="DU173" t="e">
        <f>AND(Hoja3!D25,"AAAAAF3+/Hw=")</f>
        <v>#VALUE!</v>
      </c>
      <c r="DV173" t="e">
        <f>AND(Hoja3!E25,"AAAAAF3+/H0=")</f>
        <v>#VALUE!</v>
      </c>
      <c r="DW173" t="e">
        <f>AND(Hoja3!F25,"AAAAAF3+/H4=")</f>
        <v>#VALUE!</v>
      </c>
      <c r="DX173" t="e">
        <f>AND(Hoja3!G25,"AAAAAF3+/H8=")</f>
        <v>#VALUE!</v>
      </c>
      <c r="DY173" t="e">
        <f>AND(Hoja3!H25,"AAAAAF3+/IA=")</f>
        <v>#VALUE!</v>
      </c>
      <c r="DZ173" t="e">
        <f>AND(Hoja3!I25,"AAAAAF3+/IE=")</f>
        <v>#VALUE!</v>
      </c>
      <c r="EA173" t="e">
        <f>AND(Hoja3!J25,"AAAAAF3+/II=")</f>
        <v>#VALUE!</v>
      </c>
      <c r="EB173" t="e">
        <f>AND(Hoja3!K25,"AAAAAF3+/IM=")</f>
        <v>#VALUE!</v>
      </c>
      <c r="EC173" t="e">
        <f>AND(Hoja3!L25,"AAAAAF3+/IQ=")</f>
        <v>#VALUE!</v>
      </c>
      <c r="ED173" t="e">
        <f>AND(Hoja3!M25,"AAAAAF3+/IU=")</f>
        <v>#VALUE!</v>
      </c>
      <c r="EE173" t="e">
        <f>AND(Hoja3!N25,"AAAAAF3+/IY=")</f>
        <v>#VALUE!</v>
      </c>
      <c r="EF173" t="e">
        <f>AND(Hoja3!O25,"AAAAAF3+/Ic=")</f>
        <v>#VALUE!</v>
      </c>
      <c r="EG173" t="e">
        <f>AND(Hoja3!P25,"AAAAAF3+/Ig=")</f>
        <v>#VALUE!</v>
      </c>
      <c r="EH173" t="e">
        <f>AND(Hoja3!Q25,"AAAAAF3+/Ik=")</f>
        <v>#VALUE!</v>
      </c>
      <c r="EI173" s="60">
        <f>IF(Hoja3!26:26,"AAAAAF3+/Io=",0)</f>
        <v>0</v>
      </c>
      <c r="EJ173" t="e">
        <f>AND(Hoja3!A26,"AAAAAF3+/Is=")</f>
        <v>#VALUE!</v>
      </c>
      <c r="EK173" t="e">
        <f>AND(Hoja3!B26,"AAAAAF3+/Iw=")</f>
        <v>#VALUE!</v>
      </c>
      <c r="EL173" t="e">
        <f>AND(Hoja3!C26,"AAAAAF3+/I0=")</f>
        <v>#VALUE!</v>
      </c>
      <c r="EM173" t="e">
        <f>AND(Hoja3!D26,"AAAAAF3+/I4=")</f>
        <v>#VALUE!</v>
      </c>
      <c r="EN173" t="e">
        <f>AND(Hoja3!E26,"AAAAAF3+/I8=")</f>
        <v>#VALUE!</v>
      </c>
      <c r="EO173" t="e">
        <f>AND(Hoja3!F26,"AAAAAF3+/JA=")</f>
        <v>#VALUE!</v>
      </c>
      <c r="EP173" t="e">
        <f>AND(Hoja3!G26,"AAAAAF3+/JE=")</f>
        <v>#VALUE!</v>
      </c>
      <c r="EQ173" t="e">
        <f>AND(Hoja3!H26,"AAAAAF3+/JI=")</f>
        <v>#VALUE!</v>
      </c>
      <c r="ER173" t="e">
        <f>AND(Hoja3!I26,"AAAAAF3+/JM=")</f>
        <v>#VALUE!</v>
      </c>
      <c r="ES173" t="e">
        <f>AND(Hoja3!J26,"AAAAAF3+/JQ=")</f>
        <v>#VALUE!</v>
      </c>
      <c r="ET173" t="e">
        <f>AND(Hoja3!K26,"AAAAAF3+/JU=")</f>
        <v>#VALUE!</v>
      </c>
      <c r="EU173" t="e">
        <f>AND(Hoja3!L26,"AAAAAF3+/JY=")</f>
        <v>#VALUE!</v>
      </c>
      <c r="EV173" t="e">
        <f>AND(Hoja3!M26,"AAAAAF3+/Jc=")</f>
        <v>#VALUE!</v>
      </c>
      <c r="EW173" t="e">
        <f>AND(Hoja3!N26,"AAAAAF3+/Jg=")</f>
        <v>#VALUE!</v>
      </c>
      <c r="EX173" t="e">
        <f>AND(Hoja3!O26,"AAAAAF3+/Jk=")</f>
        <v>#VALUE!</v>
      </c>
      <c r="EY173" t="e">
        <f>AND(Hoja3!P26,"AAAAAF3+/Jo=")</f>
        <v>#VALUE!</v>
      </c>
      <c r="EZ173" t="e">
        <f>AND(Hoja3!Q26,"AAAAAF3+/Js=")</f>
        <v>#VALUE!</v>
      </c>
      <c r="FA173" s="60">
        <f>IF(Hoja3!27:27,"AAAAAF3+/Jw=",0)</f>
        <v>0</v>
      </c>
      <c r="FB173" t="e">
        <f>AND(Hoja3!A27,"AAAAAF3+/J0=")</f>
        <v>#VALUE!</v>
      </c>
      <c r="FC173" t="e">
        <f>AND(Hoja3!B27,"AAAAAF3+/J4=")</f>
        <v>#VALUE!</v>
      </c>
      <c r="FD173" t="e">
        <f>AND(Hoja3!C27,"AAAAAF3+/J8=")</f>
        <v>#VALUE!</v>
      </c>
      <c r="FE173" t="e">
        <f>AND(Hoja3!D27,"AAAAAF3+/KA=")</f>
        <v>#VALUE!</v>
      </c>
      <c r="FF173" t="e">
        <f>AND(Hoja3!E27,"AAAAAF3+/KE=")</f>
        <v>#VALUE!</v>
      </c>
      <c r="FG173" t="e">
        <f>AND(Hoja3!F27,"AAAAAF3+/KI=")</f>
        <v>#VALUE!</v>
      </c>
      <c r="FH173" t="e">
        <f>AND(Hoja3!G27,"AAAAAF3+/KM=")</f>
        <v>#VALUE!</v>
      </c>
      <c r="FI173" t="e">
        <f>AND(Hoja3!H27,"AAAAAF3+/KQ=")</f>
        <v>#VALUE!</v>
      </c>
      <c r="FJ173" t="e">
        <f>AND(Hoja3!I27,"AAAAAF3+/KU=")</f>
        <v>#VALUE!</v>
      </c>
      <c r="FK173" t="e">
        <f>AND(Hoja3!J27,"AAAAAF3+/KY=")</f>
        <v>#VALUE!</v>
      </c>
      <c r="FL173" t="e">
        <f>AND(Hoja3!K27,"AAAAAF3+/Kc=")</f>
        <v>#VALUE!</v>
      </c>
      <c r="FM173" t="e">
        <f>AND(Hoja3!L27,"AAAAAF3+/Kg=")</f>
        <v>#VALUE!</v>
      </c>
      <c r="FN173" t="e">
        <f>AND(Hoja3!M27,"AAAAAF3+/Kk=")</f>
        <v>#VALUE!</v>
      </c>
      <c r="FO173" t="e">
        <f>AND(Hoja3!N27,"AAAAAF3+/Ko=")</f>
        <v>#VALUE!</v>
      </c>
      <c r="FP173" t="e">
        <f>AND(Hoja3!O27,"AAAAAF3+/Ks=")</f>
        <v>#VALUE!</v>
      </c>
      <c r="FQ173" t="e">
        <f>AND(Hoja3!P27,"AAAAAF3+/Kw=")</f>
        <v>#VALUE!</v>
      </c>
      <c r="FR173" t="e">
        <f>AND(Hoja3!Q27,"AAAAAF3+/K0=")</f>
        <v>#VALUE!</v>
      </c>
      <c r="FS173" s="60">
        <f>IF(Hoja3!28:28,"AAAAAF3+/K4=",0)</f>
        <v>0</v>
      </c>
      <c r="FT173" t="e">
        <f>AND(Hoja3!A28,"AAAAAF3+/K8=")</f>
        <v>#VALUE!</v>
      </c>
      <c r="FU173" t="e">
        <f>AND(Hoja3!B28,"AAAAAF3+/LA=")</f>
        <v>#VALUE!</v>
      </c>
      <c r="FV173" t="e">
        <f>AND(Hoja3!C28,"AAAAAF3+/LE=")</f>
        <v>#VALUE!</v>
      </c>
      <c r="FW173" t="e">
        <f>AND(Hoja3!D28,"AAAAAF3+/LI=")</f>
        <v>#VALUE!</v>
      </c>
      <c r="FX173" t="e">
        <f>AND(Hoja3!E28,"AAAAAF3+/LM=")</f>
        <v>#VALUE!</v>
      </c>
      <c r="FY173" t="e">
        <f>AND(Hoja3!F28,"AAAAAF3+/LQ=")</f>
        <v>#VALUE!</v>
      </c>
      <c r="FZ173" t="e">
        <f>AND(Hoja3!G28,"AAAAAF3+/LU=")</f>
        <v>#VALUE!</v>
      </c>
      <c r="GA173" t="e">
        <f>AND(Hoja3!H28,"AAAAAF3+/LY=")</f>
        <v>#VALUE!</v>
      </c>
      <c r="GB173" t="e">
        <f>AND(Hoja3!I28,"AAAAAF3+/Lc=")</f>
        <v>#VALUE!</v>
      </c>
      <c r="GC173" t="e">
        <f>AND(Hoja3!J28,"AAAAAF3+/Lg=")</f>
        <v>#VALUE!</v>
      </c>
      <c r="GD173" t="e">
        <f>AND(Hoja3!K28,"AAAAAF3+/Lk=")</f>
        <v>#VALUE!</v>
      </c>
      <c r="GE173" t="e">
        <f>AND(Hoja3!L28,"AAAAAF3+/Lo=")</f>
        <v>#VALUE!</v>
      </c>
      <c r="GF173" t="e">
        <f>AND(Hoja3!M28,"AAAAAF3+/Ls=")</f>
        <v>#VALUE!</v>
      </c>
      <c r="GG173" t="e">
        <f>AND(Hoja3!N28,"AAAAAF3+/Lw=")</f>
        <v>#VALUE!</v>
      </c>
      <c r="GH173" t="e">
        <f>AND(Hoja3!O28,"AAAAAF3+/L0=")</f>
        <v>#VALUE!</v>
      </c>
      <c r="GI173" t="e">
        <f>AND(Hoja3!P28,"AAAAAF3+/L4=")</f>
        <v>#VALUE!</v>
      </c>
      <c r="GJ173" t="e">
        <f>AND(Hoja3!Q28,"AAAAAF3+/L8=")</f>
        <v>#VALUE!</v>
      </c>
      <c r="GK173" s="60">
        <f>IF(Hoja3!29:29,"AAAAAF3+/MA=",0)</f>
        <v>0</v>
      </c>
      <c r="GL173" t="e">
        <f>AND(Hoja3!A29,"AAAAAF3+/ME=")</f>
        <v>#VALUE!</v>
      </c>
      <c r="GM173" t="e">
        <f>AND(Hoja3!B29,"AAAAAF3+/MI=")</f>
        <v>#VALUE!</v>
      </c>
      <c r="GN173" t="e">
        <f>AND(Hoja3!C29,"AAAAAF3+/MM=")</f>
        <v>#VALUE!</v>
      </c>
      <c r="GO173" t="e">
        <f>AND(Hoja3!D29,"AAAAAF3+/MQ=")</f>
        <v>#VALUE!</v>
      </c>
      <c r="GP173" t="e">
        <f>AND(Hoja3!E29,"AAAAAF3+/MU=")</f>
        <v>#VALUE!</v>
      </c>
      <c r="GQ173" t="e">
        <f>AND(Hoja3!F29,"AAAAAF3+/MY=")</f>
        <v>#VALUE!</v>
      </c>
      <c r="GR173" t="e">
        <f>AND(Hoja3!G29,"AAAAAF3+/Mc=")</f>
        <v>#VALUE!</v>
      </c>
      <c r="GS173" t="e">
        <f>AND(Hoja3!H29,"AAAAAF3+/Mg=")</f>
        <v>#VALUE!</v>
      </c>
      <c r="GT173" t="e">
        <f>AND(Hoja3!I29,"AAAAAF3+/Mk=")</f>
        <v>#VALUE!</v>
      </c>
      <c r="GU173" t="e">
        <f>AND(Hoja3!J29,"AAAAAF3+/Mo=")</f>
        <v>#VALUE!</v>
      </c>
      <c r="GV173" t="e">
        <f>AND(Hoja3!K29,"AAAAAF3+/Ms=")</f>
        <v>#VALUE!</v>
      </c>
      <c r="GW173" t="e">
        <f>AND(Hoja3!L29,"AAAAAF3+/Mw=")</f>
        <v>#VALUE!</v>
      </c>
      <c r="GX173" t="e">
        <f>AND(Hoja3!M29,"AAAAAF3+/M0=")</f>
        <v>#VALUE!</v>
      </c>
      <c r="GY173" t="e">
        <f>AND(Hoja3!N29,"AAAAAF3+/M4=")</f>
        <v>#VALUE!</v>
      </c>
      <c r="GZ173" t="e">
        <f>AND(Hoja3!O29,"AAAAAF3+/M8=")</f>
        <v>#VALUE!</v>
      </c>
      <c r="HA173" t="e">
        <f>AND(Hoja3!P29,"AAAAAF3+/NA=")</f>
        <v>#VALUE!</v>
      </c>
      <c r="HB173" t="e">
        <f>AND(Hoja3!Q29,"AAAAAF3+/NE=")</f>
        <v>#VALUE!</v>
      </c>
      <c r="HC173" s="60">
        <f>IF(Hoja3!30:30,"AAAAAF3+/NI=",0)</f>
        <v>0</v>
      </c>
      <c r="HD173" t="e">
        <f>AND(Hoja3!A30,"AAAAAF3+/NM=")</f>
        <v>#VALUE!</v>
      </c>
      <c r="HE173" t="e">
        <f>AND(Hoja3!B30,"AAAAAF3+/NQ=")</f>
        <v>#VALUE!</v>
      </c>
      <c r="HF173" t="e">
        <f>AND(Hoja3!C30,"AAAAAF3+/NU=")</f>
        <v>#VALUE!</v>
      </c>
      <c r="HG173" t="e">
        <f>AND(Hoja3!D30,"AAAAAF3+/NY=")</f>
        <v>#VALUE!</v>
      </c>
      <c r="HH173" t="e">
        <f>AND(Hoja3!E30,"AAAAAF3+/Nc=")</f>
        <v>#VALUE!</v>
      </c>
      <c r="HI173" t="e">
        <f>AND(Hoja3!F30,"AAAAAF3+/Ng=")</f>
        <v>#VALUE!</v>
      </c>
      <c r="HJ173" t="e">
        <f>AND(Hoja3!G30,"AAAAAF3+/Nk=")</f>
        <v>#VALUE!</v>
      </c>
      <c r="HK173" t="e">
        <f>AND(Hoja3!H30,"AAAAAF3+/No=")</f>
        <v>#VALUE!</v>
      </c>
      <c r="HL173" t="e">
        <f>AND(Hoja3!I30,"AAAAAF3+/Ns=")</f>
        <v>#VALUE!</v>
      </c>
      <c r="HM173" t="e">
        <f>AND(Hoja3!J30,"AAAAAF3+/Nw=")</f>
        <v>#VALUE!</v>
      </c>
      <c r="HN173" t="e">
        <f>AND(Hoja3!K30,"AAAAAF3+/N0=")</f>
        <v>#VALUE!</v>
      </c>
      <c r="HO173" t="e">
        <f>AND(Hoja3!L30,"AAAAAF3+/N4=")</f>
        <v>#VALUE!</v>
      </c>
      <c r="HP173" t="e">
        <f>AND(Hoja3!M30,"AAAAAF3+/N8=")</f>
        <v>#VALUE!</v>
      </c>
      <c r="HQ173" t="e">
        <f>AND(Hoja3!N30,"AAAAAF3+/OA=")</f>
        <v>#VALUE!</v>
      </c>
      <c r="HR173" t="e">
        <f>AND(Hoja3!O30,"AAAAAF3+/OE=")</f>
        <v>#VALUE!</v>
      </c>
      <c r="HS173" t="e">
        <f>AND(Hoja3!P30,"AAAAAF3+/OI=")</f>
        <v>#VALUE!</v>
      </c>
      <c r="HT173" t="e">
        <f>AND(Hoja3!Q30,"AAAAAF3+/OM=")</f>
        <v>#VALUE!</v>
      </c>
      <c r="HU173" s="60">
        <f>IF(Hoja3!31:31,"AAAAAF3+/OQ=",0)</f>
        <v>0</v>
      </c>
      <c r="HV173" t="e">
        <f>AND(Hoja3!A31,"AAAAAF3+/OU=")</f>
        <v>#VALUE!</v>
      </c>
      <c r="HW173" t="e">
        <f>AND(Hoja3!B31,"AAAAAF3+/OY=")</f>
        <v>#VALUE!</v>
      </c>
      <c r="HX173" t="e">
        <f>AND(Hoja3!C31,"AAAAAF3+/Oc=")</f>
        <v>#VALUE!</v>
      </c>
      <c r="HY173" t="e">
        <f>AND(Hoja3!D31,"AAAAAF3+/Og=")</f>
        <v>#VALUE!</v>
      </c>
      <c r="HZ173" t="e">
        <f>AND(Hoja3!E31,"AAAAAF3+/Ok=")</f>
        <v>#VALUE!</v>
      </c>
      <c r="IA173" t="e">
        <f>AND(Hoja3!F31,"AAAAAF3+/Oo=")</f>
        <v>#VALUE!</v>
      </c>
      <c r="IB173" t="e">
        <f>AND(Hoja3!G31,"AAAAAF3+/Os=")</f>
        <v>#VALUE!</v>
      </c>
      <c r="IC173" t="e">
        <f>AND(Hoja3!H31,"AAAAAF3+/Ow=")</f>
        <v>#VALUE!</v>
      </c>
      <c r="ID173" t="e">
        <f>AND(Hoja3!I31,"AAAAAF3+/O0=")</f>
        <v>#VALUE!</v>
      </c>
      <c r="IE173" t="e">
        <f>AND(Hoja3!J31,"AAAAAF3+/O4=")</f>
        <v>#VALUE!</v>
      </c>
      <c r="IF173" t="e">
        <f>AND(Hoja3!K31,"AAAAAF3+/O8=")</f>
        <v>#VALUE!</v>
      </c>
      <c r="IG173" t="e">
        <f>AND(Hoja3!L31,"AAAAAF3+/PA=")</f>
        <v>#VALUE!</v>
      </c>
      <c r="IH173" t="e">
        <f>AND(Hoja3!M31,"AAAAAF3+/PE=")</f>
        <v>#VALUE!</v>
      </c>
      <c r="II173" t="e">
        <f>AND(Hoja3!N31,"AAAAAF3+/PI=")</f>
        <v>#VALUE!</v>
      </c>
      <c r="IJ173" t="e">
        <f>AND(Hoja3!O31,"AAAAAF3+/PM=")</f>
        <v>#VALUE!</v>
      </c>
      <c r="IK173" t="e">
        <f>AND(Hoja3!P31,"AAAAAF3+/PQ=")</f>
        <v>#VALUE!</v>
      </c>
      <c r="IL173" t="e">
        <f>AND(Hoja3!Q31,"AAAAAF3+/PU=")</f>
        <v>#VALUE!</v>
      </c>
      <c r="IM173" s="60">
        <f>IF(Hoja3!32:32,"AAAAAF3+/PY=",0)</f>
        <v>0</v>
      </c>
      <c r="IN173" t="e">
        <f>AND(Hoja3!A32,"AAAAAF3+/Pc=")</f>
        <v>#VALUE!</v>
      </c>
      <c r="IO173" t="e">
        <f>AND(Hoja3!B32,"AAAAAF3+/Pg=")</f>
        <v>#VALUE!</v>
      </c>
      <c r="IP173" t="e">
        <f>AND(Hoja3!C32,"AAAAAF3+/Pk=")</f>
        <v>#VALUE!</v>
      </c>
      <c r="IQ173" t="e">
        <f>AND(Hoja3!D32,"AAAAAF3+/Po=")</f>
        <v>#VALUE!</v>
      </c>
      <c r="IR173" t="e">
        <f>AND(Hoja3!E32,"AAAAAF3+/Ps=")</f>
        <v>#VALUE!</v>
      </c>
      <c r="IS173" t="e">
        <f>AND(Hoja3!F32,"AAAAAF3+/Pw=")</f>
        <v>#VALUE!</v>
      </c>
      <c r="IT173" t="e">
        <f>AND(Hoja3!G32,"AAAAAF3+/P0=")</f>
        <v>#VALUE!</v>
      </c>
      <c r="IU173" t="e">
        <f>AND(Hoja3!H32,"AAAAAF3+/P4=")</f>
        <v>#VALUE!</v>
      </c>
      <c r="IV173" t="e">
        <f>AND(Hoja3!I32,"AAAAAF3+/P8=")</f>
        <v>#VALUE!</v>
      </c>
    </row>
    <row r="174" spans="1:256" ht="15" customHeight="1" x14ac:dyDescent="0.25">
      <c r="A174" t="e">
        <f>AND(Hoja3!J32,"AAAAAHe17gA=")</f>
        <v>#VALUE!</v>
      </c>
      <c r="B174" t="e">
        <f>AND(Hoja3!K32,"AAAAAHe17gE=")</f>
        <v>#VALUE!</v>
      </c>
      <c r="C174" t="e">
        <f>AND(Hoja3!L32,"AAAAAHe17gI=")</f>
        <v>#VALUE!</v>
      </c>
      <c r="D174" t="e">
        <f>AND(Hoja3!M32,"AAAAAHe17gM=")</f>
        <v>#VALUE!</v>
      </c>
      <c r="E174" t="e">
        <f>AND(Hoja3!N32,"AAAAAHe17gQ=")</f>
        <v>#VALUE!</v>
      </c>
      <c r="F174" t="e">
        <f>AND(Hoja3!O32,"AAAAAHe17gU=")</f>
        <v>#VALUE!</v>
      </c>
      <c r="G174" t="e">
        <f>AND(Hoja3!P32,"AAAAAHe17gY=")</f>
        <v>#VALUE!</v>
      </c>
      <c r="H174" t="e">
        <f>AND(Hoja3!Q32,"AAAAAHe17gc=")</f>
        <v>#VALUE!</v>
      </c>
      <c r="I174" s="60">
        <f>IF(Hoja3!33:33,"AAAAAHe17gg=",0)</f>
        <v>0</v>
      </c>
      <c r="J174" t="e">
        <f>AND(Hoja3!A33,"AAAAAHe17gk=")</f>
        <v>#VALUE!</v>
      </c>
      <c r="K174" t="e">
        <f>AND(Hoja3!B33,"AAAAAHe17go=")</f>
        <v>#VALUE!</v>
      </c>
      <c r="L174" t="e">
        <f>AND(Hoja3!C33,"AAAAAHe17gs=")</f>
        <v>#VALUE!</v>
      </c>
      <c r="M174" t="e">
        <f>AND(Hoja3!D33,"AAAAAHe17gw=")</f>
        <v>#VALUE!</v>
      </c>
      <c r="N174" t="e">
        <f>AND(Hoja3!E33,"AAAAAHe17g0=")</f>
        <v>#VALUE!</v>
      </c>
      <c r="O174" t="e">
        <f>AND(Hoja3!F33,"AAAAAHe17g4=")</f>
        <v>#VALUE!</v>
      </c>
      <c r="P174" t="e">
        <f>AND(Hoja3!G33,"AAAAAHe17g8=")</f>
        <v>#VALUE!</v>
      </c>
      <c r="Q174" t="e">
        <f>AND(Hoja3!H33,"AAAAAHe17hA=")</f>
        <v>#VALUE!</v>
      </c>
      <c r="R174" t="e">
        <f>AND(Hoja3!I33,"AAAAAHe17hE=")</f>
        <v>#VALUE!</v>
      </c>
      <c r="S174" t="e">
        <f>AND(Hoja3!J33,"AAAAAHe17hI=")</f>
        <v>#VALUE!</v>
      </c>
      <c r="T174" t="e">
        <f>AND(Hoja3!K33,"AAAAAHe17hM=")</f>
        <v>#VALUE!</v>
      </c>
      <c r="U174" t="e">
        <f>AND(Hoja3!L33,"AAAAAHe17hQ=")</f>
        <v>#VALUE!</v>
      </c>
      <c r="V174" t="e">
        <f>AND(Hoja3!M33,"AAAAAHe17hU=")</f>
        <v>#VALUE!</v>
      </c>
      <c r="W174" t="e">
        <f>AND(Hoja3!N33,"AAAAAHe17hY=")</f>
        <v>#VALUE!</v>
      </c>
      <c r="X174" t="e">
        <f>AND(Hoja3!O33,"AAAAAHe17hc=")</f>
        <v>#VALUE!</v>
      </c>
      <c r="Y174" t="e">
        <f>AND(Hoja3!P33,"AAAAAHe17hg=")</f>
        <v>#VALUE!</v>
      </c>
      <c r="Z174" t="e">
        <f>AND(Hoja3!Q33,"AAAAAHe17hk=")</f>
        <v>#VALUE!</v>
      </c>
      <c r="AA174" s="60">
        <f>IF(Hoja3!34:34,"AAAAAHe17ho=",0)</f>
        <v>0</v>
      </c>
      <c r="AB174" t="e">
        <f>AND(Hoja3!A34,"AAAAAHe17hs=")</f>
        <v>#VALUE!</v>
      </c>
      <c r="AC174" t="e">
        <f>AND(Hoja3!B34,"AAAAAHe17hw=")</f>
        <v>#VALUE!</v>
      </c>
      <c r="AD174" t="e">
        <f>AND(Hoja3!C34,"AAAAAHe17h0=")</f>
        <v>#VALUE!</v>
      </c>
      <c r="AE174" t="e">
        <f>AND(Hoja3!D34,"AAAAAHe17h4=")</f>
        <v>#VALUE!</v>
      </c>
      <c r="AF174" t="e">
        <f>AND(Hoja3!E34,"AAAAAHe17h8=")</f>
        <v>#VALUE!</v>
      </c>
      <c r="AG174" t="e">
        <f>AND(Hoja3!F34,"AAAAAHe17iA=")</f>
        <v>#VALUE!</v>
      </c>
      <c r="AH174" t="e">
        <f>AND(Hoja3!G34,"AAAAAHe17iE=")</f>
        <v>#VALUE!</v>
      </c>
      <c r="AI174" t="e">
        <f>AND(Hoja3!H34,"AAAAAHe17iI=")</f>
        <v>#VALUE!</v>
      </c>
      <c r="AJ174" t="e">
        <f>AND(Hoja3!I34,"AAAAAHe17iM=")</f>
        <v>#VALUE!</v>
      </c>
      <c r="AK174" t="e">
        <f>AND(Hoja3!J34,"AAAAAHe17iQ=")</f>
        <v>#VALUE!</v>
      </c>
      <c r="AL174" t="e">
        <f>AND(Hoja3!K34,"AAAAAHe17iU=")</f>
        <v>#VALUE!</v>
      </c>
      <c r="AM174" t="e">
        <f>AND(Hoja3!L34,"AAAAAHe17iY=")</f>
        <v>#VALUE!</v>
      </c>
      <c r="AN174" t="e">
        <f>AND(Hoja3!M34,"AAAAAHe17ic=")</f>
        <v>#VALUE!</v>
      </c>
      <c r="AO174" t="e">
        <f>AND(Hoja3!N34,"AAAAAHe17ig=")</f>
        <v>#VALUE!</v>
      </c>
      <c r="AP174" t="e">
        <f>AND(Hoja3!O34,"AAAAAHe17ik=")</f>
        <v>#VALUE!</v>
      </c>
      <c r="AQ174" t="e">
        <f>AND(Hoja3!P34,"AAAAAHe17io=")</f>
        <v>#VALUE!</v>
      </c>
      <c r="AR174" t="e">
        <f>AND(Hoja3!Q34,"AAAAAHe17is=")</f>
        <v>#VALUE!</v>
      </c>
      <c r="AS174" s="60">
        <f>IF(Hoja3!35:35,"AAAAAHe17iw=",0)</f>
        <v>0</v>
      </c>
      <c r="AT174" t="e">
        <f>AND(Hoja3!A35,"AAAAAHe17i0=")</f>
        <v>#VALUE!</v>
      </c>
      <c r="AU174" t="e">
        <f>AND(Hoja3!B35,"AAAAAHe17i4=")</f>
        <v>#VALUE!</v>
      </c>
      <c r="AV174" t="e">
        <f>AND(Hoja3!C35,"AAAAAHe17i8=")</f>
        <v>#VALUE!</v>
      </c>
      <c r="AW174" t="e">
        <f>AND(Hoja3!D35,"AAAAAHe17jA=")</f>
        <v>#VALUE!</v>
      </c>
      <c r="AX174" t="e">
        <f>AND(Hoja3!E35,"AAAAAHe17jE=")</f>
        <v>#VALUE!</v>
      </c>
      <c r="AY174" t="e">
        <f>AND(Hoja3!F35,"AAAAAHe17jI=")</f>
        <v>#VALUE!</v>
      </c>
      <c r="AZ174" t="e">
        <f>AND(Hoja3!G35,"AAAAAHe17jM=")</f>
        <v>#VALUE!</v>
      </c>
      <c r="BA174" t="e">
        <f>AND(Hoja3!H35,"AAAAAHe17jQ=")</f>
        <v>#VALUE!</v>
      </c>
      <c r="BB174" t="e">
        <f>AND(Hoja3!I35,"AAAAAHe17jU=")</f>
        <v>#VALUE!</v>
      </c>
      <c r="BC174" t="e">
        <f>AND(Hoja3!J35,"AAAAAHe17jY=")</f>
        <v>#VALUE!</v>
      </c>
      <c r="BD174" t="e">
        <f>AND(Hoja3!K35,"AAAAAHe17jc=")</f>
        <v>#VALUE!</v>
      </c>
      <c r="BE174" t="e">
        <f>AND(Hoja3!L35,"AAAAAHe17jg=")</f>
        <v>#VALUE!</v>
      </c>
      <c r="BF174" t="e">
        <f>AND(Hoja3!M35,"AAAAAHe17jk=")</f>
        <v>#VALUE!</v>
      </c>
      <c r="BG174" t="e">
        <f>AND(Hoja3!N35,"AAAAAHe17jo=")</f>
        <v>#VALUE!</v>
      </c>
      <c r="BH174" t="e">
        <f>AND(Hoja3!O35,"AAAAAHe17js=")</f>
        <v>#VALUE!</v>
      </c>
      <c r="BI174" t="e">
        <f>AND(Hoja3!P35,"AAAAAHe17jw=")</f>
        <v>#VALUE!</v>
      </c>
      <c r="BJ174" t="e">
        <f>AND(Hoja3!Q35,"AAAAAHe17j0=")</f>
        <v>#VALUE!</v>
      </c>
      <c r="BK174" s="60">
        <f>IF(Hoja3!36:36,"AAAAAHe17j4=",0)</f>
        <v>0</v>
      </c>
      <c r="BL174" t="e">
        <f>AND(Hoja3!A36,"AAAAAHe17j8=")</f>
        <v>#VALUE!</v>
      </c>
      <c r="BM174" t="e">
        <f>AND(Hoja3!B36,"AAAAAHe17kA=")</f>
        <v>#VALUE!</v>
      </c>
      <c r="BN174" t="e">
        <f>AND(Hoja3!C36,"AAAAAHe17kE=")</f>
        <v>#VALUE!</v>
      </c>
      <c r="BO174" t="e">
        <f>AND(Hoja3!D36,"AAAAAHe17kI=")</f>
        <v>#VALUE!</v>
      </c>
      <c r="BP174" t="e">
        <f>AND(Hoja3!E36,"AAAAAHe17kM=")</f>
        <v>#VALUE!</v>
      </c>
      <c r="BQ174" t="e">
        <f>AND(Hoja3!F36,"AAAAAHe17kQ=")</f>
        <v>#VALUE!</v>
      </c>
      <c r="BR174" t="e">
        <f>AND(Hoja3!G36,"AAAAAHe17kU=")</f>
        <v>#VALUE!</v>
      </c>
      <c r="BS174" t="e">
        <f>AND(Hoja3!H36,"AAAAAHe17kY=")</f>
        <v>#VALUE!</v>
      </c>
      <c r="BT174" t="e">
        <f>AND(Hoja3!I36,"AAAAAHe17kc=")</f>
        <v>#VALUE!</v>
      </c>
      <c r="BU174" t="e">
        <f>AND(Hoja3!J36,"AAAAAHe17kg=")</f>
        <v>#VALUE!</v>
      </c>
      <c r="BV174" t="e">
        <f>AND(Hoja3!K36,"AAAAAHe17kk=")</f>
        <v>#VALUE!</v>
      </c>
      <c r="BW174" t="e">
        <f>AND(Hoja3!L36,"AAAAAHe17ko=")</f>
        <v>#VALUE!</v>
      </c>
      <c r="BX174" t="e">
        <f>AND(Hoja3!M36,"AAAAAHe17ks=")</f>
        <v>#VALUE!</v>
      </c>
      <c r="BY174" t="e">
        <f>AND(Hoja3!N36,"AAAAAHe17kw=")</f>
        <v>#VALUE!</v>
      </c>
      <c r="BZ174" t="e">
        <f>AND(Hoja3!O36,"AAAAAHe17k0=")</f>
        <v>#VALUE!</v>
      </c>
      <c r="CA174" t="e">
        <f>AND(Hoja3!P36,"AAAAAHe17k4=")</f>
        <v>#VALUE!</v>
      </c>
      <c r="CB174" t="e">
        <f>AND(Hoja3!Q36,"AAAAAHe17k8=")</f>
        <v>#VALUE!</v>
      </c>
      <c r="CC174" s="60">
        <f>IF(Hoja3!37:37,"AAAAAHe17lA=",0)</f>
        <v>0</v>
      </c>
      <c r="CD174" t="e">
        <f>AND(Hoja3!A37,"AAAAAHe17lE=")</f>
        <v>#VALUE!</v>
      </c>
      <c r="CE174" t="e">
        <f>AND(Hoja3!B37,"AAAAAHe17lI=")</f>
        <v>#VALUE!</v>
      </c>
      <c r="CF174" t="e">
        <f>AND(Hoja3!C37,"AAAAAHe17lM=")</f>
        <v>#VALUE!</v>
      </c>
      <c r="CG174" t="e">
        <f>AND(Hoja3!D37,"AAAAAHe17lQ=")</f>
        <v>#VALUE!</v>
      </c>
      <c r="CH174" t="e">
        <f>AND(Hoja3!E37,"AAAAAHe17lU=")</f>
        <v>#VALUE!</v>
      </c>
      <c r="CI174" t="e">
        <f>AND(Hoja3!F37,"AAAAAHe17lY=")</f>
        <v>#VALUE!</v>
      </c>
      <c r="CJ174" t="e">
        <f>AND(Hoja3!G37,"AAAAAHe17lc=")</f>
        <v>#VALUE!</v>
      </c>
      <c r="CK174" t="e">
        <f>AND(Hoja3!H37,"AAAAAHe17lg=")</f>
        <v>#VALUE!</v>
      </c>
      <c r="CL174" t="e">
        <f>AND(Hoja3!I37,"AAAAAHe17lk=")</f>
        <v>#VALUE!</v>
      </c>
      <c r="CM174" t="e">
        <f>AND(Hoja3!J37,"AAAAAHe17lo=")</f>
        <v>#VALUE!</v>
      </c>
      <c r="CN174" t="e">
        <f>AND(Hoja3!K37,"AAAAAHe17ls=")</f>
        <v>#VALUE!</v>
      </c>
      <c r="CO174" t="e">
        <f>AND(Hoja3!L37,"AAAAAHe17lw=")</f>
        <v>#VALUE!</v>
      </c>
      <c r="CP174" t="e">
        <f>AND(Hoja3!M37,"AAAAAHe17l0=")</f>
        <v>#VALUE!</v>
      </c>
      <c r="CQ174" t="e">
        <f>AND(Hoja3!N37,"AAAAAHe17l4=")</f>
        <v>#VALUE!</v>
      </c>
      <c r="CR174" t="e">
        <f>AND(Hoja3!O37,"AAAAAHe17l8=")</f>
        <v>#VALUE!</v>
      </c>
      <c r="CS174" t="e">
        <f>AND(Hoja3!P37,"AAAAAHe17mA=")</f>
        <v>#VALUE!</v>
      </c>
      <c r="CT174" t="e">
        <f>AND(Hoja3!Q37,"AAAAAHe17mE=")</f>
        <v>#VALUE!</v>
      </c>
      <c r="CU174" s="60">
        <f>IF(Hoja3!38:38,"AAAAAHe17mI=",0)</f>
        <v>0</v>
      </c>
      <c r="CV174" t="e">
        <f>AND(Hoja3!A38,"AAAAAHe17mM=")</f>
        <v>#VALUE!</v>
      </c>
      <c r="CW174" t="e">
        <f>AND(Hoja3!B38,"AAAAAHe17mQ=")</f>
        <v>#VALUE!</v>
      </c>
      <c r="CX174" t="e">
        <f>AND(Hoja3!C38,"AAAAAHe17mU=")</f>
        <v>#VALUE!</v>
      </c>
      <c r="CY174" t="e">
        <f>AND(Hoja3!D38,"AAAAAHe17mY=")</f>
        <v>#VALUE!</v>
      </c>
      <c r="CZ174" t="e">
        <f>AND(Hoja3!E38,"AAAAAHe17mc=")</f>
        <v>#VALUE!</v>
      </c>
      <c r="DA174" t="e">
        <f>AND(Hoja3!F38,"AAAAAHe17mg=")</f>
        <v>#VALUE!</v>
      </c>
      <c r="DB174" t="e">
        <f>AND(Hoja3!G38,"AAAAAHe17mk=")</f>
        <v>#VALUE!</v>
      </c>
      <c r="DC174" t="e">
        <f>AND(Hoja3!H38,"AAAAAHe17mo=")</f>
        <v>#VALUE!</v>
      </c>
      <c r="DD174" t="e">
        <f>AND(Hoja3!I38,"AAAAAHe17ms=")</f>
        <v>#VALUE!</v>
      </c>
      <c r="DE174" t="e">
        <f>AND(Hoja3!J38,"AAAAAHe17mw=")</f>
        <v>#VALUE!</v>
      </c>
      <c r="DF174" t="e">
        <f>AND(Hoja3!K38,"AAAAAHe17m0=")</f>
        <v>#VALUE!</v>
      </c>
      <c r="DG174" t="e">
        <f>AND(Hoja3!L38,"AAAAAHe17m4=")</f>
        <v>#VALUE!</v>
      </c>
      <c r="DH174" t="e">
        <f>AND(Hoja3!M38,"AAAAAHe17m8=")</f>
        <v>#VALUE!</v>
      </c>
      <c r="DI174" t="e">
        <f>AND(Hoja3!N38,"AAAAAHe17nA=")</f>
        <v>#VALUE!</v>
      </c>
      <c r="DJ174" t="e">
        <f>AND(Hoja3!O38,"AAAAAHe17nE=")</f>
        <v>#VALUE!</v>
      </c>
      <c r="DK174" t="e">
        <f>AND(Hoja3!P38,"AAAAAHe17nI=")</f>
        <v>#VALUE!</v>
      </c>
      <c r="DL174" t="e">
        <f>AND(Hoja3!Q38,"AAAAAHe17nM=")</f>
        <v>#VALUE!</v>
      </c>
      <c r="DM174" s="60">
        <f>IF(Hoja3!39:39,"AAAAAHe17nQ=",0)</f>
        <v>0</v>
      </c>
      <c r="DN174" t="e">
        <f>AND(Hoja3!A39,"AAAAAHe17nU=")</f>
        <v>#VALUE!</v>
      </c>
      <c r="DO174" t="e">
        <f>AND(Hoja3!B39,"AAAAAHe17nY=")</f>
        <v>#VALUE!</v>
      </c>
      <c r="DP174" t="e">
        <f>AND(Hoja3!C39,"AAAAAHe17nc=")</f>
        <v>#VALUE!</v>
      </c>
      <c r="DQ174" t="e">
        <f>AND(Hoja3!D39,"AAAAAHe17ng=")</f>
        <v>#VALUE!</v>
      </c>
      <c r="DR174" t="e">
        <f>AND(Hoja3!E39,"AAAAAHe17nk=")</f>
        <v>#VALUE!</v>
      </c>
      <c r="DS174" t="e">
        <f>AND(Hoja3!F39,"AAAAAHe17no=")</f>
        <v>#VALUE!</v>
      </c>
      <c r="DT174" t="e">
        <f>AND(Hoja3!G39,"AAAAAHe17ns=")</f>
        <v>#VALUE!</v>
      </c>
      <c r="DU174" t="e">
        <f>AND(Hoja3!H39,"AAAAAHe17nw=")</f>
        <v>#VALUE!</v>
      </c>
      <c r="DV174" t="e">
        <f>AND(Hoja3!I39,"AAAAAHe17n0=")</f>
        <v>#VALUE!</v>
      </c>
      <c r="DW174" t="e">
        <f>AND(Hoja3!J39,"AAAAAHe17n4=")</f>
        <v>#VALUE!</v>
      </c>
      <c r="DX174" t="e">
        <f>AND(Hoja3!K39,"AAAAAHe17n8=")</f>
        <v>#VALUE!</v>
      </c>
      <c r="DY174" t="e">
        <f>AND(Hoja3!L39,"AAAAAHe17oA=")</f>
        <v>#VALUE!</v>
      </c>
      <c r="DZ174" t="e">
        <f>AND(Hoja3!M39,"AAAAAHe17oE=")</f>
        <v>#VALUE!</v>
      </c>
      <c r="EA174" t="e">
        <f>AND(Hoja3!N39,"AAAAAHe17oI=")</f>
        <v>#VALUE!</v>
      </c>
      <c r="EB174" t="e">
        <f>AND(Hoja3!O39,"AAAAAHe17oM=")</f>
        <v>#VALUE!</v>
      </c>
      <c r="EC174" t="e">
        <f>AND(Hoja3!P39,"AAAAAHe17oQ=")</f>
        <v>#VALUE!</v>
      </c>
      <c r="ED174" t="e">
        <f>AND(Hoja3!Q39,"AAAAAHe17oU=")</f>
        <v>#VALUE!</v>
      </c>
      <c r="EE174" s="60">
        <f>IF(Hoja3!40:40,"AAAAAHe17oY=",0)</f>
        <v>0</v>
      </c>
      <c r="EF174" t="e">
        <f>AND(Hoja3!A40,"AAAAAHe17oc=")</f>
        <v>#VALUE!</v>
      </c>
      <c r="EG174" t="e">
        <f>AND(Hoja3!B40,"AAAAAHe17og=")</f>
        <v>#VALUE!</v>
      </c>
      <c r="EH174" t="e">
        <f>AND(Hoja3!C40,"AAAAAHe17ok=")</f>
        <v>#VALUE!</v>
      </c>
      <c r="EI174" t="e">
        <f>AND(Hoja3!D40,"AAAAAHe17oo=")</f>
        <v>#VALUE!</v>
      </c>
      <c r="EJ174" t="e">
        <f>AND(Hoja3!E40,"AAAAAHe17os=")</f>
        <v>#VALUE!</v>
      </c>
      <c r="EK174" t="e">
        <f>AND(Hoja3!F40,"AAAAAHe17ow=")</f>
        <v>#VALUE!</v>
      </c>
      <c r="EL174" t="e">
        <f>AND(Hoja3!G40,"AAAAAHe17o0=")</f>
        <v>#VALUE!</v>
      </c>
      <c r="EM174" t="e">
        <f>AND(Hoja3!H40,"AAAAAHe17o4=")</f>
        <v>#VALUE!</v>
      </c>
      <c r="EN174" t="e">
        <f>AND(Hoja3!I40,"AAAAAHe17o8=")</f>
        <v>#VALUE!</v>
      </c>
      <c r="EO174" t="e">
        <f>AND(Hoja3!J40,"AAAAAHe17pA=")</f>
        <v>#VALUE!</v>
      </c>
      <c r="EP174" t="e">
        <f>AND(Hoja3!K40,"AAAAAHe17pE=")</f>
        <v>#VALUE!</v>
      </c>
      <c r="EQ174" t="e">
        <f>AND(Hoja3!L40,"AAAAAHe17pI=")</f>
        <v>#VALUE!</v>
      </c>
      <c r="ER174" t="e">
        <f>AND(Hoja3!M40,"AAAAAHe17pM=")</f>
        <v>#VALUE!</v>
      </c>
      <c r="ES174" t="e">
        <f>AND(Hoja3!N40,"AAAAAHe17pQ=")</f>
        <v>#VALUE!</v>
      </c>
      <c r="ET174" t="e">
        <f>AND(Hoja3!O40,"AAAAAHe17pU=")</f>
        <v>#VALUE!</v>
      </c>
      <c r="EU174" t="e">
        <f>AND(Hoja3!P40,"AAAAAHe17pY=")</f>
        <v>#VALUE!</v>
      </c>
      <c r="EV174" t="e">
        <f>AND(Hoja3!Q40,"AAAAAHe17pc=")</f>
        <v>#VALUE!</v>
      </c>
      <c r="EW174" s="60">
        <f>IF(Hoja3!41:41,"AAAAAHe17pg=",0)</f>
        <v>0</v>
      </c>
      <c r="EX174" t="e">
        <f>AND(Hoja3!A41,"AAAAAHe17pk=")</f>
        <v>#VALUE!</v>
      </c>
      <c r="EY174" t="e">
        <f>AND(Hoja3!B41,"AAAAAHe17po=")</f>
        <v>#VALUE!</v>
      </c>
      <c r="EZ174" t="e">
        <f>AND(Hoja3!C41,"AAAAAHe17ps=")</f>
        <v>#VALUE!</v>
      </c>
      <c r="FA174" t="e">
        <f>AND(Hoja3!D41,"AAAAAHe17pw=")</f>
        <v>#VALUE!</v>
      </c>
      <c r="FB174" t="e">
        <f>AND(Hoja3!E41,"AAAAAHe17p0=")</f>
        <v>#VALUE!</v>
      </c>
      <c r="FC174" t="e">
        <f>AND(Hoja3!F41,"AAAAAHe17p4=")</f>
        <v>#VALUE!</v>
      </c>
      <c r="FD174" t="e">
        <f>AND(Hoja3!G41,"AAAAAHe17p8=")</f>
        <v>#VALUE!</v>
      </c>
      <c r="FE174" t="e">
        <f>AND(Hoja3!H41,"AAAAAHe17qA=")</f>
        <v>#VALUE!</v>
      </c>
      <c r="FF174" t="e">
        <f>AND(Hoja3!I41,"AAAAAHe17qE=")</f>
        <v>#VALUE!</v>
      </c>
      <c r="FG174" t="e">
        <f>AND(Hoja3!J41,"AAAAAHe17qI=")</f>
        <v>#VALUE!</v>
      </c>
      <c r="FH174" t="e">
        <f>AND(Hoja3!K41,"AAAAAHe17qM=")</f>
        <v>#VALUE!</v>
      </c>
      <c r="FI174" t="e">
        <f>AND(Hoja3!L41,"AAAAAHe17qQ=")</f>
        <v>#VALUE!</v>
      </c>
      <c r="FJ174" t="e">
        <f>AND(Hoja3!M41,"AAAAAHe17qU=")</f>
        <v>#VALUE!</v>
      </c>
      <c r="FK174" t="e">
        <f>AND(Hoja3!N41,"AAAAAHe17qY=")</f>
        <v>#VALUE!</v>
      </c>
      <c r="FL174" t="e">
        <f>AND(Hoja3!O41,"AAAAAHe17qc=")</f>
        <v>#VALUE!</v>
      </c>
      <c r="FM174" t="e">
        <f>AND(Hoja3!P41,"AAAAAHe17qg=")</f>
        <v>#VALUE!</v>
      </c>
      <c r="FN174" t="e">
        <f>AND(Hoja3!Q41,"AAAAAHe17qk=")</f>
        <v>#VALUE!</v>
      </c>
      <c r="FO174" s="60">
        <f>IF(Hoja3!42:42,"AAAAAHe17qo=",0)</f>
        <v>0</v>
      </c>
      <c r="FP174" t="e">
        <f>AND(Hoja3!A42,"AAAAAHe17qs=")</f>
        <v>#VALUE!</v>
      </c>
      <c r="FQ174" t="e">
        <f>AND(Hoja3!B42,"AAAAAHe17qw=")</f>
        <v>#VALUE!</v>
      </c>
      <c r="FR174" t="e">
        <f>AND(Hoja3!C42,"AAAAAHe17q0=")</f>
        <v>#VALUE!</v>
      </c>
      <c r="FS174" t="e">
        <f>AND(Hoja3!D42,"AAAAAHe17q4=")</f>
        <v>#VALUE!</v>
      </c>
      <c r="FT174" t="e">
        <f>AND(Hoja3!E42,"AAAAAHe17q8=")</f>
        <v>#VALUE!</v>
      </c>
      <c r="FU174" t="e">
        <f>AND(Hoja3!F42,"AAAAAHe17rA=")</f>
        <v>#VALUE!</v>
      </c>
      <c r="FV174" t="e">
        <f>AND(Hoja3!G42,"AAAAAHe17rE=")</f>
        <v>#VALUE!</v>
      </c>
      <c r="FW174" t="e">
        <f>AND(Hoja3!H42,"AAAAAHe17rI=")</f>
        <v>#VALUE!</v>
      </c>
      <c r="FX174" t="e">
        <f>AND(Hoja3!I42,"AAAAAHe17rM=")</f>
        <v>#VALUE!</v>
      </c>
      <c r="FY174" t="e">
        <f>AND(Hoja3!J42,"AAAAAHe17rQ=")</f>
        <v>#VALUE!</v>
      </c>
      <c r="FZ174" t="e">
        <f>AND(Hoja3!K42,"AAAAAHe17rU=")</f>
        <v>#VALUE!</v>
      </c>
      <c r="GA174" t="e">
        <f>AND(Hoja3!L42,"AAAAAHe17rY=")</f>
        <v>#VALUE!</v>
      </c>
      <c r="GB174" t="e">
        <f>AND(Hoja3!M42,"AAAAAHe17rc=")</f>
        <v>#VALUE!</v>
      </c>
      <c r="GC174" t="e">
        <f>AND(Hoja3!N42,"AAAAAHe17rg=")</f>
        <v>#VALUE!</v>
      </c>
      <c r="GD174" t="e">
        <f>AND(Hoja3!O42,"AAAAAHe17rk=")</f>
        <v>#VALUE!</v>
      </c>
      <c r="GE174" t="e">
        <f>AND(Hoja3!P42,"AAAAAHe17ro=")</f>
        <v>#VALUE!</v>
      </c>
      <c r="GF174" t="e">
        <f>AND(Hoja3!Q42,"AAAAAHe17rs=")</f>
        <v>#VALUE!</v>
      </c>
      <c r="GG174" s="60">
        <f>IF(Hoja3!43:43,"AAAAAHe17rw=",0)</f>
        <v>0</v>
      </c>
      <c r="GH174" t="e">
        <f>AND(Hoja3!A43,"AAAAAHe17r0=")</f>
        <v>#VALUE!</v>
      </c>
      <c r="GI174" t="e">
        <f>AND(Hoja3!B43,"AAAAAHe17r4=")</f>
        <v>#VALUE!</v>
      </c>
      <c r="GJ174" t="e">
        <f>AND(Hoja3!C43,"AAAAAHe17r8=")</f>
        <v>#VALUE!</v>
      </c>
      <c r="GK174" t="e">
        <f>AND(Hoja3!D43,"AAAAAHe17sA=")</f>
        <v>#VALUE!</v>
      </c>
      <c r="GL174" t="e">
        <f>AND(Hoja3!E43,"AAAAAHe17sE=")</f>
        <v>#VALUE!</v>
      </c>
      <c r="GM174" t="e">
        <f>AND(Hoja3!F43,"AAAAAHe17sI=")</f>
        <v>#VALUE!</v>
      </c>
      <c r="GN174" t="e">
        <f>AND(Hoja3!G43,"AAAAAHe17sM=")</f>
        <v>#VALUE!</v>
      </c>
      <c r="GO174" t="e">
        <f>AND(Hoja3!H43,"AAAAAHe17sQ=")</f>
        <v>#VALUE!</v>
      </c>
      <c r="GP174" t="e">
        <f>AND(Hoja3!I43,"AAAAAHe17sU=")</f>
        <v>#VALUE!</v>
      </c>
      <c r="GQ174" t="e">
        <f>AND(Hoja3!J43,"AAAAAHe17sY=")</f>
        <v>#VALUE!</v>
      </c>
      <c r="GR174" t="e">
        <f>AND(Hoja3!K43,"AAAAAHe17sc=")</f>
        <v>#VALUE!</v>
      </c>
      <c r="GS174" t="e">
        <f>AND(Hoja3!L43,"AAAAAHe17sg=")</f>
        <v>#VALUE!</v>
      </c>
      <c r="GT174" t="e">
        <f>AND(Hoja3!M43,"AAAAAHe17sk=")</f>
        <v>#VALUE!</v>
      </c>
      <c r="GU174" t="e">
        <f>AND(Hoja3!N43,"AAAAAHe17so=")</f>
        <v>#VALUE!</v>
      </c>
      <c r="GV174" t="e">
        <f>AND(Hoja3!O43,"AAAAAHe17ss=")</f>
        <v>#VALUE!</v>
      </c>
      <c r="GW174" t="e">
        <f>AND(Hoja3!P43,"AAAAAHe17sw=")</f>
        <v>#VALUE!</v>
      </c>
      <c r="GX174" t="e">
        <f>AND(Hoja3!Q43,"AAAAAHe17s0=")</f>
        <v>#VALUE!</v>
      </c>
      <c r="GY174" s="60">
        <f>IF(Hoja3!44:44,"AAAAAHe17s4=",0)</f>
        <v>0</v>
      </c>
      <c r="GZ174" t="e">
        <f>AND(Hoja3!A44,"AAAAAHe17s8=")</f>
        <v>#VALUE!</v>
      </c>
      <c r="HA174" t="e">
        <f>AND(Hoja3!B44,"AAAAAHe17tA=")</f>
        <v>#VALUE!</v>
      </c>
      <c r="HB174" t="e">
        <f>AND(Hoja3!C44,"AAAAAHe17tE=")</f>
        <v>#VALUE!</v>
      </c>
      <c r="HC174" t="e">
        <f>AND(Hoja3!D44,"AAAAAHe17tI=")</f>
        <v>#VALUE!</v>
      </c>
      <c r="HD174" t="e">
        <f>AND(Hoja3!E44,"AAAAAHe17tM=")</f>
        <v>#VALUE!</v>
      </c>
      <c r="HE174" t="e">
        <f>AND(Hoja3!F44,"AAAAAHe17tQ=")</f>
        <v>#VALUE!</v>
      </c>
      <c r="HF174" t="e">
        <f>AND(Hoja3!G44,"AAAAAHe17tU=")</f>
        <v>#VALUE!</v>
      </c>
      <c r="HG174" t="e">
        <f>AND(Hoja3!H44,"AAAAAHe17tY=")</f>
        <v>#VALUE!</v>
      </c>
      <c r="HH174" t="e">
        <f>AND(Hoja3!I44,"AAAAAHe17tc=")</f>
        <v>#VALUE!</v>
      </c>
      <c r="HI174" t="e">
        <f>AND(Hoja3!J44,"AAAAAHe17tg=")</f>
        <v>#VALUE!</v>
      </c>
      <c r="HJ174" t="e">
        <f>AND(Hoja3!K44,"AAAAAHe17tk=")</f>
        <v>#VALUE!</v>
      </c>
      <c r="HK174" t="e">
        <f>AND(Hoja3!L44,"AAAAAHe17to=")</f>
        <v>#VALUE!</v>
      </c>
      <c r="HL174" t="e">
        <f>AND(Hoja3!M44,"AAAAAHe17ts=")</f>
        <v>#VALUE!</v>
      </c>
      <c r="HM174" t="e">
        <f>AND(Hoja3!N44,"AAAAAHe17tw=")</f>
        <v>#VALUE!</v>
      </c>
      <c r="HN174" t="e">
        <f>AND(Hoja3!O44,"AAAAAHe17t0=")</f>
        <v>#VALUE!</v>
      </c>
      <c r="HO174" t="e">
        <f>AND(Hoja3!P44,"AAAAAHe17t4=")</f>
        <v>#VALUE!</v>
      </c>
      <c r="HP174" t="e">
        <f>AND(Hoja3!Q44,"AAAAAHe17t8=")</f>
        <v>#VALUE!</v>
      </c>
      <c r="HQ174" s="60">
        <f>IF(Hoja3!45:45,"AAAAAHe17uA=",0)</f>
        <v>0</v>
      </c>
      <c r="HR174" t="e">
        <f>AND(Hoja3!A45,"AAAAAHe17uE=")</f>
        <v>#VALUE!</v>
      </c>
      <c r="HS174" t="e">
        <f>AND(Hoja3!B45,"AAAAAHe17uI=")</f>
        <v>#VALUE!</v>
      </c>
      <c r="HT174" t="e">
        <f>AND(Hoja3!C45,"AAAAAHe17uM=")</f>
        <v>#VALUE!</v>
      </c>
      <c r="HU174" t="e">
        <f>AND(Hoja3!D45,"AAAAAHe17uQ=")</f>
        <v>#VALUE!</v>
      </c>
      <c r="HV174" t="e">
        <f>AND(Hoja3!E45,"AAAAAHe17uU=")</f>
        <v>#VALUE!</v>
      </c>
      <c r="HW174" t="e">
        <f>AND(Hoja3!F45,"AAAAAHe17uY=")</f>
        <v>#VALUE!</v>
      </c>
      <c r="HX174" t="e">
        <f>AND(Hoja3!G45,"AAAAAHe17uc=")</f>
        <v>#VALUE!</v>
      </c>
      <c r="HY174" t="e">
        <f>AND(Hoja3!H45,"AAAAAHe17ug=")</f>
        <v>#VALUE!</v>
      </c>
      <c r="HZ174" t="e">
        <f>AND(Hoja3!I45,"AAAAAHe17uk=")</f>
        <v>#VALUE!</v>
      </c>
      <c r="IA174" t="e">
        <f>AND(Hoja3!J45,"AAAAAHe17uo=")</f>
        <v>#VALUE!</v>
      </c>
      <c r="IB174" t="e">
        <f>AND(Hoja3!K45,"AAAAAHe17us=")</f>
        <v>#VALUE!</v>
      </c>
      <c r="IC174" t="e">
        <f>AND(Hoja3!L45,"AAAAAHe17uw=")</f>
        <v>#VALUE!</v>
      </c>
      <c r="ID174" t="e">
        <f>AND(Hoja3!M45,"AAAAAHe17u0=")</f>
        <v>#VALUE!</v>
      </c>
      <c r="IE174" t="e">
        <f>AND(Hoja3!N45,"AAAAAHe17u4=")</f>
        <v>#VALUE!</v>
      </c>
      <c r="IF174" t="e">
        <f>AND(Hoja3!O45,"AAAAAHe17u8=")</f>
        <v>#VALUE!</v>
      </c>
      <c r="IG174" t="e">
        <f>AND(Hoja3!P45,"AAAAAHe17vA=")</f>
        <v>#VALUE!</v>
      </c>
      <c r="IH174" t="e">
        <f>AND(Hoja3!Q45,"AAAAAHe17vE=")</f>
        <v>#VALUE!</v>
      </c>
      <c r="II174" s="60">
        <f>IF(Hoja3!46:46,"AAAAAHe17vI=",0)</f>
        <v>0</v>
      </c>
      <c r="IJ174" t="e">
        <f>AND(Hoja3!A46,"AAAAAHe17vM=")</f>
        <v>#VALUE!</v>
      </c>
      <c r="IK174" t="e">
        <f>AND(Hoja3!B46,"AAAAAHe17vQ=")</f>
        <v>#VALUE!</v>
      </c>
      <c r="IL174" t="e">
        <f>AND(Hoja3!C46,"AAAAAHe17vU=")</f>
        <v>#VALUE!</v>
      </c>
      <c r="IM174" t="e">
        <f>AND(Hoja3!D46,"AAAAAHe17vY=")</f>
        <v>#VALUE!</v>
      </c>
      <c r="IN174" t="e">
        <f>AND(Hoja3!E46,"AAAAAHe17vc=")</f>
        <v>#VALUE!</v>
      </c>
      <c r="IO174" t="e">
        <f>AND(Hoja3!F46,"AAAAAHe17vg=")</f>
        <v>#VALUE!</v>
      </c>
      <c r="IP174" t="e">
        <f>AND(Hoja3!G46,"AAAAAHe17vk=")</f>
        <v>#VALUE!</v>
      </c>
      <c r="IQ174" t="e">
        <f>AND(Hoja3!H46,"AAAAAHe17vo=")</f>
        <v>#VALUE!</v>
      </c>
      <c r="IR174" t="e">
        <f>AND(Hoja3!I46,"AAAAAHe17vs=")</f>
        <v>#VALUE!</v>
      </c>
      <c r="IS174" t="e">
        <f>AND(Hoja3!J46,"AAAAAHe17vw=")</f>
        <v>#VALUE!</v>
      </c>
      <c r="IT174" t="e">
        <f>AND(Hoja3!K46,"AAAAAHe17v0=")</f>
        <v>#VALUE!</v>
      </c>
      <c r="IU174" t="e">
        <f>AND(Hoja3!L46,"AAAAAHe17v4=")</f>
        <v>#VALUE!</v>
      </c>
      <c r="IV174" t="e">
        <f>AND(Hoja3!M46,"AAAAAHe17v8=")</f>
        <v>#VALUE!</v>
      </c>
    </row>
    <row r="175" spans="1:256" ht="15" customHeight="1" x14ac:dyDescent="0.25">
      <c r="A175" t="e">
        <f>AND(Hoja3!N46,"AAAAAD/v/QA=")</f>
        <v>#VALUE!</v>
      </c>
      <c r="B175" t="e">
        <f>AND(Hoja3!O46,"AAAAAD/v/QE=")</f>
        <v>#VALUE!</v>
      </c>
      <c r="C175" t="e">
        <f>AND(Hoja3!P46,"AAAAAD/v/QI=")</f>
        <v>#VALUE!</v>
      </c>
      <c r="D175" t="e">
        <f>AND(Hoja3!Q46,"AAAAAD/v/QM=")</f>
        <v>#VALUE!</v>
      </c>
      <c r="E175" s="60">
        <f>IF(Hoja3!47:47,"AAAAAD/v/QQ=",0)</f>
        <v>0</v>
      </c>
      <c r="F175" t="e">
        <f>AND(Hoja3!A47,"AAAAAD/v/QU=")</f>
        <v>#VALUE!</v>
      </c>
      <c r="G175" t="e">
        <f>AND(Hoja3!B47,"AAAAAD/v/QY=")</f>
        <v>#VALUE!</v>
      </c>
      <c r="H175" t="e">
        <f>AND(Hoja3!C47,"AAAAAD/v/Qc=")</f>
        <v>#VALUE!</v>
      </c>
      <c r="I175" t="e">
        <f>AND(Hoja3!D47,"AAAAAD/v/Qg=")</f>
        <v>#VALUE!</v>
      </c>
      <c r="J175" t="e">
        <f>AND(Hoja3!E47,"AAAAAD/v/Qk=")</f>
        <v>#VALUE!</v>
      </c>
      <c r="K175" t="e">
        <f>AND(Hoja3!F47,"AAAAAD/v/Qo=")</f>
        <v>#VALUE!</v>
      </c>
      <c r="L175" t="e">
        <f>AND(Hoja3!G47,"AAAAAD/v/Qs=")</f>
        <v>#VALUE!</v>
      </c>
      <c r="M175" t="e">
        <f>AND(Hoja3!H47,"AAAAAD/v/Qw=")</f>
        <v>#VALUE!</v>
      </c>
      <c r="N175" t="e">
        <f>AND(Hoja3!I47,"AAAAAD/v/Q0=")</f>
        <v>#VALUE!</v>
      </c>
      <c r="O175" t="e">
        <f>AND(Hoja3!J47,"AAAAAD/v/Q4=")</f>
        <v>#VALUE!</v>
      </c>
      <c r="P175" t="e">
        <f>AND(Hoja3!K47,"AAAAAD/v/Q8=")</f>
        <v>#VALUE!</v>
      </c>
      <c r="Q175" t="e">
        <f>AND(Hoja3!L47,"AAAAAD/v/RA=")</f>
        <v>#VALUE!</v>
      </c>
      <c r="R175" t="e">
        <f>AND(Hoja3!M47,"AAAAAD/v/RE=")</f>
        <v>#VALUE!</v>
      </c>
      <c r="S175" t="e">
        <f>AND(Hoja3!N47,"AAAAAD/v/RI=")</f>
        <v>#VALUE!</v>
      </c>
      <c r="T175" t="e">
        <f>AND(Hoja3!O47,"AAAAAD/v/RM=")</f>
        <v>#VALUE!</v>
      </c>
      <c r="U175" t="e">
        <f>AND(Hoja3!P47,"AAAAAD/v/RQ=")</f>
        <v>#VALUE!</v>
      </c>
      <c r="V175" t="e">
        <f>AND(Hoja3!Q47,"AAAAAD/v/RU=")</f>
        <v>#VALUE!</v>
      </c>
      <c r="W175" s="60">
        <f>IF(Hoja3!48:48,"AAAAAD/v/RY=",0)</f>
        <v>0</v>
      </c>
      <c r="X175" t="e">
        <f>AND(Hoja3!A48,"AAAAAD/v/Rc=")</f>
        <v>#VALUE!</v>
      </c>
      <c r="Y175" t="e">
        <f>AND(Hoja3!B48,"AAAAAD/v/Rg=")</f>
        <v>#VALUE!</v>
      </c>
      <c r="Z175" t="e">
        <f>AND(Hoja3!C48,"AAAAAD/v/Rk=")</f>
        <v>#VALUE!</v>
      </c>
      <c r="AA175" t="e">
        <f>AND(Hoja3!D48,"AAAAAD/v/Ro=")</f>
        <v>#VALUE!</v>
      </c>
      <c r="AB175" t="e">
        <f>AND(Hoja3!E48,"AAAAAD/v/Rs=")</f>
        <v>#VALUE!</v>
      </c>
      <c r="AC175" t="e">
        <f>AND(Hoja3!F48,"AAAAAD/v/Rw=")</f>
        <v>#VALUE!</v>
      </c>
      <c r="AD175" t="e">
        <f>AND(Hoja3!G48,"AAAAAD/v/R0=")</f>
        <v>#VALUE!</v>
      </c>
      <c r="AE175" t="e">
        <f>AND(Hoja3!H48,"AAAAAD/v/R4=")</f>
        <v>#VALUE!</v>
      </c>
      <c r="AF175" t="e">
        <f>AND(Hoja3!I48,"AAAAAD/v/R8=")</f>
        <v>#VALUE!</v>
      </c>
      <c r="AG175" t="e">
        <f>AND(Hoja3!J48,"AAAAAD/v/SA=")</f>
        <v>#VALUE!</v>
      </c>
      <c r="AH175" t="e">
        <f>AND(Hoja3!K48,"AAAAAD/v/SE=")</f>
        <v>#VALUE!</v>
      </c>
      <c r="AI175" t="e">
        <f>AND(Hoja3!L48,"AAAAAD/v/SI=")</f>
        <v>#VALUE!</v>
      </c>
      <c r="AJ175" t="e">
        <f>AND(Hoja3!M48,"AAAAAD/v/SM=")</f>
        <v>#VALUE!</v>
      </c>
      <c r="AK175" t="e">
        <f>AND(Hoja3!N48,"AAAAAD/v/SQ=")</f>
        <v>#VALUE!</v>
      </c>
      <c r="AL175" t="e">
        <f>AND(Hoja3!O48,"AAAAAD/v/SU=")</f>
        <v>#VALUE!</v>
      </c>
      <c r="AM175" t="e">
        <f>AND(Hoja3!P48,"AAAAAD/v/SY=")</f>
        <v>#VALUE!</v>
      </c>
      <c r="AN175" t="e">
        <f>AND(Hoja3!Q48,"AAAAAD/v/Sc=")</f>
        <v>#VALUE!</v>
      </c>
      <c r="AO175" s="60">
        <f>IF(Hoja3!49:49,"AAAAAD/v/Sg=",0)</f>
        <v>0</v>
      </c>
      <c r="AP175" t="e">
        <f>AND(Hoja3!A49,"AAAAAD/v/Sk=")</f>
        <v>#VALUE!</v>
      </c>
      <c r="AQ175" t="e">
        <f>AND(Hoja3!B49,"AAAAAD/v/So=")</f>
        <v>#VALUE!</v>
      </c>
      <c r="AR175" t="e">
        <f>AND(Hoja3!C49,"AAAAAD/v/Ss=")</f>
        <v>#VALUE!</v>
      </c>
      <c r="AS175" t="e">
        <f>AND(Hoja3!D49,"AAAAAD/v/Sw=")</f>
        <v>#VALUE!</v>
      </c>
      <c r="AT175" t="e">
        <f>AND(Hoja3!E49,"AAAAAD/v/S0=")</f>
        <v>#VALUE!</v>
      </c>
      <c r="AU175" t="e">
        <f>AND(Hoja3!F49,"AAAAAD/v/S4=")</f>
        <v>#VALUE!</v>
      </c>
      <c r="AV175" t="e">
        <f>AND(Hoja3!G49,"AAAAAD/v/S8=")</f>
        <v>#VALUE!</v>
      </c>
      <c r="AW175" t="e">
        <f>AND(Hoja3!H49,"AAAAAD/v/TA=")</f>
        <v>#VALUE!</v>
      </c>
      <c r="AX175" t="e">
        <f>AND(Hoja3!I49,"AAAAAD/v/TE=")</f>
        <v>#VALUE!</v>
      </c>
      <c r="AY175" t="e">
        <f>AND(Hoja3!J49,"AAAAAD/v/TI=")</f>
        <v>#VALUE!</v>
      </c>
      <c r="AZ175" t="e">
        <f>AND(Hoja3!K49,"AAAAAD/v/TM=")</f>
        <v>#VALUE!</v>
      </c>
      <c r="BA175" t="e">
        <f>AND(Hoja3!L49,"AAAAAD/v/TQ=")</f>
        <v>#VALUE!</v>
      </c>
      <c r="BB175" t="e">
        <f>AND(Hoja3!M49,"AAAAAD/v/TU=")</f>
        <v>#VALUE!</v>
      </c>
      <c r="BC175" t="e">
        <f>AND(Hoja3!N49,"AAAAAD/v/TY=")</f>
        <v>#VALUE!</v>
      </c>
      <c r="BD175" t="e">
        <f>AND(Hoja3!O49,"AAAAAD/v/Tc=")</f>
        <v>#VALUE!</v>
      </c>
      <c r="BE175" t="e">
        <f>AND(Hoja3!P49,"AAAAAD/v/Tg=")</f>
        <v>#VALUE!</v>
      </c>
      <c r="BF175" t="e">
        <f>AND(Hoja3!Q49,"AAAAAD/v/Tk=")</f>
        <v>#VALUE!</v>
      </c>
      <c r="BG175" s="60">
        <f>IF(Hoja3!50:50,"AAAAAD/v/To=",0)</f>
        <v>0</v>
      </c>
      <c r="BH175" t="e">
        <f>AND(Hoja3!A50,"AAAAAD/v/Ts=")</f>
        <v>#VALUE!</v>
      </c>
      <c r="BI175" t="e">
        <f>AND(Hoja3!B50,"AAAAAD/v/Tw=")</f>
        <v>#VALUE!</v>
      </c>
      <c r="BJ175" t="e">
        <f>AND(Hoja3!C50,"AAAAAD/v/T0=")</f>
        <v>#VALUE!</v>
      </c>
      <c r="BK175" t="e">
        <f>AND(Hoja3!D50,"AAAAAD/v/T4=")</f>
        <v>#VALUE!</v>
      </c>
      <c r="BL175" t="e">
        <f>AND(Hoja3!E50,"AAAAAD/v/T8=")</f>
        <v>#VALUE!</v>
      </c>
      <c r="BM175" t="e">
        <f>AND(Hoja3!F50,"AAAAAD/v/UA=")</f>
        <v>#VALUE!</v>
      </c>
      <c r="BN175" t="e">
        <f>AND(Hoja3!G50,"AAAAAD/v/UE=")</f>
        <v>#VALUE!</v>
      </c>
      <c r="BO175" t="e">
        <f>AND(Hoja3!H50,"AAAAAD/v/UI=")</f>
        <v>#VALUE!</v>
      </c>
      <c r="BP175" t="e">
        <f>AND(Hoja3!I50,"AAAAAD/v/UM=")</f>
        <v>#VALUE!</v>
      </c>
      <c r="BQ175" t="e">
        <f>AND(Hoja3!J50,"AAAAAD/v/UQ=")</f>
        <v>#VALUE!</v>
      </c>
      <c r="BR175" t="e">
        <f>AND(Hoja3!K50,"AAAAAD/v/UU=")</f>
        <v>#VALUE!</v>
      </c>
      <c r="BS175" t="e">
        <f>AND(Hoja3!L50,"AAAAAD/v/UY=")</f>
        <v>#VALUE!</v>
      </c>
      <c r="BT175" t="e">
        <f>AND(Hoja3!M50,"AAAAAD/v/Uc=")</f>
        <v>#VALUE!</v>
      </c>
      <c r="BU175" t="e">
        <f>AND(Hoja3!N50,"AAAAAD/v/Ug=")</f>
        <v>#VALUE!</v>
      </c>
      <c r="BV175" t="e">
        <f>AND(Hoja3!O50,"AAAAAD/v/Uk=")</f>
        <v>#VALUE!</v>
      </c>
      <c r="BW175" t="e">
        <f>AND(Hoja3!P50,"AAAAAD/v/Uo=")</f>
        <v>#VALUE!</v>
      </c>
      <c r="BX175" t="e">
        <f>AND(Hoja3!Q50,"AAAAAD/v/Us=")</f>
        <v>#VALUE!</v>
      </c>
      <c r="BY175" s="60">
        <f>IF(Hoja3!51:51,"AAAAAD/v/Uw=",0)</f>
        <v>0</v>
      </c>
      <c r="BZ175" t="e">
        <f>AND(Hoja3!A51,"AAAAAD/v/U0=")</f>
        <v>#VALUE!</v>
      </c>
      <c r="CA175" t="e">
        <f>AND(Hoja3!B51,"AAAAAD/v/U4=")</f>
        <v>#VALUE!</v>
      </c>
      <c r="CB175" t="e">
        <f>AND(Hoja3!C51,"AAAAAD/v/U8=")</f>
        <v>#VALUE!</v>
      </c>
      <c r="CC175" t="e">
        <f>AND(Hoja3!D51,"AAAAAD/v/VA=")</f>
        <v>#VALUE!</v>
      </c>
      <c r="CD175" t="e">
        <f>AND(Hoja3!E51,"AAAAAD/v/VE=")</f>
        <v>#VALUE!</v>
      </c>
      <c r="CE175" t="e">
        <f>AND(Hoja3!F51,"AAAAAD/v/VI=")</f>
        <v>#VALUE!</v>
      </c>
      <c r="CF175" t="e">
        <f>AND(Hoja3!G51,"AAAAAD/v/VM=")</f>
        <v>#VALUE!</v>
      </c>
      <c r="CG175" t="e">
        <f>AND(Hoja3!H51,"AAAAAD/v/VQ=")</f>
        <v>#VALUE!</v>
      </c>
      <c r="CH175" t="e">
        <f>AND(Hoja3!I51,"AAAAAD/v/VU=")</f>
        <v>#VALUE!</v>
      </c>
      <c r="CI175" t="e">
        <f>AND(Hoja3!J51,"AAAAAD/v/VY=")</f>
        <v>#VALUE!</v>
      </c>
      <c r="CJ175" t="e">
        <f>AND(Hoja3!K51,"AAAAAD/v/Vc=")</f>
        <v>#VALUE!</v>
      </c>
      <c r="CK175" t="e">
        <f>AND(Hoja3!L51,"AAAAAD/v/Vg=")</f>
        <v>#VALUE!</v>
      </c>
      <c r="CL175" t="e">
        <f>AND(Hoja3!M51,"AAAAAD/v/Vk=")</f>
        <v>#VALUE!</v>
      </c>
      <c r="CM175" t="e">
        <f>AND(Hoja3!N51,"AAAAAD/v/Vo=")</f>
        <v>#VALUE!</v>
      </c>
      <c r="CN175" t="e">
        <f>AND(Hoja3!O51,"AAAAAD/v/Vs=")</f>
        <v>#VALUE!</v>
      </c>
      <c r="CO175" t="e">
        <f>AND(Hoja3!P51,"AAAAAD/v/Vw=")</f>
        <v>#VALUE!</v>
      </c>
      <c r="CP175" t="e">
        <f>AND(Hoja3!Q51,"AAAAAD/v/V0=")</f>
        <v>#VALUE!</v>
      </c>
      <c r="CQ175" s="60">
        <f>IF(Hoja3!52:52,"AAAAAD/v/V4=",0)</f>
        <v>0</v>
      </c>
      <c r="CR175" t="e">
        <f>AND(Hoja3!A52,"AAAAAD/v/V8=")</f>
        <v>#VALUE!</v>
      </c>
      <c r="CS175" t="e">
        <f>AND(Hoja3!B52,"AAAAAD/v/WA=")</f>
        <v>#VALUE!</v>
      </c>
      <c r="CT175" t="e">
        <f>AND(Hoja3!C52,"AAAAAD/v/WE=")</f>
        <v>#VALUE!</v>
      </c>
      <c r="CU175" t="e">
        <f>AND(Hoja3!D52,"AAAAAD/v/WI=")</f>
        <v>#VALUE!</v>
      </c>
      <c r="CV175" t="e">
        <f>AND(Hoja3!E52,"AAAAAD/v/WM=")</f>
        <v>#VALUE!</v>
      </c>
      <c r="CW175" t="e">
        <f>AND(Hoja3!F52,"AAAAAD/v/WQ=")</f>
        <v>#VALUE!</v>
      </c>
      <c r="CX175" t="e">
        <f>AND(Hoja3!G52,"AAAAAD/v/WU=")</f>
        <v>#VALUE!</v>
      </c>
      <c r="CY175" t="e">
        <f>AND(Hoja3!H52,"AAAAAD/v/WY=")</f>
        <v>#VALUE!</v>
      </c>
      <c r="CZ175" t="e">
        <f>AND(Hoja3!I52,"AAAAAD/v/Wc=")</f>
        <v>#VALUE!</v>
      </c>
      <c r="DA175" t="e">
        <f>AND(Hoja3!J52,"AAAAAD/v/Wg=")</f>
        <v>#VALUE!</v>
      </c>
      <c r="DB175" t="e">
        <f>AND(Hoja3!K52,"AAAAAD/v/Wk=")</f>
        <v>#VALUE!</v>
      </c>
      <c r="DC175" t="e">
        <f>AND(Hoja3!L52,"AAAAAD/v/Wo=")</f>
        <v>#VALUE!</v>
      </c>
      <c r="DD175" t="e">
        <f>AND(Hoja3!M52,"AAAAAD/v/Ws=")</f>
        <v>#VALUE!</v>
      </c>
      <c r="DE175" t="e">
        <f>AND(Hoja3!N52,"AAAAAD/v/Ww=")</f>
        <v>#VALUE!</v>
      </c>
      <c r="DF175" t="e">
        <f>AND(Hoja3!O52,"AAAAAD/v/W0=")</f>
        <v>#VALUE!</v>
      </c>
      <c r="DG175" t="e">
        <f>AND(Hoja3!P52,"AAAAAD/v/W4=")</f>
        <v>#VALUE!</v>
      </c>
      <c r="DH175" t="e">
        <f>AND(Hoja3!Q52,"AAAAAD/v/W8=")</f>
        <v>#VALUE!</v>
      </c>
      <c r="DI175" s="60">
        <f>IF(Hoja3!53:53,"AAAAAD/v/XA=",0)</f>
        <v>0</v>
      </c>
      <c r="DJ175" t="e">
        <f>AND(Hoja3!A53,"AAAAAD/v/XE=")</f>
        <v>#VALUE!</v>
      </c>
      <c r="DK175" t="e">
        <f>AND(Hoja3!B53,"AAAAAD/v/XI=")</f>
        <v>#VALUE!</v>
      </c>
      <c r="DL175" t="e">
        <f>AND(Hoja3!C53,"AAAAAD/v/XM=")</f>
        <v>#VALUE!</v>
      </c>
      <c r="DM175" t="e">
        <f>AND(Hoja3!D53,"AAAAAD/v/XQ=")</f>
        <v>#VALUE!</v>
      </c>
      <c r="DN175" t="e">
        <f>AND(Hoja3!E53,"AAAAAD/v/XU=")</f>
        <v>#VALUE!</v>
      </c>
      <c r="DO175" t="e">
        <f>AND(Hoja3!F53,"AAAAAD/v/XY=")</f>
        <v>#VALUE!</v>
      </c>
      <c r="DP175" t="e">
        <f>AND(Hoja3!G53,"AAAAAD/v/Xc=")</f>
        <v>#VALUE!</v>
      </c>
      <c r="DQ175" t="e">
        <f>AND(Hoja3!H53,"AAAAAD/v/Xg=")</f>
        <v>#VALUE!</v>
      </c>
      <c r="DR175" t="e">
        <f>AND(Hoja3!I53,"AAAAAD/v/Xk=")</f>
        <v>#VALUE!</v>
      </c>
      <c r="DS175" t="e">
        <f>AND(Hoja3!J53,"AAAAAD/v/Xo=")</f>
        <v>#VALUE!</v>
      </c>
      <c r="DT175" t="e">
        <f>AND(Hoja3!K53,"AAAAAD/v/Xs=")</f>
        <v>#VALUE!</v>
      </c>
      <c r="DU175" t="e">
        <f>AND(Hoja3!L53,"AAAAAD/v/Xw=")</f>
        <v>#VALUE!</v>
      </c>
      <c r="DV175" t="e">
        <f>AND(Hoja3!M53,"AAAAAD/v/X0=")</f>
        <v>#VALUE!</v>
      </c>
      <c r="DW175" t="e">
        <f>AND(Hoja3!N53,"AAAAAD/v/X4=")</f>
        <v>#VALUE!</v>
      </c>
      <c r="DX175" t="e">
        <f>AND(Hoja3!O53,"AAAAAD/v/X8=")</f>
        <v>#VALUE!</v>
      </c>
      <c r="DY175" t="e">
        <f>AND(Hoja3!P53,"AAAAAD/v/YA=")</f>
        <v>#VALUE!</v>
      </c>
      <c r="DZ175" t="e">
        <f>AND(Hoja3!Q53,"AAAAAD/v/YE=")</f>
        <v>#VALUE!</v>
      </c>
      <c r="EA175" s="60">
        <f>IF(Hoja3!54:54,"AAAAAD/v/YI=",0)</f>
        <v>0</v>
      </c>
      <c r="EB175" t="e">
        <f>AND(Hoja3!A54,"AAAAAD/v/YM=")</f>
        <v>#VALUE!</v>
      </c>
      <c r="EC175" t="e">
        <f>AND(Hoja3!B54,"AAAAAD/v/YQ=")</f>
        <v>#VALUE!</v>
      </c>
      <c r="ED175" t="e">
        <f>AND(Hoja3!C54,"AAAAAD/v/YU=")</f>
        <v>#VALUE!</v>
      </c>
      <c r="EE175" t="e">
        <f>AND(Hoja3!D54,"AAAAAD/v/YY=")</f>
        <v>#VALUE!</v>
      </c>
      <c r="EF175" t="e">
        <f>AND(Hoja3!E54,"AAAAAD/v/Yc=")</f>
        <v>#VALUE!</v>
      </c>
      <c r="EG175" t="e">
        <f>AND(Hoja3!F54,"AAAAAD/v/Yg=")</f>
        <v>#VALUE!</v>
      </c>
      <c r="EH175" t="e">
        <f>AND(Hoja3!G54,"AAAAAD/v/Yk=")</f>
        <v>#VALUE!</v>
      </c>
      <c r="EI175" t="e">
        <f>AND(Hoja3!H54,"AAAAAD/v/Yo=")</f>
        <v>#VALUE!</v>
      </c>
      <c r="EJ175" t="e">
        <f>AND(Hoja3!I54,"AAAAAD/v/Ys=")</f>
        <v>#VALUE!</v>
      </c>
      <c r="EK175" t="e">
        <f>AND(Hoja3!J54,"AAAAAD/v/Yw=")</f>
        <v>#VALUE!</v>
      </c>
      <c r="EL175" t="e">
        <f>AND(Hoja3!K54,"AAAAAD/v/Y0=")</f>
        <v>#VALUE!</v>
      </c>
      <c r="EM175" t="e">
        <f>AND(Hoja3!L54,"AAAAAD/v/Y4=")</f>
        <v>#VALUE!</v>
      </c>
      <c r="EN175" t="e">
        <f>AND(Hoja3!M54,"AAAAAD/v/Y8=")</f>
        <v>#VALUE!</v>
      </c>
      <c r="EO175" t="e">
        <f>AND(Hoja3!N54,"AAAAAD/v/ZA=")</f>
        <v>#VALUE!</v>
      </c>
      <c r="EP175" t="e">
        <f>AND(Hoja3!O54,"AAAAAD/v/ZE=")</f>
        <v>#VALUE!</v>
      </c>
      <c r="EQ175" t="e">
        <f>AND(Hoja3!P54,"AAAAAD/v/ZI=")</f>
        <v>#VALUE!</v>
      </c>
      <c r="ER175" t="e">
        <f>AND(Hoja3!Q54,"AAAAAD/v/ZM=")</f>
        <v>#VALUE!</v>
      </c>
      <c r="ES175" s="60">
        <f>IF(Hoja3!55:55,"AAAAAD/v/ZQ=",0)</f>
        <v>0</v>
      </c>
      <c r="ET175" t="e">
        <f>AND(Hoja3!A55,"AAAAAD/v/ZU=")</f>
        <v>#VALUE!</v>
      </c>
      <c r="EU175" t="e">
        <f>AND(Hoja3!B55,"AAAAAD/v/ZY=")</f>
        <v>#VALUE!</v>
      </c>
      <c r="EV175" t="e">
        <f>AND(Hoja3!C55,"AAAAAD/v/Zc=")</f>
        <v>#VALUE!</v>
      </c>
      <c r="EW175" t="e">
        <f>AND(Hoja3!D55,"AAAAAD/v/Zg=")</f>
        <v>#VALUE!</v>
      </c>
      <c r="EX175" t="e">
        <f>AND(Hoja3!E55,"AAAAAD/v/Zk=")</f>
        <v>#VALUE!</v>
      </c>
      <c r="EY175" t="e">
        <f>AND(Hoja3!F55,"AAAAAD/v/Zo=")</f>
        <v>#VALUE!</v>
      </c>
      <c r="EZ175" t="e">
        <f>AND(Hoja3!G55,"AAAAAD/v/Zs=")</f>
        <v>#VALUE!</v>
      </c>
      <c r="FA175" t="e">
        <f>AND(Hoja3!H55,"AAAAAD/v/Zw=")</f>
        <v>#VALUE!</v>
      </c>
      <c r="FB175" t="e">
        <f>AND(Hoja3!I55,"AAAAAD/v/Z0=")</f>
        <v>#VALUE!</v>
      </c>
      <c r="FC175" t="e">
        <f>AND(Hoja3!J55,"AAAAAD/v/Z4=")</f>
        <v>#VALUE!</v>
      </c>
      <c r="FD175" t="e">
        <f>AND(Hoja3!K55,"AAAAAD/v/Z8=")</f>
        <v>#VALUE!</v>
      </c>
      <c r="FE175" t="e">
        <f>AND(Hoja3!L55,"AAAAAD/v/aA=")</f>
        <v>#VALUE!</v>
      </c>
      <c r="FF175" t="e">
        <f>AND(Hoja3!M55,"AAAAAD/v/aE=")</f>
        <v>#VALUE!</v>
      </c>
      <c r="FG175" t="e">
        <f>AND(Hoja3!N55,"AAAAAD/v/aI=")</f>
        <v>#VALUE!</v>
      </c>
      <c r="FH175" t="e">
        <f>AND(Hoja3!O55,"AAAAAD/v/aM=")</f>
        <v>#VALUE!</v>
      </c>
      <c r="FI175" t="e">
        <f>AND(Hoja3!P55,"AAAAAD/v/aQ=")</f>
        <v>#VALUE!</v>
      </c>
      <c r="FJ175" t="e">
        <f>AND(Hoja3!Q55,"AAAAAD/v/aU=")</f>
        <v>#VALUE!</v>
      </c>
      <c r="FK175" s="60">
        <f>IF(Hoja3!56:56,"AAAAAD/v/aY=",0)</f>
        <v>0</v>
      </c>
      <c r="FL175" t="e">
        <f>AND(Hoja3!A56,"AAAAAD/v/ac=")</f>
        <v>#VALUE!</v>
      </c>
      <c r="FM175" t="e">
        <f>AND(Hoja3!B56,"AAAAAD/v/ag=")</f>
        <v>#VALUE!</v>
      </c>
      <c r="FN175" t="e">
        <f>AND(Hoja3!C56,"AAAAAD/v/ak=")</f>
        <v>#VALUE!</v>
      </c>
      <c r="FO175" t="e">
        <f>AND(Hoja3!D56,"AAAAAD/v/ao=")</f>
        <v>#VALUE!</v>
      </c>
      <c r="FP175" t="e">
        <f>AND(Hoja3!E56,"AAAAAD/v/as=")</f>
        <v>#VALUE!</v>
      </c>
      <c r="FQ175" t="e">
        <f>AND(Hoja3!F56,"AAAAAD/v/aw=")</f>
        <v>#VALUE!</v>
      </c>
      <c r="FR175" t="e">
        <f>AND(Hoja3!G56,"AAAAAD/v/a0=")</f>
        <v>#VALUE!</v>
      </c>
      <c r="FS175" t="e">
        <f>AND(Hoja3!H56,"AAAAAD/v/a4=")</f>
        <v>#VALUE!</v>
      </c>
      <c r="FT175" t="e">
        <f>AND(Hoja3!I56,"AAAAAD/v/a8=")</f>
        <v>#VALUE!</v>
      </c>
      <c r="FU175" t="e">
        <f>AND(Hoja3!J56,"AAAAAD/v/bA=")</f>
        <v>#VALUE!</v>
      </c>
      <c r="FV175" t="e">
        <f>AND(Hoja3!K56,"AAAAAD/v/bE=")</f>
        <v>#VALUE!</v>
      </c>
      <c r="FW175" t="e">
        <f>AND(Hoja3!L56,"AAAAAD/v/bI=")</f>
        <v>#VALUE!</v>
      </c>
      <c r="FX175" t="e">
        <f>AND(Hoja3!M56,"AAAAAD/v/bM=")</f>
        <v>#VALUE!</v>
      </c>
      <c r="FY175" t="e">
        <f>AND(Hoja3!N56,"AAAAAD/v/bQ=")</f>
        <v>#VALUE!</v>
      </c>
      <c r="FZ175" t="e">
        <f>AND(Hoja3!O56,"AAAAAD/v/bU=")</f>
        <v>#VALUE!</v>
      </c>
      <c r="GA175" t="e">
        <f>AND(Hoja3!P56,"AAAAAD/v/bY=")</f>
        <v>#VALUE!</v>
      </c>
      <c r="GB175" t="e">
        <f>AND(Hoja3!Q56,"AAAAAD/v/bc=")</f>
        <v>#VALUE!</v>
      </c>
      <c r="GC175" s="60">
        <f>IF(Hoja3!57:57,"AAAAAD/v/bg=",0)</f>
        <v>0</v>
      </c>
      <c r="GD175" t="e">
        <f>AND(Hoja3!A57,"AAAAAD/v/bk=")</f>
        <v>#VALUE!</v>
      </c>
      <c r="GE175" t="e">
        <f>AND(Hoja3!B57,"AAAAAD/v/bo=")</f>
        <v>#VALUE!</v>
      </c>
      <c r="GF175" t="e">
        <f>AND(Hoja3!C57,"AAAAAD/v/bs=")</f>
        <v>#VALUE!</v>
      </c>
      <c r="GG175" t="e">
        <f>AND(Hoja3!D57,"AAAAAD/v/bw=")</f>
        <v>#VALUE!</v>
      </c>
      <c r="GH175" t="e">
        <f>AND(Hoja3!E57,"AAAAAD/v/b0=")</f>
        <v>#VALUE!</v>
      </c>
      <c r="GI175" t="e">
        <f>AND(Hoja3!F57,"AAAAAD/v/b4=")</f>
        <v>#VALUE!</v>
      </c>
      <c r="GJ175" t="e">
        <f>AND(Hoja3!G57,"AAAAAD/v/b8=")</f>
        <v>#VALUE!</v>
      </c>
      <c r="GK175" t="e">
        <f>AND(Hoja3!H57,"AAAAAD/v/cA=")</f>
        <v>#VALUE!</v>
      </c>
      <c r="GL175" t="e">
        <f>AND(Hoja3!I57,"AAAAAD/v/cE=")</f>
        <v>#VALUE!</v>
      </c>
      <c r="GM175" t="e">
        <f>AND(Hoja3!J57,"AAAAAD/v/cI=")</f>
        <v>#VALUE!</v>
      </c>
      <c r="GN175" t="e">
        <f>AND(Hoja3!K57,"AAAAAD/v/cM=")</f>
        <v>#VALUE!</v>
      </c>
      <c r="GO175" t="e">
        <f>AND(Hoja3!L57,"AAAAAD/v/cQ=")</f>
        <v>#VALUE!</v>
      </c>
      <c r="GP175" t="e">
        <f>AND(Hoja3!M57,"AAAAAD/v/cU=")</f>
        <v>#VALUE!</v>
      </c>
      <c r="GQ175" t="e">
        <f>AND(Hoja3!N57,"AAAAAD/v/cY=")</f>
        <v>#VALUE!</v>
      </c>
      <c r="GR175" t="e">
        <f>AND(Hoja3!O57,"AAAAAD/v/cc=")</f>
        <v>#VALUE!</v>
      </c>
      <c r="GS175" t="e">
        <f>AND(Hoja3!P57,"AAAAAD/v/cg=")</f>
        <v>#VALUE!</v>
      </c>
      <c r="GT175" t="e">
        <f>AND(Hoja3!Q57,"AAAAAD/v/ck=")</f>
        <v>#VALUE!</v>
      </c>
      <c r="GU175" s="60">
        <f>IF(Hoja3!58:58,"AAAAAD/v/co=",0)</f>
        <v>0</v>
      </c>
      <c r="GV175" t="e">
        <f>AND(Hoja3!A58,"AAAAAD/v/cs=")</f>
        <v>#VALUE!</v>
      </c>
      <c r="GW175" t="e">
        <f>AND(Hoja3!B58,"AAAAAD/v/cw=")</f>
        <v>#VALUE!</v>
      </c>
      <c r="GX175" t="e">
        <f>AND(Hoja3!C58,"AAAAAD/v/c0=")</f>
        <v>#VALUE!</v>
      </c>
      <c r="GY175" t="e">
        <f>AND(Hoja3!D58,"AAAAAD/v/c4=")</f>
        <v>#VALUE!</v>
      </c>
      <c r="GZ175" t="e">
        <f>AND(Hoja3!E58,"AAAAAD/v/c8=")</f>
        <v>#VALUE!</v>
      </c>
      <c r="HA175" t="e">
        <f>AND(Hoja3!F58,"AAAAAD/v/dA=")</f>
        <v>#VALUE!</v>
      </c>
      <c r="HB175" t="e">
        <f>AND(Hoja3!G58,"AAAAAD/v/dE=")</f>
        <v>#VALUE!</v>
      </c>
      <c r="HC175" t="e">
        <f>AND(Hoja3!H58,"AAAAAD/v/dI=")</f>
        <v>#VALUE!</v>
      </c>
      <c r="HD175" t="e">
        <f>AND(Hoja3!I58,"AAAAAD/v/dM=")</f>
        <v>#VALUE!</v>
      </c>
      <c r="HE175" t="e">
        <f>AND(Hoja3!J58,"AAAAAD/v/dQ=")</f>
        <v>#VALUE!</v>
      </c>
      <c r="HF175" t="e">
        <f>AND(Hoja3!K58,"AAAAAD/v/dU=")</f>
        <v>#VALUE!</v>
      </c>
      <c r="HG175" t="e">
        <f>AND(Hoja3!L58,"AAAAAD/v/dY=")</f>
        <v>#VALUE!</v>
      </c>
      <c r="HH175" t="e">
        <f>AND(Hoja3!M58,"AAAAAD/v/dc=")</f>
        <v>#VALUE!</v>
      </c>
      <c r="HI175" t="e">
        <f>AND(Hoja3!N58,"AAAAAD/v/dg=")</f>
        <v>#VALUE!</v>
      </c>
      <c r="HJ175" t="e">
        <f>AND(Hoja3!O58,"AAAAAD/v/dk=")</f>
        <v>#VALUE!</v>
      </c>
      <c r="HK175" t="e">
        <f>AND(Hoja3!P58,"AAAAAD/v/do=")</f>
        <v>#VALUE!</v>
      </c>
      <c r="HL175" t="e">
        <f>AND(Hoja3!Q58,"AAAAAD/v/ds=")</f>
        <v>#VALUE!</v>
      </c>
      <c r="HM175" s="60">
        <f>IF(Hoja3!59:59,"AAAAAD/v/dw=",0)</f>
        <v>0</v>
      </c>
      <c r="HN175" t="e">
        <f>AND(Hoja3!A59,"AAAAAD/v/d0=")</f>
        <v>#VALUE!</v>
      </c>
      <c r="HO175" t="e">
        <f>AND(Hoja3!B59,"AAAAAD/v/d4=")</f>
        <v>#VALUE!</v>
      </c>
      <c r="HP175" t="e">
        <f>AND(Hoja3!C59,"AAAAAD/v/d8=")</f>
        <v>#VALUE!</v>
      </c>
      <c r="HQ175" t="e">
        <f>AND(Hoja3!D59,"AAAAAD/v/eA=")</f>
        <v>#VALUE!</v>
      </c>
      <c r="HR175" t="e">
        <f>AND(Hoja3!E59,"AAAAAD/v/eE=")</f>
        <v>#VALUE!</v>
      </c>
      <c r="HS175" t="e">
        <f>AND(Hoja3!F59,"AAAAAD/v/eI=")</f>
        <v>#VALUE!</v>
      </c>
      <c r="HT175" t="e">
        <f>AND(Hoja3!G59,"AAAAAD/v/eM=")</f>
        <v>#VALUE!</v>
      </c>
      <c r="HU175" t="e">
        <f>AND(Hoja3!H59,"AAAAAD/v/eQ=")</f>
        <v>#VALUE!</v>
      </c>
      <c r="HV175" t="e">
        <f>AND(Hoja3!I59,"AAAAAD/v/eU=")</f>
        <v>#VALUE!</v>
      </c>
      <c r="HW175" t="e">
        <f>AND(Hoja3!J59,"AAAAAD/v/eY=")</f>
        <v>#VALUE!</v>
      </c>
      <c r="HX175" t="e">
        <f>AND(Hoja3!K59,"AAAAAD/v/ec=")</f>
        <v>#VALUE!</v>
      </c>
      <c r="HY175" t="e">
        <f>AND(Hoja3!L59,"AAAAAD/v/eg=")</f>
        <v>#VALUE!</v>
      </c>
      <c r="HZ175" t="e">
        <f>AND(Hoja3!M59,"AAAAAD/v/ek=")</f>
        <v>#VALUE!</v>
      </c>
      <c r="IA175" t="e">
        <f>AND(Hoja3!N59,"AAAAAD/v/eo=")</f>
        <v>#VALUE!</v>
      </c>
      <c r="IB175" t="e">
        <f>AND(Hoja3!O59,"AAAAAD/v/es=")</f>
        <v>#VALUE!</v>
      </c>
      <c r="IC175" t="e">
        <f>AND(Hoja3!P59,"AAAAAD/v/ew=")</f>
        <v>#VALUE!</v>
      </c>
      <c r="ID175" t="e">
        <f>AND(Hoja3!Q59,"AAAAAD/v/e0=")</f>
        <v>#VALUE!</v>
      </c>
      <c r="IE175" s="60">
        <f>IF(Hoja3!60:60,"AAAAAD/v/e4=",0)</f>
        <v>0</v>
      </c>
      <c r="IF175" t="e">
        <f>AND(Hoja3!A60,"AAAAAD/v/e8=")</f>
        <v>#VALUE!</v>
      </c>
      <c r="IG175" t="e">
        <f>AND(Hoja3!B60,"AAAAAD/v/fA=")</f>
        <v>#VALUE!</v>
      </c>
      <c r="IH175" t="e">
        <f>AND(Hoja3!C60,"AAAAAD/v/fE=")</f>
        <v>#VALUE!</v>
      </c>
      <c r="II175" t="e">
        <f>AND(Hoja3!D60,"AAAAAD/v/fI=")</f>
        <v>#VALUE!</v>
      </c>
      <c r="IJ175" t="e">
        <f>AND(Hoja3!E60,"AAAAAD/v/fM=")</f>
        <v>#VALUE!</v>
      </c>
      <c r="IK175" t="e">
        <f>AND(Hoja3!F60,"AAAAAD/v/fQ=")</f>
        <v>#VALUE!</v>
      </c>
      <c r="IL175" t="e">
        <f>AND(Hoja3!G60,"AAAAAD/v/fU=")</f>
        <v>#VALUE!</v>
      </c>
      <c r="IM175" t="e">
        <f>AND(Hoja3!H60,"AAAAAD/v/fY=")</f>
        <v>#VALUE!</v>
      </c>
      <c r="IN175" t="e">
        <f>AND(Hoja3!I60,"AAAAAD/v/fc=")</f>
        <v>#VALUE!</v>
      </c>
      <c r="IO175" t="e">
        <f>AND(Hoja3!J60,"AAAAAD/v/fg=")</f>
        <v>#VALUE!</v>
      </c>
      <c r="IP175" t="e">
        <f>AND(Hoja3!K60,"AAAAAD/v/fk=")</f>
        <v>#VALUE!</v>
      </c>
      <c r="IQ175" t="e">
        <f>AND(Hoja3!L60,"AAAAAD/v/fo=")</f>
        <v>#VALUE!</v>
      </c>
      <c r="IR175" t="e">
        <f>AND(Hoja3!M60,"AAAAAD/v/fs=")</f>
        <v>#VALUE!</v>
      </c>
      <c r="IS175" t="e">
        <f>AND(Hoja3!N60,"AAAAAD/v/fw=")</f>
        <v>#VALUE!</v>
      </c>
      <c r="IT175" t="e">
        <f>AND(Hoja3!O60,"AAAAAD/v/f0=")</f>
        <v>#VALUE!</v>
      </c>
      <c r="IU175" t="e">
        <f>AND(Hoja3!P60,"AAAAAD/v/f4=")</f>
        <v>#VALUE!</v>
      </c>
      <c r="IV175" t="e">
        <f>AND(Hoja3!Q60,"AAAAAD/v/f8=")</f>
        <v>#VALUE!</v>
      </c>
    </row>
    <row r="176" spans="1:256" ht="15" customHeight="1" x14ac:dyDescent="0.25">
      <c r="A176" t="str">
        <f>IF(Hoja3!61:61,"AAAAAGvr9wA=",0)</f>
        <v>AAAAAGvr9wA=</v>
      </c>
      <c r="B176" t="e">
        <f>AND(Hoja3!A61,"AAAAAGvr9wE=")</f>
        <v>#VALUE!</v>
      </c>
      <c r="C176" t="e">
        <f>AND(Hoja3!B61,"AAAAAGvr9wI=")</f>
        <v>#VALUE!</v>
      </c>
      <c r="D176" t="e">
        <f>AND(Hoja3!C61,"AAAAAGvr9wM=")</f>
        <v>#VALUE!</v>
      </c>
      <c r="E176" t="e">
        <f>AND(Hoja3!D61,"AAAAAGvr9wQ=")</f>
        <v>#VALUE!</v>
      </c>
      <c r="F176" t="e">
        <f>AND(Hoja3!E61,"AAAAAGvr9wU=")</f>
        <v>#VALUE!</v>
      </c>
      <c r="G176" t="e">
        <f>AND(Hoja3!F61,"AAAAAGvr9wY=")</f>
        <v>#VALUE!</v>
      </c>
      <c r="H176" t="e">
        <f>AND(Hoja3!G61,"AAAAAGvr9wc=")</f>
        <v>#VALUE!</v>
      </c>
      <c r="I176" t="e">
        <f>AND(Hoja3!H61,"AAAAAGvr9wg=")</f>
        <v>#VALUE!</v>
      </c>
      <c r="J176" t="e">
        <f>AND(Hoja3!I61,"AAAAAGvr9wk=")</f>
        <v>#VALUE!</v>
      </c>
      <c r="K176" t="e">
        <f>AND(Hoja3!J61,"AAAAAGvr9wo=")</f>
        <v>#VALUE!</v>
      </c>
      <c r="L176" t="e">
        <f>AND(Hoja3!K61,"AAAAAGvr9ws=")</f>
        <v>#VALUE!</v>
      </c>
      <c r="M176" t="e">
        <f>AND(Hoja3!L61,"AAAAAGvr9ww=")</f>
        <v>#VALUE!</v>
      </c>
      <c r="N176" t="e">
        <f>AND(Hoja3!M61,"AAAAAGvr9w0=")</f>
        <v>#VALUE!</v>
      </c>
      <c r="O176" t="e">
        <f>AND(Hoja3!N61,"AAAAAGvr9w4=")</f>
        <v>#VALUE!</v>
      </c>
      <c r="P176" t="e">
        <f>AND(Hoja3!O61,"AAAAAGvr9w8=")</f>
        <v>#VALUE!</v>
      </c>
      <c r="Q176" t="e">
        <f>AND(Hoja3!P61,"AAAAAGvr9xA=")</f>
        <v>#VALUE!</v>
      </c>
      <c r="R176" t="e">
        <f>AND(Hoja3!Q61,"AAAAAGvr9xE=")</f>
        <v>#VALUE!</v>
      </c>
      <c r="S176" s="60">
        <f>IF(Hoja3!62:62,"AAAAAGvr9xI=",0)</f>
        <v>0</v>
      </c>
      <c r="T176" t="e">
        <f>AND(Hoja3!A62,"AAAAAGvr9xM=")</f>
        <v>#VALUE!</v>
      </c>
      <c r="U176" t="e">
        <f>AND(Hoja3!B62,"AAAAAGvr9xQ=")</f>
        <v>#VALUE!</v>
      </c>
      <c r="V176" t="e">
        <f>AND(Hoja3!C62,"AAAAAGvr9xU=")</f>
        <v>#VALUE!</v>
      </c>
      <c r="W176" t="e">
        <f>AND(Hoja3!D62,"AAAAAGvr9xY=")</f>
        <v>#VALUE!</v>
      </c>
      <c r="X176" t="e">
        <f>AND(Hoja3!E62,"AAAAAGvr9xc=")</f>
        <v>#VALUE!</v>
      </c>
      <c r="Y176" t="e">
        <f>AND(Hoja3!F62,"AAAAAGvr9xg=")</f>
        <v>#VALUE!</v>
      </c>
      <c r="Z176" t="e">
        <f>AND(Hoja3!G62,"AAAAAGvr9xk=")</f>
        <v>#VALUE!</v>
      </c>
      <c r="AA176" t="e">
        <f>AND(Hoja3!H62,"AAAAAGvr9xo=")</f>
        <v>#VALUE!</v>
      </c>
      <c r="AB176" t="e">
        <f>AND(Hoja3!I62,"AAAAAGvr9xs=")</f>
        <v>#VALUE!</v>
      </c>
      <c r="AC176" t="e">
        <f>AND(Hoja3!J62,"AAAAAGvr9xw=")</f>
        <v>#VALUE!</v>
      </c>
      <c r="AD176" t="e">
        <f>AND(Hoja3!K62,"AAAAAGvr9x0=")</f>
        <v>#VALUE!</v>
      </c>
      <c r="AE176" t="e">
        <f>AND(Hoja3!L62,"AAAAAGvr9x4=")</f>
        <v>#VALUE!</v>
      </c>
      <c r="AF176" t="e">
        <f>AND(Hoja3!M62,"AAAAAGvr9x8=")</f>
        <v>#VALUE!</v>
      </c>
      <c r="AG176" t="e">
        <f>AND(Hoja3!N62,"AAAAAGvr9yA=")</f>
        <v>#VALUE!</v>
      </c>
      <c r="AH176" t="e">
        <f>AND(Hoja3!O62,"AAAAAGvr9yE=")</f>
        <v>#VALUE!</v>
      </c>
      <c r="AI176" t="e">
        <f>AND(Hoja3!P62,"AAAAAGvr9yI=")</f>
        <v>#VALUE!</v>
      </c>
      <c r="AJ176" t="e">
        <f>AND(Hoja3!Q62,"AAAAAGvr9yM=")</f>
        <v>#VALUE!</v>
      </c>
      <c r="AK176" s="60">
        <f>IF(Hoja3!63:63,"AAAAAGvr9yQ=",0)</f>
        <v>0</v>
      </c>
      <c r="AL176" t="e">
        <f>AND(Hoja3!A63,"AAAAAGvr9yU=")</f>
        <v>#VALUE!</v>
      </c>
      <c r="AM176" t="e">
        <f>AND(Hoja3!B63,"AAAAAGvr9yY=")</f>
        <v>#VALUE!</v>
      </c>
      <c r="AN176" t="e">
        <f>AND(Hoja3!C63,"AAAAAGvr9yc=")</f>
        <v>#VALUE!</v>
      </c>
      <c r="AO176" t="e">
        <f>AND(Hoja3!D63,"AAAAAGvr9yg=")</f>
        <v>#VALUE!</v>
      </c>
      <c r="AP176" t="e">
        <f>AND(Hoja3!E63,"AAAAAGvr9yk=")</f>
        <v>#VALUE!</v>
      </c>
      <c r="AQ176" t="e">
        <f>AND(Hoja3!F63,"AAAAAGvr9yo=")</f>
        <v>#VALUE!</v>
      </c>
      <c r="AR176" t="e">
        <f>AND(Hoja3!G63,"AAAAAGvr9ys=")</f>
        <v>#VALUE!</v>
      </c>
      <c r="AS176" t="e">
        <f>AND(Hoja3!H63,"AAAAAGvr9yw=")</f>
        <v>#VALUE!</v>
      </c>
      <c r="AT176" t="e">
        <f>AND(Hoja3!I63,"AAAAAGvr9y0=")</f>
        <v>#VALUE!</v>
      </c>
      <c r="AU176" t="e">
        <f>AND(Hoja3!J63,"AAAAAGvr9y4=")</f>
        <v>#VALUE!</v>
      </c>
      <c r="AV176" t="e">
        <f>AND(Hoja3!K63,"AAAAAGvr9y8=")</f>
        <v>#VALUE!</v>
      </c>
      <c r="AW176" t="e">
        <f>AND(Hoja3!L63,"AAAAAGvr9zA=")</f>
        <v>#VALUE!</v>
      </c>
      <c r="AX176" t="e">
        <f>AND(Hoja3!M63,"AAAAAGvr9zE=")</f>
        <v>#VALUE!</v>
      </c>
      <c r="AY176" t="e">
        <f>AND(Hoja3!N63,"AAAAAGvr9zI=")</f>
        <v>#VALUE!</v>
      </c>
      <c r="AZ176" t="e">
        <f>AND(Hoja3!O63,"AAAAAGvr9zM=")</f>
        <v>#VALUE!</v>
      </c>
      <c r="BA176" t="e">
        <f>AND(Hoja3!P63,"AAAAAGvr9zQ=")</f>
        <v>#VALUE!</v>
      </c>
      <c r="BB176" t="e">
        <f>AND(Hoja3!Q63,"AAAAAGvr9zU=")</f>
        <v>#VALUE!</v>
      </c>
      <c r="BC176" s="60">
        <f>IF(Hoja3!64:64,"AAAAAGvr9zY=",0)</f>
        <v>0</v>
      </c>
      <c r="BD176" t="e">
        <f>AND(Hoja3!A64,"AAAAAGvr9zc=")</f>
        <v>#VALUE!</v>
      </c>
      <c r="BE176" t="e">
        <f>AND(Hoja3!B64,"AAAAAGvr9zg=")</f>
        <v>#VALUE!</v>
      </c>
      <c r="BF176" t="e">
        <f>AND(Hoja3!C64,"AAAAAGvr9zk=")</f>
        <v>#VALUE!</v>
      </c>
      <c r="BG176" t="e">
        <f>AND(Hoja3!D64,"AAAAAGvr9zo=")</f>
        <v>#VALUE!</v>
      </c>
      <c r="BH176" t="e">
        <f>AND(Hoja3!E64,"AAAAAGvr9zs=")</f>
        <v>#VALUE!</v>
      </c>
      <c r="BI176" t="e">
        <f>AND(Hoja3!F64,"AAAAAGvr9zw=")</f>
        <v>#VALUE!</v>
      </c>
      <c r="BJ176" t="e">
        <f>AND(Hoja3!G64,"AAAAAGvr9z0=")</f>
        <v>#VALUE!</v>
      </c>
      <c r="BK176" t="e">
        <f>AND(Hoja3!H64,"AAAAAGvr9z4=")</f>
        <v>#VALUE!</v>
      </c>
      <c r="BL176" t="e">
        <f>AND(Hoja3!I64,"AAAAAGvr9z8=")</f>
        <v>#VALUE!</v>
      </c>
      <c r="BM176" t="e">
        <f>AND(Hoja3!J64,"AAAAAGvr90A=")</f>
        <v>#VALUE!</v>
      </c>
      <c r="BN176" t="e">
        <f>AND(Hoja3!K64,"AAAAAGvr90E=")</f>
        <v>#VALUE!</v>
      </c>
      <c r="BO176" t="e">
        <f>AND(Hoja3!L64,"AAAAAGvr90I=")</f>
        <v>#VALUE!</v>
      </c>
      <c r="BP176" t="e">
        <f>AND(Hoja3!M64,"AAAAAGvr90M=")</f>
        <v>#VALUE!</v>
      </c>
      <c r="BQ176" t="e">
        <f>AND(Hoja3!N64,"AAAAAGvr90Q=")</f>
        <v>#VALUE!</v>
      </c>
      <c r="BR176" t="e">
        <f>AND(Hoja3!O64,"AAAAAGvr90U=")</f>
        <v>#VALUE!</v>
      </c>
      <c r="BS176" t="e">
        <f>AND(Hoja3!P64,"AAAAAGvr90Y=")</f>
        <v>#VALUE!</v>
      </c>
      <c r="BT176" t="e">
        <f>AND(Hoja3!Q64,"AAAAAGvr90c=")</f>
        <v>#VALUE!</v>
      </c>
      <c r="BU176" s="60">
        <f>IF(Hoja3!65:65,"AAAAAGvr90g=",0)</f>
        <v>0</v>
      </c>
      <c r="BV176" t="e">
        <f>AND(Hoja3!A65,"AAAAAGvr90k=")</f>
        <v>#VALUE!</v>
      </c>
      <c r="BW176" t="e">
        <f>AND(Hoja3!B65,"AAAAAGvr90o=")</f>
        <v>#VALUE!</v>
      </c>
      <c r="BX176" t="e">
        <f>AND(Hoja3!C65,"AAAAAGvr90s=")</f>
        <v>#VALUE!</v>
      </c>
      <c r="BY176" t="e">
        <f>AND(Hoja3!D65,"AAAAAGvr90w=")</f>
        <v>#VALUE!</v>
      </c>
      <c r="BZ176" t="e">
        <f>AND(Hoja3!E65,"AAAAAGvr900=")</f>
        <v>#VALUE!</v>
      </c>
      <c r="CA176" t="e">
        <f>AND(Hoja3!F65,"AAAAAGvr904=")</f>
        <v>#VALUE!</v>
      </c>
      <c r="CB176" t="e">
        <f>AND(Hoja3!G65,"AAAAAGvr908=")</f>
        <v>#VALUE!</v>
      </c>
      <c r="CC176" t="e">
        <f>AND(Hoja3!H65,"AAAAAGvr91A=")</f>
        <v>#VALUE!</v>
      </c>
      <c r="CD176" t="e">
        <f>AND(Hoja3!I65,"AAAAAGvr91E=")</f>
        <v>#VALUE!</v>
      </c>
      <c r="CE176" t="e">
        <f>AND(Hoja3!J65,"AAAAAGvr91I=")</f>
        <v>#VALUE!</v>
      </c>
      <c r="CF176" t="e">
        <f>AND(Hoja3!K65,"AAAAAGvr91M=")</f>
        <v>#VALUE!</v>
      </c>
      <c r="CG176" t="e">
        <f>AND(Hoja3!L65,"AAAAAGvr91Q=")</f>
        <v>#VALUE!</v>
      </c>
      <c r="CH176" t="e">
        <f>AND(Hoja3!M65,"AAAAAGvr91U=")</f>
        <v>#VALUE!</v>
      </c>
      <c r="CI176" t="e">
        <f>AND(Hoja3!N65,"AAAAAGvr91Y=")</f>
        <v>#VALUE!</v>
      </c>
      <c r="CJ176" t="e">
        <f>AND(Hoja3!O65,"AAAAAGvr91c=")</f>
        <v>#VALUE!</v>
      </c>
      <c r="CK176" t="e">
        <f>AND(Hoja3!P65,"AAAAAGvr91g=")</f>
        <v>#VALUE!</v>
      </c>
      <c r="CL176" t="e">
        <f>AND(Hoja3!Q65,"AAAAAGvr91k=")</f>
        <v>#VALUE!</v>
      </c>
      <c r="CM176" s="60">
        <f>IF(Hoja3!66:66,"AAAAAGvr91o=",0)</f>
        <v>0</v>
      </c>
      <c r="CN176" t="e">
        <f>AND(Hoja3!A66,"AAAAAGvr91s=")</f>
        <v>#VALUE!</v>
      </c>
      <c r="CO176" t="e">
        <f>AND(Hoja3!B66,"AAAAAGvr91w=")</f>
        <v>#VALUE!</v>
      </c>
      <c r="CP176" t="e">
        <f>AND(Hoja3!C66,"AAAAAGvr910=")</f>
        <v>#VALUE!</v>
      </c>
      <c r="CQ176" t="e">
        <f>AND(Hoja3!D66,"AAAAAGvr914=")</f>
        <v>#VALUE!</v>
      </c>
      <c r="CR176" t="e">
        <f>AND(Hoja3!E66,"AAAAAGvr918=")</f>
        <v>#VALUE!</v>
      </c>
      <c r="CS176" t="e">
        <f>AND(Hoja3!F66,"AAAAAGvr92A=")</f>
        <v>#VALUE!</v>
      </c>
      <c r="CT176" t="e">
        <f>AND(Hoja3!G66,"AAAAAGvr92E=")</f>
        <v>#VALUE!</v>
      </c>
      <c r="CU176" t="e">
        <f>AND(Hoja3!H66,"AAAAAGvr92I=")</f>
        <v>#VALUE!</v>
      </c>
      <c r="CV176" t="e">
        <f>AND(Hoja3!I66,"AAAAAGvr92M=")</f>
        <v>#VALUE!</v>
      </c>
      <c r="CW176" t="e">
        <f>AND(Hoja3!J66,"AAAAAGvr92Q=")</f>
        <v>#VALUE!</v>
      </c>
      <c r="CX176" t="e">
        <f>AND(Hoja3!K66,"AAAAAGvr92U=")</f>
        <v>#VALUE!</v>
      </c>
      <c r="CY176" t="e">
        <f>AND(Hoja3!L66,"AAAAAGvr92Y=")</f>
        <v>#VALUE!</v>
      </c>
      <c r="CZ176" t="e">
        <f>AND(Hoja3!M66,"AAAAAGvr92c=")</f>
        <v>#VALUE!</v>
      </c>
      <c r="DA176" t="e">
        <f>AND(Hoja3!N66,"AAAAAGvr92g=")</f>
        <v>#VALUE!</v>
      </c>
      <c r="DB176" t="e">
        <f>AND(Hoja3!O66,"AAAAAGvr92k=")</f>
        <v>#VALUE!</v>
      </c>
      <c r="DC176" t="e">
        <f>AND(Hoja3!P66,"AAAAAGvr92o=")</f>
        <v>#VALUE!</v>
      </c>
      <c r="DD176" t="e">
        <f>AND(Hoja3!Q66,"AAAAAGvr92s=")</f>
        <v>#VALUE!</v>
      </c>
      <c r="DE176" s="60">
        <f>IF(Hoja3!67:67,"AAAAAGvr92w=",0)</f>
        <v>0</v>
      </c>
      <c r="DF176" t="e">
        <f>AND(Hoja3!A67,"AAAAAGvr920=")</f>
        <v>#VALUE!</v>
      </c>
      <c r="DG176" t="e">
        <f>AND(Hoja3!B67,"AAAAAGvr924=")</f>
        <v>#VALUE!</v>
      </c>
      <c r="DH176" t="e">
        <f>AND(Hoja3!C67,"AAAAAGvr928=")</f>
        <v>#VALUE!</v>
      </c>
      <c r="DI176" t="e">
        <f>AND(Hoja3!D67,"AAAAAGvr93A=")</f>
        <v>#VALUE!</v>
      </c>
      <c r="DJ176" t="e">
        <f>AND(Hoja3!E67,"AAAAAGvr93E=")</f>
        <v>#VALUE!</v>
      </c>
      <c r="DK176" t="e">
        <f>AND(Hoja3!F67,"AAAAAGvr93I=")</f>
        <v>#VALUE!</v>
      </c>
      <c r="DL176" t="e">
        <f>AND(Hoja3!G67,"AAAAAGvr93M=")</f>
        <v>#VALUE!</v>
      </c>
      <c r="DM176" t="e">
        <f>AND(Hoja3!H67,"AAAAAGvr93Q=")</f>
        <v>#VALUE!</v>
      </c>
      <c r="DN176" t="e">
        <f>AND(Hoja3!I67,"AAAAAGvr93U=")</f>
        <v>#VALUE!</v>
      </c>
      <c r="DO176" t="e">
        <f>AND(Hoja3!J67,"AAAAAGvr93Y=")</f>
        <v>#VALUE!</v>
      </c>
      <c r="DP176" t="e">
        <f>AND(Hoja3!K67,"AAAAAGvr93c=")</f>
        <v>#VALUE!</v>
      </c>
      <c r="DQ176" t="e">
        <f>AND(Hoja3!L67,"AAAAAGvr93g=")</f>
        <v>#VALUE!</v>
      </c>
      <c r="DR176" t="e">
        <f>AND(Hoja3!M67,"AAAAAGvr93k=")</f>
        <v>#VALUE!</v>
      </c>
      <c r="DS176" t="e">
        <f>AND(Hoja3!N67,"AAAAAGvr93o=")</f>
        <v>#VALUE!</v>
      </c>
      <c r="DT176" t="e">
        <f>AND(Hoja3!O67,"AAAAAGvr93s=")</f>
        <v>#VALUE!</v>
      </c>
      <c r="DU176" t="e">
        <f>AND(Hoja3!P67,"AAAAAGvr93w=")</f>
        <v>#VALUE!</v>
      </c>
      <c r="DV176" t="e">
        <f>AND(Hoja3!Q67,"AAAAAGvr930=")</f>
        <v>#VALUE!</v>
      </c>
      <c r="DW176" s="60">
        <f>IF(Hoja3!68:68,"AAAAAGvr934=",0)</f>
        <v>0</v>
      </c>
      <c r="DX176" t="e">
        <f>AND(Hoja3!A68,"AAAAAGvr938=")</f>
        <v>#VALUE!</v>
      </c>
      <c r="DY176" t="e">
        <f>AND(Hoja3!B68,"AAAAAGvr94A=")</f>
        <v>#VALUE!</v>
      </c>
      <c r="DZ176" t="e">
        <f>AND(Hoja3!C68,"AAAAAGvr94E=")</f>
        <v>#VALUE!</v>
      </c>
      <c r="EA176" t="e">
        <f>AND(Hoja3!D68,"AAAAAGvr94I=")</f>
        <v>#VALUE!</v>
      </c>
      <c r="EB176" t="e">
        <f>AND(Hoja3!E68,"AAAAAGvr94M=")</f>
        <v>#VALUE!</v>
      </c>
      <c r="EC176" t="e">
        <f>AND(Hoja3!F68,"AAAAAGvr94Q=")</f>
        <v>#VALUE!</v>
      </c>
      <c r="ED176" t="e">
        <f>AND(Hoja3!G68,"AAAAAGvr94U=")</f>
        <v>#VALUE!</v>
      </c>
      <c r="EE176" t="e">
        <f>AND(Hoja3!H68,"AAAAAGvr94Y=")</f>
        <v>#VALUE!</v>
      </c>
      <c r="EF176" t="e">
        <f>AND(Hoja3!I68,"AAAAAGvr94c=")</f>
        <v>#VALUE!</v>
      </c>
      <c r="EG176" t="e">
        <f>AND(Hoja3!J68,"AAAAAGvr94g=")</f>
        <v>#VALUE!</v>
      </c>
      <c r="EH176" t="e">
        <f>AND(Hoja3!K68,"AAAAAGvr94k=")</f>
        <v>#VALUE!</v>
      </c>
      <c r="EI176" t="e">
        <f>AND(Hoja3!L68,"AAAAAGvr94o=")</f>
        <v>#VALUE!</v>
      </c>
      <c r="EJ176" t="e">
        <f>AND(Hoja3!M68,"AAAAAGvr94s=")</f>
        <v>#VALUE!</v>
      </c>
      <c r="EK176" t="e">
        <f>AND(Hoja3!N68,"AAAAAGvr94w=")</f>
        <v>#VALUE!</v>
      </c>
      <c r="EL176" t="e">
        <f>AND(Hoja3!O68,"AAAAAGvr940=")</f>
        <v>#VALUE!</v>
      </c>
      <c r="EM176" t="e">
        <f>AND(Hoja3!P68,"AAAAAGvr944=")</f>
        <v>#VALUE!</v>
      </c>
      <c r="EN176" t="e">
        <f>AND(Hoja3!Q68,"AAAAAGvr948=")</f>
        <v>#VALUE!</v>
      </c>
      <c r="EO176" s="60">
        <f>IF(Hoja3!69:69,"AAAAAGvr95A=",0)</f>
        <v>0</v>
      </c>
      <c r="EP176" t="e">
        <f>AND(Hoja3!A69,"AAAAAGvr95E=")</f>
        <v>#VALUE!</v>
      </c>
      <c r="EQ176" t="e">
        <f>AND(Hoja3!B69,"AAAAAGvr95I=")</f>
        <v>#VALUE!</v>
      </c>
      <c r="ER176" t="e">
        <f>AND(Hoja3!C69,"AAAAAGvr95M=")</f>
        <v>#VALUE!</v>
      </c>
      <c r="ES176" t="e">
        <f>AND(Hoja3!D69,"AAAAAGvr95Q=")</f>
        <v>#VALUE!</v>
      </c>
      <c r="ET176" t="e">
        <f>AND(Hoja3!E69,"AAAAAGvr95U=")</f>
        <v>#VALUE!</v>
      </c>
      <c r="EU176" t="e">
        <f>AND(Hoja3!F69,"AAAAAGvr95Y=")</f>
        <v>#VALUE!</v>
      </c>
      <c r="EV176" t="e">
        <f>AND(Hoja3!G69,"AAAAAGvr95c=")</f>
        <v>#VALUE!</v>
      </c>
      <c r="EW176" t="e">
        <f>AND(Hoja3!H69,"AAAAAGvr95g=")</f>
        <v>#VALUE!</v>
      </c>
      <c r="EX176" t="e">
        <f>AND(Hoja3!I69,"AAAAAGvr95k=")</f>
        <v>#VALUE!</v>
      </c>
      <c r="EY176" t="e">
        <f>AND(Hoja3!J69,"AAAAAGvr95o=")</f>
        <v>#VALUE!</v>
      </c>
      <c r="EZ176" t="e">
        <f>AND(Hoja3!K69,"AAAAAGvr95s=")</f>
        <v>#VALUE!</v>
      </c>
      <c r="FA176" t="e">
        <f>AND(Hoja3!L69,"AAAAAGvr95w=")</f>
        <v>#VALUE!</v>
      </c>
      <c r="FB176" t="e">
        <f>AND(Hoja3!M69,"AAAAAGvr950=")</f>
        <v>#VALUE!</v>
      </c>
      <c r="FC176" t="e">
        <f>AND(Hoja3!N69,"AAAAAGvr954=")</f>
        <v>#VALUE!</v>
      </c>
      <c r="FD176" t="e">
        <f>AND(Hoja3!O69,"AAAAAGvr958=")</f>
        <v>#VALUE!</v>
      </c>
      <c r="FE176" t="e">
        <f>AND(Hoja3!P69,"AAAAAGvr96A=")</f>
        <v>#VALUE!</v>
      </c>
      <c r="FF176" t="e">
        <f>AND(Hoja3!Q69,"AAAAAGvr96E=")</f>
        <v>#VALUE!</v>
      </c>
      <c r="FG176" s="60">
        <f>IF(Hoja3!70:70,"AAAAAGvr96I=",0)</f>
        <v>0</v>
      </c>
      <c r="FH176" t="e">
        <f>AND(Hoja3!A70,"AAAAAGvr96M=")</f>
        <v>#VALUE!</v>
      </c>
      <c r="FI176" t="e">
        <f>AND(Hoja3!B70,"AAAAAGvr96Q=")</f>
        <v>#VALUE!</v>
      </c>
      <c r="FJ176" t="e">
        <f>AND(Hoja3!C70,"AAAAAGvr96U=")</f>
        <v>#VALUE!</v>
      </c>
      <c r="FK176" t="e">
        <f>AND(Hoja3!D70,"AAAAAGvr96Y=")</f>
        <v>#VALUE!</v>
      </c>
      <c r="FL176" t="e">
        <f>AND(Hoja3!E70,"AAAAAGvr96c=")</f>
        <v>#VALUE!</v>
      </c>
      <c r="FM176" t="e">
        <f>AND(Hoja3!F70,"AAAAAGvr96g=")</f>
        <v>#VALUE!</v>
      </c>
      <c r="FN176" t="e">
        <f>AND(Hoja3!G70,"AAAAAGvr96k=")</f>
        <v>#VALUE!</v>
      </c>
      <c r="FO176" t="e">
        <f>AND(Hoja3!H70,"AAAAAGvr96o=")</f>
        <v>#VALUE!</v>
      </c>
      <c r="FP176" t="e">
        <f>AND(Hoja3!I70,"AAAAAGvr96s=")</f>
        <v>#VALUE!</v>
      </c>
      <c r="FQ176" t="e">
        <f>AND(Hoja3!J70,"AAAAAGvr96w=")</f>
        <v>#VALUE!</v>
      </c>
      <c r="FR176" t="e">
        <f>AND(Hoja3!K70,"AAAAAGvr960=")</f>
        <v>#VALUE!</v>
      </c>
      <c r="FS176" t="e">
        <f>AND(Hoja3!L70,"AAAAAGvr964=")</f>
        <v>#VALUE!</v>
      </c>
      <c r="FT176" t="e">
        <f>AND(Hoja3!M70,"AAAAAGvr968=")</f>
        <v>#VALUE!</v>
      </c>
      <c r="FU176" t="e">
        <f>AND(Hoja3!N70,"AAAAAGvr97A=")</f>
        <v>#VALUE!</v>
      </c>
      <c r="FV176" t="e">
        <f>AND(Hoja3!O70,"AAAAAGvr97E=")</f>
        <v>#VALUE!</v>
      </c>
      <c r="FW176" t="e">
        <f>AND(Hoja3!P70,"AAAAAGvr97I=")</f>
        <v>#VALUE!</v>
      </c>
      <c r="FX176" t="e">
        <f>AND(Hoja3!Q70,"AAAAAGvr97M=")</f>
        <v>#VALUE!</v>
      </c>
      <c r="FY176" s="60">
        <f>IF(Hoja3!71:71,"AAAAAGvr97Q=",0)</f>
        <v>0</v>
      </c>
      <c r="FZ176" t="e">
        <f>AND(Hoja3!A71,"AAAAAGvr97U=")</f>
        <v>#VALUE!</v>
      </c>
      <c r="GA176" t="e">
        <f>AND(Hoja3!B71,"AAAAAGvr97Y=")</f>
        <v>#VALUE!</v>
      </c>
      <c r="GB176" t="e">
        <f>AND(Hoja3!C71,"AAAAAGvr97c=")</f>
        <v>#VALUE!</v>
      </c>
      <c r="GC176" t="e">
        <f>AND(Hoja3!D71,"AAAAAGvr97g=")</f>
        <v>#VALUE!</v>
      </c>
      <c r="GD176" t="e">
        <f>AND(Hoja3!E71,"AAAAAGvr97k=")</f>
        <v>#VALUE!</v>
      </c>
      <c r="GE176" t="e">
        <f>AND(Hoja3!F71,"AAAAAGvr97o=")</f>
        <v>#VALUE!</v>
      </c>
      <c r="GF176" t="e">
        <f>AND(Hoja3!G71,"AAAAAGvr97s=")</f>
        <v>#VALUE!</v>
      </c>
      <c r="GG176" t="e">
        <f>AND(Hoja3!H71,"AAAAAGvr97w=")</f>
        <v>#VALUE!</v>
      </c>
      <c r="GH176" t="e">
        <f>AND(Hoja3!I71,"AAAAAGvr970=")</f>
        <v>#VALUE!</v>
      </c>
      <c r="GI176" t="e">
        <f>AND(Hoja3!J71,"AAAAAGvr974=")</f>
        <v>#VALUE!</v>
      </c>
      <c r="GJ176" t="e">
        <f>AND(Hoja3!K71,"AAAAAGvr978=")</f>
        <v>#VALUE!</v>
      </c>
      <c r="GK176" t="e">
        <f>AND(Hoja3!L71,"AAAAAGvr98A=")</f>
        <v>#VALUE!</v>
      </c>
      <c r="GL176" t="e">
        <f>AND(Hoja3!M71,"AAAAAGvr98E=")</f>
        <v>#VALUE!</v>
      </c>
      <c r="GM176" t="e">
        <f>AND(Hoja3!N71,"AAAAAGvr98I=")</f>
        <v>#VALUE!</v>
      </c>
      <c r="GN176" t="e">
        <f>AND(Hoja3!O71,"AAAAAGvr98M=")</f>
        <v>#VALUE!</v>
      </c>
      <c r="GO176" t="e">
        <f>AND(Hoja3!P71,"AAAAAGvr98Q=")</f>
        <v>#VALUE!</v>
      </c>
      <c r="GP176" t="e">
        <f>AND(Hoja3!Q71,"AAAAAGvr98U=")</f>
        <v>#VALUE!</v>
      </c>
      <c r="GQ176" s="60">
        <f>IF(Hoja3!72:72,"AAAAAGvr98Y=",0)</f>
        <v>0</v>
      </c>
      <c r="GR176" t="e">
        <f>AND(Hoja3!A72,"AAAAAGvr98c=")</f>
        <v>#VALUE!</v>
      </c>
      <c r="GS176" t="e">
        <f>AND(Hoja3!B72,"AAAAAGvr98g=")</f>
        <v>#VALUE!</v>
      </c>
      <c r="GT176" t="e">
        <f>AND(Hoja3!C72,"AAAAAGvr98k=")</f>
        <v>#VALUE!</v>
      </c>
      <c r="GU176" t="e">
        <f>AND(Hoja3!D72,"AAAAAGvr98o=")</f>
        <v>#VALUE!</v>
      </c>
      <c r="GV176" t="e">
        <f>AND(Hoja3!E72,"AAAAAGvr98s=")</f>
        <v>#VALUE!</v>
      </c>
      <c r="GW176" t="e">
        <f>AND(Hoja3!F72,"AAAAAGvr98w=")</f>
        <v>#VALUE!</v>
      </c>
      <c r="GX176" t="e">
        <f>AND(Hoja3!G72,"AAAAAGvr980=")</f>
        <v>#VALUE!</v>
      </c>
      <c r="GY176" t="e">
        <f>AND(Hoja3!H72,"AAAAAGvr984=")</f>
        <v>#VALUE!</v>
      </c>
      <c r="GZ176" t="e">
        <f>AND(Hoja3!I72,"AAAAAGvr988=")</f>
        <v>#VALUE!</v>
      </c>
      <c r="HA176" t="e">
        <f>AND(Hoja3!J72,"AAAAAGvr99A=")</f>
        <v>#VALUE!</v>
      </c>
      <c r="HB176" t="e">
        <f>AND(Hoja3!K72,"AAAAAGvr99E=")</f>
        <v>#VALUE!</v>
      </c>
      <c r="HC176" t="e">
        <f>AND(Hoja3!L72,"AAAAAGvr99I=")</f>
        <v>#VALUE!</v>
      </c>
      <c r="HD176" t="e">
        <f>AND(Hoja3!M72,"AAAAAGvr99M=")</f>
        <v>#VALUE!</v>
      </c>
      <c r="HE176" t="e">
        <f>AND(Hoja3!N72,"AAAAAGvr99Q=")</f>
        <v>#VALUE!</v>
      </c>
      <c r="HF176" t="e">
        <f>AND(Hoja3!O72,"AAAAAGvr99U=")</f>
        <v>#VALUE!</v>
      </c>
      <c r="HG176" t="e">
        <f>AND(Hoja3!P72,"AAAAAGvr99Y=")</f>
        <v>#VALUE!</v>
      </c>
      <c r="HH176" t="e">
        <f>AND(Hoja3!Q72,"AAAAAGvr99c=")</f>
        <v>#VALUE!</v>
      </c>
      <c r="HI176" s="60">
        <f>IF(Hoja3!73:73,"AAAAAGvr99g=",0)</f>
        <v>0</v>
      </c>
      <c r="HJ176" t="e">
        <f>AND(Hoja3!A73,"AAAAAGvr99k=")</f>
        <v>#VALUE!</v>
      </c>
      <c r="HK176" t="e">
        <f>AND(Hoja3!B73,"AAAAAGvr99o=")</f>
        <v>#VALUE!</v>
      </c>
      <c r="HL176" t="e">
        <f>AND(Hoja3!C73,"AAAAAGvr99s=")</f>
        <v>#VALUE!</v>
      </c>
      <c r="HM176" t="e">
        <f>AND(Hoja3!D73,"AAAAAGvr99w=")</f>
        <v>#VALUE!</v>
      </c>
      <c r="HN176" t="e">
        <f>AND(Hoja3!E73,"AAAAAGvr990=")</f>
        <v>#VALUE!</v>
      </c>
      <c r="HO176" t="e">
        <f>AND(Hoja3!F73,"AAAAAGvr994=")</f>
        <v>#VALUE!</v>
      </c>
      <c r="HP176" t="e">
        <f>AND(Hoja3!G73,"AAAAAGvr998=")</f>
        <v>#VALUE!</v>
      </c>
      <c r="HQ176" t="e">
        <f>AND(Hoja3!H73,"AAAAAGvr9+A=")</f>
        <v>#VALUE!</v>
      </c>
      <c r="HR176" t="e">
        <f>AND(Hoja3!I73,"AAAAAGvr9+E=")</f>
        <v>#VALUE!</v>
      </c>
      <c r="HS176" t="e">
        <f>AND(Hoja3!J73,"AAAAAGvr9+I=")</f>
        <v>#VALUE!</v>
      </c>
      <c r="HT176" t="e">
        <f>AND(Hoja3!K73,"AAAAAGvr9+M=")</f>
        <v>#VALUE!</v>
      </c>
      <c r="HU176" t="e">
        <f>AND(Hoja3!L73,"AAAAAGvr9+Q=")</f>
        <v>#VALUE!</v>
      </c>
      <c r="HV176" t="e">
        <f>AND(Hoja3!M73,"AAAAAGvr9+U=")</f>
        <v>#VALUE!</v>
      </c>
      <c r="HW176" t="e">
        <f>AND(Hoja3!N73,"AAAAAGvr9+Y=")</f>
        <v>#VALUE!</v>
      </c>
      <c r="HX176" t="e">
        <f>AND(Hoja3!O73,"AAAAAGvr9+c=")</f>
        <v>#VALUE!</v>
      </c>
      <c r="HY176" t="e">
        <f>AND(Hoja3!P73,"AAAAAGvr9+g=")</f>
        <v>#VALUE!</v>
      </c>
      <c r="HZ176" t="e">
        <f>AND(Hoja3!Q73,"AAAAAGvr9+k=")</f>
        <v>#VALUE!</v>
      </c>
      <c r="IA176" s="60">
        <f>IF(Hoja3!74:74,"AAAAAGvr9+o=",0)</f>
        <v>0</v>
      </c>
      <c r="IB176" t="e">
        <f>AND(Hoja3!A74,"AAAAAGvr9+s=")</f>
        <v>#VALUE!</v>
      </c>
      <c r="IC176" t="e">
        <f>AND(Hoja3!B74,"AAAAAGvr9+w=")</f>
        <v>#VALUE!</v>
      </c>
      <c r="ID176" t="e">
        <f>AND(Hoja3!C74,"AAAAAGvr9+0=")</f>
        <v>#VALUE!</v>
      </c>
      <c r="IE176" t="e">
        <f>AND(Hoja3!D74,"AAAAAGvr9+4=")</f>
        <v>#VALUE!</v>
      </c>
      <c r="IF176" t="e">
        <f>AND(Hoja3!E74,"AAAAAGvr9+8=")</f>
        <v>#VALUE!</v>
      </c>
      <c r="IG176" t="e">
        <f>AND(Hoja3!F74,"AAAAAGvr9/A=")</f>
        <v>#VALUE!</v>
      </c>
      <c r="IH176" t="e">
        <f>AND(Hoja3!G74,"AAAAAGvr9/E=")</f>
        <v>#VALUE!</v>
      </c>
      <c r="II176" t="e">
        <f>AND(Hoja3!H74,"AAAAAGvr9/I=")</f>
        <v>#VALUE!</v>
      </c>
      <c r="IJ176" t="e">
        <f>AND(Hoja3!I74,"AAAAAGvr9/M=")</f>
        <v>#VALUE!</v>
      </c>
      <c r="IK176" t="e">
        <f>AND(Hoja3!J74,"AAAAAGvr9/Q=")</f>
        <v>#VALUE!</v>
      </c>
      <c r="IL176" t="e">
        <f>AND(Hoja3!K74,"AAAAAGvr9/U=")</f>
        <v>#VALUE!</v>
      </c>
      <c r="IM176" t="e">
        <f>AND(Hoja3!L74,"AAAAAGvr9/Y=")</f>
        <v>#VALUE!</v>
      </c>
      <c r="IN176" t="e">
        <f>AND(Hoja3!M74,"AAAAAGvr9/c=")</f>
        <v>#VALUE!</v>
      </c>
      <c r="IO176" t="e">
        <f>AND(Hoja3!N74,"AAAAAGvr9/g=")</f>
        <v>#VALUE!</v>
      </c>
      <c r="IP176" t="e">
        <f>AND(Hoja3!O74,"AAAAAGvr9/k=")</f>
        <v>#VALUE!</v>
      </c>
      <c r="IQ176" t="e">
        <f>AND(Hoja3!P74,"AAAAAGvr9/o=")</f>
        <v>#VALUE!</v>
      </c>
      <c r="IR176" t="e">
        <f>AND(Hoja3!Q74,"AAAAAGvr9/s=")</f>
        <v>#VALUE!</v>
      </c>
      <c r="IS176" s="60">
        <f>IF(Hoja3!75:75,"AAAAAGvr9/w=",0)</f>
        <v>0</v>
      </c>
      <c r="IT176" t="e">
        <f>AND(Hoja3!A75,"AAAAAGvr9/0=")</f>
        <v>#VALUE!</v>
      </c>
      <c r="IU176" t="e">
        <f>AND(Hoja3!B75,"AAAAAGvr9/4=")</f>
        <v>#VALUE!</v>
      </c>
      <c r="IV176" t="e">
        <f>AND(Hoja3!C75,"AAAAAGvr9/8=")</f>
        <v>#VALUE!</v>
      </c>
    </row>
    <row r="177" spans="1:256" ht="15" customHeight="1" x14ac:dyDescent="0.25">
      <c r="A177" t="e">
        <f>AND(Hoja3!D75,"AAAAAH+dzQA=")</f>
        <v>#VALUE!</v>
      </c>
      <c r="B177" t="e">
        <f>AND(Hoja3!E75,"AAAAAH+dzQE=")</f>
        <v>#VALUE!</v>
      </c>
      <c r="C177" t="e">
        <f>AND(Hoja3!F75,"AAAAAH+dzQI=")</f>
        <v>#VALUE!</v>
      </c>
      <c r="D177" t="e">
        <f>AND(Hoja3!G75,"AAAAAH+dzQM=")</f>
        <v>#VALUE!</v>
      </c>
      <c r="E177" t="e">
        <f>AND(Hoja3!H75,"AAAAAH+dzQQ=")</f>
        <v>#VALUE!</v>
      </c>
      <c r="F177" t="e">
        <f>AND(Hoja3!I75,"AAAAAH+dzQU=")</f>
        <v>#VALUE!</v>
      </c>
      <c r="G177" t="e">
        <f>AND(Hoja3!J75,"AAAAAH+dzQY=")</f>
        <v>#VALUE!</v>
      </c>
      <c r="H177" t="e">
        <f>AND(Hoja3!K75,"AAAAAH+dzQc=")</f>
        <v>#VALUE!</v>
      </c>
      <c r="I177" t="e">
        <f>AND(Hoja3!L75,"AAAAAH+dzQg=")</f>
        <v>#VALUE!</v>
      </c>
      <c r="J177" t="e">
        <f>AND(Hoja3!M75,"AAAAAH+dzQk=")</f>
        <v>#VALUE!</v>
      </c>
      <c r="K177" t="e">
        <f>AND(Hoja3!N75,"AAAAAH+dzQo=")</f>
        <v>#VALUE!</v>
      </c>
      <c r="L177" t="e">
        <f>AND(Hoja3!O75,"AAAAAH+dzQs=")</f>
        <v>#VALUE!</v>
      </c>
      <c r="M177" t="e">
        <f>AND(Hoja3!P75,"AAAAAH+dzQw=")</f>
        <v>#VALUE!</v>
      </c>
      <c r="N177" t="e">
        <f>AND(Hoja3!Q75,"AAAAAH+dzQ0=")</f>
        <v>#VALUE!</v>
      </c>
      <c r="O177" s="60">
        <f>IF(Hoja3!76:76,"AAAAAH+dzQ4=",0)</f>
        <v>0</v>
      </c>
      <c r="P177" t="e">
        <f>AND(Hoja3!A76,"AAAAAH+dzQ8=")</f>
        <v>#VALUE!</v>
      </c>
      <c r="Q177" t="e">
        <f>AND(Hoja3!B76,"AAAAAH+dzRA=")</f>
        <v>#VALUE!</v>
      </c>
      <c r="R177" t="e">
        <f>AND(Hoja3!C76,"AAAAAH+dzRE=")</f>
        <v>#VALUE!</v>
      </c>
      <c r="S177" t="e">
        <f>AND(Hoja3!D76,"AAAAAH+dzRI=")</f>
        <v>#VALUE!</v>
      </c>
      <c r="T177" t="e">
        <f>AND(Hoja3!E76,"AAAAAH+dzRM=")</f>
        <v>#VALUE!</v>
      </c>
      <c r="U177" t="e">
        <f>AND(Hoja3!F76,"AAAAAH+dzRQ=")</f>
        <v>#VALUE!</v>
      </c>
      <c r="V177" t="e">
        <f>AND(Hoja3!G76,"AAAAAH+dzRU=")</f>
        <v>#VALUE!</v>
      </c>
      <c r="W177" t="e">
        <f>AND(Hoja3!H76,"AAAAAH+dzRY=")</f>
        <v>#VALUE!</v>
      </c>
      <c r="X177" t="e">
        <f>AND(Hoja3!I76,"AAAAAH+dzRc=")</f>
        <v>#VALUE!</v>
      </c>
      <c r="Y177" t="e">
        <f>AND(Hoja3!J76,"AAAAAH+dzRg=")</f>
        <v>#VALUE!</v>
      </c>
      <c r="Z177" t="e">
        <f>AND(Hoja3!K76,"AAAAAH+dzRk=")</f>
        <v>#VALUE!</v>
      </c>
      <c r="AA177" t="e">
        <f>AND(Hoja3!L76,"AAAAAH+dzRo=")</f>
        <v>#VALUE!</v>
      </c>
      <c r="AB177" t="e">
        <f>AND(Hoja3!M76,"AAAAAH+dzRs=")</f>
        <v>#VALUE!</v>
      </c>
      <c r="AC177" t="e">
        <f>AND(Hoja3!N76,"AAAAAH+dzRw=")</f>
        <v>#VALUE!</v>
      </c>
      <c r="AD177" t="e">
        <f>AND(Hoja3!O76,"AAAAAH+dzR0=")</f>
        <v>#VALUE!</v>
      </c>
      <c r="AE177" t="e">
        <f>AND(Hoja3!P76,"AAAAAH+dzR4=")</f>
        <v>#VALUE!</v>
      </c>
      <c r="AF177" t="e">
        <f>AND(Hoja3!Q76,"AAAAAH+dzR8=")</f>
        <v>#VALUE!</v>
      </c>
      <c r="AG177" s="60">
        <f>IF(Hoja3!77:77,"AAAAAH+dzSA=",0)</f>
        <v>0</v>
      </c>
      <c r="AH177" t="e">
        <f>AND(Hoja3!A77,"AAAAAH+dzSE=")</f>
        <v>#VALUE!</v>
      </c>
      <c r="AI177" t="e">
        <f>AND(Hoja3!B77,"AAAAAH+dzSI=")</f>
        <v>#VALUE!</v>
      </c>
      <c r="AJ177" t="e">
        <f>AND(Hoja3!C77,"AAAAAH+dzSM=")</f>
        <v>#VALUE!</v>
      </c>
      <c r="AK177" t="e">
        <f>AND(Hoja3!D77,"AAAAAH+dzSQ=")</f>
        <v>#VALUE!</v>
      </c>
      <c r="AL177" t="e">
        <f>AND(Hoja3!E77,"AAAAAH+dzSU=")</f>
        <v>#VALUE!</v>
      </c>
      <c r="AM177" t="e">
        <f>AND(Hoja3!F77,"AAAAAH+dzSY=")</f>
        <v>#VALUE!</v>
      </c>
      <c r="AN177" t="e">
        <f>AND(Hoja3!G77,"AAAAAH+dzSc=")</f>
        <v>#VALUE!</v>
      </c>
      <c r="AO177" t="e">
        <f>AND(Hoja3!H77,"AAAAAH+dzSg=")</f>
        <v>#VALUE!</v>
      </c>
      <c r="AP177" t="e">
        <f>AND(Hoja3!I77,"AAAAAH+dzSk=")</f>
        <v>#VALUE!</v>
      </c>
      <c r="AQ177" t="e">
        <f>AND(Hoja3!J77,"AAAAAH+dzSo=")</f>
        <v>#VALUE!</v>
      </c>
      <c r="AR177" t="e">
        <f>AND(Hoja3!K77,"AAAAAH+dzSs=")</f>
        <v>#VALUE!</v>
      </c>
      <c r="AS177" t="e">
        <f>AND(Hoja3!L77,"AAAAAH+dzSw=")</f>
        <v>#VALUE!</v>
      </c>
      <c r="AT177" t="e">
        <f>AND(Hoja3!M77,"AAAAAH+dzS0=")</f>
        <v>#VALUE!</v>
      </c>
      <c r="AU177" t="e">
        <f>AND(Hoja3!N77,"AAAAAH+dzS4=")</f>
        <v>#VALUE!</v>
      </c>
      <c r="AV177" t="e">
        <f>AND(Hoja3!O77,"AAAAAH+dzS8=")</f>
        <v>#VALUE!</v>
      </c>
      <c r="AW177" t="e">
        <f>AND(Hoja3!P77,"AAAAAH+dzTA=")</f>
        <v>#VALUE!</v>
      </c>
      <c r="AX177" t="e">
        <f>AND(Hoja3!Q77,"AAAAAH+dzTE=")</f>
        <v>#VALUE!</v>
      </c>
      <c r="AY177" s="60">
        <f>IF(Hoja3!78:78,"AAAAAH+dzTI=",0)</f>
        <v>0</v>
      </c>
      <c r="AZ177" t="e">
        <f>AND(Hoja3!A78,"AAAAAH+dzTM=")</f>
        <v>#VALUE!</v>
      </c>
      <c r="BA177" t="e">
        <f>AND(Hoja3!B78,"AAAAAH+dzTQ=")</f>
        <v>#VALUE!</v>
      </c>
      <c r="BB177" t="e">
        <f>AND(Hoja3!C78,"AAAAAH+dzTU=")</f>
        <v>#VALUE!</v>
      </c>
      <c r="BC177" t="e">
        <f>AND(Hoja3!D78,"AAAAAH+dzTY=")</f>
        <v>#VALUE!</v>
      </c>
      <c r="BD177" t="e">
        <f>AND(Hoja3!E78,"AAAAAH+dzTc=")</f>
        <v>#VALUE!</v>
      </c>
      <c r="BE177" t="e">
        <f>AND(Hoja3!F78,"AAAAAH+dzTg=")</f>
        <v>#VALUE!</v>
      </c>
      <c r="BF177" t="e">
        <f>AND(Hoja3!G78,"AAAAAH+dzTk=")</f>
        <v>#VALUE!</v>
      </c>
      <c r="BG177" t="e">
        <f>AND(Hoja3!H78,"AAAAAH+dzTo=")</f>
        <v>#VALUE!</v>
      </c>
      <c r="BH177" t="e">
        <f>AND(Hoja3!I78,"AAAAAH+dzTs=")</f>
        <v>#VALUE!</v>
      </c>
      <c r="BI177" t="e">
        <f>AND(Hoja3!J78,"AAAAAH+dzTw=")</f>
        <v>#VALUE!</v>
      </c>
      <c r="BJ177" t="e">
        <f>AND(Hoja3!K78,"AAAAAH+dzT0=")</f>
        <v>#VALUE!</v>
      </c>
      <c r="BK177" t="e">
        <f>AND(Hoja3!L78,"AAAAAH+dzT4=")</f>
        <v>#VALUE!</v>
      </c>
      <c r="BL177" t="e">
        <f>AND(Hoja3!M78,"AAAAAH+dzT8=")</f>
        <v>#VALUE!</v>
      </c>
      <c r="BM177" t="e">
        <f>AND(Hoja3!N78,"AAAAAH+dzUA=")</f>
        <v>#VALUE!</v>
      </c>
      <c r="BN177" t="e">
        <f>AND(Hoja3!O78,"AAAAAH+dzUE=")</f>
        <v>#VALUE!</v>
      </c>
      <c r="BO177" t="e">
        <f>AND(Hoja3!P78,"AAAAAH+dzUI=")</f>
        <v>#VALUE!</v>
      </c>
      <c r="BP177" t="e">
        <f>AND(Hoja3!Q78,"AAAAAH+dzUM=")</f>
        <v>#VALUE!</v>
      </c>
      <c r="BQ177" s="60">
        <f>IF(Hoja3!79:79,"AAAAAH+dzUQ=",0)</f>
        <v>0</v>
      </c>
      <c r="BR177" t="e">
        <f>AND(Hoja3!A79,"AAAAAH+dzUU=")</f>
        <v>#VALUE!</v>
      </c>
      <c r="BS177" t="e">
        <f>AND(Hoja3!B79,"AAAAAH+dzUY=")</f>
        <v>#VALUE!</v>
      </c>
      <c r="BT177" t="e">
        <f>AND(Hoja3!C79,"AAAAAH+dzUc=")</f>
        <v>#VALUE!</v>
      </c>
      <c r="BU177" t="e">
        <f>AND(Hoja3!D79,"AAAAAH+dzUg=")</f>
        <v>#VALUE!</v>
      </c>
      <c r="BV177" t="e">
        <f>AND(Hoja3!E79,"AAAAAH+dzUk=")</f>
        <v>#VALUE!</v>
      </c>
      <c r="BW177" t="e">
        <f>AND(Hoja3!F79,"AAAAAH+dzUo=")</f>
        <v>#VALUE!</v>
      </c>
      <c r="BX177" t="e">
        <f>AND(Hoja3!G79,"AAAAAH+dzUs=")</f>
        <v>#VALUE!</v>
      </c>
      <c r="BY177" t="e">
        <f>AND(Hoja3!H79,"AAAAAH+dzUw=")</f>
        <v>#VALUE!</v>
      </c>
      <c r="BZ177" t="e">
        <f>AND(Hoja3!I79,"AAAAAH+dzU0=")</f>
        <v>#VALUE!</v>
      </c>
      <c r="CA177" t="e">
        <f>AND(Hoja3!J79,"AAAAAH+dzU4=")</f>
        <v>#VALUE!</v>
      </c>
      <c r="CB177" t="e">
        <f>AND(Hoja3!K79,"AAAAAH+dzU8=")</f>
        <v>#VALUE!</v>
      </c>
      <c r="CC177" t="e">
        <f>AND(Hoja3!L79,"AAAAAH+dzVA=")</f>
        <v>#VALUE!</v>
      </c>
      <c r="CD177" t="e">
        <f>AND(Hoja3!M79,"AAAAAH+dzVE=")</f>
        <v>#VALUE!</v>
      </c>
      <c r="CE177" t="e">
        <f>AND(Hoja3!N79,"AAAAAH+dzVI=")</f>
        <v>#VALUE!</v>
      </c>
      <c r="CF177" t="e">
        <f>AND(Hoja3!O79,"AAAAAH+dzVM=")</f>
        <v>#VALUE!</v>
      </c>
      <c r="CG177" t="e">
        <f>AND(Hoja3!P79,"AAAAAH+dzVQ=")</f>
        <v>#VALUE!</v>
      </c>
      <c r="CH177" t="e">
        <f>AND(Hoja3!Q79,"AAAAAH+dzVU=")</f>
        <v>#VALUE!</v>
      </c>
      <c r="CI177" s="60">
        <f>IF(Hoja3!80:80,"AAAAAH+dzVY=",0)</f>
        <v>0</v>
      </c>
      <c r="CJ177" t="e">
        <f>AND(Hoja3!A80,"AAAAAH+dzVc=")</f>
        <v>#VALUE!</v>
      </c>
      <c r="CK177" t="e">
        <f>AND(Hoja3!B80,"AAAAAH+dzVg=")</f>
        <v>#VALUE!</v>
      </c>
      <c r="CL177" t="e">
        <f>AND(Hoja3!C80,"AAAAAH+dzVk=")</f>
        <v>#VALUE!</v>
      </c>
      <c r="CM177" t="e">
        <f>AND(Hoja3!D80,"AAAAAH+dzVo=")</f>
        <v>#VALUE!</v>
      </c>
      <c r="CN177" t="e">
        <f>AND(Hoja3!E80,"AAAAAH+dzVs=")</f>
        <v>#VALUE!</v>
      </c>
      <c r="CO177" t="e">
        <f>AND(Hoja3!F80,"AAAAAH+dzVw=")</f>
        <v>#VALUE!</v>
      </c>
      <c r="CP177" t="e">
        <f>AND(Hoja3!G80,"AAAAAH+dzV0=")</f>
        <v>#VALUE!</v>
      </c>
      <c r="CQ177" t="e">
        <f>AND(Hoja3!H80,"AAAAAH+dzV4=")</f>
        <v>#VALUE!</v>
      </c>
      <c r="CR177" t="e">
        <f>AND(Hoja3!I80,"AAAAAH+dzV8=")</f>
        <v>#VALUE!</v>
      </c>
      <c r="CS177" t="e">
        <f>AND(Hoja3!J80,"AAAAAH+dzWA=")</f>
        <v>#VALUE!</v>
      </c>
      <c r="CT177" t="e">
        <f>AND(Hoja3!K80,"AAAAAH+dzWE=")</f>
        <v>#VALUE!</v>
      </c>
      <c r="CU177" t="e">
        <f>AND(Hoja3!L80,"AAAAAH+dzWI=")</f>
        <v>#VALUE!</v>
      </c>
      <c r="CV177" t="e">
        <f>AND(Hoja3!M80,"AAAAAH+dzWM=")</f>
        <v>#VALUE!</v>
      </c>
      <c r="CW177" t="e">
        <f>AND(Hoja3!N80,"AAAAAH+dzWQ=")</f>
        <v>#VALUE!</v>
      </c>
      <c r="CX177" t="e">
        <f>AND(Hoja3!O80,"AAAAAH+dzWU=")</f>
        <v>#VALUE!</v>
      </c>
      <c r="CY177" t="e">
        <f>AND(Hoja3!P80,"AAAAAH+dzWY=")</f>
        <v>#VALUE!</v>
      </c>
      <c r="CZ177" t="e">
        <f>AND(Hoja3!Q80,"AAAAAH+dzWc=")</f>
        <v>#VALUE!</v>
      </c>
      <c r="DA177" s="60">
        <f>IF(Hoja3!81:81,"AAAAAH+dzWg=",0)</f>
        <v>0</v>
      </c>
      <c r="DB177" t="e">
        <f>AND(Hoja3!A81,"AAAAAH+dzWk=")</f>
        <v>#VALUE!</v>
      </c>
      <c r="DC177" t="e">
        <f>AND(Hoja3!B81,"AAAAAH+dzWo=")</f>
        <v>#VALUE!</v>
      </c>
      <c r="DD177" t="e">
        <f>AND(Hoja3!C81,"AAAAAH+dzWs=")</f>
        <v>#VALUE!</v>
      </c>
      <c r="DE177" t="e">
        <f>AND(Hoja3!D81,"AAAAAH+dzWw=")</f>
        <v>#VALUE!</v>
      </c>
      <c r="DF177" t="e">
        <f>AND(Hoja3!E81,"AAAAAH+dzW0=")</f>
        <v>#VALUE!</v>
      </c>
      <c r="DG177" t="e">
        <f>AND(Hoja3!F81,"AAAAAH+dzW4=")</f>
        <v>#VALUE!</v>
      </c>
      <c r="DH177" t="e">
        <f>AND(Hoja3!G81,"AAAAAH+dzW8=")</f>
        <v>#VALUE!</v>
      </c>
      <c r="DI177" t="e">
        <f>AND(Hoja3!H81,"AAAAAH+dzXA=")</f>
        <v>#VALUE!</v>
      </c>
      <c r="DJ177" t="e">
        <f>AND(Hoja3!I81,"AAAAAH+dzXE=")</f>
        <v>#VALUE!</v>
      </c>
      <c r="DK177" t="e">
        <f>AND(Hoja3!J81,"AAAAAH+dzXI=")</f>
        <v>#VALUE!</v>
      </c>
      <c r="DL177" t="e">
        <f>AND(Hoja3!K81,"AAAAAH+dzXM=")</f>
        <v>#VALUE!</v>
      </c>
      <c r="DM177" t="e">
        <f>AND(Hoja3!L81,"AAAAAH+dzXQ=")</f>
        <v>#VALUE!</v>
      </c>
      <c r="DN177" t="e">
        <f>AND(Hoja3!M81,"AAAAAH+dzXU=")</f>
        <v>#VALUE!</v>
      </c>
      <c r="DO177" t="e">
        <f>AND(Hoja3!N81,"AAAAAH+dzXY=")</f>
        <v>#VALUE!</v>
      </c>
      <c r="DP177" t="e">
        <f>AND(Hoja3!O81,"AAAAAH+dzXc=")</f>
        <v>#VALUE!</v>
      </c>
      <c r="DQ177" t="e">
        <f>AND(Hoja3!P81,"AAAAAH+dzXg=")</f>
        <v>#VALUE!</v>
      </c>
      <c r="DR177" t="e">
        <f>AND(Hoja3!Q81,"AAAAAH+dzXk=")</f>
        <v>#VALUE!</v>
      </c>
      <c r="DS177" s="60">
        <f>IF(Hoja3!82:82,"AAAAAH+dzXo=",0)</f>
        <v>0</v>
      </c>
      <c r="DT177" t="e">
        <f>AND(Hoja3!A82,"AAAAAH+dzXs=")</f>
        <v>#VALUE!</v>
      </c>
      <c r="DU177" t="e">
        <f>AND(Hoja3!B82,"AAAAAH+dzXw=")</f>
        <v>#VALUE!</v>
      </c>
      <c r="DV177" t="e">
        <f>AND(Hoja3!C82,"AAAAAH+dzX0=")</f>
        <v>#VALUE!</v>
      </c>
      <c r="DW177" t="e">
        <f>AND(Hoja3!D82,"AAAAAH+dzX4=")</f>
        <v>#VALUE!</v>
      </c>
      <c r="DX177" t="e">
        <f>AND(Hoja3!E82,"AAAAAH+dzX8=")</f>
        <v>#VALUE!</v>
      </c>
      <c r="DY177" t="e">
        <f>AND(Hoja3!F82,"AAAAAH+dzYA=")</f>
        <v>#VALUE!</v>
      </c>
      <c r="DZ177" t="e">
        <f>AND(Hoja3!G82,"AAAAAH+dzYE=")</f>
        <v>#VALUE!</v>
      </c>
      <c r="EA177" t="e">
        <f>AND(Hoja3!H82,"AAAAAH+dzYI=")</f>
        <v>#VALUE!</v>
      </c>
      <c r="EB177" t="e">
        <f>AND(Hoja3!I82,"AAAAAH+dzYM=")</f>
        <v>#VALUE!</v>
      </c>
      <c r="EC177" t="e">
        <f>AND(Hoja3!J82,"AAAAAH+dzYQ=")</f>
        <v>#VALUE!</v>
      </c>
      <c r="ED177" t="e">
        <f>AND(Hoja3!K82,"AAAAAH+dzYU=")</f>
        <v>#VALUE!</v>
      </c>
      <c r="EE177" t="e">
        <f>AND(Hoja3!L82,"AAAAAH+dzYY=")</f>
        <v>#VALUE!</v>
      </c>
      <c r="EF177" t="e">
        <f>AND(Hoja3!M82,"AAAAAH+dzYc=")</f>
        <v>#VALUE!</v>
      </c>
      <c r="EG177" t="e">
        <f>AND(Hoja3!N82,"AAAAAH+dzYg=")</f>
        <v>#VALUE!</v>
      </c>
      <c r="EH177" t="e">
        <f>AND(Hoja3!O82,"AAAAAH+dzYk=")</f>
        <v>#VALUE!</v>
      </c>
      <c r="EI177" t="e">
        <f>AND(Hoja3!P82,"AAAAAH+dzYo=")</f>
        <v>#VALUE!</v>
      </c>
      <c r="EJ177" t="e">
        <f>AND(Hoja3!Q82,"AAAAAH+dzYs=")</f>
        <v>#VALUE!</v>
      </c>
      <c r="EK177" s="60">
        <f>IF(Hoja3!83:83,"AAAAAH+dzYw=",0)</f>
        <v>0</v>
      </c>
      <c r="EL177" t="e">
        <f>AND(Hoja3!A83,"AAAAAH+dzY0=")</f>
        <v>#VALUE!</v>
      </c>
      <c r="EM177" t="e">
        <f>AND(Hoja3!B83,"AAAAAH+dzY4=")</f>
        <v>#VALUE!</v>
      </c>
      <c r="EN177" t="e">
        <f>AND(Hoja3!C83,"AAAAAH+dzY8=")</f>
        <v>#VALUE!</v>
      </c>
      <c r="EO177" t="e">
        <f>AND(Hoja3!D83,"AAAAAH+dzZA=")</f>
        <v>#VALUE!</v>
      </c>
      <c r="EP177" t="e">
        <f>AND(Hoja3!E83,"AAAAAH+dzZE=")</f>
        <v>#VALUE!</v>
      </c>
      <c r="EQ177" t="e">
        <f>AND(Hoja3!F83,"AAAAAH+dzZI=")</f>
        <v>#VALUE!</v>
      </c>
      <c r="ER177" t="e">
        <f>AND(Hoja3!G83,"AAAAAH+dzZM=")</f>
        <v>#VALUE!</v>
      </c>
      <c r="ES177" t="e">
        <f>AND(Hoja3!H83,"AAAAAH+dzZQ=")</f>
        <v>#VALUE!</v>
      </c>
      <c r="ET177" t="e">
        <f>AND(Hoja3!I83,"AAAAAH+dzZU=")</f>
        <v>#VALUE!</v>
      </c>
      <c r="EU177" t="e">
        <f>AND(Hoja3!J83,"AAAAAH+dzZY=")</f>
        <v>#VALUE!</v>
      </c>
      <c r="EV177" t="e">
        <f>AND(Hoja3!K83,"AAAAAH+dzZc=")</f>
        <v>#VALUE!</v>
      </c>
      <c r="EW177" t="e">
        <f>AND(Hoja3!L83,"AAAAAH+dzZg=")</f>
        <v>#VALUE!</v>
      </c>
      <c r="EX177" t="e">
        <f>AND(Hoja3!M83,"AAAAAH+dzZk=")</f>
        <v>#VALUE!</v>
      </c>
      <c r="EY177" t="e">
        <f>AND(Hoja3!N83,"AAAAAH+dzZo=")</f>
        <v>#VALUE!</v>
      </c>
      <c r="EZ177" t="e">
        <f>AND(Hoja3!O83,"AAAAAH+dzZs=")</f>
        <v>#VALUE!</v>
      </c>
      <c r="FA177" t="e">
        <f>AND(Hoja3!P83,"AAAAAH+dzZw=")</f>
        <v>#VALUE!</v>
      </c>
      <c r="FB177" t="e">
        <f>AND(Hoja3!Q83,"AAAAAH+dzZ0=")</f>
        <v>#VALUE!</v>
      </c>
      <c r="FC177" s="60">
        <f>IF(Hoja3!84:84,"AAAAAH+dzZ4=",0)</f>
        <v>0</v>
      </c>
      <c r="FD177" t="e">
        <f>AND(Hoja3!A84,"AAAAAH+dzZ8=")</f>
        <v>#VALUE!</v>
      </c>
      <c r="FE177" t="e">
        <f>AND(Hoja3!B84,"AAAAAH+dzaA=")</f>
        <v>#VALUE!</v>
      </c>
      <c r="FF177" t="e">
        <f>AND(Hoja3!C84,"AAAAAH+dzaE=")</f>
        <v>#VALUE!</v>
      </c>
      <c r="FG177" t="e">
        <f>AND(Hoja3!D84,"AAAAAH+dzaI=")</f>
        <v>#VALUE!</v>
      </c>
      <c r="FH177" t="e">
        <f>AND(Hoja3!E84,"AAAAAH+dzaM=")</f>
        <v>#VALUE!</v>
      </c>
      <c r="FI177" t="e">
        <f>AND(Hoja3!F84,"AAAAAH+dzaQ=")</f>
        <v>#VALUE!</v>
      </c>
      <c r="FJ177" t="e">
        <f>AND(Hoja3!G84,"AAAAAH+dzaU=")</f>
        <v>#VALUE!</v>
      </c>
      <c r="FK177" t="e">
        <f>AND(Hoja3!H84,"AAAAAH+dzaY=")</f>
        <v>#VALUE!</v>
      </c>
      <c r="FL177" t="e">
        <f>AND(Hoja3!I84,"AAAAAH+dzac=")</f>
        <v>#VALUE!</v>
      </c>
      <c r="FM177" t="e">
        <f>AND(Hoja3!J84,"AAAAAH+dzag=")</f>
        <v>#VALUE!</v>
      </c>
      <c r="FN177" t="e">
        <f>AND(Hoja3!K84,"AAAAAH+dzak=")</f>
        <v>#VALUE!</v>
      </c>
      <c r="FO177" t="e">
        <f>AND(Hoja3!L84,"AAAAAH+dzao=")</f>
        <v>#VALUE!</v>
      </c>
      <c r="FP177" t="e">
        <f>AND(Hoja3!M84,"AAAAAH+dzas=")</f>
        <v>#VALUE!</v>
      </c>
      <c r="FQ177" t="e">
        <f>AND(Hoja3!N84,"AAAAAH+dzaw=")</f>
        <v>#VALUE!</v>
      </c>
      <c r="FR177" t="e">
        <f>AND(Hoja3!O84,"AAAAAH+dza0=")</f>
        <v>#VALUE!</v>
      </c>
      <c r="FS177" t="e">
        <f>AND(Hoja3!P84,"AAAAAH+dza4=")</f>
        <v>#VALUE!</v>
      </c>
      <c r="FT177" t="e">
        <f>AND(Hoja3!Q84,"AAAAAH+dza8=")</f>
        <v>#VALUE!</v>
      </c>
      <c r="FU177" s="60">
        <f>IF(Hoja3!85:85,"AAAAAH+dzbA=",0)</f>
        <v>0</v>
      </c>
      <c r="FV177" t="e">
        <f>AND(Hoja3!A85,"AAAAAH+dzbE=")</f>
        <v>#VALUE!</v>
      </c>
      <c r="FW177" t="e">
        <f>AND(Hoja3!B85,"AAAAAH+dzbI=")</f>
        <v>#VALUE!</v>
      </c>
      <c r="FX177" t="e">
        <f>AND(Hoja3!C85,"AAAAAH+dzbM=")</f>
        <v>#VALUE!</v>
      </c>
      <c r="FY177" t="e">
        <f>AND(Hoja3!D85,"AAAAAH+dzbQ=")</f>
        <v>#VALUE!</v>
      </c>
      <c r="FZ177" t="e">
        <f>AND(Hoja3!E85,"AAAAAH+dzbU=")</f>
        <v>#VALUE!</v>
      </c>
      <c r="GA177" t="e">
        <f>AND(Hoja3!F85,"AAAAAH+dzbY=")</f>
        <v>#VALUE!</v>
      </c>
      <c r="GB177" t="e">
        <f>AND(Hoja3!G85,"AAAAAH+dzbc=")</f>
        <v>#VALUE!</v>
      </c>
      <c r="GC177" t="e">
        <f>AND(Hoja3!H85,"AAAAAH+dzbg=")</f>
        <v>#VALUE!</v>
      </c>
      <c r="GD177" t="e">
        <f>AND(Hoja3!I85,"AAAAAH+dzbk=")</f>
        <v>#VALUE!</v>
      </c>
      <c r="GE177" t="e">
        <f>AND(Hoja3!J85,"AAAAAH+dzbo=")</f>
        <v>#VALUE!</v>
      </c>
      <c r="GF177" t="e">
        <f>AND(Hoja3!K85,"AAAAAH+dzbs=")</f>
        <v>#VALUE!</v>
      </c>
      <c r="GG177" t="e">
        <f>AND(Hoja3!L85,"AAAAAH+dzbw=")</f>
        <v>#VALUE!</v>
      </c>
      <c r="GH177" t="e">
        <f>AND(Hoja3!M85,"AAAAAH+dzb0=")</f>
        <v>#VALUE!</v>
      </c>
      <c r="GI177" t="e">
        <f>AND(Hoja3!N85,"AAAAAH+dzb4=")</f>
        <v>#VALUE!</v>
      </c>
      <c r="GJ177" t="e">
        <f>AND(Hoja3!O85,"AAAAAH+dzb8=")</f>
        <v>#VALUE!</v>
      </c>
      <c r="GK177" t="e">
        <f>AND(Hoja3!P85,"AAAAAH+dzcA=")</f>
        <v>#VALUE!</v>
      </c>
      <c r="GL177" t="e">
        <f>AND(Hoja3!Q85,"AAAAAH+dzcE=")</f>
        <v>#VALUE!</v>
      </c>
      <c r="GM177" s="60">
        <f>IF(Hoja3!86:86,"AAAAAH+dzcI=",0)</f>
        <v>0</v>
      </c>
      <c r="GN177" t="e">
        <f>AND(Hoja3!A86,"AAAAAH+dzcM=")</f>
        <v>#VALUE!</v>
      </c>
      <c r="GO177" t="e">
        <f>AND(Hoja3!B86,"AAAAAH+dzcQ=")</f>
        <v>#VALUE!</v>
      </c>
      <c r="GP177" t="e">
        <f>AND(Hoja3!C86,"AAAAAH+dzcU=")</f>
        <v>#VALUE!</v>
      </c>
      <c r="GQ177" t="e">
        <f>AND(Hoja3!D86,"AAAAAH+dzcY=")</f>
        <v>#VALUE!</v>
      </c>
      <c r="GR177" t="e">
        <f>AND(Hoja3!E86,"AAAAAH+dzcc=")</f>
        <v>#VALUE!</v>
      </c>
      <c r="GS177" t="e">
        <f>AND(Hoja3!F86,"AAAAAH+dzcg=")</f>
        <v>#VALUE!</v>
      </c>
      <c r="GT177" t="e">
        <f>AND(Hoja3!G86,"AAAAAH+dzck=")</f>
        <v>#VALUE!</v>
      </c>
      <c r="GU177" t="e">
        <f>AND(Hoja3!H86,"AAAAAH+dzco=")</f>
        <v>#VALUE!</v>
      </c>
      <c r="GV177" t="e">
        <f>AND(Hoja3!I86,"AAAAAH+dzcs=")</f>
        <v>#VALUE!</v>
      </c>
      <c r="GW177" t="e">
        <f>AND(Hoja3!J86,"AAAAAH+dzcw=")</f>
        <v>#VALUE!</v>
      </c>
      <c r="GX177" t="e">
        <f>AND(Hoja3!K86,"AAAAAH+dzc0=")</f>
        <v>#VALUE!</v>
      </c>
      <c r="GY177" t="e">
        <f>AND(Hoja3!L86,"AAAAAH+dzc4=")</f>
        <v>#VALUE!</v>
      </c>
      <c r="GZ177" t="e">
        <f>AND(Hoja3!M86,"AAAAAH+dzc8=")</f>
        <v>#VALUE!</v>
      </c>
      <c r="HA177" t="e">
        <f>AND(Hoja3!N86,"AAAAAH+dzdA=")</f>
        <v>#VALUE!</v>
      </c>
      <c r="HB177" t="e">
        <f>AND(Hoja3!O86,"AAAAAH+dzdE=")</f>
        <v>#VALUE!</v>
      </c>
      <c r="HC177" t="e">
        <f>AND(Hoja3!P86,"AAAAAH+dzdI=")</f>
        <v>#VALUE!</v>
      </c>
      <c r="HD177" t="e">
        <f>AND(Hoja3!Q86,"AAAAAH+dzdM=")</f>
        <v>#VALUE!</v>
      </c>
      <c r="HE177" s="60">
        <f>IF(Hoja3!87:87,"AAAAAH+dzdQ=",0)</f>
        <v>0</v>
      </c>
      <c r="HF177" t="e">
        <f>AND(Hoja3!A87,"AAAAAH+dzdU=")</f>
        <v>#VALUE!</v>
      </c>
      <c r="HG177" t="e">
        <f>AND(Hoja3!B87,"AAAAAH+dzdY=")</f>
        <v>#VALUE!</v>
      </c>
      <c r="HH177" t="e">
        <f>AND(Hoja3!C87,"AAAAAH+dzdc=")</f>
        <v>#VALUE!</v>
      </c>
      <c r="HI177" t="e">
        <f>AND(Hoja3!D87,"AAAAAH+dzdg=")</f>
        <v>#VALUE!</v>
      </c>
      <c r="HJ177" t="e">
        <f>AND(Hoja3!E87,"AAAAAH+dzdk=")</f>
        <v>#VALUE!</v>
      </c>
      <c r="HK177" t="e">
        <f>AND(Hoja3!F87,"AAAAAH+dzdo=")</f>
        <v>#VALUE!</v>
      </c>
      <c r="HL177" t="e">
        <f>AND(Hoja3!G87,"AAAAAH+dzds=")</f>
        <v>#VALUE!</v>
      </c>
      <c r="HM177" t="e">
        <f>AND(Hoja3!H87,"AAAAAH+dzdw=")</f>
        <v>#VALUE!</v>
      </c>
      <c r="HN177" t="e">
        <f>AND(Hoja3!I87,"AAAAAH+dzd0=")</f>
        <v>#VALUE!</v>
      </c>
      <c r="HO177" t="e">
        <f>AND(Hoja3!J87,"AAAAAH+dzd4=")</f>
        <v>#VALUE!</v>
      </c>
      <c r="HP177" t="e">
        <f>AND(Hoja3!K87,"AAAAAH+dzd8=")</f>
        <v>#VALUE!</v>
      </c>
      <c r="HQ177" t="e">
        <f>AND(Hoja3!L87,"AAAAAH+dzeA=")</f>
        <v>#VALUE!</v>
      </c>
      <c r="HR177" t="e">
        <f>AND(Hoja3!M87,"AAAAAH+dzeE=")</f>
        <v>#VALUE!</v>
      </c>
      <c r="HS177" t="e">
        <f>AND(Hoja3!N87,"AAAAAH+dzeI=")</f>
        <v>#VALUE!</v>
      </c>
      <c r="HT177" t="e">
        <f>AND(Hoja3!O87,"AAAAAH+dzeM=")</f>
        <v>#VALUE!</v>
      </c>
      <c r="HU177" t="e">
        <f>AND(Hoja3!P87,"AAAAAH+dzeQ=")</f>
        <v>#VALUE!</v>
      </c>
      <c r="HV177" t="e">
        <f>AND(Hoja3!Q87,"AAAAAH+dzeU=")</f>
        <v>#VALUE!</v>
      </c>
      <c r="HW177" s="60">
        <f>IF(Hoja3!88:88,"AAAAAH+dzeY=",0)</f>
        <v>0</v>
      </c>
      <c r="HX177" t="e">
        <f>AND(Hoja3!A88,"AAAAAH+dzec=")</f>
        <v>#VALUE!</v>
      </c>
      <c r="HY177" t="e">
        <f>AND(Hoja3!B88,"AAAAAH+dzeg=")</f>
        <v>#VALUE!</v>
      </c>
      <c r="HZ177" t="e">
        <f>AND(Hoja3!C88,"AAAAAH+dzek=")</f>
        <v>#VALUE!</v>
      </c>
      <c r="IA177" t="e">
        <f>AND(Hoja3!D88,"AAAAAH+dzeo=")</f>
        <v>#VALUE!</v>
      </c>
      <c r="IB177" t="e">
        <f>AND(Hoja3!E88,"AAAAAH+dzes=")</f>
        <v>#VALUE!</v>
      </c>
      <c r="IC177" t="e">
        <f>AND(Hoja3!F88,"AAAAAH+dzew=")</f>
        <v>#VALUE!</v>
      </c>
      <c r="ID177" t="e">
        <f>AND(Hoja3!G88,"AAAAAH+dze0=")</f>
        <v>#VALUE!</v>
      </c>
      <c r="IE177" t="e">
        <f>AND(Hoja3!H88,"AAAAAH+dze4=")</f>
        <v>#VALUE!</v>
      </c>
      <c r="IF177" t="e">
        <f>AND(Hoja3!I88,"AAAAAH+dze8=")</f>
        <v>#VALUE!</v>
      </c>
      <c r="IG177" t="e">
        <f>AND(Hoja3!J88,"AAAAAH+dzfA=")</f>
        <v>#VALUE!</v>
      </c>
      <c r="IH177" t="e">
        <f>AND(Hoja3!K88,"AAAAAH+dzfE=")</f>
        <v>#VALUE!</v>
      </c>
      <c r="II177" t="e">
        <f>AND(Hoja3!L88,"AAAAAH+dzfI=")</f>
        <v>#VALUE!</v>
      </c>
      <c r="IJ177" t="e">
        <f>AND(Hoja3!M88,"AAAAAH+dzfM=")</f>
        <v>#VALUE!</v>
      </c>
      <c r="IK177" t="e">
        <f>AND(Hoja3!N88,"AAAAAH+dzfQ=")</f>
        <v>#VALUE!</v>
      </c>
      <c r="IL177" t="e">
        <f>AND(Hoja3!O88,"AAAAAH+dzfU=")</f>
        <v>#VALUE!</v>
      </c>
      <c r="IM177" t="e">
        <f>AND(Hoja3!P88,"AAAAAH+dzfY=")</f>
        <v>#VALUE!</v>
      </c>
      <c r="IN177" t="e">
        <f>AND(Hoja3!Q88,"AAAAAH+dzfc=")</f>
        <v>#VALUE!</v>
      </c>
      <c r="IO177" s="60">
        <f>IF(Hoja3!89:89,"AAAAAH+dzfg=",0)</f>
        <v>0</v>
      </c>
      <c r="IP177" t="e">
        <f>AND(Hoja3!A89,"AAAAAH+dzfk=")</f>
        <v>#VALUE!</v>
      </c>
      <c r="IQ177" t="e">
        <f>AND(Hoja3!B89,"AAAAAH+dzfo=")</f>
        <v>#VALUE!</v>
      </c>
      <c r="IR177" t="e">
        <f>AND(Hoja3!C89,"AAAAAH+dzfs=")</f>
        <v>#VALUE!</v>
      </c>
      <c r="IS177" t="e">
        <f>AND(Hoja3!D89,"AAAAAH+dzfw=")</f>
        <v>#VALUE!</v>
      </c>
      <c r="IT177" t="e">
        <f>AND(Hoja3!E89,"AAAAAH+dzf0=")</f>
        <v>#VALUE!</v>
      </c>
      <c r="IU177" t="e">
        <f>AND(Hoja3!F89,"AAAAAH+dzf4=")</f>
        <v>#VALUE!</v>
      </c>
      <c r="IV177" t="e">
        <f>AND(Hoja3!G89,"AAAAAH+dzf8=")</f>
        <v>#VALUE!</v>
      </c>
    </row>
    <row r="178" spans="1:256" ht="15" customHeight="1" x14ac:dyDescent="0.25">
      <c r="A178" t="e">
        <f>AND(Hoja3!H89,"AAAAAB+69wA=")</f>
        <v>#VALUE!</v>
      </c>
      <c r="B178" t="e">
        <f>AND(Hoja3!I89,"AAAAAB+69wE=")</f>
        <v>#VALUE!</v>
      </c>
      <c r="C178" t="e">
        <f>AND(Hoja3!J89,"AAAAAB+69wI=")</f>
        <v>#VALUE!</v>
      </c>
      <c r="D178" t="e">
        <f>AND(Hoja3!K89,"AAAAAB+69wM=")</f>
        <v>#VALUE!</v>
      </c>
      <c r="E178" t="e">
        <f>AND(Hoja3!L89,"AAAAAB+69wQ=")</f>
        <v>#VALUE!</v>
      </c>
      <c r="F178" t="e">
        <f>AND(Hoja3!M89,"AAAAAB+69wU=")</f>
        <v>#VALUE!</v>
      </c>
      <c r="G178" t="e">
        <f>AND(Hoja3!N89,"AAAAAB+69wY=")</f>
        <v>#VALUE!</v>
      </c>
      <c r="H178" t="e">
        <f>AND(Hoja3!O89,"AAAAAB+69wc=")</f>
        <v>#VALUE!</v>
      </c>
      <c r="I178" t="e">
        <f>AND(Hoja3!P89,"AAAAAB+69wg=")</f>
        <v>#VALUE!</v>
      </c>
      <c r="J178" t="e">
        <f>AND(Hoja3!Q89,"AAAAAB+69wk=")</f>
        <v>#VALUE!</v>
      </c>
      <c r="K178" s="60">
        <f>IF(Hoja3!90:90,"AAAAAB+69wo=",0)</f>
        <v>0</v>
      </c>
      <c r="L178" t="e">
        <f>AND(Hoja3!A90,"AAAAAB+69ws=")</f>
        <v>#VALUE!</v>
      </c>
      <c r="M178" t="e">
        <f>AND(Hoja3!B90,"AAAAAB+69ww=")</f>
        <v>#VALUE!</v>
      </c>
      <c r="N178" t="e">
        <f>AND(Hoja3!C90,"AAAAAB+69w0=")</f>
        <v>#VALUE!</v>
      </c>
      <c r="O178" t="e">
        <f>AND(Hoja3!D90,"AAAAAB+69w4=")</f>
        <v>#VALUE!</v>
      </c>
      <c r="P178" t="e">
        <f>AND(Hoja3!E90,"AAAAAB+69w8=")</f>
        <v>#VALUE!</v>
      </c>
      <c r="Q178" t="e">
        <f>AND(Hoja3!F90,"AAAAAB+69xA=")</f>
        <v>#VALUE!</v>
      </c>
      <c r="R178" t="e">
        <f>AND(Hoja3!G90,"AAAAAB+69xE=")</f>
        <v>#VALUE!</v>
      </c>
      <c r="S178" t="e">
        <f>AND(Hoja3!H90,"AAAAAB+69xI=")</f>
        <v>#VALUE!</v>
      </c>
      <c r="T178" t="e">
        <f>AND(Hoja3!I90,"AAAAAB+69xM=")</f>
        <v>#VALUE!</v>
      </c>
      <c r="U178" t="e">
        <f>AND(Hoja3!J90,"AAAAAB+69xQ=")</f>
        <v>#VALUE!</v>
      </c>
      <c r="V178" t="e">
        <f>AND(Hoja3!K90,"AAAAAB+69xU=")</f>
        <v>#VALUE!</v>
      </c>
      <c r="W178" t="e">
        <f>AND(Hoja3!L90,"AAAAAB+69xY=")</f>
        <v>#VALUE!</v>
      </c>
      <c r="X178" t="e">
        <f>AND(Hoja3!M90,"AAAAAB+69xc=")</f>
        <v>#VALUE!</v>
      </c>
      <c r="Y178" t="e">
        <f>AND(Hoja3!N90,"AAAAAB+69xg=")</f>
        <v>#VALUE!</v>
      </c>
      <c r="Z178" t="e">
        <f>AND(Hoja3!O90,"AAAAAB+69xk=")</f>
        <v>#VALUE!</v>
      </c>
      <c r="AA178" t="e">
        <f>AND(Hoja3!P90,"AAAAAB+69xo=")</f>
        <v>#VALUE!</v>
      </c>
      <c r="AB178" t="e">
        <f>AND(Hoja3!Q90,"AAAAAB+69xs=")</f>
        <v>#VALUE!</v>
      </c>
      <c r="AC178" s="60">
        <f>IF(Hoja3!91:91,"AAAAAB+69xw=",0)</f>
        <v>0</v>
      </c>
      <c r="AD178" t="e">
        <f>AND(Hoja3!A91,"AAAAAB+69x0=")</f>
        <v>#VALUE!</v>
      </c>
      <c r="AE178" t="e">
        <f>AND(Hoja3!B91,"AAAAAB+69x4=")</f>
        <v>#VALUE!</v>
      </c>
      <c r="AF178" t="e">
        <f>AND(Hoja3!C91,"AAAAAB+69x8=")</f>
        <v>#VALUE!</v>
      </c>
      <c r="AG178" t="e">
        <f>AND(Hoja3!D91,"AAAAAB+69yA=")</f>
        <v>#VALUE!</v>
      </c>
      <c r="AH178" t="e">
        <f>AND(Hoja3!E91,"AAAAAB+69yE=")</f>
        <v>#VALUE!</v>
      </c>
      <c r="AI178" t="e">
        <f>AND(Hoja3!F91,"AAAAAB+69yI=")</f>
        <v>#VALUE!</v>
      </c>
      <c r="AJ178" t="e">
        <f>AND(Hoja3!G91,"AAAAAB+69yM=")</f>
        <v>#VALUE!</v>
      </c>
      <c r="AK178" t="e">
        <f>AND(Hoja3!H91,"AAAAAB+69yQ=")</f>
        <v>#VALUE!</v>
      </c>
      <c r="AL178" t="e">
        <f>AND(Hoja3!I91,"AAAAAB+69yU=")</f>
        <v>#VALUE!</v>
      </c>
      <c r="AM178" t="e">
        <f>AND(Hoja3!J91,"AAAAAB+69yY=")</f>
        <v>#VALUE!</v>
      </c>
      <c r="AN178" t="e">
        <f>AND(Hoja3!K91,"AAAAAB+69yc=")</f>
        <v>#VALUE!</v>
      </c>
      <c r="AO178" t="e">
        <f>AND(Hoja3!L91,"AAAAAB+69yg=")</f>
        <v>#VALUE!</v>
      </c>
      <c r="AP178" t="e">
        <f>AND(Hoja3!M91,"AAAAAB+69yk=")</f>
        <v>#VALUE!</v>
      </c>
      <c r="AQ178" t="e">
        <f>AND(Hoja3!N91,"AAAAAB+69yo=")</f>
        <v>#VALUE!</v>
      </c>
      <c r="AR178" t="e">
        <f>AND(Hoja3!O91,"AAAAAB+69ys=")</f>
        <v>#VALUE!</v>
      </c>
      <c r="AS178" t="e">
        <f>AND(Hoja3!P91,"AAAAAB+69yw=")</f>
        <v>#VALUE!</v>
      </c>
      <c r="AT178" t="e">
        <f>AND(Hoja3!Q91,"AAAAAB+69y0=")</f>
        <v>#VALUE!</v>
      </c>
      <c r="AU178" s="60">
        <f>IF(Hoja3!92:92,"AAAAAB+69y4=",0)</f>
        <v>0</v>
      </c>
      <c r="AV178" t="e">
        <f>AND(Hoja3!A92,"AAAAAB+69y8=")</f>
        <v>#VALUE!</v>
      </c>
      <c r="AW178" t="e">
        <f>AND(Hoja3!B92,"AAAAAB+69zA=")</f>
        <v>#VALUE!</v>
      </c>
      <c r="AX178" t="e">
        <f>AND(Hoja3!C92,"AAAAAB+69zE=")</f>
        <v>#VALUE!</v>
      </c>
      <c r="AY178" t="e">
        <f>AND(Hoja3!D92,"AAAAAB+69zI=")</f>
        <v>#VALUE!</v>
      </c>
      <c r="AZ178" t="e">
        <f>AND(Hoja3!E92,"AAAAAB+69zM=")</f>
        <v>#VALUE!</v>
      </c>
      <c r="BA178" t="e">
        <f>AND(Hoja3!F92,"AAAAAB+69zQ=")</f>
        <v>#VALUE!</v>
      </c>
      <c r="BB178" t="e">
        <f>AND(Hoja3!G92,"AAAAAB+69zU=")</f>
        <v>#VALUE!</v>
      </c>
      <c r="BC178" t="e">
        <f>AND(Hoja3!H92,"AAAAAB+69zY=")</f>
        <v>#VALUE!</v>
      </c>
      <c r="BD178" t="e">
        <f>AND(Hoja3!I92,"AAAAAB+69zc=")</f>
        <v>#VALUE!</v>
      </c>
      <c r="BE178" t="e">
        <f>AND(Hoja3!J92,"AAAAAB+69zg=")</f>
        <v>#VALUE!</v>
      </c>
      <c r="BF178" t="e">
        <f>AND(Hoja3!K92,"AAAAAB+69zk=")</f>
        <v>#VALUE!</v>
      </c>
      <c r="BG178" t="e">
        <f>AND(Hoja3!L92,"AAAAAB+69zo=")</f>
        <v>#VALUE!</v>
      </c>
      <c r="BH178" t="e">
        <f>AND(Hoja3!M92,"AAAAAB+69zs=")</f>
        <v>#VALUE!</v>
      </c>
      <c r="BI178" t="e">
        <f>AND(Hoja3!N92,"AAAAAB+69zw=")</f>
        <v>#VALUE!</v>
      </c>
      <c r="BJ178" t="e">
        <f>AND(Hoja3!O92,"AAAAAB+69z0=")</f>
        <v>#VALUE!</v>
      </c>
      <c r="BK178" t="e">
        <f>AND(Hoja3!P92,"AAAAAB+69z4=")</f>
        <v>#VALUE!</v>
      </c>
      <c r="BL178" t="e">
        <f>AND(Hoja3!Q92,"AAAAAB+69z8=")</f>
        <v>#VALUE!</v>
      </c>
      <c r="BM178" s="60">
        <f>IF(Hoja3!93:93,"AAAAAB+690A=",0)</f>
        <v>0</v>
      </c>
      <c r="BN178" t="e">
        <f>AND(Hoja3!A93,"AAAAAB+690E=")</f>
        <v>#VALUE!</v>
      </c>
      <c r="BO178" t="e">
        <f>AND(Hoja3!B93,"AAAAAB+690I=")</f>
        <v>#VALUE!</v>
      </c>
      <c r="BP178" t="e">
        <f>AND(Hoja3!C93,"AAAAAB+690M=")</f>
        <v>#VALUE!</v>
      </c>
      <c r="BQ178" t="e">
        <f>AND(Hoja3!D93,"AAAAAB+690Q=")</f>
        <v>#VALUE!</v>
      </c>
      <c r="BR178" t="e">
        <f>AND(Hoja3!E93,"AAAAAB+690U=")</f>
        <v>#VALUE!</v>
      </c>
      <c r="BS178" t="e">
        <f>AND(Hoja3!F93,"AAAAAB+690Y=")</f>
        <v>#VALUE!</v>
      </c>
      <c r="BT178" t="e">
        <f>AND(Hoja3!G93,"AAAAAB+690c=")</f>
        <v>#VALUE!</v>
      </c>
      <c r="BU178" t="e">
        <f>AND(Hoja3!H93,"AAAAAB+690g=")</f>
        <v>#VALUE!</v>
      </c>
      <c r="BV178" t="e">
        <f>AND(Hoja3!I93,"AAAAAB+690k=")</f>
        <v>#VALUE!</v>
      </c>
      <c r="BW178" t="e">
        <f>AND(Hoja3!J93,"AAAAAB+690o=")</f>
        <v>#VALUE!</v>
      </c>
      <c r="BX178" t="e">
        <f>AND(Hoja3!K93,"AAAAAB+690s=")</f>
        <v>#VALUE!</v>
      </c>
      <c r="BY178" t="e">
        <f>AND(Hoja3!L93,"AAAAAB+690w=")</f>
        <v>#VALUE!</v>
      </c>
      <c r="BZ178" t="e">
        <f>AND(Hoja3!M93,"AAAAAB+6900=")</f>
        <v>#VALUE!</v>
      </c>
      <c r="CA178" t="e">
        <f>AND(Hoja3!N93,"AAAAAB+6904=")</f>
        <v>#VALUE!</v>
      </c>
      <c r="CB178" t="e">
        <f>AND(Hoja3!O93,"AAAAAB+6908=")</f>
        <v>#VALUE!</v>
      </c>
      <c r="CC178" t="e">
        <f>AND(Hoja3!P93,"AAAAAB+691A=")</f>
        <v>#VALUE!</v>
      </c>
      <c r="CD178" t="e">
        <f>AND(Hoja3!Q93,"AAAAAB+691E=")</f>
        <v>#VALUE!</v>
      </c>
      <c r="CE178" s="60">
        <f>IF(Hoja3!94:94,"AAAAAB+691I=",0)</f>
        <v>0</v>
      </c>
      <c r="CF178" t="e">
        <f>AND(Hoja3!A94,"AAAAAB+691M=")</f>
        <v>#VALUE!</v>
      </c>
      <c r="CG178" t="e">
        <f>AND(Hoja3!B94,"AAAAAB+691Q=")</f>
        <v>#VALUE!</v>
      </c>
      <c r="CH178" t="e">
        <f>AND(Hoja3!C94,"AAAAAB+691U=")</f>
        <v>#VALUE!</v>
      </c>
      <c r="CI178" t="e">
        <f>AND(Hoja3!D94,"AAAAAB+691Y=")</f>
        <v>#VALUE!</v>
      </c>
      <c r="CJ178" t="e">
        <f>AND(Hoja3!E94,"AAAAAB+691c=")</f>
        <v>#VALUE!</v>
      </c>
      <c r="CK178" t="e">
        <f>AND(Hoja3!F94,"AAAAAB+691g=")</f>
        <v>#VALUE!</v>
      </c>
      <c r="CL178" t="e">
        <f>AND(Hoja3!G94,"AAAAAB+691k=")</f>
        <v>#VALUE!</v>
      </c>
      <c r="CM178" t="e">
        <f>AND(Hoja3!H94,"AAAAAB+691o=")</f>
        <v>#VALUE!</v>
      </c>
      <c r="CN178" t="e">
        <f>AND(Hoja3!I94,"AAAAAB+691s=")</f>
        <v>#VALUE!</v>
      </c>
      <c r="CO178" t="e">
        <f>AND(Hoja3!J94,"AAAAAB+691w=")</f>
        <v>#VALUE!</v>
      </c>
      <c r="CP178" t="e">
        <f>AND(Hoja3!K94,"AAAAAB+6910=")</f>
        <v>#VALUE!</v>
      </c>
      <c r="CQ178" t="e">
        <f>AND(Hoja3!L94,"AAAAAB+6914=")</f>
        <v>#VALUE!</v>
      </c>
      <c r="CR178" t="e">
        <f>AND(Hoja3!M94,"AAAAAB+6918=")</f>
        <v>#VALUE!</v>
      </c>
      <c r="CS178" t="e">
        <f>AND(Hoja3!N94,"AAAAAB+692A=")</f>
        <v>#VALUE!</v>
      </c>
      <c r="CT178" t="e">
        <f>AND(Hoja3!O94,"AAAAAB+692E=")</f>
        <v>#VALUE!</v>
      </c>
      <c r="CU178" t="e">
        <f>AND(Hoja3!P94,"AAAAAB+692I=")</f>
        <v>#VALUE!</v>
      </c>
      <c r="CV178" t="e">
        <f>AND(Hoja3!Q94,"AAAAAB+692M=")</f>
        <v>#VALUE!</v>
      </c>
      <c r="CW178" s="60">
        <f>IF(Hoja3!95:95,"AAAAAB+692Q=",0)</f>
        <v>0</v>
      </c>
      <c r="CX178" t="e">
        <f>AND(Hoja3!A95,"AAAAAB+692U=")</f>
        <v>#VALUE!</v>
      </c>
      <c r="CY178" t="e">
        <f>AND(Hoja3!B95,"AAAAAB+692Y=")</f>
        <v>#VALUE!</v>
      </c>
      <c r="CZ178" t="e">
        <f>AND(Hoja3!C95,"AAAAAB+692c=")</f>
        <v>#VALUE!</v>
      </c>
      <c r="DA178" t="e">
        <f>AND(Hoja3!D95,"AAAAAB+692g=")</f>
        <v>#VALUE!</v>
      </c>
      <c r="DB178" t="e">
        <f>AND(Hoja3!E95,"AAAAAB+692k=")</f>
        <v>#VALUE!</v>
      </c>
      <c r="DC178" t="e">
        <f>AND(Hoja3!F95,"AAAAAB+692o=")</f>
        <v>#VALUE!</v>
      </c>
      <c r="DD178" t="e">
        <f>AND(Hoja3!G95,"AAAAAB+692s=")</f>
        <v>#VALUE!</v>
      </c>
      <c r="DE178" t="e">
        <f>AND(Hoja3!H95,"AAAAAB+692w=")</f>
        <v>#VALUE!</v>
      </c>
      <c r="DF178" t="e">
        <f>AND(Hoja3!I95,"AAAAAB+6920=")</f>
        <v>#VALUE!</v>
      </c>
      <c r="DG178" t="e">
        <f>AND(Hoja3!J95,"AAAAAB+6924=")</f>
        <v>#VALUE!</v>
      </c>
      <c r="DH178" t="e">
        <f>AND(Hoja3!K95,"AAAAAB+6928=")</f>
        <v>#VALUE!</v>
      </c>
      <c r="DI178" t="e">
        <f>AND(Hoja3!L95,"AAAAAB+693A=")</f>
        <v>#VALUE!</v>
      </c>
      <c r="DJ178" t="e">
        <f>AND(Hoja3!M95,"AAAAAB+693E=")</f>
        <v>#VALUE!</v>
      </c>
      <c r="DK178" t="e">
        <f>AND(Hoja3!N95,"AAAAAB+693I=")</f>
        <v>#VALUE!</v>
      </c>
      <c r="DL178" t="e">
        <f>AND(Hoja3!O95,"AAAAAB+693M=")</f>
        <v>#VALUE!</v>
      </c>
      <c r="DM178" t="e">
        <f>AND(Hoja3!P95,"AAAAAB+693Q=")</f>
        <v>#VALUE!</v>
      </c>
      <c r="DN178" t="e">
        <f>AND(Hoja3!Q95,"AAAAAB+693U=")</f>
        <v>#VALUE!</v>
      </c>
      <c r="DO178" s="60">
        <f>IF(Hoja3!96:96,"AAAAAB+693Y=",0)</f>
        <v>0</v>
      </c>
      <c r="DP178" t="e">
        <f>AND(Hoja3!A96,"AAAAAB+693c=")</f>
        <v>#VALUE!</v>
      </c>
      <c r="DQ178" t="e">
        <f>AND(Hoja3!B96,"AAAAAB+693g=")</f>
        <v>#VALUE!</v>
      </c>
      <c r="DR178" t="e">
        <f>AND(Hoja3!C96,"AAAAAB+693k=")</f>
        <v>#VALUE!</v>
      </c>
      <c r="DS178" t="e">
        <f>AND(Hoja3!D96,"AAAAAB+693o=")</f>
        <v>#VALUE!</v>
      </c>
      <c r="DT178" t="e">
        <f>AND(Hoja3!E96,"AAAAAB+693s=")</f>
        <v>#VALUE!</v>
      </c>
      <c r="DU178" t="e">
        <f>AND(Hoja3!F96,"AAAAAB+693w=")</f>
        <v>#VALUE!</v>
      </c>
      <c r="DV178" t="e">
        <f>AND(Hoja3!G96,"AAAAAB+6930=")</f>
        <v>#VALUE!</v>
      </c>
      <c r="DW178" t="e">
        <f>AND(Hoja3!H96,"AAAAAB+6934=")</f>
        <v>#VALUE!</v>
      </c>
      <c r="DX178" t="e">
        <f>AND(Hoja3!I96,"AAAAAB+6938=")</f>
        <v>#VALUE!</v>
      </c>
      <c r="DY178" t="e">
        <f>AND(Hoja3!J96,"AAAAAB+694A=")</f>
        <v>#VALUE!</v>
      </c>
      <c r="DZ178" t="e">
        <f>AND(Hoja3!K96,"AAAAAB+694E=")</f>
        <v>#VALUE!</v>
      </c>
      <c r="EA178" t="e">
        <f>AND(Hoja3!L96,"AAAAAB+694I=")</f>
        <v>#VALUE!</v>
      </c>
      <c r="EB178" t="e">
        <f>AND(Hoja3!M96,"AAAAAB+694M=")</f>
        <v>#VALUE!</v>
      </c>
      <c r="EC178" t="e">
        <f>AND(Hoja3!N96,"AAAAAB+694Q=")</f>
        <v>#VALUE!</v>
      </c>
      <c r="ED178" t="e">
        <f>AND(Hoja3!O96,"AAAAAB+694U=")</f>
        <v>#VALUE!</v>
      </c>
      <c r="EE178" t="e">
        <f>AND(Hoja3!P96,"AAAAAB+694Y=")</f>
        <v>#VALUE!</v>
      </c>
      <c r="EF178" t="e">
        <f>AND(Hoja3!Q96,"AAAAAB+694c=")</f>
        <v>#VALUE!</v>
      </c>
      <c r="EG178" s="60">
        <f>IF(Hoja3!97:97,"AAAAAB+694g=",0)</f>
        <v>0</v>
      </c>
      <c r="EH178" t="e">
        <f>AND(Hoja3!A97,"AAAAAB+694k=")</f>
        <v>#VALUE!</v>
      </c>
      <c r="EI178" t="e">
        <f>AND(Hoja3!B97,"AAAAAB+694o=")</f>
        <v>#VALUE!</v>
      </c>
      <c r="EJ178" t="e">
        <f>AND(Hoja3!C97,"AAAAAB+694s=")</f>
        <v>#VALUE!</v>
      </c>
      <c r="EK178" t="e">
        <f>AND(Hoja3!D97,"AAAAAB+694w=")</f>
        <v>#VALUE!</v>
      </c>
      <c r="EL178" t="e">
        <f>AND(Hoja3!E97,"AAAAAB+6940=")</f>
        <v>#VALUE!</v>
      </c>
      <c r="EM178" t="e">
        <f>AND(Hoja3!F97,"AAAAAB+6944=")</f>
        <v>#VALUE!</v>
      </c>
      <c r="EN178" t="e">
        <f>AND(Hoja3!G97,"AAAAAB+6948=")</f>
        <v>#VALUE!</v>
      </c>
      <c r="EO178" t="e">
        <f>AND(Hoja3!H97,"AAAAAB+695A=")</f>
        <v>#VALUE!</v>
      </c>
      <c r="EP178" t="e">
        <f>AND(Hoja3!I97,"AAAAAB+695E=")</f>
        <v>#VALUE!</v>
      </c>
      <c r="EQ178" t="e">
        <f>AND(Hoja3!J97,"AAAAAB+695I=")</f>
        <v>#VALUE!</v>
      </c>
      <c r="ER178" t="e">
        <f>AND(Hoja3!K97,"AAAAAB+695M=")</f>
        <v>#VALUE!</v>
      </c>
      <c r="ES178" t="e">
        <f>AND(Hoja3!L97,"AAAAAB+695Q=")</f>
        <v>#VALUE!</v>
      </c>
      <c r="ET178" t="e">
        <f>AND(Hoja3!M97,"AAAAAB+695U=")</f>
        <v>#VALUE!</v>
      </c>
      <c r="EU178" t="e">
        <f>AND(Hoja3!N97,"AAAAAB+695Y=")</f>
        <v>#VALUE!</v>
      </c>
      <c r="EV178" t="e">
        <f>AND(Hoja3!O97,"AAAAAB+695c=")</f>
        <v>#VALUE!</v>
      </c>
      <c r="EW178" t="e">
        <f>AND(Hoja3!P97,"AAAAAB+695g=")</f>
        <v>#VALUE!</v>
      </c>
      <c r="EX178" t="e">
        <f>AND(Hoja3!Q97,"AAAAAB+695k=")</f>
        <v>#VALUE!</v>
      </c>
      <c r="EY178" s="60">
        <f>IF(Hoja3!98:98,"AAAAAB+695o=",0)</f>
        <v>0</v>
      </c>
      <c r="EZ178" t="e">
        <f>AND(Hoja3!A98,"AAAAAB+695s=")</f>
        <v>#VALUE!</v>
      </c>
      <c r="FA178" t="e">
        <f>AND(Hoja3!B98,"AAAAAB+695w=")</f>
        <v>#VALUE!</v>
      </c>
      <c r="FB178" t="e">
        <f>AND(Hoja3!C98,"AAAAAB+6950=")</f>
        <v>#VALUE!</v>
      </c>
      <c r="FC178" t="e">
        <f>AND(Hoja3!D98,"AAAAAB+6954=")</f>
        <v>#VALUE!</v>
      </c>
      <c r="FD178" t="e">
        <f>AND(Hoja3!E98,"AAAAAB+6958=")</f>
        <v>#VALUE!</v>
      </c>
      <c r="FE178" t="e">
        <f>AND(Hoja3!F98,"AAAAAB+696A=")</f>
        <v>#VALUE!</v>
      </c>
      <c r="FF178" t="e">
        <f>AND(Hoja3!G98,"AAAAAB+696E=")</f>
        <v>#VALUE!</v>
      </c>
      <c r="FG178" t="e">
        <f>AND(Hoja3!H98,"AAAAAB+696I=")</f>
        <v>#VALUE!</v>
      </c>
      <c r="FH178" t="e">
        <f>AND(Hoja3!I98,"AAAAAB+696M=")</f>
        <v>#VALUE!</v>
      </c>
      <c r="FI178" t="e">
        <f>AND(Hoja3!J98,"AAAAAB+696Q=")</f>
        <v>#VALUE!</v>
      </c>
      <c r="FJ178" t="e">
        <f>AND(Hoja3!K98,"AAAAAB+696U=")</f>
        <v>#VALUE!</v>
      </c>
      <c r="FK178" t="e">
        <f>AND(Hoja3!L98,"AAAAAB+696Y=")</f>
        <v>#VALUE!</v>
      </c>
      <c r="FL178" t="e">
        <f>AND(Hoja3!M98,"AAAAAB+696c=")</f>
        <v>#VALUE!</v>
      </c>
      <c r="FM178" t="e">
        <f>AND(Hoja3!N98,"AAAAAB+696g=")</f>
        <v>#VALUE!</v>
      </c>
      <c r="FN178" t="e">
        <f>AND(Hoja3!O98,"AAAAAB+696k=")</f>
        <v>#VALUE!</v>
      </c>
      <c r="FO178" t="e">
        <f>AND(Hoja3!P98,"AAAAAB+696o=")</f>
        <v>#VALUE!</v>
      </c>
      <c r="FP178" t="e">
        <f>AND(Hoja3!Q98,"AAAAAB+696s=")</f>
        <v>#VALUE!</v>
      </c>
      <c r="FQ178" s="60">
        <f>IF(Hoja3!99:99,"AAAAAB+696w=",0)</f>
        <v>0</v>
      </c>
      <c r="FR178" t="e">
        <f>AND(Hoja3!A99,"AAAAAB+6960=")</f>
        <v>#VALUE!</v>
      </c>
      <c r="FS178" t="e">
        <f>AND(Hoja3!B99,"AAAAAB+6964=")</f>
        <v>#VALUE!</v>
      </c>
      <c r="FT178" t="e">
        <f>AND(Hoja3!C99,"AAAAAB+6968=")</f>
        <v>#VALUE!</v>
      </c>
      <c r="FU178" t="e">
        <f>AND(Hoja3!D99,"AAAAAB+697A=")</f>
        <v>#VALUE!</v>
      </c>
      <c r="FV178" t="e">
        <f>AND(Hoja3!E99,"AAAAAB+697E=")</f>
        <v>#VALUE!</v>
      </c>
      <c r="FW178" t="e">
        <f>AND(Hoja3!F99,"AAAAAB+697I=")</f>
        <v>#VALUE!</v>
      </c>
      <c r="FX178" t="e">
        <f>AND(Hoja3!G99,"AAAAAB+697M=")</f>
        <v>#VALUE!</v>
      </c>
      <c r="FY178" t="e">
        <f>AND(Hoja3!H99,"AAAAAB+697Q=")</f>
        <v>#VALUE!</v>
      </c>
      <c r="FZ178" t="e">
        <f>AND(Hoja3!I99,"AAAAAB+697U=")</f>
        <v>#VALUE!</v>
      </c>
      <c r="GA178" t="e">
        <f>AND(Hoja3!J99,"AAAAAB+697Y=")</f>
        <v>#VALUE!</v>
      </c>
      <c r="GB178" t="e">
        <f>AND(Hoja3!K99,"AAAAAB+697c=")</f>
        <v>#VALUE!</v>
      </c>
      <c r="GC178" t="e">
        <f>AND(Hoja3!L99,"AAAAAB+697g=")</f>
        <v>#VALUE!</v>
      </c>
      <c r="GD178" t="e">
        <f>AND(Hoja3!M99,"AAAAAB+697k=")</f>
        <v>#VALUE!</v>
      </c>
      <c r="GE178" t="e">
        <f>AND(Hoja3!N99,"AAAAAB+697o=")</f>
        <v>#VALUE!</v>
      </c>
      <c r="GF178" t="e">
        <f>AND(Hoja3!O99,"AAAAAB+697s=")</f>
        <v>#VALUE!</v>
      </c>
      <c r="GG178" t="e">
        <f>AND(Hoja3!P99,"AAAAAB+697w=")</f>
        <v>#VALUE!</v>
      </c>
      <c r="GH178" t="e">
        <f>AND(Hoja3!Q99,"AAAAAB+6970=")</f>
        <v>#VALUE!</v>
      </c>
      <c r="GI178" s="60">
        <f>IF(Hoja3!100:100,"AAAAAB+6974=",0)</f>
        <v>0</v>
      </c>
      <c r="GJ178" t="e">
        <f>AND(Hoja3!A100,"AAAAAB+6978=")</f>
        <v>#VALUE!</v>
      </c>
      <c r="GK178" t="e">
        <f>AND(Hoja3!B100,"AAAAAB+698A=")</f>
        <v>#VALUE!</v>
      </c>
      <c r="GL178" t="e">
        <f>AND(Hoja3!C100,"AAAAAB+698E=")</f>
        <v>#VALUE!</v>
      </c>
      <c r="GM178" t="e">
        <f>AND(Hoja3!D100,"AAAAAB+698I=")</f>
        <v>#VALUE!</v>
      </c>
      <c r="GN178" t="e">
        <f>AND(Hoja3!E100,"AAAAAB+698M=")</f>
        <v>#VALUE!</v>
      </c>
      <c r="GO178" t="e">
        <f>AND(Hoja3!F100,"AAAAAB+698Q=")</f>
        <v>#VALUE!</v>
      </c>
      <c r="GP178" t="e">
        <f>AND(Hoja3!G100,"AAAAAB+698U=")</f>
        <v>#VALUE!</v>
      </c>
      <c r="GQ178" t="e">
        <f>AND(Hoja3!H100,"AAAAAB+698Y=")</f>
        <v>#VALUE!</v>
      </c>
      <c r="GR178" t="e">
        <f>AND(Hoja3!I100,"AAAAAB+698c=")</f>
        <v>#VALUE!</v>
      </c>
      <c r="GS178" t="e">
        <f>AND(Hoja3!J100,"AAAAAB+698g=")</f>
        <v>#VALUE!</v>
      </c>
      <c r="GT178" t="e">
        <f>AND(Hoja3!K100,"AAAAAB+698k=")</f>
        <v>#VALUE!</v>
      </c>
      <c r="GU178" t="e">
        <f>AND(Hoja3!L100,"AAAAAB+698o=")</f>
        <v>#VALUE!</v>
      </c>
      <c r="GV178" t="e">
        <f>AND(Hoja3!M100,"AAAAAB+698s=")</f>
        <v>#VALUE!</v>
      </c>
      <c r="GW178" t="e">
        <f>AND(Hoja3!N100,"AAAAAB+698w=")</f>
        <v>#VALUE!</v>
      </c>
      <c r="GX178" t="e">
        <f>AND(Hoja3!O100,"AAAAAB+6980=")</f>
        <v>#VALUE!</v>
      </c>
      <c r="GY178" t="e">
        <f>AND(Hoja3!P100,"AAAAAB+6984=")</f>
        <v>#VALUE!</v>
      </c>
      <c r="GZ178" t="e">
        <f>AND(Hoja3!Q100,"AAAAAB+6988=")</f>
        <v>#VALUE!</v>
      </c>
      <c r="HA178" s="60">
        <f>IF(Hoja3!101:101,"AAAAAB+699A=",0)</f>
        <v>0</v>
      </c>
      <c r="HB178" t="e">
        <f>AND(Hoja3!A101,"AAAAAB+699E=")</f>
        <v>#VALUE!</v>
      </c>
      <c r="HC178" t="e">
        <f>AND(Hoja3!B101,"AAAAAB+699I=")</f>
        <v>#VALUE!</v>
      </c>
      <c r="HD178" t="e">
        <f>AND(Hoja3!C101,"AAAAAB+699M=")</f>
        <v>#VALUE!</v>
      </c>
      <c r="HE178" t="e">
        <f>AND(Hoja3!D101,"AAAAAB+699Q=")</f>
        <v>#VALUE!</v>
      </c>
      <c r="HF178" t="e">
        <f>AND(Hoja3!E101,"AAAAAB+699U=")</f>
        <v>#VALUE!</v>
      </c>
      <c r="HG178" t="e">
        <f>AND(Hoja3!F101,"AAAAAB+699Y=")</f>
        <v>#VALUE!</v>
      </c>
      <c r="HH178" t="e">
        <f>AND(Hoja3!G101,"AAAAAB+699c=")</f>
        <v>#VALUE!</v>
      </c>
      <c r="HI178" t="e">
        <f>AND(Hoja3!H101,"AAAAAB+699g=")</f>
        <v>#VALUE!</v>
      </c>
      <c r="HJ178" t="e">
        <f>AND(Hoja3!I101,"AAAAAB+699k=")</f>
        <v>#VALUE!</v>
      </c>
      <c r="HK178" t="e">
        <f>AND(Hoja3!J101,"AAAAAB+699o=")</f>
        <v>#VALUE!</v>
      </c>
      <c r="HL178" t="e">
        <f>AND(Hoja3!K101,"AAAAAB+699s=")</f>
        <v>#VALUE!</v>
      </c>
      <c r="HM178" t="e">
        <f>AND(Hoja3!L101,"AAAAAB+699w=")</f>
        <v>#VALUE!</v>
      </c>
      <c r="HN178" t="e">
        <f>AND(Hoja3!M101,"AAAAAB+6990=")</f>
        <v>#VALUE!</v>
      </c>
      <c r="HO178" t="e">
        <f>AND(Hoja3!N101,"AAAAAB+6994=")</f>
        <v>#VALUE!</v>
      </c>
      <c r="HP178" t="e">
        <f>AND(Hoja3!O101,"AAAAAB+6998=")</f>
        <v>#VALUE!</v>
      </c>
      <c r="HQ178" t="e">
        <f>AND(Hoja3!P101,"AAAAAB+69+A=")</f>
        <v>#VALUE!</v>
      </c>
      <c r="HR178" t="e">
        <f>AND(Hoja3!Q101,"AAAAAB+69+E=")</f>
        <v>#VALUE!</v>
      </c>
      <c r="HS178" s="60">
        <f>IF(Hoja3!102:102,"AAAAAB+69+I=",0)</f>
        <v>0</v>
      </c>
      <c r="HT178" t="e">
        <f>AND(Hoja3!A102,"AAAAAB+69+M=")</f>
        <v>#VALUE!</v>
      </c>
      <c r="HU178" t="e">
        <f>AND(Hoja3!B102,"AAAAAB+69+Q=")</f>
        <v>#VALUE!</v>
      </c>
      <c r="HV178" t="e">
        <f>AND(Hoja3!C102,"AAAAAB+69+U=")</f>
        <v>#VALUE!</v>
      </c>
      <c r="HW178" t="e">
        <f>AND(Hoja3!D102,"AAAAAB+69+Y=")</f>
        <v>#VALUE!</v>
      </c>
      <c r="HX178" t="e">
        <f>AND(Hoja3!E102,"AAAAAB+69+c=")</f>
        <v>#VALUE!</v>
      </c>
      <c r="HY178" t="e">
        <f>AND(Hoja3!F102,"AAAAAB+69+g=")</f>
        <v>#VALUE!</v>
      </c>
      <c r="HZ178" t="e">
        <f>AND(Hoja3!G102,"AAAAAB+69+k=")</f>
        <v>#VALUE!</v>
      </c>
      <c r="IA178" t="e">
        <f>AND(Hoja3!H102,"AAAAAB+69+o=")</f>
        <v>#VALUE!</v>
      </c>
      <c r="IB178" t="e">
        <f>AND(Hoja3!I102,"AAAAAB+69+s=")</f>
        <v>#VALUE!</v>
      </c>
      <c r="IC178" t="e">
        <f>AND(Hoja3!J102,"AAAAAB+69+w=")</f>
        <v>#VALUE!</v>
      </c>
      <c r="ID178" t="e">
        <f>AND(Hoja3!K102,"AAAAAB+69+0=")</f>
        <v>#VALUE!</v>
      </c>
      <c r="IE178" t="e">
        <f>AND(Hoja3!L102,"AAAAAB+69+4=")</f>
        <v>#VALUE!</v>
      </c>
      <c r="IF178" t="e">
        <f>AND(Hoja3!M102,"AAAAAB+69+8=")</f>
        <v>#VALUE!</v>
      </c>
      <c r="IG178" t="e">
        <f>AND(Hoja3!N102,"AAAAAB+69/A=")</f>
        <v>#VALUE!</v>
      </c>
      <c r="IH178" t="e">
        <f>AND(Hoja3!O102,"AAAAAB+69/E=")</f>
        <v>#VALUE!</v>
      </c>
      <c r="II178" t="e">
        <f>AND(Hoja3!P102,"AAAAAB+69/I=")</f>
        <v>#VALUE!</v>
      </c>
      <c r="IJ178" t="e">
        <f>AND(Hoja3!Q102,"AAAAAB+69/M=")</f>
        <v>#VALUE!</v>
      </c>
      <c r="IK178" s="60">
        <f>IF(Hoja3!103:103,"AAAAAB+69/Q=",0)</f>
        <v>0</v>
      </c>
      <c r="IL178" t="e">
        <f>AND(Hoja3!A103,"AAAAAB+69/U=")</f>
        <v>#VALUE!</v>
      </c>
      <c r="IM178" t="e">
        <f>AND(Hoja3!B103,"AAAAAB+69/Y=")</f>
        <v>#VALUE!</v>
      </c>
      <c r="IN178" t="e">
        <f>AND(Hoja3!C103,"AAAAAB+69/c=")</f>
        <v>#VALUE!</v>
      </c>
      <c r="IO178" t="e">
        <f>AND(Hoja3!D103,"AAAAAB+69/g=")</f>
        <v>#VALUE!</v>
      </c>
      <c r="IP178" t="e">
        <f>AND(Hoja3!E103,"AAAAAB+69/k=")</f>
        <v>#VALUE!</v>
      </c>
      <c r="IQ178" t="e">
        <f>AND(Hoja3!F103,"AAAAAB+69/o=")</f>
        <v>#VALUE!</v>
      </c>
      <c r="IR178" t="e">
        <f>AND(Hoja3!G103,"AAAAAB+69/s=")</f>
        <v>#VALUE!</v>
      </c>
      <c r="IS178" t="e">
        <f>AND(Hoja3!H103,"AAAAAB+69/w=")</f>
        <v>#VALUE!</v>
      </c>
      <c r="IT178" t="e">
        <f>AND(Hoja3!I103,"AAAAAB+69/0=")</f>
        <v>#VALUE!</v>
      </c>
      <c r="IU178" t="e">
        <f>AND(Hoja3!J103,"AAAAAB+69/4=")</f>
        <v>#VALUE!</v>
      </c>
      <c r="IV178" t="e">
        <f>AND(Hoja3!K103,"AAAAAB+69/8=")</f>
        <v>#VALUE!</v>
      </c>
    </row>
    <row r="179" spans="1:256" ht="15" customHeight="1" x14ac:dyDescent="0.25">
      <c r="A179" t="e">
        <f>AND(Hoja3!L103,"AAAAAHnvdwA=")</f>
        <v>#VALUE!</v>
      </c>
      <c r="B179" t="e">
        <f>AND(Hoja3!M103,"AAAAAHnvdwE=")</f>
        <v>#VALUE!</v>
      </c>
      <c r="C179" t="e">
        <f>AND(Hoja3!N103,"AAAAAHnvdwI=")</f>
        <v>#VALUE!</v>
      </c>
      <c r="D179" t="e">
        <f>AND(Hoja3!O103,"AAAAAHnvdwM=")</f>
        <v>#VALUE!</v>
      </c>
      <c r="E179" t="e">
        <f>AND(Hoja3!P103,"AAAAAHnvdwQ=")</f>
        <v>#VALUE!</v>
      </c>
      <c r="F179" t="e">
        <f>AND(Hoja3!Q103,"AAAAAHnvdwU=")</f>
        <v>#VALUE!</v>
      </c>
      <c r="G179" s="60">
        <f>IF(Hoja3!104:104,"AAAAAHnvdwY=",0)</f>
        <v>0</v>
      </c>
      <c r="H179" t="e">
        <f>AND(Hoja3!A104,"AAAAAHnvdwc=")</f>
        <v>#VALUE!</v>
      </c>
      <c r="I179" t="e">
        <f>AND(Hoja3!B104,"AAAAAHnvdwg=")</f>
        <v>#VALUE!</v>
      </c>
      <c r="J179" t="e">
        <f>AND(Hoja3!C104,"AAAAAHnvdwk=")</f>
        <v>#VALUE!</v>
      </c>
      <c r="K179" t="e">
        <f>AND(Hoja3!D104,"AAAAAHnvdwo=")</f>
        <v>#VALUE!</v>
      </c>
      <c r="L179" t="e">
        <f>AND(Hoja3!E104,"AAAAAHnvdws=")</f>
        <v>#VALUE!</v>
      </c>
      <c r="M179" t="e">
        <f>AND(Hoja3!F104,"AAAAAHnvdww=")</f>
        <v>#VALUE!</v>
      </c>
      <c r="N179" t="e">
        <f>AND(Hoja3!G104,"AAAAAHnvdw0=")</f>
        <v>#VALUE!</v>
      </c>
      <c r="O179" t="e">
        <f>AND(Hoja3!H104,"AAAAAHnvdw4=")</f>
        <v>#VALUE!</v>
      </c>
      <c r="P179" t="e">
        <f>AND(Hoja3!I104,"AAAAAHnvdw8=")</f>
        <v>#VALUE!</v>
      </c>
      <c r="Q179" t="e">
        <f>AND(Hoja3!J104,"AAAAAHnvdxA=")</f>
        <v>#VALUE!</v>
      </c>
      <c r="R179" t="e">
        <f>AND(Hoja3!K104,"AAAAAHnvdxE=")</f>
        <v>#VALUE!</v>
      </c>
      <c r="S179" t="e">
        <f>AND(Hoja3!L104,"AAAAAHnvdxI=")</f>
        <v>#VALUE!</v>
      </c>
      <c r="T179" t="e">
        <f>AND(Hoja3!M104,"AAAAAHnvdxM=")</f>
        <v>#VALUE!</v>
      </c>
      <c r="U179" t="e">
        <f>AND(Hoja3!N104,"AAAAAHnvdxQ=")</f>
        <v>#VALUE!</v>
      </c>
      <c r="V179" t="e">
        <f>AND(Hoja3!O104,"AAAAAHnvdxU=")</f>
        <v>#VALUE!</v>
      </c>
      <c r="W179" t="e">
        <f>AND(Hoja3!P104,"AAAAAHnvdxY=")</f>
        <v>#VALUE!</v>
      </c>
      <c r="X179" t="e">
        <f>AND(Hoja3!Q104,"AAAAAHnvdxc=")</f>
        <v>#VALUE!</v>
      </c>
      <c r="Y179" s="60">
        <f>IF(Hoja3!105:105,"AAAAAHnvdxg=",0)</f>
        <v>0</v>
      </c>
      <c r="Z179" t="e">
        <f>AND(Hoja3!A105,"AAAAAHnvdxk=")</f>
        <v>#VALUE!</v>
      </c>
      <c r="AA179" t="e">
        <f>AND(Hoja3!B105,"AAAAAHnvdxo=")</f>
        <v>#VALUE!</v>
      </c>
      <c r="AB179" t="e">
        <f>AND(Hoja3!C105,"AAAAAHnvdxs=")</f>
        <v>#VALUE!</v>
      </c>
      <c r="AC179" t="e">
        <f>AND(Hoja3!D105,"AAAAAHnvdxw=")</f>
        <v>#VALUE!</v>
      </c>
      <c r="AD179" t="e">
        <f>AND(Hoja3!E105,"AAAAAHnvdx0=")</f>
        <v>#VALUE!</v>
      </c>
      <c r="AE179" t="e">
        <f>AND(Hoja3!F105,"AAAAAHnvdx4=")</f>
        <v>#VALUE!</v>
      </c>
      <c r="AF179" t="e">
        <f>AND(Hoja3!G105,"AAAAAHnvdx8=")</f>
        <v>#VALUE!</v>
      </c>
      <c r="AG179" t="e">
        <f>AND(Hoja3!H105,"AAAAAHnvdyA=")</f>
        <v>#VALUE!</v>
      </c>
      <c r="AH179" t="e">
        <f>AND(Hoja3!I105,"AAAAAHnvdyE=")</f>
        <v>#VALUE!</v>
      </c>
      <c r="AI179" t="e">
        <f>AND(Hoja3!J105,"AAAAAHnvdyI=")</f>
        <v>#VALUE!</v>
      </c>
      <c r="AJ179" t="e">
        <f>AND(Hoja3!K105,"AAAAAHnvdyM=")</f>
        <v>#VALUE!</v>
      </c>
      <c r="AK179" t="e">
        <f>AND(Hoja3!L105,"AAAAAHnvdyQ=")</f>
        <v>#VALUE!</v>
      </c>
      <c r="AL179" t="e">
        <f>AND(Hoja3!M105,"AAAAAHnvdyU=")</f>
        <v>#VALUE!</v>
      </c>
      <c r="AM179" t="e">
        <f>AND(Hoja3!N105,"AAAAAHnvdyY=")</f>
        <v>#VALUE!</v>
      </c>
      <c r="AN179" t="e">
        <f>AND(Hoja3!O105,"AAAAAHnvdyc=")</f>
        <v>#VALUE!</v>
      </c>
      <c r="AO179" t="e">
        <f>AND(Hoja3!P105,"AAAAAHnvdyg=")</f>
        <v>#VALUE!</v>
      </c>
      <c r="AP179" t="e">
        <f>AND(Hoja3!Q105,"AAAAAHnvdyk=")</f>
        <v>#VALUE!</v>
      </c>
      <c r="AQ179" s="60">
        <f>IF(Hoja3!106:106,"AAAAAHnvdyo=",0)</f>
        <v>0</v>
      </c>
      <c r="AR179" t="e">
        <f>AND(Hoja3!A106,"AAAAAHnvdys=")</f>
        <v>#VALUE!</v>
      </c>
      <c r="AS179" t="e">
        <f>AND(Hoja3!B106,"AAAAAHnvdyw=")</f>
        <v>#VALUE!</v>
      </c>
      <c r="AT179" t="e">
        <f>AND(Hoja3!C106,"AAAAAHnvdy0=")</f>
        <v>#VALUE!</v>
      </c>
      <c r="AU179" t="e">
        <f>AND(Hoja3!D106,"AAAAAHnvdy4=")</f>
        <v>#VALUE!</v>
      </c>
      <c r="AV179" t="e">
        <f>AND(Hoja3!E106,"AAAAAHnvdy8=")</f>
        <v>#VALUE!</v>
      </c>
      <c r="AW179" t="e">
        <f>AND(Hoja3!F106,"AAAAAHnvdzA=")</f>
        <v>#VALUE!</v>
      </c>
      <c r="AX179" t="e">
        <f>AND(Hoja3!G106,"AAAAAHnvdzE=")</f>
        <v>#VALUE!</v>
      </c>
      <c r="AY179" t="e">
        <f>AND(Hoja3!H106,"AAAAAHnvdzI=")</f>
        <v>#VALUE!</v>
      </c>
      <c r="AZ179" t="e">
        <f>AND(Hoja3!I106,"AAAAAHnvdzM=")</f>
        <v>#VALUE!</v>
      </c>
      <c r="BA179" t="e">
        <f>AND(Hoja3!J106,"AAAAAHnvdzQ=")</f>
        <v>#VALUE!</v>
      </c>
      <c r="BB179" t="e">
        <f>AND(Hoja3!K106,"AAAAAHnvdzU=")</f>
        <v>#VALUE!</v>
      </c>
      <c r="BC179" t="e">
        <f>AND(Hoja3!L106,"AAAAAHnvdzY=")</f>
        <v>#VALUE!</v>
      </c>
      <c r="BD179" t="e">
        <f>AND(Hoja3!M106,"AAAAAHnvdzc=")</f>
        <v>#VALUE!</v>
      </c>
      <c r="BE179" t="e">
        <f>AND(Hoja3!N106,"AAAAAHnvdzg=")</f>
        <v>#VALUE!</v>
      </c>
      <c r="BF179" t="e">
        <f>AND(Hoja3!O106,"AAAAAHnvdzk=")</f>
        <v>#VALUE!</v>
      </c>
      <c r="BG179" t="e">
        <f>AND(Hoja3!P106,"AAAAAHnvdzo=")</f>
        <v>#VALUE!</v>
      </c>
      <c r="BH179" t="e">
        <f>AND(Hoja3!Q106,"AAAAAHnvdzs=")</f>
        <v>#VALUE!</v>
      </c>
      <c r="BI179" s="60">
        <f>IF(Hoja3!107:107,"AAAAAHnvdzw=",0)</f>
        <v>0</v>
      </c>
      <c r="BJ179" t="e">
        <f>AND(Hoja3!A107,"AAAAAHnvdz0=")</f>
        <v>#VALUE!</v>
      </c>
      <c r="BK179" t="e">
        <f>AND(Hoja3!B107,"AAAAAHnvdz4=")</f>
        <v>#VALUE!</v>
      </c>
      <c r="BL179" t="e">
        <f>AND(Hoja3!C107,"AAAAAHnvdz8=")</f>
        <v>#VALUE!</v>
      </c>
      <c r="BM179" t="e">
        <f>AND(Hoja3!D107,"AAAAAHnvd0A=")</f>
        <v>#VALUE!</v>
      </c>
      <c r="BN179" t="e">
        <f>AND(Hoja3!E107,"AAAAAHnvd0E=")</f>
        <v>#VALUE!</v>
      </c>
      <c r="BO179" t="e">
        <f>AND(Hoja3!F107,"AAAAAHnvd0I=")</f>
        <v>#VALUE!</v>
      </c>
      <c r="BP179" t="e">
        <f>AND(Hoja3!G107,"AAAAAHnvd0M=")</f>
        <v>#VALUE!</v>
      </c>
      <c r="BQ179" t="e">
        <f>AND(Hoja3!H107,"AAAAAHnvd0Q=")</f>
        <v>#VALUE!</v>
      </c>
      <c r="BR179" t="e">
        <f>AND(Hoja3!I107,"AAAAAHnvd0U=")</f>
        <v>#VALUE!</v>
      </c>
      <c r="BS179" t="e">
        <f>AND(Hoja3!J107,"AAAAAHnvd0Y=")</f>
        <v>#VALUE!</v>
      </c>
      <c r="BT179" t="e">
        <f>AND(Hoja3!K107,"AAAAAHnvd0c=")</f>
        <v>#VALUE!</v>
      </c>
      <c r="BU179" t="e">
        <f>AND(Hoja3!L107,"AAAAAHnvd0g=")</f>
        <v>#VALUE!</v>
      </c>
      <c r="BV179" t="e">
        <f>AND(Hoja3!M107,"AAAAAHnvd0k=")</f>
        <v>#VALUE!</v>
      </c>
      <c r="BW179" t="e">
        <f>AND(Hoja3!N107,"AAAAAHnvd0o=")</f>
        <v>#VALUE!</v>
      </c>
      <c r="BX179" t="e">
        <f>AND(Hoja3!O107,"AAAAAHnvd0s=")</f>
        <v>#VALUE!</v>
      </c>
      <c r="BY179" t="e">
        <f>AND(Hoja3!P107,"AAAAAHnvd0w=")</f>
        <v>#VALUE!</v>
      </c>
      <c r="BZ179" t="e">
        <f>AND(Hoja3!Q107,"AAAAAHnvd00=")</f>
        <v>#VALUE!</v>
      </c>
      <c r="CA179" s="60">
        <f>IF(Hoja3!108:108,"AAAAAHnvd04=",0)</f>
        <v>0</v>
      </c>
      <c r="CB179" t="e">
        <f>AND(Hoja3!A108,"AAAAAHnvd08=")</f>
        <v>#VALUE!</v>
      </c>
      <c r="CC179" t="e">
        <f>AND(Hoja3!B108,"AAAAAHnvd1A=")</f>
        <v>#VALUE!</v>
      </c>
      <c r="CD179" t="e">
        <f>AND(Hoja3!C108,"AAAAAHnvd1E=")</f>
        <v>#VALUE!</v>
      </c>
      <c r="CE179" t="e">
        <f>AND(Hoja3!D108,"AAAAAHnvd1I=")</f>
        <v>#VALUE!</v>
      </c>
      <c r="CF179" t="e">
        <f>AND(Hoja3!E108,"AAAAAHnvd1M=")</f>
        <v>#VALUE!</v>
      </c>
      <c r="CG179" t="e">
        <f>AND(Hoja3!F108,"AAAAAHnvd1Q=")</f>
        <v>#VALUE!</v>
      </c>
      <c r="CH179" t="e">
        <f>AND(Hoja3!G108,"AAAAAHnvd1U=")</f>
        <v>#VALUE!</v>
      </c>
      <c r="CI179" t="e">
        <f>AND(Hoja3!H108,"AAAAAHnvd1Y=")</f>
        <v>#VALUE!</v>
      </c>
      <c r="CJ179" t="e">
        <f>AND(Hoja3!I108,"AAAAAHnvd1c=")</f>
        <v>#VALUE!</v>
      </c>
      <c r="CK179" t="e">
        <f>AND(Hoja3!J108,"AAAAAHnvd1g=")</f>
        <v>#VALUE!</v>
      </c>
      <c r="CL179" t="e">
        <f>AND(Hoja3!K108,"AAAAAHnvd1k=")</f>
        <v>#VALUE!</v>
      </c>
      <c r="CM179" t="e">
        <f>AND(Hoja3!L108,"AAAAAHnvd1o=")</f>
        <v>#VALUE!</v>
      </c>
      <c r="CN179" t="e">
        <f>AND(Hoja3!M108,"AAAAAHnvd1s=")</f>
        <v>#VALUE!</v>
      </c>
      <c r="CO179" t="e">
        <f>AND(Hoja3!N108,"AAAAAHnvd1w=")</f>
        <v>#VALUE!</v>
      </c>
      <c r="CP179" t="e">
        <f>AND(Hoja3!O108,"AAAAAHnvd10=")</f>
        <v>#VALUE!</v>
      </c>
      <c r="CQ179" t="e">
        <f>AND(Hoja3!P108,"AAAAAHnvd14=")</f>
        <v>#VALUE!</v>
      </c>
      <c r="CR179" t="e">
        <f>AND(Hoja3!Q108,"AAAAAHnvd18=")</f>
        <v>#VALUE!</v>
      </c>
      <c r="CS179" s="60">
        <f>IF(Hoja3!109:109,"AAAAAHnvd2A=",0)</f>
        <v>0</v>
      </c>
      <c r="CT179" t="e">
        <f>AND(Hoja3!A109,"AAAAAHnvd2E=")</f>
        <v>#VALUE!</v>
      </c>
      <c r="CU179" t="e">
        <f>AND(Hoja3!B109,"AAAAAHnvd2I=")</f>
        <v>#VALUE!</v>
      </c>
      <c r="CV179" t="e">
        <f>AND(Hoja3!C109,"AAAAAHnvd2M=")</f>
        <v>#VALUE!</v>
      </c>
      <c r="CW179" t="e">
        <f>AND(Hoja3!D109,"AAAAAHnvd2Q=")</f>
        <v>#VALUE!</v>
      </c>
      <c r="CX179" t="e">
        <f>AND(Hoja3!E109,"AAAAAHnvd2U=")</f>
        <v>#VALUE!</v>
      </c>
      <c r="CY179" t="e">
        <f>AND(Hoja3!F109,"AAAAAHnvd2Y=")</f>
        <v>#VALUE!</v>
      </c>
      <c r="CZ179" t="e">
        <f>AND(Hoja3!G109,"AAAAAHnvd2c=")</f>
        <v>#VALUE!</v>
      </c>
      <c r="DA179" t="e">
        <f>AND(Hoja3!H109,"AAAAAHnvd2g=")</f>
        <v>#VALUE!</v>
      </c>
      <c r="DB179" t="e">
        <f>AND(Hoja3!I109,"AAAAAHnvd2k=")</f>
        <v>#VALUE!</v>
      </c>
      <c r="DC179" t="e">
        <f>AND(Hoja3!J109,"AAAAAHnvd2o=")</f>
        <v>#VALUE!</v>
      </c>
      <c r="DD179" t="e">
        <f>AND(Hoja3!K109,"AAAAAHnvd2s=")</f>
        <v>#VALUE!</v>
      </c>
      <c r="DE179" t="e">
        <f>AND(Hoja3!L109,"AAAAAHnvd2w=")</f>
        <v>#VALUE!</v>
      </c>
      <c r="DF179" t="e">
        <f>AND(Hoja3!M109,"AAAAAHnvd20=")</f>
        <v>#VALUE!</v>
      </c>
      <c r="DG179" t="e">
        <f>AND(Hoja3!N109,"AAAAAHnvd24=")</f>
        <v>#VALUE!</v>
      </c>
      <c r="DH179" t="e">
        <f>AND(Hoja3!O109,"AAAAAHnvd28=")</f>
        <v>#VALUE!</v>
      </c>
      <c r="DI179" t="e">
        <f>AND(Hoja3!P109,"AAAAAHnvd3A=")</f>
        <v>#VALUE!</v>
      </c>
      <c r="DJ179" t="e">
        <f>AND(Hoja3!Q109,"AAAAAHnvd3E=")</f>
        <v>#VALUE!</v>
      </c>
      <c r="DK179" s="60">
        <f>IF(Hoja3!110:110,"AAAAAHnvd3I=",0)</f>
        <v>0</v>
      </c>
      <c r="DL179" t="e">
        <f>AND(Hoja3!A110,"AAAAAHnvd3M=")</f>
        <v>#VALUE!</v>
      </c>
      <c r="DM179" t="e">
        <f>AND(Hoja3!B110,"AAAAAHnvd3Q=")</f>
        <v>#VALUE!</v>
      </c>
      <c r="DN179" t="e">
        <f>AND(Hoja3!C110,"AAAAAHnvd3U=")</f>
        <v>#VALUE!</v>
      </c>
      <c r="DO179" t="e">
        <f>AND(Hoja3!D110,"AAAAAHnvd3Y=")</f>
        <v>#VALUE!</v>
      </c>
      <c r="DP179" t="e">
        <f>AND(Hoja3!E110,"AAAAAHnvd3c=")</f>
        <v>#VALUE!</v>
      </c>
      <c r="DQ179" t="e">
        <f>AND(Hoja3!F110,"AAAAAHnvd3g=")</f>
        <v>#VALUE!</v>
      </c>
      <c r="DR179" t="e">
        <f>AND(Hoja3!G110,"AAAAAHnvd3k=")</f>
        <v>#VALUE!</v>
      </c>
      <c r="DS179" t="e">
        <f>AND(Hoja3!H110,"AAAAAHnvd3o=")</f>
        <v>#VALUE!</v>
      </c>
      <c r="DT179" t="e">
        <f>AND(Hoja3!I110,"AAAAAHnvd3s=")</f>
        <v>#VALUE!</v>
      </c>
      <c r="DU179" t="e">
        <f>AND(Hoja3!J110,"AAAAAHnvd3w=")</f>
        <v>#VALUE!</v>
      </c>
      <c r="DV179" t="e">
        <f>AND(Hoja3!K110,"AAAAAHnvd30=")</f>
        <v>#VALUE!</v>
      </c>
      <c r="DW179" t="e">
        <f>AND(Hoja3!L110,"AAAAAHnvd34=")</f>
        <v>#VALUE!</v>
      </c>
      <c r="DX179" t="e">
        <f>AND(Hoja3!M110,"AAAAAHnvd38=")</f>
        <v>#VALUE!</v>
      </c>
      <c r="DY179" t="e">
        <f>AND(Hoja3!N110,"AAAAAHnvd4A=")</f>
        <v>#VALUE!</v>
      </c>
      <c r="DZ179" t="e">
        <f>AND(Hoja3!O110,"AAAAAHnvd4E=")</f>
        <v>#VALUE!</v>
      </c>
      <c r="EA179" t="e">
        <f>AND(Hoja3!P110,"AAAAAHnvd4I=")</f>
        <v>#VALUE!</v>
      </c>
      <c r="EB179" t="e">
        <f>AND(Hoja3!Q110,"AAAAAHnvd4M=")</f>
        <v>#VALUE!</v>
      </c>
      <c r="EC179" s="60">
        <f>IF(Hoja3!111:111,"AAAAAHnvd4Q=",0)</f>
        <v>0</v>
      </c>
      <c r="ED179" t="e">
        <f>AND(Hoja3!A111,"AAAAAHnvd4U=")</f>
        <v>#VALUE!</v>
      </c>
      <c r="EE179" t="e">
        <f>AND(Hoja3!B111,"AAAAAHnvd4Y=")</f>
        <v>#VALUE!</v>
      </c>
      <c r="EF179" t="e">
        <f>AND(Hoja3!C111,"AAAAAHnvd4c=")</f>
        <v>#VALUE!</v>
      </c>
      <c r="EG179" t="e">
        <f>AND(Hoja3!D111,"AAAAAHnvd4g=")</f>
        <v>#VALUE!</v>
      </c>
      <c r="EH179" t="e">
        <f>AND(Hoja3!E111,"AAAAAHnvd4k=")</f>
        <v>#VALUE!</v>
      </c>
      <c r="EI179" t="e">
        <f>AND(Hoja3!F111,"AAAAAHnvd4o=")</f>
        <v>#VALUE!</v>
      </c>
      <c r="EJ179" t="e">
        <f>AND(Hoja3!G111,"AAAAAHnvd4s=")</f>
        <v>#VALUE!</v>
      </c>
      <c r="EK179" t="e">
        <f>AND(Hoja3!H111,"AAAAAHnvd4w=")</f>
        <v>#VALUE!</v>
      </c>
      <c r="EL179" t="e">
        <f>AND(Hoja3!I111,"AAAAAHnvd40=")</f>
        <v>#VALUE!</v>
      </c>
      <c r="EM179" t="e">
        <f>AND(Hoja3!J111,"AAAAAHnvd44=")</f>
        <v>#VALUE!</v>
      </c>
      <c r="EN179" t="e">
        <f>AND(Hoja3!K111,"AAAAAHnvd48=")</f>
        <v>#VALUE!</v>
      </c>
      <c r="EO179" t="e">
        <f>AND(Hoja3!L111,"AAAAAHnvd5A=")</f>
        <v>#VALUE!</v>
      </c>
      <c r="EP179" t="e">
        <f>AND(Hoja3!M111,"AAAAAHnvd5E=")</f>
        <v>#VALUE!</v>
      </c>
      <c r="EQ179" t="e">
        <f>AND(Hoja3!N111,"AAAAAHnvd5I=")</f>
        <v>#VALUE!</v>
      </c>
      <c r="ER179" t="e">
        <f>AND(Hoja3!O111,"AAAAAHnvd5M=")</f>
        <v>#VALUE!</v>
      </c>
      <c r="ES179" t="e">
        <f>AND(Hoja3!P111,"AAAAAHnvd5Q=")</f>
        <v>#VALUE!</v>
      </c>
      <c r="ET179" t="e">
        <f>AND(Hoja3!Q111,"AAAAAHnvd5U=")</f>
        <v>#VALUE!</v>
      </c>
      <c r="EU179" s="60">
        <f>IF(Hoja3!112:112,"AAAAAHnvd5Y=",0)</f>
        <v>0</v>
      </c>
      <c r="EV179" t="e">
        <f>AND(Hoja3!A112,"AAAAAHnvd5c=")</f>
        <v>#VALUE!</v>
      </c>
      <c r="EW179" t="e">
        <f>AND(Hoja3!B112,"AAAAAHnvd5g=")</f>
        <v>#VALUE!</v>
      </c>
      <c r="EX179" t="e">
        <f>AND(Hoja3!C112,"AAAAAHnvd5k=")</f>
        <v>#VALUE!</v>
      </c>
      <c r="EY179" t="e">
        <f>AND(Hoja3!D112,"AAAAAHnvd5o=")</f>
        <v>#VALUE!</v>
      </c>
      <c r="EZ179" t="e">
        <f>AND(Hoja3!E112,"AAAAAHnvd5s=")</f>
        <v>#VALUE!</v>
      </c>
      <c r="FA179" t="e">
        <f>AND(Hoja3!F112,"AAAAAHnvd5w=")</f>
        <v>#VALUE!</v>
      </c>
      <c r="FB179" t="e">
        <f>AND(Hoja3!G112,"AAAAAHnvd50=")</f>
        <v>#VALUE!</v>
      </c>
      <c r="FC179" t="e">
        <f>AND(Hoja3!H112,"AAAAAHnvd54=")</f>
        <v>#VALUE!</v>
      </c>
      <c r="FD179" t="e">
        <f>AND(Hoja3!I112,"AAAAAHnvd58=")</f>
        <v>#VALUE!</v>
      </c>
      <c r="FE179" t="e">
        <f>AND(Hoja3!J112,"AAAAAHnvd6A=")</f>
        <v>#VALUE!</v>
      </c>
      <c r="FF179" t="e">
        <f>AND(Hoja3!K112,"AAAAAHnvd6E=")</f>
        <v>#VALUE!</v>
      </c>
      <c r="FG179" t="e">
        <f>AND(Hoja3!L112,"AAAAAHnvd6I=")</f>
        <v>#VALUE!</v>
      </c>
      <c r="FH179" t="e">
        <f>AND(Hoja3!M112,"AAAAAHnvd6M=")</f>
        <v>#VALUE!</v>
      </c>
      <c r="FI179" t="e">
        <f>AND(Hoja3!N112,"AAAAAHnvd6Q=")</f>
        <v>#VALUE!</v>
      </c>
      <c r="FJ179" t="e">
        <f>AND(Hoja3!O112,"AAAAAHnvd6U=")</f>
        <v>#VALUE!</v>
      </c>
      <c r="FK179" t="e">
        <f>AND(Hoja3!P112,"AAAAAHnvd6Y=")</f>
        <v>#VALUE!</v>
      </c>
      <c r="FL179" t="e">
        <f>AND(Hoja3!Q112,"AAAAAHnvd6c=")</f>
        <v>#VALUE!</v>
      </c>
      <c r="FM179" s="60">
        <f>IF(Hoja3!113:113,"AAAAAHnvd6g=",0)</f>
        <v>0</v>
      </c>
      <c r="FN179" t="e">
        <f>AND(Hoja3!A113,"AAAAAHnvd6k=")</f>
        <v>#VALUE!</v>
      </c>
      <c r="FO179" t="e">
        <f>AND(Hoja3!B113,"AAAAAHnvd6o=")</f>
        <v>#VALUE!</v>
      </c>
      <c r="FP179" t="e">
        <f>AND(Hoja3!C113,"AAAAAHnvd6s=")</f>
        <v>#VALUE!</v>
      </c>
      <c r="FQ179" t="e">
        <f>AND(Hoja3!D113,"AAAAAHnvd6w=")</f>
        <v>#VALUE!</v>
      </c>
      <c r="FR179" t="e">
        <f>AND(Hoja3!E113,"AAAAAHnvd60=")</f>
        <v>#VALUE!</v>
      </c>
      <c r="FS179" t="e">
        <f>AND(Hoja3!F113,"AAAAAHnvd64=")</f>
        <v>#VALUE!</v>
      </c>
      <c r="FT179" t="e">
        <f>AND(Hoja3!G113,"AAAAAHnvd68=")</f>
        <v>#VALUE!</v>
      </c>
      <c r="FU179" t="e">
        <f>AND(Hoja3!H113,"AAAAAHnvd7A=")</f>
        <v>#VALUE!</v>
      </c>
      <c r="FV179" t="e">
        <f>AND(Hoja3!I113,"AAAAAHnvd7E=")</f>
        <v>#VALUE!</v>
      </c>
      <c r="FW179" t="e">
        <f>AND(Hoja3!J113,"AAAAAHnvd7I=")</f>
        <v>#VALUE!</v>
      </c>
      <c r="FX179" t="e">
        <f>AND(Hoja3!K113,"AAAAAHnvd7M=")</f>
        <v>#VALUE!</v>
      </c>
      <c r="FY179" t="e">
        <f>AND(Hoja3!L113,"AAAAAHnvd7Q=")</f>
        <v>#VALUE!</v>
      </c>
      <c r="FZ179" t="e">
        <f>AND(Hoja3!M113,"AAAAAHnvd7U=")</f>
        <v>#VALUE!</v>
      </c>
      <c r="GA179" t="e">
        <f>AND(Hoja3!N113,"AAAAAHnvd7Y=")</f>
        <v>#VALUE!</v>
      </c>
      <c r="GB179" t="e">
        <f>AND(Hoja3!O113,"AAAAAHnvd7c=")</f>
        <v>#VALUE!</v>
      </c>
      <c r="GC179" t="e">
        <f>AND(Hoja3!P113,"AAAAAHnvd7g=")</f>
        <v>#VALUE!</v>
      </c>
      <c r="GD179" t="e">
        <f>AND(Hoja3!Q113,"AAAAAHnvd7k=")</f>
        <v>#VALUE!</v>
      </c>
      <c r="GE179" s="60">
        <f>IF(Hoja3!114:114,"AAAAAHnvd7o=",0)</f>
        <v>0</v>
      </c>
      <c r="GF179" t="e">
        <f>AND(Hoja3!A114,"AAAAAHnvd7s=")</f>
        <v>#VALUE!</v>
      </c>
      <c r="GG179" t="e">
        <f>AND(Hoja3!B114,"AAAAAHnvd7w=")</f>
        <v>#VALUE!</v>
      </c>
      <c r="GH179" t="e">
        <f>AND(Hoja3!C114,"AAAAAHnvd70=")</f>
        <v>#VALUE!</v>
      </c>
      <c r="GI179" t="e">
        <f>AND(Hoja3!D114,"AAAAAHnvd74=")</f>
        <v>#VALUE!</v>
      </c>
      <c r="GJ179" t="e">
        <f>AND(Hoja3!E114,"AAAAAHnvd78=")</f>
        <v>#VALUE!</v>
      </c>
      <c r="GK179" t="e">
        <f>AND(Hoja3!F114,"AAAAAHnvd8A=")</f>
        <v>#VALUE!</v>
      </c>
      <c r="GL179" t="e">
        <f>AND(Hoja3!G114,"AAAAAHnvd8E=")</f>
        <v>#VALUE!</v>
      </c>
      <c r="GM179" t="e">
        <f>AND(Hoja3!H114,"AAAAAHnvd8I=")</f>
        <v>#VALUE!</v>
      </c>
      <c r="GN179" t="e">
        <f>AND(Hoja3!I114,"AAAAAHnvd8M=")</f>
        <v>#VALUE!</v>
      </c>
      <c r="GO179" t="e">
        <f>AND(Hoja3!J114,"AAAAAHnvd8Q=")</f>
        <v>#VALUE!</v>
      </c>
      <c r="GP179" t="e">
        <f>AND(Hoja3!K114,"AAAAAHnvd8U=")</f>
        <v>#VALUE!</v>
      </c>
      <c r="GQ179" t="e">
        <f>AND(Hoja3!L114,"AAAAAHnvd8Y=")</f>
        <v>#VALUE!</v>
      </c>
      <c r="GR179" t="e">
        <f>AND(Hoja3!M114,"AAAAAHnvd8c=")</f>
        <v>#VALUE!</v>
      </c>
      <c r="GS179" t="e">
        <f>AND(Hoja3!N114,"AAAAAHnvd8g=")</f>
        <v>#VALUE!</v>
      </c>
      <c r="GT179" t="e">
        <f>AND(Hoja3!O114,"AAAAAHnvd8k=")</f>
        <v>#VALUE!</v>
      </c>
      <c r="GU179" t="e">
        <f>AND(Hoja3!P114,"AAAAAHnvd8o=")</f>
        <v>#VALUE!</v>
      </c>
      <c r="GV179" t="e">
        <f>AND(Hoja3!Q114,"AAAAAHnvd8s=")</f>
        <v>#VALUE!</v>
      </c>
      <c r="GW179" s="60">
        <f>IF(Hoja3!115:115,"AAAAAHnvd8w=",0)</f>
        <v>0</v>
      </c>
      <c r="GX179" t="e">
        <f>AND(Hoja3!A115,"AAAAAHnvd80=")</f>
        <v>#VALUE!</v>
      </c>
      <c r="GY179" t="e">
        <f>AND(Hoja3!B115,"AAAAAHnvd84=")</f>
        <v>#VALUE!</v>
      </c>
      <c r="GZ179" t="e">
        <f>AND(Hoja3!C115,"AAAAAHnvd88=")</f>
        <v>#VALUE!</v>
      </c>
      <c r="HA179" t="e">
        <f>AND(Hoja3!D115,"AAAAAHnvd9A=")</f>
        <v>#VALUE!</v>
      </c>
      <c r="HB179" t="e">
        <f>AND(Hoja3!E115,"AAAAAHnvd9E=")</f>
        <v>#VALUE!</v>
      </c>
      <c r="HC179" t="e">
        <f>AND(Hoja3!F115,"AAAAAHnvd9I=")</f>
        <v>#VALUE!</v>
      </c>
      <c r="HD179" t="e">
        <f>AND(Hoja3!G115,"AAAAAHnvd9M=")</f>
        <v>#VALUE!</v>
      </c>
      <c r="HE179" t="e">
        <f>AND(Hoja3!H115,"AAAAAHnvd9Q=")</f>
        <v>#VALUE!</v>
      </c>
      <c r="HF179" t="e">
        <f>AND(Hoja3!I115,"AAAAAHnvd9U=")</f>
        <v>#VALUE!</v>
      </c>
      <c r="HG179" t="e">
        <f>AND(Hoja3!J115,"AAAAAHnvd9Y=")</f>
        <v>#VALUE!</v>
      </c>
      <c r="HH179" t="e">
        <f>AND(Hoja3!K115,"AAAAAHnvd9c=")</f>
        <v>#VALUE!</v>
      </c>
      <c r="HI179" t="e">
        <f>AND(Hoja3!L115,"AAAAAHnvd9g=")</f>
        <v>#VALUE!</v>
      </c>
      <c r="HJ179" t="e">
        <f>AND(Hoja3!M115,"AAAAAHnvd9k=")</f>
        <v>#VALUE!</v>
      </c>
      <c r="HK179" t="e">
        <f>AND(Hoja3!N115,"AAAAAHnvd9o=")</f>
        <v>#VALUE!</v>
      </c>
      <c r="HL179" t="e">
        <f>AND(Hoja3!O115,"AAAAAHnvd9s=")</f>
        <v>#VALUE!</v>
      </c>
      <c r="HM179" t="e">
        <f>AND(Hoja3!P115,"AAAAAHnvd9w=")</f>
        <v>#VALUE!</v>
      </c>
      <c r="HN179" t="e">
        <f>AND(Hoja3!Q115,"AAAAAHnvd90=")</f>
        <v>#VALUE!</v>
      </c>
      <c r="HO179" s="60">
        <f>IF(Hoja3!116:116,"AAAAAHnvd94=",0)</f>
        <v>0</v>
      </c>
      <c r="HP179" t="e">
        <f>AND(Hoja3!A116,"AAAAAHnvd98=")</f>
        <v>#VALUE!</v>
      </c>
      <c r="HQ179" t="e">
        <f>AND(Hoja3!B116,"AAAAAHnvd+A=")</f>
        <v>#VALUE!</v>
      </c>
      <c r="HR179" t="e">
        <f>AND(Hoja3!C116,"AAAAAHnvd+E=")</f>
        <v>#VALUE!</v>
      </c>
      <c r="HS179" t="e">
        <f>AND(Hoja3!D116,"AAAAAHnvd+I=")</f>
        <v>#VALUE!</v>
      </c>
      <c r="HT179" t="e">
        <f>AND(Hoja3!E116,"AAAAAHnvd+M=")</f>
        <v>#VALUE!</v>
      </c>
      <c r="HU179" t="e">
        <f>AND(Hoja3!F116,"AAAAAHnvd+Q=")</f>
        <v>#VALUE!</v>
      </c>
      <c r="HV179" t="e">
        <f>AND(Hoja3!G116,"AAAAAHnvd+U=")</f>
        <v>#VALUE!</v>
      </c>
      <c r="HW179" t="e">
        <f>AND(Hoja3!H116,"AAAAAHnvd+Y=")</f>
        <v>#VALUE!</v>
      </c>
      <c r="HX179" t="e">
        <f>AND(Hoja3!I116,"AAAAAHnvd+c=")</f>
        <v>#VALUE!</v>
      </c>
      <c r="HY179" t="e">
        <f>AND(Hoja3!J116,"AAAAAHnvd+g=")</f>
        <v>#VALUE!</v>
      </c>
      <c r="HZ179" t="e">
        <f>AND(Hoja3!K116,"AAAAAHnvd+k=")</f>
        <v>#VALUE!</v>
      </c>
      <c r="IA179" t="e">
        <f>AND(Hoja3!L116,"AAAAAHnvd+o=")</f>
        <v>#VALUE!</v>
      </c>
      <c r="IB179" t="e">
        <f>AND(Hoja3!M116,"AAAAAHnvd+s=")</f>
        <v>#VALUE!</v>
      </c>
      <c r="IC179" t="e">
        <f>AND(Hoja3!N116,"AAAAAHnvd+w=")</f>
        <v>#VALUE!</v>
      </c>
      <c r="ID179" t="e">
        <f>AND(Hoja3!O116,"AAAAAHnvd+0=")</f>
        <v>#VALUE!</v>
      </c>
      <c r="IE179" t="e">
        <f>AND(Hoja3!P116,"AAAAAHnvd+4=")</f>
        <v>#VALUE!</v>
      </c>
      <c r="IF179" t="e">
        <f>AND(Hoja3!Q116,"AAAAAHnvd+8=")</f>
        <v>#VALUE!</v>
      </c>
      <c r="IG179" s="60">
        <f>IF(Hoja3!117:117,"AAAAAHnvd/A=",0)</f>
        <v>0</v>
      </c>
      <c r="IH179" t="e">
        <f>AND(Hoja3!A117,"AAAAAHnvd/E=")</f>
        <v>#VALUE!</v>
      </c>
      <c r="II179" t="e">
        <f>AND(Hoja3!B117,"AAAAAHnvd/I=")</f>
        <v>#VALUE!</v>
      </c>
      <c r="IJ179" t="e">
        <f>AND(Hoja3!C117,"AAAAAHnvd/M=")</f>
        <v>#VALUE!</v>
      </c>
      <c r="IK179" t="e">
        <f>AND(Hoja3!D117,"AAAAAHnvd/Q=")</f>
        <v>#VALUE!</v>
      </c>
      <c r="IL179" t="e">
        <f>AND(Hoja3!E117,"AAAAAHnvd/U=")</f>
        <v>#VALUE!</v>
      </c>
      <c r="IM179" t="e">
        <f>AND(Hoja3!F117,"AAAAAHnvd/Y=")</f>
        <v>#VALUE!</v>
      </c>
      <c r="IN179" t="e">
        <f>AND(Hoja3!G117,"AAAAAHnvd/c=")</f>
        <v>#VALUE!</v>
      </c>
      <c r="IO179" t="e">
        <f>AND(Hoja3!H117,"AAAAAHnvd/g=")</f>
        <v>#VALUE!</v>
      </c>
      <c r="IP179" t="e">
        <f>AND(Hoja3!I117,"AAAAAHnvd/k=")</f>
        <v>#VALUE!</v>
      </c>
      <c r="IQ179" t="e">
        <f>AND(Hoja3!J117,"AAAAAHnvd/o=")</f>
        <v>#VALUE!</v>
      </c>
      <c r="IR179" t="e">
        <f>AND(Hoja3!K117,"AAAAAHnvd/s=")</f>
        <v>#VALUE!</v>
      </c>
      <c r="IS179" t="e">
        <f>AND(Hoja3!L117,"AAAAAHnvd/w=")</f>
        <v>#VALUE!</v>
      </c>
      <c r="IT179" t="e">
        <f>AND(Hoja3!M117,"AAAAAHnvd/0=")</f>
        <v>#VALUE!</v>
      </c>
      <c r="IU179" t="e">
        <f>AND(Hoja3!N117,"AAAAAHnvd/4=")</f>
        <v>#VALUE!</v>
      </c>
      <c r="IV179" t="e">
        <f>AND(Hoja3!O117,"AAAAAHnvd/8=")</f>
        <v>#VALUE!</v>
      </c>
    </row>
    <row r="180" spans="1:256" ht="15" customHeight="1" x14ac:dyDescent="0.25">
      <c r="A180" t="e">
        <f>AND(Hoja3!P117,"AAAAAFT9bwA=")</f>
        <v>#VALUE!</v>
      </c>
      <c r="B180" t="e">
        <f>AND(Hoja3!Q117,"AAAAAFT9bwE=")</f>
        <v>#VALUE!</v>
      </c>
      <c r="C180" s="60">
        <f>IF(Hoja3!118:118,"AAAAAFT9bwI=",0)</f>
        <v>0</v>
      </c>
      <c r="D180" t="e">
        <f>AND(Hoja3!A118,"AAAAAFT9bwM=")</f>
        <v>#VALUE!</v>
      </c>
      <c r="E180" t="e">
        <f>AND(Hoja3!B118,"AAAAAFT9bwQ=")</f>
        <v>#VALUE!</v>
      </c>
      <c r="F180" t="e">
        <f>AND(Hoja3!C118,"AAAAAFT9bwU=")</f>
        <v>#VALUE!</v>
      </c>
      <c r="G180" t="e">
        <f>AND(Hoja3!D118,"AAAAAFT9bwY=")</f>
        <v>#VALUE!</v>
      </c>
      <c r="H180" t="e">
        <f>AND(Hoja3!E118,"AAAAAFT9bwc=")</f>
        <v>#VALUE!</v>
      </c>
      <c r="I180" t="e">
        <f>AND(Hoja3!F118,"AAAAAFT9bwg=")</f>
        <v>#VALUE!</v>
      </c>
      <c r="J180" t="e">
        <f>AND(Hoja3!G118,"AAAAAFT9bwk=")</f>
        <v>#VALUE!</v>
      </c>
      <c r="K180" t="e">
        <f>AND(Hoja3!H118,"AAAAAFT9bwo=")</f>
        <v>#VALUE!</v>
      </c>
      <c r="L180" t="e">
        <f>AND(Hoja3!I118,"AAAAAFT9bws=")</f>
        <v>#VALUE!</v>
      </c>
      <c r="M180" t="e">
        <f>AND(Hoja3!J118,"AAAAAFT9bww=")</f>
        <v>#VALUE!</v>
      </c>
      <c r="N180" t="e">
        <f>AND(Hoja3!K118,"AAAAAFT9bw0=")</f>
        <v>#VALUE!</v>
      </c>
      <c r="O180" t="e">
        <f>AND(Hoja3!L118,"AAAAAFT9bw4=")</f>
        <v>#VALUE!</v>
      </c>
      <c r="P180" t="e">
        <f>AND(Hoja3!M118,"AAAAAFT9bw8=")</f>
        <v>#VALUE!</v>
      </c>
      <c r="Q180" t="e">
        <f>AND(Hoja3!N118,"AAAAAFT9bxA=")</f>
        <v>#VALUE!</v>
      </c>
      <c r="R180" t="e">
        <f>AND(Hoja3!O118,"AAAAAFT9bxE=")</f>
        <v>#VALUE!</v>
      </c>
      <c r="S180" t="e">
        <f>AND(Hoja3!P118,"AAAAAFT9bxI=")</f>
        <v>#VALUE!</v>
      </c>
      <c r="T180" t="e">
        <f>AND(Hoja3!Q118,"AAAAAFT9bxM=")</f>
        <v>#VALUE!</v>
      </c>
      <c r="U180" s="60">
        <f>IF(Hoja3!119:119,"AAAAAFT9bxQ=",0)</f>
        <v>0</v>
      </c>
      <c r="V180" t="e">
        <f>AND(Hoja3!A119,"AAAAAFT9bxU=")</f>
        <v>#VALUE!</v>
      </c>
      <c r="W180" t="e">
        <f>AND(Hoja3!B119,"AAAAAFT9bxY=")</f>
        <v>#VALUE!</v>
      </c>
      <c r="X180" t="e">
        <f>AND(Hoja3!C119,"AAAAAFT9bxc=")</f>
        <v>#VALUE!</v>
      </c>
      <c r="Y180" t="e">
        <f>AND(Hoja3!D119,"AAAAAFT9bxg=")</f>
        <v>#VALUE!</v>
      </c>
      <c r="Z180" t="e">
        <f>AND(Hoja3!E119,"AAAAAFT9bxk=")</f>
        <v>#VALUE!</v>
      </c>
      <c r="AA180" t="e">
        <f>AND(Hoja3!F119,"AAAAAFT9bxo=")</f>
        <v>#VALUE!</v>
      </c>
      <c r="AB180" t="e">
        <f>AND(Hoja3!G119,"AAAAAFT9bxs=")</f>
        <v>#VALUE!</v>
      </c>
      <c r="AC180" t="e">
        <f>AND(Hoja3!H119,"AAAAAFT9bxw=")</f>
        <v>#VALUE!</v>
      </c>
      <c r="AD180" t="e">
        <f>AND(Hoja3!I119,"AAAAAFT9bx0=")</f>
        <v>#VALUE!</v>
      </c>
      <c r="AE180" t="e">
        <f>AND(Hoja3!J119,"AAAAAFT9bx4=")</f>
        <v>#VALUE!</v>
      </c>
      <c r="AF180" t="e">
        <f>AND(Hoja3!K119,"AAAAAFT9bx8=")</f>
        <v>#VALUE!</v>
      </c>
      <c r="AG180" t="e">
        <f>AND(Hoja3!L119,"AAAAAFT9byA=")</f>
        <v>#VALUE!</v>
      </c>
      <c r="AH180" t="e">
        <f>AND(Hoja3!M119,"AAAAAFT9byE=")</f>
        <v>#VALUE!</v>
      </c>
      <c r="AI180" t="e">
        <f>AND(Hoja3!N119,"AAAAAFT9byI=")</f>
        <v>#VALUE!</v>
      </c>
      <c r="AJ180" t="e">
        <f>AND(Hoja3!O119,"AAAAAFT9byM=")</f>
        <v>#VALUE!</v>
      </c>
      <c r="AK180" t="e">
        <f>AND(Hoja3!P119,"AAAAAFT9byQ=")</f>
        <v>#VALUE!</v>
      </c>
      <c r="AL180" t="e">
        <f>AND(Hoja3!Q119,"AAAAAFT9byU=")</f>
        <v>#VALUE!</v>
      </c>
      <c r="AM180" s="60">
        <f>IF(Hoja3!120:120,"AAAAAFT9byY=",0)</f>
        <v>0</v>
      </c>
      <c r="AN180" t="e">
        <f>AND(Hoja3!A120,"AAAAAFT9byc=")</f>
        <v>#VALUE!</v>
      </c>
      <c r="AO180" t="e">
        <f>AND(Hoja3!B120,"AAAAAFT9byg=")</f>
        <v>#VALUE!</v>
      </c>
      <c r="AP180" t="e">
        <f>AND(Hoja3!C120,"AAAAAFT9byk=")</f>
        <v>#VALUE!</v>
      </c>
      <c r="AQ180" t="e">
        <f>AND(Hoja3!D120,"AAAAAFT9byo=")</f>
        <v>#VALUE!</v>
      </c>
      <c r="AR180" t="e">
        <f>AND(Hoja3!E120,"AAAAAFT9bys=")</f>
        <v>#VALUE!</v>
      </c>
      <c r="AS180" t="e">
        <f>AND(Hoja3!F120,"AAAAAFT9byw=")</f>
        <v>#VALUE!</v>
      </c>
      <c r="AT180" t="e">
        <f>AND(Hoja3!G120,"AAAAAFT9by0=")</f>
        <v>#VALUE!</v>
      </c>
      <c r="AU180" t="e">
        <f>AND(Hoja3!H120,"AAAAAFT9by4=")</f>
        <v>#VALUE!</v>
      </c>
      <c r="AV180" t="e">
        <f>AND(Hoja3!I120,"AAAAAFT9by8=")</f>
        <v>#VALUE!</v>
      </c>
      <c r="AW180" t="e">
        <f>AND(Hoja3!J120,"AAAAAFT9bzA=")</f>
        <v>#VALUE!</v>
      </c>
      <c r="AX180" t="e">
        <f>AND(Hoja3!K120,"AAAAAFT9bzE=")</f>
        <v>#VALUE!</v>
      </c>
      <c r="AY180" t="e">
        <f>AND(Hoja3!L120,"AAAAAFT9bzI=")</f>
        <v>#VALUE!</v>
      </c>
      <c r="AZ180" t="e">
        <f>AND(Hoja3!M120,"AAAAAFT9bzM=")</f>
        <v>#VALUE!</v>
      </c>
      <c r="BA180" t="e">
        <f>AND(Hoja3!N120,"AAAAAFT9bzQ=")</f>
        <v>#VALUE!</v>
      </c>
      <c r="BB180" t="e">
        <f>AND(Hoja3!O120,"AAAAAFT9bzU=")</f>
        <v>#VALUE!</v>
      </c>
      <c r="BC180" t="e">
        <f>AND(Hoja3!P120,"AAAAAFT9bzY=")</f>
        <v>#VALUE!</v>
      </c>
      <c r="BD180" t="e">
        <f>AND(Hoja3!Q120,"AAAAAFT9bzc=")</f>
        <v>#VALUE!</v>
      </c>
      <c r="BE180" s="60">
        <f>IF(Hoja3!121:121,"AAAAAFT9bzg=",0)</f>
        <v>0</v>
      </c>
      <c r="BF180" t="e">
        <f>AND(Hoja3!A121,"AAAAAFT9bzk=")</f>
        <v>#VALUE!</v>
      </c>
      <c r="BG180" t="e">
        <f>AND(Hoja3!B121,"AAAAAFT9bzo=")</f>
        <v>#VALUE!</v>
      </c>
      <c r="BH180" t="e">
        <f>AND(Hoja3!C121,"AAAAAFT9bzs=")</f>
        <v>#VALUE!</v>
      </c>
      <c r="BI180" t="e">
        <f>AND(Hoja3!D121,"AAAAAFT9bzw=")</f>
        <v>#VALUE!</v>
      </c>
      <c r="BJ180" t="e">
        <f>AND(Hoja3!E121,"AAAAAFT9bz0=")</f>
        <v>#VALUE!</v>
      </c>
      <c r="BK180" t="e">
        <f>AND(Hoja3!F121,"AAAAAFT9bz4=")</f>
        <v>#VALUE!</v>
      </c>
      <c r="BL180" t="e">
        <f>AND(Hoja3!G121,"AAAAAFT9bz8=")</f>
        <v>#VALUE!</v>
      </c>
      <c r="BM180" t="e">
        <f>AND(Hoja3!H121,"AAAAAFT9b0A=")</f>
        <v>#VALUE!</v>
      </c>
      <c r="BN180" t="e">
        <f>AND(Hoja3!I121,"AAAAAFT9b0E=")</f>
        <v>#VALUE!</v>
      </c>
      <c r="BO180" t="e">
        <f>AND(Hoja3!J121,"AAAAAFT9b0I=")</f>
        <v>#VALUE!</v>
      </c>
      <c r="BP180" t="e">
        <f>AND(Hoja3!K121,"AAAAAFT9b0M=")</f>
        <v>#VALUE!</v>
      </c>
      <c r="BQ180" t="e">
        <f>AND(Hoja3!L121,"AAAAAFT9b0Q=")</f>
        <v>#VALUE!</v>
      </c>
      <c r="BR180" t="e">
        <f>AND(Hoja3!M121,"AAAAAFT9b0U=")</f>
        <v>#VALUE!</v>
      </c>
      <c r="BS180" t="e">
        <f>AND(Hoja3!N121,"AAAAAFT9b0Y=")</f>
        <v>#VALUE!</v>
      </c>
      <c r="BT180" t="e">
        <f>AND(Hoja3!O121,"AAAAAFT9b0c=")</f>
        <v>#VALUE!</v>
      </c>
      <c r="BU180" t="e">
        <f>AND(Hoja3!P121,"AAAAAFT9b0g=")</f>
        <v>#VALUE!</v>
      </c>
      <c r="BV180" t="e">
        <f>AND(Hoja3!Q121,"AAAAAFT9b0k=")</f>
        <v>#VALUE!</v>
      </c>
      <c r="BW180" s="60">
        <f>IF(Hoja3!122:122,"AAAAAFT9b0o=",0)</f>
        <v>0</v>
      </c>
      <c r="BX180" t="e">
        <f>AND(Hoja3!A122,"AAAAAFT9b0s=")</f>
        <v>#VALUE!</v>
      </c>
      <c r="BY180" t="e">
        <f>AND(Hoja3!B122,"AAAAAFT9b0w=")</f>
        <v>#VALUE!</v>
      </c>
      <c r="BZ180" t="e">
        <f>AND(Hoja3!C122,"AAAAAFT9b00=")</f>
        <v>#VALUE!</v>
      </c>
      <c r="CA180" t="e">
        <f>AND(Hoja3!D122,"AAAAAFT9b04=")</f>
        <v>#VALUE!</v>
      </c>
      <c r="CB180" t="e">
        <f>AND(Hoja3!E122,"AAAAAFT9b08=")</f>
        <v>#VALUE!</v>
      </c>
      <c r="CC180" t="e">
        <f>AND(Hoja3!F122,"AAAAAFT9b1A=")</f>
        <v>#VALUE!</v>
      </c>
      <c r="CD180" t="e">
        <f>AND(Hoja3!G122,"AAAAAFT9b1E=")</f>
        <v>#VALUE!</v>
      </c>
      <c r="CE180" t="e">
        <f>AND(Hoja3!H122,"AAAAAFT9b1I=")</f>
        <v>#VALUE!</v>
      </c>
      <c r="CF180" t="e">
        <f>AND(Hoja3!I122,"AAAAAFT9b1M=")</f>
        <v>#VALUE!</v>
      </c>
      <c r="CG180" t="e">
        <f>AND(Hoja3!J122,"AAAAAFT9b1Q=")</f>
        <v>#VALUE!</v>
      </c>
      <c r="CH180" t="e">
        <f>AND(Hoja3!K122,"AAAAAFT9b1U=")</f>
        <v>#VALUE!</v>
      </c>
      <c r="CI180" t="e">
        <f>AND(Hoja3!L122,"AAAAAFT9b1Y=")</f>
        <v>#VALUE!</v>
      </c>
      <c r="CJ180" t="e">
        <f>AND(Hoja3!M122,"AAAAAFT9b1c=")</f>
        <v>#VALUE!</v>
      </c>
      <c r="CK180" t="e">
        <f>AND(Hoja3!N122,"AAAAAFT9b1g=")</f>
        <v>#VALUE!</v>
      </c>
      <c r="CL180" t="e">
        <f>AND(Hoja3!O122,"AAAAAFT9b1k=")</f>
        <v>#VALUE!</v>
      </c>
      <c r="CM180" t="e">
        <f>AND(Hoja3!P122,"AAAAAFT9b1o=")</f>
        <v>#VALUE!</v>
      </c>
      <c r="CN180" t="e">
        <f>AND(Hoja3!Q122,"AAAAAFT9b1s=")</f>
        <v>#VALUE!</v>
      </c>
      <c r="CO180" s="60">
        <f>IF(Hoja3!123:123,"AAAAAFT9b1w=",0)</f>
        <v>0</v>
      </c>
      <c r="CP180" t="e">
        <f>AND(Hoja3!A123,"AAAAAFT9b10=")</f>
        <v>#VALUE!</v>
      </c>
      <c r="CQ180" t="e">
        <f>AND(Hoja3!B123,"AAAAAFT9b14=")</f>
        <v>#VALUE!</v>
      </c>
      <c r="CR180" t="e">
        <f>AND(Hoja3!C123,"AAAAAFT9b18=")</f>
        <v>#VALUE!</v>
      </c>
      <c r="CS180" t="e">
        <f>AND(Hoja3!D123,"AAAAAFT9b2A=")</f>
        <v>#VALUE!</v>
      </c>
      <c r="CT180" t="e">
        <f>AND(Hoja3!E123,"AAAAAFT9b2E=")</f>
        <v>#VALUE!</v>
      </c>
      <c r="CU180" t="e">
        <f>AND(Hoja3!F123,"AAAAAFT9b2I=")</f>
        <v>#VALUE!</v>
      </c>
      <c r="CV180" t="e">
        <f>AND(Hoja3!G123,"AAAAAFT9b2M=")</f>
        <v>#VALUE!</v>
      </c>
      <c r="CW180" t="e">
        <f>AND(Hoja3!H123,"AAAAAFT9b2Q=")</f>
        <v>#VALUE!</v>
      </c>
      <c r="CX180" t="e">
        <f>AND(Hoja3!I123,"AAAAAFT9b2U=")</f>
        <v>#VALUE!</v>
      </c>
      <c r="CY180" t="e">
        <f>AND(Hoja3!J123,"AAAAAFT9b2Y=")</f>
        <v>#VALUE!</v>
      </c>
      <c r="CZ180" t="e">
        <f>AND(Hoja3!K123,"AAAAAFT9b2c=")</f>
        <v>#VALUE!</v>
      </c>
      <c r="DA180" t="e">
        <f>AND(Hoja3!L123,"AAAAAFT9b2g=")</f>
        <v>#VALUE!</v>
      </c>
      <c r="DB180" t="e">
        <f>AND(Hoja3!M123,"AAAAAFT9b2k=")</f>
        <v>#VALUE!</v>
      </c>
      <c r="DC180" t="e">
        <f>AND(Hoja3!N123,"AAAAAFT9b2o=")</f>
        <v>#VALUE!</v>
      </c>
      <c r="DD180" t="e">
        <f>AND(Hoja3!O123,"AAAAAFT9b2s=")</f>
        <v>#VALUE!</v>
      </c>
      <c r="DE180" t="e">
        <f>AND(Hoja3!P123,"AAAAAFT9b2w=")</f>
        <v>#VALUE!</v>
      </c>
      <c r="DF180" t="e">
        <f>AND(Hoja3!Q123,"AAAAAFT9b20=")</f>
        <v>#VALUE!</v>
      </c>
      <c r="DG180" s="60">
        <f>IF(Hoja3!124:124,"AAAAAFT9b24=",0)</f>
        <v>0</v>
      </c>
      <c r="DH180" t="e">
        <f>AND(Hoja3!A124,"AAAAAFT9b28=")</f>
        <v>#VALUE!</v>
      </c>
      <c r="DI180" t="e">
        <f>AND(Hoja3!B124,"AAAAAFT9b3A=")</f>
        <v>#VALUE!</v>
      </c>
      <c r="DJ180" t="e">
        <f>AND(Hoja3!C124,"AAAAAFT9b3E=")</f>
        <v>#VALUE!</v>
      </c>
      <c r="DK180" t="e">
        <f>AND(Hoja3!D124,"AAAAAFT9b3I=")</f>
        <v>#VALUE!</v>
      </c>
      <c r="DL180" t="e">
        <f>AND(Hoja3!E124,"AAAAAFT9b3M=")</f>
        <v>#VALUE!</v>
      </c>
      <c r="DM180" t="e">
        <f>AND(Hoja3!F124,"AAAAAFT9b3Q=")</f>
        <v>#VALUE!</v>
      </c>
      <c r="DN180" t="e">
        <f>AND(Hoja3!G124,"AAAAAFT9b3U=")</f>
        <v>#VALUE!</v>
      </c>
      <c r="DO180" t="e">
        <f>AND(Hoja3!H124,"AAAAAFT9b3Y=")</f>
        <v>#VALUE!</v>
      </c>
      <c r="DP180" t="e">
        <f>AND(Hoja3!I124,"AAAAAFT9b3c=")</f>
        <v>#VALUE!</v>
      </c>
      <c r="DQ180" t="e">
        <f>AND(Hoja3!J124,"AAAAAFT9b3g=")</f>
        <v>#VALUE!</v>
      </c>
      <c r="DR180" t="e">
        <f>AND(Hoja3!K124,"AAAAAFT9b3k=")</f>
        <v>#VALUE!</v>
      </c>
      <c r="DS180" t="e">
        <f>AND(Hoja3!L124,"AAAAAFT9b3o=")</f>
        <v>#VALUE!</v>
      </c>
      <c r="DT180" t="e">
        <f>AND(Hoja3!M124,"AAAAAFT9b3s=")</f>
        <v>#VALUE!</v>
      </c>
      <c r="DU180" t="e">
        <f>AND(Hoja3!N124,"AAAAAFT9b3w=")</f>
        <v>#VALUE!</v>
      </c>
      <c r="DV180" t="e">
        <f>AND(Hoja3!O124,"AAAAAFT9b30=")</f>
        <v>#VALUE!</v>
      </c>
      <c r="DW180" t="e">
        <f>AND(Hoja3!P124,"AAAAAFT9b34=")</f>
        <v>#VALUE!</v>
      </c>
      <c r="DX180" t="e">
        <f>AND(Hoja3!Q124,"AAAAAFT9b38=")</f>
        <v>#VALUE!</v>
      </c>
      <c r="DY180" s="60">
        <f>IF(Hoja3!125:125,"AAAAAFT9b4A=",0)</f>
        <v>0</v>
      </c>
      <c r="DZ180" t="e">
        <f>AND(Hoja3!A125,"AAAAAFT9b4E=")</f>
        <v>#VALUE!</v>
      </c>
      <c r="EA180" t="e">
        <f>AND(Hoja3!B125,"AAAAAFT9b4I=")</f>
        <v>#VALUE!</v>
      </c>
      <c r="EB180" t="e">
        <f>AND(Hoja3!C125,"AAAAAFT9b4M=")</f>
        <v>#VALUE!</v>
      </c>
      <c r="EC180" t="e">
        <f>AND(Hoja3!D125,"AAAAAFT9b4Q=")</f>
        <v>#VALUE!</v>
      </c>
      <c r="ED180" t="e">
        <f>AND(Hoja3!E125,"AAAAAFT9b4U=")</f>
        <v>#VALUE!</v>
      </c>
      <c r="EE180" t="e">
        <f>AND(Hoja3!F125,"AAAAAFT9b4Y=")</f>
        <v>#VALUE!</v>
      </c>
      <c r="EF180" t="e">
        <f>AND(Hoja3!G125,"AAAAAFT9b4c=")</f>
        <v>#VALUE!</v>
      </c>
      <c r="EG180" t="e">
        <f>AND(Hoja3!H125,"AAAAAFT9b4g=")</f>
        <v>#VALUE!</v>
      </c>
      <c r="EH180" t="e">
        <f>AND(Hoja3!I125,"AAAAAFT9b4k=")</f>
        <v>#VALUE!</v>
      </c>
      <c r="EI180" t="e">
        <f>AND(Hoja3!J125,"AAAAAFT9b4o=")</f>
        <v>#VALUE!</v>
      </c>
      <c r="EJ180" t="e">
        <f>AND(Hoja3!K125,"AAAAAFT9b4s=")</f>
        <v>#VALUE!</v>
      </c>
      <c r="EK180" t="e">
        <f>AND(Hoja3!L125,"AAAAAFT9b4w=")</f>
        <v>#VALUE!</v>
      </c>
      <c r="EL180" t="e">
        <f>AND(Hoja3!M125,"AAAAAFT9b40=")</f>
        <v>#VALUE!</v>
      </c>
      <c r="EM180" t="e">
        <f>AND(Hoja3!N125,"AAAAAFT9b44=")</f>
        <v>#VALUE!</v>
      </c>
      <c r="EN180" t="e">
        <f>AND(Hoja3!O125,"AAAAAFT9b48=")</f>
        <v>#VALUE!</v>
      </c>
      <c r="EO180" t="e">
        <f>AND(Hoja3!P125,"AAAAAFT9b5A=")</f>
        <v>#VALUE!</v>
      </c>
      <c r="EP180" t="e">
        <f>AND(Hoja3!Q125,"AAAAAFT9b5E=")</f>
        <v>#VALUE!</v>
      </c>
      <c r="EQ180" s="60">
        <f>IF(Hoja3!126:126,"AAAAAFT9b5I=",0)</f>
        <v>0</v>
      </c>
      <c r="ER180" t="e">
        <f>AND(Hoja3!A126,"AAAAAFT9b5M=")</f>
        <v>#VALUE!</v>
      </c>
      <c r="ES180" t="e">
        <f>AND(Hoja3!B126,"AAAAAFT9b5Q=")</f>
        <v>#VALUE!</v>
      </c>
      <c r="ET180" t="e">
        <f>AND(Hoja3!C126,"AAAAAFT9b5U=")</f>
        <v>#VALUE!</v>
      </c>
      <c r="EU180" t="e">
        <f>AND(Hoja3!D126,"AAAAAFT9b5Y=")</f>
        <v>#VALUE!</v>
      </c>
      <c r="EV180" t="e">
        <f>AND(Hoja3!E126,"AAAAAFT9b5c=")</f>
        <v>#VALUE!</v>
      </c>
      <c r="EW180" t="e">
        <f>AND(Hoja3!F126,"AAAAAFT9b5g=")</f>
        <v>#VALUE!</v>
      </c>
      <c r="EX180" t="e">
        <f>AND(Hoja3!G126,"AAAAAFT9b5k=")</f>
        <v>#VALUE!</v>
      </c>
      <c r="EY180" t="e">
        <f>AND(Hoja3!H126,"AAAAAFT9b5o=")</f>
        <v>#VALUE!</v>
      </c>
      <c r="EZ180" t="e">
        <f>AND(Hoja3!I126,"AAAAAFT9b5s=")</f>
        <v>#VALUE!</v>
      </c>
      <c r="FA180" t="e">
        <f>AND(Hoja3!J126,"AAAAAFT9b5w=")</f>
        <v>#VALUE!</v>
      </c>
      <c r="FB180" t="e">
        <f>AND(Hoja3!K126,"AAAAAFT9b50=")</f>
        <v>#VALUE!</v>
      </c>
      <c r="FC180" t="e">
        <f>AND(Hoja3!L126,"AAAAAFT9b54=")</f>
        <v>#VALUE!</v>
      </c>
      <c r="FD180" t="e">
        <f>AND(Hoja3!M126,"AAAAAFT9b58=")</f>
        <v>#VALUE!</v>
      </c>
      <c r="FE180" t="e">
        <f>AND(Hoja3!N126,"AAAAAFT9b6A=")</f>
        <v>#VALUE!</v>
      </c>
      <c r="FF180" t="e">
        <f>AND(Hoja3!O126,"AAAAAFT9b6E=")</f>
        <v>#VALUE!</v>
      </c>
      <c r="FG180" t="e">
        <f>AND(Hoja3!P126,"AAAAAFT9b6I=")</f>
        <v>#VALUE!</v>
      </c>
      <c r="FH180" t="e">
        <f>AND(Hoja3!Q126,"AAAAAFT9b6M=")</f>
        <v>#VALUE!</v>
      </c>
      <c r="FI180" s="60">
        <f>IF(Hoja3!127:127,"AAAAAFT9b6Q=",0)</f>
        <v>0</v>
      </c>
      <c r="FJ180" t="e">
        <f>AND(Hoja3!A127,"AAAAAFT9b6U=")</f>
        <v>#VALUE!</v>
      </c>
      <c r="FK180" t="e">
        <f>AND(Hoja3!B127,"AAAAAFT9b6Y=")</f>
        <v>#VALUE!</v>
      </c>
      <c r="FL180" t="e">
        <f>AND(Hoja3!C127,"AAAAAFT9b6c=")</f>
        <v>#VALUE!</v>
      </c>
      <c r="FM180" t="e">
        <f>AND(Hoja3!D127,"AAAAAFT9b6g=")</f>
        <v>#VALUE!</v>
      </c>
      <c r="FN180" t="e">
        <f>AND(Hoja3!E127,"AAAAAFT9b6k=")</f>
        <v>#VALUE!</v>
      </c>
      <c r="FO180" t="e">
        <f>AND(Hoja3!F127,"AAAAAFT9b6o=")</f>
        <v>#VALUE!</v>
      </c>
      <c r="FP180" t="e">
        <f>AND(Hoja3!G127,"AAAAAFT9b6s=")</f>
        <v>#VALUE!</v>
      </c>
      <c r="FQ180" t="e">
        <f>AND(Hoja3!H127,"AAAAAFT9b6w=")</f>
        <v>#VALUE!</v>
      </c>
      <c r="FR180" t="e">
        <f>AND(Hoja3!I127,"AAAAAFT9b60=")</f>
        <v>#VALUE!</v>
      </c>
      <c r="FS180" t="e">
        <f>AND(Hoja3!J127,"AAAAAFT9b64=")</f>
        <v>#VALUE!</v>
      </c>
      <c r="FT180" t="e">
        <f>AND(Hoja3!K127,"AAAAAFT9b68=")</f>
        <v>#VALUE!</v>
      </c>
      <c r="FU180" t="e">
        <f>AND(Hoja3!L127,"AAAAAFT9b7A=")</f>
        <v>#VALUE!</v>
      </c>
      <c r="FV180" t="e">
        <f>AND(Hoja3!M127,"AAAAAFT9b7E=")</f>
        <v>#VALUE!</v>
      </c>
      <c r="FW180" t="e">
        <f>AND(Hoja3!N127,"AAAAAFT9b7I=")</f>
        <v>#VALUE!</v>
      </c>
      <c r="FX180" t="e">
        <f>AND(Hoja3!O127,"AAAAAFT9b7M=")</f>
        <v>#VALUE!</v>
      </c>
      <c r="FY180" t="e">
        <f>AND(Hoja3!P127,"AAAAAFT9b7Q=")</f>
        <v>#VALUE!</v>
      </c>
      <c r="FZ180" t="e">
        <f>AND(Hoja3!Q127,"AAAAAFT9b7U=")</f>
        <v>#VALUE!</v>
      </c>
      <c r="GA180" s="60">
        <f>IF(Hoja3!128:128,"AAAAAFT9b7Y=",0)</f>
        <v>0</v>
      </c>
      <c r="GB180" t="e">
        <f>AND(Hoja3!A128,"AAAAAFT9b7c=")</f>
        <v>#VALUE!</v>
      </c>
      <c r="GC180" t="e">
        <f>AND(Hoja3!B128,"AAAAAFT9b7g=")</f>
        <v>#VALUE!</v>
      </c>
      <c r="GD180" t="e">
        <f>AND(Hoja3!C128,"AAAAAFT9b7k=")</f>
        <v>#VALUE!</v>
      </c>
      <c r="GE180" t="e">
        <f>AND(Hoja3!D128,"AAAAAFT9b7o=")</f>
        <v>#VALUE!</v>
      </c>
      <c r="GF180" t="e">
        <f>AND(Hoja3!E128,"AAAAAFT9b7s=")</f>
        <v>#VALUE!</v>
      </c>
      <c r="GG180" t="e">
        <f>AND(Hoja3!F128,"AAAAAFT9b7w=")</f>
        <v>#VALUE!</v>
      </c>
      <c r="GH180" t="e">
        <f>AND(Hoja3!G128,"AAAAAFT9b70=")</f>
        <v>#VALUE!</v>
      </c>
      <c r="GI180" t="e">
        <f>AND(Hoja3!H128,"AAAAAFT9b74=")</f>
        <v>#VALUE!</v>
      </c>
      <c r="GJ180" t="e">
        <f>AND(Hoja3!I128,"AAAAAFT9b78=")</f>
        <v>#VALUE!</v>
      </c>
      <c r="GK180" t="e">
        <f>AND(Hoja3!J128,"AAAAAFT9b8A=")</f>
        <v>#VALUE!</v>
      </c>
      <c r="GL180" t="e">
        <f>AND(Hoja3!K128,"AAAAAFT9b8E=")</f>
        <v>#VALUE!</v>
      </c>
      <c r="GM180" t="e">
        <f>AND(Hoja3!L128,"AAAAAFT9b8I=")</f>
        <v>#VALUE!</v>
      </c>
      <c r="GN180" t="e">
        <f>AND(Hoja3!M128,"AAAAAFT9b8M=")</f>
        <v>#VALUE!</v>
      </c>
      <c r="GO180" t="e">
        <f>AND(Hoja3!N128,"AAAAAFT9b8Q=")</f>
        <v>#VALUE!</v>
      </c>
      <c r="GP180" t="e">
        <f>AND(Hoja3!O128,"AAAAAFT9b8U=")</f>
        <v>#VALUE!</v>
      </c>
      <c r="GQ180" t="e">
        <f>AND(Hoja3!P128,"AAAAAFT9b8Y=")</f>
        <v>#VALUE!</v>
      </c>
      <c r="GR180" t="e">
        <f>AND(Hoja3!Q128,"AAAAAFT9b8c=")</f>
        <v>#VALUE!</v>
      </c>
      <c r="GS180" s="60">
        <f>IF(Hoja3!129:129,"AAAAAFT9b8g=",0)</f>
        <v>0</v>
      </c>
      <c r="GT180" t="e">
        <f>AND(Hoja3!A129,"AAAAAFT9b8k=")</f>
        <v>#VALUE!</v>
      </c>
      <c r="GU180" t="e">
        <f>AND(Hoja3!B129,"AAAAAFT9b8o=")</f>
        <v>#VALUE!</v>
      </c>
      <c r="GV180" t="e">
        <f>AND(Hoja3!C129,"AAAAAFT9b8s=")</f>
        <v>#VALUE!</v>
      </c>
      <c r="GW180" t="e">
        <f>AND(Hoja3!D129,"AAAAAFT9b8w=")</f>
        <v>#VALUE!</v>
      </c>
      <c r="GX180" t="e">
        <f>AND(Hoja3!E129,"AAAAAFT9b80=")</f>
        <v>#VALUE!</v>
      </c>
      <c r="GY180" t="e">
        <f>AND(Hoja3!F129,"AAAAAFT9b84=")</f>
        <v>#VALUE!</v>
      </c>
      <c r="GZ180" t="e">
        <f>AND(Hoja3!G129,"AAAAAFT9b88=")</f>
        <v>#VALUE!</v>
      </c>
      <c r="HA180" t="e">
        <f>AND(Hoja3!H129,"AAAAAFT9b9A=")</f>
        <v>#VALUE!</v>
      </c>
      <c r="HB180" t="e">
        <f>AND(Hoja3!I129,"AAAAAFT9b9E=")</f>
        <v>#VALUE!</v>
      </c>
      <c r="HC180" t="e">
        <f>AND(Hoja3!J129,"AAAAAFT9b9I=")</f>
        <v>#VALUE!</v>
      </c>
      <c r="HD180" t="e">
        <f>AND(Hoja3!K129,"AAAAAFT9b9M=")</f>
        <v>#VALUE!</v>
      </c>
      <c r="HE180" t="e">
        <f>AND(Hoja3!L129,"AAAAAFT9b9Q=")</f>
        <v>#VALUE!</v>
      </c>
      <c r="HF180" t="e">
        <f>AND(Hoja3!M129,"AAAAAFT9b9U=")</f>
        <v>#VALUE!</v>
      </c>
      <c r="HG180" t="e">
        <f>AND(Hoja3!N129,"AAAAAFT9b9Y=")</f>
        <v>#VALUE!</v>
      </c>
      <c r="HH180" t="e">
        <f>AND(Hoja3!O129,"AAAAAFT9b9c=")</f>
        <v>#VALUE!</v>
      </c>
      <c r="HI180" t="e">
        <f>AND(Hoja3!P129,"AAAAAFT9b9g=")</f>
        <v>#VALUE!</v>
      </c>
      <c r="HJ180" t="e">
        <f>AND(Hoja3!Q129,"AAAAAFT9b9k=")</f>
        <v>#VALUE!</v>
      </c>
      <c r="HK180" s="60">
        <f>IF(Hoja3!130:130,"AAAAAFT9b9o=",0)</f>
        <v>0</v>
      </c>
      <c r="HL180" t="e">
        <f>AND(Hoja3!A130,"AAAAAFT9b9s=")</f>
        <v>#VALUE!</v>
      </c>
      <c r="HM180" t="e">
        <f>AND(Hoja3!B130,"AAAAAFT9b9w=")</f>
        <v>#VALUE!</v>
      </c>
      <c r="HN180" t="e">
        <f>AND(Hoja3!C130,"AAAAAFT9b90=")</f>
        <v>#VALUE!</v>
      </c>
      <c r="HO180" t="e">
        <f>AND(Hoja3!D130,"AAAAAFT9b94=")</f>
        <v>#VALUE!</v>
      </c>
      <c r="HP180" t="e">
        <f>AND(Hoja3!E130,"AAAAAFT9b98=")</f>
        <v>#VALUE!</v>
      </c>
      <c r="HQ180" t="e">
        <f>AND(Hoja3!F130,"AAAAAFT9b+A=")</f>
        <v>#VALUE!</v>
      </c>
      <c r="HR180" t="e">
        <f>AND(Hoja3!G130,"AAAAAFT9b+E=")</f>
        <v>#VALUE!</v>
      </c>
      <c r="HS180" t="e">
        <f>AND(Hoja3!H130,"AAAAAFT9b+I=")</f>
        <v>#VALUE!</v>
      </c>
      <c r="HT180" t="e">
        <f>AND(Hoja3!I130,"AAAAAFT9b+M=")</f>
        <v>#VALUE!</v>
      </c>
      <c r="HU180" t="e">
        <f>AND(Hoja3!J130,"AAAAAFT9b+Q=")</f>
        <v>#VALUE!</v>
      </c>
      <c r="HV180" t="e">
        <f>AND(Hoja3!K130,"AAAAAFT9b+U=")</f>
        <v>#VALUE!</v>
      </c>
      <c r="HW180" t="e">
        <f>AND(Hoja3!L130,"AAAAAFT9b+Y=")</f>
        <v>#VALUE!</v>
      </c>
      <c r="HX180" t="e">
        <f>AND(Hoja3!M130,"AAAAAFT9b+c=")</f>
        <v>#VALUE!</v>
      </c>
      <c r="HY180" t="e">
        <f>AND(Hoja3!N130,"AAAAAFT9b+g=")</f>
        <v>#VALUE!</v>
      </c>
      <c r="HZ180" t="e">
        <f>AND(Hoja3!O130,"AAAAAFT9b+k=")</f>
        <v>#VALUE!</v>
      </c>
      <c r="IA180" t="e">
        <f>AND(Hoja3!P130,"AAAAAFT9b+o=")</f>
        <v>#VALUE!</v>
      </c>
      <c r="IB180" t="e">
        <f>AND(Hoja3!Q130,"AAAAAFT9b+s=")</f>
        <v>#VALUE!</v>
      </c>
      <c r="IC180" s="60">
        <f>IF(Hoja3!131:131,"AAAAAFT9b+w=",0)</f>
        <v>0</v>
      </c>
      <c r="ID180" t="e">
        <f>AND(Hoja3!A131,"AAAAAFT9b+0=")</f>
        <v>#VALUE!</v>
      </c>
      <c r="IE180" t="e">
        <f>AND(Hoja3!B131,"AAAAAFT9b+4=")</f>
        <v>#VALUE!</v>
      </c>
      <c r="IF180" t="e">
        <f>AND(Hoja3!C131,"AAAAAFT9b+8=")</f>
        <v>#VALUE!</v>
      </c>
      <c r="IG180" t="e">
        <f>AND(Hoja3!D131,"AAAAAFT9b/A=")</f>
        <v>#VALUE!</v>
      </c>
      <c r="IH180" t="e">
        <f>AND(Hoja3!E131,"AAAAAFT9b/E=")</f>
        <v>#VALUE!</v>
      </c>
      <c r="II180" t="e">
        <f>AND(Hoja3!F131,"AAAAAFT9b/I=")</f>
        <v>#VALUE!</v>
      </c>
      <c r="IJ180" t="e">
        <f>AND(Hoja3!G131,"AAAAAFT9b/M=")</f>
        <v>#VALUE!</v>
      </c>
      <c r="IK180" t="e">
        <f>AND(Hoja3!H131,"AAAAAFT9b/Q=")</f>
        <v>#VALUE!</v>
      </c>
      <c r="IL180" t="e">
        <f>AND(Hoja3!I131,"AAAAAFT9b/U=")</f>
        <v>#VALUE!</v>
      </c>
      <c r="IM180" t="e">
        <f>AND(Hoja3!J131,"AAAAAFT9b/Y=")</f>
        <v>#VALUE!</v>
      </c>
      <c r="IN180" t="e">
        <f>AND(Hoja3!K131,"AAAAAFT9b/c=")</f>
        <v>#VALUE!</v>
      </c>
      <c r="IO180" t="e">
        <f>AND(Hoja3!L131,"AAAAAFT9b/g=")</f>
        <v>#VALUE!</v>
      </c>
      <c r="IP180" t="e">
        <f>AND(Hoja3!M131,"AAAAAFT9b/k=")</f>
        <v>#VALUE!</v>
      </c>
      <c r="IQ180" t="e">
        <f>AND(Hoja3!N131,"AAAAAFT9b/o=")</f>
        <v>#VALUE!</v>
      </c>
      <c r="IR180" t="e">
        <f>AND(Hoja3!O131,"AAAAAFT9b/s=")</f>
        <v>#VALUE!</v>
      </c>
      <c r="IS180" t="e">
        <f>AND(Hoja3!P131,"AAAAAFT9b/w=")</f>
        <v>#VALUE!</v>
      </c>
      <c r="IT180" t="e">
        <f>AND(Hoja3!Q131,"AAAAAFT9b/0=")</f>
        <v>#VALUE!</v>
      </c>
      <c r="IU180" s="60">
        <f>IF(Hoja3!132:132,"AAAAAFT9b/4=",0)</f>
        <v>0</v>
      </c>
      <c r="IV180" t="e">
        <f>AND(Hoja3!A132,"AAAAAFT9b/8=")</f>
        <v>#VALUE!</v>
      </c>
    </row>
    <row r="181" spans="1:256" ht="15" customHeight="1" x14ac:dyDescent="0.25">
      <c r="A181" t="e">
        <f>AND(Hoja3!B132,"AAAAAFQ9vQA=")</f>
        <v>#VALUE!</v>
      </c>
      <c r="B181" t="e">
        <f>AND(Hoja3!C132,"AAAAAFQ9vQE=")</f>
        <v>#VALUE!</v>
      </c>
      <c r="C181" t="e">
        <f>AND(Hoja3!D132,"AAAAAFQ9vQI=")</f>
        <v>#VALUE!</v>
      </c>
      <c r="D181" t="e">
        <f>AND(Hoja3!E132,"AAAAAFQ9vQM=")</f>
        <v>#VALUE!</v>
      </c>
      <c r="E181" t="e">
        <f>AND(Hoja3!F132,"AAAAAFQ9vQQ=")</f>
        <v>#VALUE!</v>
      </c>
      <c r="F181" t="e">
        <f>AND(Hoja3!G132,"AAAAAFQ9vQU=")</f>
        <v>#VALUE!</v>
      </c>
      <c r="G181" t="e">
        <f>AND(Hoja3!H132,"AAAAAFQ9vQY=")</f>
        <v>#VALUE!</v>
      </c>
      <c r="H181" t="e">
        <f>AND(Hoja3!I132,"AAAAAFQ9vQc=")</f>
        <v>#VALUE!</v>
      </c>
      <c r="I181" t="e">
        <f>AND(Hoja3!J132,"AAAAAFQ9vQg=")</f>
        <v>#VALUE!</v>
      </c>
      <c r="J181" t="e">
        <f>AND(Hoja3!K132,"AAAAAFQ9vQk=")</f>
        <v>#VALUE!</v>
      </c>
      <c r="K181" t="e">
        <f>AND(Hoja3!L132,"AAAAAFQ9vQo=")</f>
        <v>#VALUE!</v>
      </c>
      <c r="L181" t="e">
        <f>AND(Hoja3!M132,"AAAAAFQ9vQs=")</f>
        <v>#VALUE!</v>
      </c>
      <c r="M181" t="e">
        <f>AND(Hoja3!N132,"AAAAAFQ9vQw=")</f>
        <v>#VALUE!</v>
      </c>
      <c r="N181" t="e">
        <f>AND(Hoja3!O132,"AAAAAFQ9vQ0=")</f>
        <v>#VALUE!</v>
      </c>
      <c r="O181" t="e">
        <f>AND(Hoja3!P132,"AAAAAFQ9vQ4=")</f>
        <v>#VALUE!</v>
      </c>
      <c r="P181" t="e">
        <f>AND(Hoja3!Q132,"AAAAAFQ9vQ8=")</f>
        <v>#VALUE!</v>
      </c>
      <c r="Q181" s="60">
        <f>IF(Hoja3!133:133,"AAAAAFQ9vRA=",0)</f>
        <v>0</v>
      </c>
      <c r="R181" t="e">
        <f>AND(Hoja3!A133,"AAAAAFQ9vRE=")</f>
        <v>#VALUE!</v>
      </c>
      <c r="S181" t="e">
        <f>AND(Hoja3!B133,"AAAAAFQ9vRI=")</f>
        <v>#VALUE!</v>
      </c>
      <c r="T181" t="e">
        <f>AND(Hoja3!C133,"AAAAAFQ9vRM=")</f>
        <v>#VALUE!</v>
      </c>
      <c r="U181" t="e">
        <f>AND(Hoja3!D133,"AAAAAFQ9vRQ=")</f>
        <v>#VALUE!</v>
      </c>
      <c r="V181" t="e">
        <f>AND(Hoja3!E133,"AAAAAFQ9vRU=")</f>
        <v>#VALUE!</v>
      </c>
      <c r="W181" t="e">
        <f>AND(Hoja3!F133,"AAAAAFQ9vRY=")</f>
        <v>#VALUE!</v>
      </c>
      <c r="X181" t="e">
        <f>AND(Hoja3!G133,"AAAAAFQ9vRc=")</f>
        <v>#VALUE!</v>
      </c>
      <c r="Y181" t="e">
        <f>AND(Hoja3!H133,"AAAAAFQ9vRg=")</f>
        <v>#VALUE!</v>
      </c>
      <c r="Z181" t="e">
        <f>AND(Hoja3!I133,"AAAAAFQ9vRk=")</f>
        <v>#VALUE!</v>
      </c>
      <c r="AA181" t="e">
        <f>AND(Hoja3!J133,"AAAAAFQ9vRo=")</f>
        <v>#VALUE!</v>
      </c>
      <c r="AB181" t="e">
        <f>AND(Hoja3!K133,"AAAAAFQ9vRs=")</f>
        <v>#VALUE!</v>
      </c>
      <c r="AC181" t="e">
        <f>AND(Hoja3!L133,"AAAAAFQ9vRw=")</f>
        <v>#VALUE!</v>
      </c>
      <c r="AD181" t="e">
        <f>AND(Hoja3!M133,"AAAAAFQ9vR0=")</f>
        <v>#VALUE!</v>
      </c>
      <c r="AE181" t="e">
        <f>AND(Hoja3!N133,"AAAAAFQ9vR4=")</f>
        <v>#VALUE!</v>
      </c>
      <c r="AF181" t="e">
        <f>AND(Hoja3!O133,"AAAAAFQ9vR8=")</f>
        <v>#VALUE!</v>
      </c>
      <c r="AG181" t="e">
        <f>AND(Hoja3!P133,"AAAAAFQ9vSA=")</f>
        <v>#VALUE!</v>
      </c>
      <c r="AH181" t="e">
        <f>AND(Hoja3!Q133,"AAAAAFQ9vSE=")</f>
        <v>#VALUE!</v>
      </c>
      <c r="AI181" s="60">
        <f>IF(Hoja3!134:134,"AAAAAFQ9vSI=",0)</f>
        <v>0</v>
      </c>
      <c r="AJ181" t="e">
        <f>AND(Hoja3!A134,"AAAAAFQ9vSM=")</f>
        <v>#VALUE!</v>
      </c>
      <c r="AK181" t="e">
        <f>AND(Hoja3!B134,"AAAAAFQ9vSQ=")</f>
        <v>#VALUE!</v>
      </c>
      <c r="AL181" t="e">
        <f>AND(Hoja3!C134,"AAAAAFQ9vSU=")</f>
        <v>#VALUE!</v>
      </c>
      <c r="AM181" t="e">
        <f>AND(Hoja3!D134,"AAAAAFQ9vSY=")</f>
        <v>#VALUE!</v>
      </c>
      <c r="AN181" t="e">
        <f>AND(Hoja3!E134,"AAAAAFQ9vSc=")</f>
        <v>#VALUE!</v>
      </c>
      <c r="AO181" t="e">
        <f>AND(Hoja3!F134,"AAAAAFQ9vSg=")</f>
        <v>#VALUE!</v>
      </c>
      <c r="AP181" t="e">
        <f>AND(Hoja3!G134,"AAAAAFQ9vSk=")</f>
        <v>#VALUE!</v>
      </c>
      <c r="AQ181" t="e">
        <f>AND(Hoja3!H134,"AAAAAFQ9vSo=")</f>
        <v>#VALUE!</v>
      </c>
      <c r="AR181" t="e">
        <f>AND(Hoja3!I134,"AAAAAFQ9vSs=")</f>
        <v>#VALUE!</v>
      </c>
      <c r="AS181" t="e">
        <f>AND(Hoja3!J134,"AAAAAFQ9vSw=")</f>
        <v>#VALUE!</v>
      </c>
      <c r="AT181" t="e">
        <f>AND(Hoja3!K134,"AAAAAFQ9vS0=")</f>
        <v>#VALUE!</v>
      </c>
      <c r="AU181" t="e">
        <f>AND(Hoja3!L134,"AAAAAFQ9vS4=")</f>
        <v>#VALUE!</v>
      </c>
      <c r="AV181" t="e">
        <f>AND(Hoja3!M134,"AAAAAFQ9vS8=")</f>
        <v>#VALUE!</v>
      </c>
      <c r="AW181" t="e">
        <f>AND(Hoja3!N134,"AAAAAFQ9vTA=")</f>
        <v>#VALUE!</v>
      </c>
      <c r="AX181" t="e">
        <f>AND(Hoja3!O134,"AAAAAFQ9vTE=")</f>
        <v>#VALUE!</v>
      </c>
      <c r="AY181" t="e">
        <f>AND(Hoja3!P134,"AAAAAFQ9vTI=")</f>
        <v>#VALUE!</v>
      </c>
      <c r="AZ181" t="e">
        <f>AND(Hoja3!Q134,"AAAAAFQ9vTM=")</f>
        <v>#VALUE!</v>
      </c>
      <c r="BA181" s="60">
        <f>IF(Hoja3!135:135,"AAAAAFQ9vTQ=",0)</f>
        <v>0</v>
      </c>
      <c r="BB181" t="e">
        <f>AND(Hoja3!A135,"AAAAAFQ9vTU=")</f>
        <v>#VALUE!</v>
      </c>
      <c r="BC181" t="e">
        <f>AND(Hoja3!B135,"AAAAAFQ9vTY=")</f>
        <v>#VALUE!</v>
      </c>
      <c r="BD181" t="e">
        <f>AND(Hoja3!C135,"AAAAAFQ9vTc=")</f>
        <v>#VALUE!</v>
      </c>
      <c r="BE181" t="e">
        <f>AND(Hoja3!D135,"AAAAAFQ9vTg=")</f>
        <v>#VALUE!</v>
      </c>
      <c r="BF181" t="e">
        <f>AND(Hoja3!E135,"AAAAAFQ9vTk=")</f>
        <v>#VALUE!</v>
      </c>
      <c r="BG181" t="e">
        <f>AND(Hoja3!F135,"AAAAAFQ9vTo=")</f>
        <v>#VALUE!</v>
      </c>
      <c r="BH181" t="e">
        <f>AND(Hoja3!G135,"AAAAAFQ9vTs=")</f>
        <v>#VALUE!</v>
      </c>
      <c r="BI181" t="e">
        <f>AND(Hoja3!H135,"AAAAAFQ9vTw=")</f>
        <v>#VALUE!</v>
      </c>
      <c r="BJ181" t="e">
        <f>AND(Hoja3!I135,"AAAAAFQ9vT0=")</f>
        <v>#VALUE!</v>
      </c>
      <c r="BK181" t="e">
        <f>AND(Hoja3!J135,"AAAAAFQ9vT4=")</f>
        <v>#VALUE!</v>
      </c>
      <c r="BL181" t="e">
        <f>AND(Hoja3!K135,"AAAAAFQ9vT8=")</f>
        <v>#VALUE!</v>
      </c>
      <c r="BM181" t="e">
        <f>AND(Hoja3!L135,"AAAAAFQ9vUA=")</f>
        <v>#VALUE!</v>
      </c>
      <c r="BN181" t="e">
        <f>AND(Hoja3!M135,"AAAAAFQ9vUE=")</f>
        <v>#VALUE!</v>
      </c>
      <c r="BO181" t="e">
        <f>AND(Hoja3!N135,"AAAAAFQ9vUI=")</f>
        <v>#VALUE!</v>
      </c>
      <c r="BP181" t="e">
        <f>AND(Hoja3!O135,"AAAAAFQ9vUM=")</f>
        <v>#VALUE!</v>
      </c>
      <c r="BQ181" t="e">
        <f>AND(Hoja3!P135,"AAAAAFQ9vUQ=")</f>
        <v>#VALUE!</v>
      </c>
      <c r="BR181" t="e">
        <f>AND(Hoja3!Q135,"AAAAAFQ9vUU=")</f>
        <v>#VALUE!</v>
      </c>
      <c r="BS181" s="60">
        <f>IF(Hoja3!136:136,"AAAAAFQ9vUY=",0)</f>
        <v>0</v>
      </c>
      <c r="BT181" t="e">
        <f>AND(Hoja3!A136,"AAAAAFQ9vUc=")</f>
        <v>#VALUE!</v>
      </c>
      <c r="BU181" t="e">
        <f>AND(Hoja3!B136,"AAAAAFQ9vUg=")</f>
        <v>#VALUE!</v>
      </c>
      <c r="BV181" t="e">
        <f>AND(Hoja3!C136,"AAAAAFQ9vUk=")</f>
        <v>#VALUE!</v>
      </c>
      <c r="BW181" t="e">
        <f>AND(Hoja3!D136,"AAAAAFQ9vUo=")</f>
        <v>#VALUE!</v>
      </c>
      <c r="BX181" t="e">
        <f>AND(Hoja3!E136,"AAAAAFQ9vUs=")</f>
        <v>#VALUE!</v>
      </c>
      <c r="BY181" t="e">
        <f>AND(Hoja3!F136,"AAAAAFQ9vUw=")</f>
        <v>#VALUE!</v>
      </c>
      <c r="BZ181" t="e">
        <f>AND(Hoja3!G136,"AAAAAFQ9vU0=")</f>
        <v>#VALUE!</v>
      </c>
      <c r="CA181" t="e">
        <f>AND(Hoja3!H136,"AAAAAFQ9vU4=")</f>
        <v>#VALUE!</v>
      </c>
      <c r="CB181" t="e">
        <f>AND(Hoja3!I136,"AAAAAFQ9vU8=")</f>
        <v>#VALUE!</v>
      </c>
      <c r="CC181" t="e">
        <f>AND(Hoja3!J136,"AAAAAFQ9vVA=")</f>
        <v>#VALUE!</v>
      </c>
      <c r="CD181" t="e">
        <f>AND(Hoja3!K136,"AAAAAFQ9vVE=")</f>
        <v>#VALUE!</v>
      </c>
      <c r="CE181" t="e">
        <f>AND(Hoja3!L136,"AAAAAFQ9vVI=")</f>
        <v>#VALUE!</v>
      </c>
      <c r="CF181" t="e">
        <f>AND(Hoja3!M136,"AAAAAFQ9vVM=")</f>
        <v>#VALUE!</v>
      </c>
      <c r="CG181" t="e">
        <f>AND(Hoja3!N136,"AAAAAFQ9vVQ=")</f>
        <v>#VALUE!</v>
      </c>
      <c r="CH181" t="e">
        <f>AND(Hoja3!O136,"AAAAAFQ9vVU=")</f>
        <v>#VALUE!</v>
      </c>
      <c r="CI181" t="e">
        <f>AND(Hoja3!P136,"AAAAAFQ9vVY=")</f>
        <v>#VALUE!</v>
      </c>
      <c r="CJ181" t="e">
        <f>AND(Hoja3!Q136,"AAAAAFQ9vVc=")</f>
        <v>#VALUE!</v>
      </c>
      <c r="CK181" s="60">
        <f>IF(Hoja3!137:137,"AAAAAFQ9vVg=",0)</f>
        <v>0</v>
      </c>
      <c r="CL181" t="e">
        <f>AND(Hoja3!A137,"AAAAAFQ9vVk=")</f>
        <v>#VALUE!</v>
      </c>
      <c r="CM181" t="e">
        <f>AND(Hoja3!B137,"AAAAAFQ9vVo=")</f>
        <v>#VALUE!</v>
      </c>
      <c r="CN181" t="e">
        <f>AND(Hoja3!C137,"AAAAAFQ9vVs=")</f>
        <v>#VALUE!</v>
      </c>
      <c r="CO181" t="e">
        <f>AND(Hoja3!D137,"AAAAAFQ9vVw=")</f>
        <v>#VALUE!</v>
      </c>
      <c r="CP181" t="e">
        <f>AND(Hoja3!E137,"AAAAAFQ9vV0=")</f>
        <v>#VALUE!</v>
      </c>
      <c r="CQ181" t="e">
        <f>AND(Hoja3!F137,"AAAAAFQ9vV4=")</f>
        <v>#VALUE!</v>
      </c>
      <c r="CR181" t="e">
        <f>AND(Hoja3!G137,"AAAAAFQ9vV8=")</f>
        <v>#VALUE!</v>
      </c>
      <c r="CS181" t="e">
        <f>AND(Hoja3!H137,"AAAAAFQ9vWA=")</f>
        <v>#VALUE!</v>
      </c>
      <c r="CT181" t="e">
        <f>AND(Hoja3!I137,"AAAAAFQ9vWE=")</f>
        <v>#VALUE!</v>
      </c>
      <c r="CU181" t="e">
        <f>AND(Hoja3!J137,"AAAAAFQ9vWI=")</f>
        <v>#VALUE!</v>
      </c>
      <c r="CV181" t="e">
        <f>AND(Hoja3!K137,"AAAAAFQ9vWM=")</f>
        <v>#VALUE!</v>
      </c>
      <c r="CW181" t="e">
        <f>AND(Hoja3!L137,"AAAAAFQ9vWQ=")</f>
        <v>#VALUE!</v>
      </c>
      <c r="CX181" t="e">
        <f>AND(Hoja3!M137,"AAAAAFQ9vWU=")</f>
        <v>#VALUE!</v>
      </c>
      <c r="CY181" t="e">
        <f>AND(Hoja3!N137,"AAAAAFQ9vWY=")</f>
        <v>#VALUE!</v>
      </c>
      <c r="CZ181" t="e">
        <f>AND(Hoja3!O137,"AAAAAFQ9vWc=")</f>
        <v>#VALUE!</v>
      </c>
      <c r="DA181" t="e">
        <f>AND(Hoja3!P137,"AAAAAFQ9vWg=")</f>
        <v>#VALUE!</v>
      </c>
      <c r="DB181" t="e">
        <f>AND(Hoja3!Q137,"AAAAAFQ9vWk=")</f>
        <v>#VALUE!</v>
      </c>
      <c r="DC181" s="60">
        <f>IF(Hoja3!138:138,"AAAAAFQ9vWo=",0)</f>
        <v>0</v>
      </c>
      <c r="DD181" t="e">
        <f>AND(Hoja3!A138,"AAAAAFQ9vWs=")</f>
        <v>#VALUE!</v>
      </c>
      <c r="DE181" t="e">
        <f>AND(Hoja3!B138,"AAAAAFQ9vWw=")</f>
        <v>#VALUE!</v>
      </c>
      <c r="DF181" t="e">
        <f>AND(Hoja3!C138,"AAAAAFQ9vW0=")</f>
        <v>#VALUE!</v>
      </c>
      <c r="DG181" t="e">
        <f>AND(Hoja3!D138,"AAAAAFQ9vW4=")</f>
        <v>#VALUE!</v>
      </c>
      <c r="DH181" t="e">
        <f>AND(Hoja3!E138,"AAAAAFQ9vW8=")</f>
        <v>#VALUE!</v>
      </c>
      <c r="DI181" t="e">
        <f>AND(Hoja3!F138,"AAAAAFQ9vXA=")</f>
        <v>#VALUE!</v>
      </c>
      <c r="DJ181" t="e">
        <f>AND(Hoja3!G138,"AAAAAFQ9vXE=")</f>
        <v>#VALUE!</v>
      </c>
      <c r="DK181" t="e">
        <f>AND(Hoja3!H138,"AAAAAFQ9vXI=")</f>
        <v>#VALUE!</v>
      </c>
      <c r="DL181" t="e">
        <f>AND(Hoja3!I138,"AAAAAFQ9vXM=")</f>
        <v>#VALUE!</v>
      </c>
      <c r="DM181" t="e">
        <f>AND(Hoja3!J138,"AAAAAFQ9vXQ=")</f>
        <v>#VALUE!</v>
      </c>
      <c r="DN181" t="e">
        <f>AND(Hoja3!K138,"AAAAAFQ9vXU=")</f>
        <v>#VALUE!</v>
      </c>
      <c r="DO181" t="e">
        <f>AND(Hoja3!L138,"AAAAAFQ9vXY=")</f>
        <v>#VALUE!</v>
      </c>
      <c r="DP181" t="e">
        <f>AND(Hoja3!M138,"AAAAAFQ9vXc=")</f>
        <v>#VALUE!</v>
      </c>
      <c r="DQ181" t="e">
        <f>AND(Hoja3!N138,"AAAAAFQ9vXg=")</f>
        <v>#VALUE!</v>
      </c>
      <c r="DR181" t="e">
        <f>AND(Hoja3!O138,"AAAAAFQ9vXk=")</f>
        <v>#VALUE!</v>
      </c>
      <c r="DS181" t="e">
        <f>AND(Hoja3!P138,"AAAAAFQ9vXo=")</f>
        <v>#VALUE!</v>
      </c>
      <c r="DT181" t="e">
        <f>AND(Hoja3!Q138,"AAAAAFQ9vXs=")</f>
        <v>#VALUE!</v>
      </c>
      <c r="DU181" s="60">
        <f>IF(Hoja3!139:139,"AAAAAFQ9vXw=",0)</f>
        <v>0</v>
      </c>
      <c r="DV181" t="e">
        <f>AND(Hoja3!A139,"AAAAAFQ9vX0=")</f>
        <v>#VALUE!</v>
      </c>
      <c r="DW181" t="e">
        <f>AND(Hoja3!B139,"AAAAAFQ9vX4=")</f>
        <v>#VALUE!</v>
      </c>
      <c r="DX181" t="e">
        <f>AND(Hoja3!C139,"AAAAAFQ9vX8=")</f>
        <v>#VALUE!</v>
      </c>
      <c r="DY181" t="e">
        <f>AND(Hoja3!D139,"AAAAAFQ9vYA=")</f>
        <v>#VALUE!</v>
      </c>
      <c r="DZ181" t="e">
        <f>AND(Hoja3!E139,"AAAAAFQ9vYE=")</f>
        <v>#VALUE!</v>
      </c>
      <c r="EA181" t="e">
        <f>AND(Hoja3!F139,"AAAAAFQ9vYI=")</f>
        <v>#VALUE!</v>
      </c>
      <c r="EB181" t="e">
        <f>AND(Hoja3!G139,"AAAAAFQ9vYM=")</f>
        <v>#VALUE!</v>
      </c>
      <c r="EC181" t="e">
        <f>AND(Hoja3!H139,"AAAAAFQ9vYQ=")</f>
        <v>#VALUE!</v>
      </c>
      <c r="ED181" t="e">
        <f>AND(Hoja3!I139,"AAAAAFQ9vYU=")</f>
        <v>#VALUE!</v>
      </c>
      <c r="EE181" t="e">
        <f>AND(Hoja3!J139,"AAAAAFQ9vYY=")</f>
        <v>#VALUE!</v>
      </c>
      <c r="EF181" t="e">
        <f>AND(Hoja3!K139,"AAAAAFQ9vYc=")</f>
        <v>#VALUE!</v>
      </c>
      <c r="EG181" t="e">
        <f>AND(Hoja3!L139,"AAAAAFQ9vYg=")</f>
        <v>#VALUE!</v>
      </c>
      <c r="EH181" t="e">
        <f>AND(Hoja3!M139,"AAAAAFQ9vYk=")</f>
        <v>#VALUE!</v>
      </c>
      <c r="EI181" t="e">
        <f>AND(Hoja3!N139,"AAAAAFQ9vYo=")</f>
        <v>#VALUE!</v>
      </c>
      <c r="EJ181" t="e">
        <f>AND(Hoja3!O139,"AAAAAFQ9vYs=")</f>
        <v>#VALUE!</v>
      </c>
      <c r="EK181" t="e">
        <f>AND(Hoja3!P139,"AAAAAFQ9vYw=")</f>
        <v>#VALUE!</v>
      </c>
      <c r="EL181" t="e">
        <f>AND(Hoja3!Q139,"AAAAAFQ9vY0=")</f>
        <v>#VALUE!</v>
      </c>
      <c r="EM181" s="60">
        <f>IF(Hoja3!140:140,"AAAAAFQ9vY4=",0)</f>
        <v>0</v>
      </c>
      <c r="EN181" t="e">
        <f>AND(Hoja3!A140,"AAAAAFQ9vY8=")</f>
        <v>#VALUE!</v>
      </c>
      <c r="EO181" t="e">
        <f>AND(Hoja3!B140,"AAAAAFQ9vZA=")</f>
        <v>#VALUE!</v>
      </c>
      <c r="EP181" t="e">
        <f>AND(Hoja3!C140,"AAAAAFQ9vZE=")</f>
        <v>#VALUE!</v>
      </c>
      <c r="EQ181" t="e">
        <f>AND(Hoja3!D140,"AAAAAFQ9vZI=")</f>
        <v>#VALUE!</v>
      </c>
      <c r="ER181" t="e">
        <f>AND(Hoja3!E140,"AAAAAFQ9vZM=")</f>
        <v>#VALUE!</v>
      </c>
      <c r="ES181" t="e">
        <f>AND(Hoja3!F140,"AAAAAFQ9vZQ=")</f>
        <v>#VALUE!</v>
      </c>
      <c r="ET181" t="e">
        <f>AND(Hoja3!G140,"AAAAAFQ9vZU=")</f>
        <v>#VALUE!</v>
      </c>
      <c r="EU181" t="e">
        <f>AND(Hoja3!H140,"AAAAAFQ9vZY=")</f>
        <v>#VALUE!</v>
      </c>
      <c r="EV181" t="e">
        <f>AND(Hoja3!I140,"AAAAAFQ9vZc=")</f>
        <v>#VALUE!</v>
      </c>
      <c r="EW181" t="e">
        <f>AND(Hoja3!J140,"AAAAAFQ9vZg=")</f>
        <v>#VALUE!</v>
      </c>
      <c r="EX181" t="e">
        <f>AND(Hoja3!K140,"AAAAAFQ9vZk=")</f>
        <v>#VALUE!</v>
      </c>
      <c r="EY181" t="e">
        <f>AND(Hoja3!L140,"AAAAAFQ9vZo=")</f>
        <v>#VALUE!</v>
      </c>
      <c r="EZ181" t="e">
        <f>AND(Hoja3!M140,"AAAAAFQ9vZs=")</f>
        <v>#VALUE!</v>
      </c>
      <c r="FA181" t="e">
        <f>AND(Hoja3!N140,"AAAAAFQ9vZw=")</f>
        <v>#VALUE!</v>
      </c>
      <c r="FB181" t="e">
        <f>AND(Hoja3!O140,"AAAAAFQ9vZ0=")</f>
        <v>#VALUE!</v>
      </c>
      <c r="FC181" t="e">
        <f>AND(Hoja3!P140,"AAAAAFQ9vZ4=")</f>
        <v>#VALUE!</v>
      </c>
      <c r="FD181" t="e">
        <f>AND(Hoja3!Q140,"AAAAAFQ9vZ8=")</f>
        <v>#VALUE!</v>
      </c>
      <c r="FE181" s="60">
        <f>IF(Hoja3!141:141,"AAAAAFQ9vaA=",0)</f>
        <v>0</v>
      </c>
      <c r="FF181" t="e">
        <f>AND(Hoja3!A141,"AAAAAFQ9vaE=")</f>
        <v>#VALUE!</v>
      </c>
      <c r="FG181" t="e">
        <f>AND(Hoja3!B141,"AAAAAFQ9vaI=")</f>
        <v>#VALUE!</v>
      </c>
      <c r="FH181" t="e">
        <f>AND(Hoja3!C141,"AAAAAFQ9vaM=")</f>
        <v>#VALUE!</v>
      </c>
      <c r="FI181" t="e">
        <f>AND(Hoja3!D141,"AAAAAFQ9vaQ=")</f>
        <v>#VALUE!</v>
      </c>
      <c r="FJ181" t="e">
        <f>AND(Hoja3!E141,"AAAAAFQ9vaU=")</f>
        <v>#VALUE!</v>
      </c>
      <c r="FK181" t="e">
        <f>AND(Hoja3!F141,"AAAAAFQ9vaY=")</f>
        <v>#VALUE!</v>
      </c>
      <c r="FL181" t="e">
        <f>AND(Hoja3!G141,"AAAAAFQ9vac=")</f>
        <v>#VALUE!</v>
      </c>
      <c r="FM181" t="e">
        <f>AND(Hoja3!H141,"AAAAAFQ9vag=")</f>
        <v>#VALUE!</v>
      </c>
      <c r="FN181" t="e">
        <f>AND(Hoja3!I141,"AAAAAFQ9vak=")</f>
        <v>#VALUE!</v>
      </c>
      <c r="FO181" t="e">
        <f>AND(Hoja3!J141,"AAAAAFQ9vao=")</f>
        <v>#VALUE!</v>
      </c>
      <c r="FP181" t="e">
        <f>AND(Hoja3!K141,"AAAAAFQ9vas=")</f>
        <v>#VALUE!</v>
      </c>
      <c r="FQ181" t="e">
        <f>AND(Hoja3!L141,"AAAAAFQ9vaw=")</f>
        <v>#VALUE!</v>
      </c>
      <c r="FR181" t="e">
        <f>AND(Hoja3!M141,"AAAAAFQ9va0=")</f>
        <v>#VALUE!</v>
      </c>
      <c r="FS181" t="e">
        <f>AND(Hoja3!N141,"AAAAAFQ9va4=")</f>
        <v>#VALUE!</v>
      </c>
      <c r="FT181" t="e">
        <f>AND(Hoja3!O141,"AAAAAFQ9va8=")</f>
        <v>#VALUE!</v>
      </c>
      <c r="FU181" t="e">
        <f>AND(Hoja3!P141,"AAAAAFQ9vbA=")</f>
        <v>#VALUE!</v>
      </c>
      <c r="FV181" t="e">
        <f>AND(Hoja3!Q141,"AAAAAFQ9vbE=")</f>
        <v>#VALUE!</v>
      </c>
      <c r="FW181" s="60">
        <f>IF(Hoja3!142:142,"AAAAAFQ9vbI=",0)</f>
        <v>0</v>
      </c>
      <c r="FX181" t="e">
        <f>AND(Hoja3!A142,"AAAAAFQ9vbM=")</f>
        <v>#VALUE!</v>
      </c>
      <c r="FY181" t="e">
        <f>AND(Hoja3!B142,"AAAAAFQ9vbQ=")</f>
        <v>#VALUE!</v>
      </c>
      <c r="FZ181" t="e">
        <f>AND(Hoja3!C142,"AAAAAFQ9vbU=")</f>
        <v>#VALUE!</v>
      </c>
      <c r="GA181" t="e">
        <f>AND(Hoja3!D142,"AAAAAFQ9vbY=")</f>
        <v>#VALUE!</v>
      </c>
      <c r="GB181" t="e">
        <f>AND(Hoja3!E142,"AAAAAFQ9vbc=")</f>
        <v>#VALUE!</v>
      </c>
      <c r="GC181" t="e">
        <f>AND(Hoja3!F142,"AAAAAFQ9vbg=")</f>
        <v>#VALUE!</v>
      </c>
      <c r="GD181" t="e">
        <f>AND(Hoja3!G142,"AAAAAFQ9vbk=")</f>
        <v>#VALUE!</v>
      </c>
      <c r="GE181" t="e">
        <f>AND(Hoja3!H142,"AAAAAFQ9vbo=")</f>
        <v>#VALUE!</v>
      </c>
      <c r="GF181" t="e">
        <f>AND(Hoja3!I142,"AAAAAFQ9vbs=")</f>
        <v>#VALUE!</v>
      </c>
      <c r="GG181" t="e">
        <f>AND(Hoja3!J142,"AAAAAFQ9vbw=")</f>
        <v>#VALUE!</v>
      </c>
      <c r="GH181" t="e">
        <f>AND(Hoja3!K142,"AAAAAFQ9vb0=")</f>
        <v>#VALUE!</v>
      </c>
      <c r="GI181" t="e">
        <f>AND(Hoja3!L142,"AAAAAFQ9vb4=")</f>
        <v>#VALUE!</v>
      </c>
      <c r="GJ181" t="e">
        <f>AND(Hoja3!M142,"AAAAAFQ9vb8=")</f>
        <v>#VALUE!</v>
      </c>
      <c r="GK181" t="e">
        <f>AND(Hoja3!N142,"AAAAAFQ9vcA=")</f>
        <v>#VALUE!</v>
      </c>
      <c r="GL181" t="e">
        <f>AND(Hoja3!O142,"AAAAAFQ9vcE=")</f>
        <v>#VALUE!</v>
      </c>
      <c r="GM181" t="e">
        <f>AND(Hoja3!P142,"AAAAAFQ9vcI=")</f>
        <v>#VALUE!</v>
      </c>
      <c r="GN181" t="e">
        <f>AND(Hoja3!Q142,"AAAAAFQ9vcM=")</f>
        <v>#VALUE!</v>
      </c>
      <c r="GO181" s="60">
        <f>IF(Hoja3!143:143,"AAAAAFQ9vcQ=",0)</f>
        <v>0</v>
      </c>
      <c r="GP181" t="e">
        <f>AND(Hoja3!A143,"AAAAAFQ9vcU=")</f>
        <v>#VALUE!</v>
      </c>
      <c r="GQ181" t="e">
        <f>AND(Hoja3!B143,"AAAAAFQ9vcY=")</f>
        <v>#VALUE!</v>
      </c>
      <c r="GR181" t="e">
        <f>AND(Hoja3!C143,"AAAAAFQ9vcc=")</f>
        <v>#VALUE!</v>
      </c>
      <c r="GS181" t="e">
        <f>AND(Hoja3!D143,"AAAAAFQ9vcg=")</f>
        <v>#VALUE!</v>
      </c>
      <c r="GT181" t="e">
        <f>AND(Hoja3!E143,"AAAAAFQ9vck=")</f>
        <v>#VALUE!</v>
      </c>
      <c r="GU181" t="e">
        <f>AND(Hoja3!F143,"AAAAAFQ9vco=")</f>
        <v>#VALUE!</v>
      </c>
      <c r="GV181" t="e">
        <f>AND(Hoja3!G143,"AAAAAFQ9vcs=")</f>
        <v>#VALUE!</v>
      </c>
      <c r="GW181" t="e">
        <f>AND(Hoja3!H143,"AAAAAFQ9vcw=")</f>
        <v>#VALUE!</v>
      </c>
      <c r="GX181" t="e">
        <f>AND(Hoja3!I143,"AAAAAFQ9vc0=")</f>
        <v>#VALUE!</v>
      </c>
      <c r="GY181" t="e">
        <f>AND(Hoja3!J143,"AAAAAFQ9vc4=")</f>
        <v>#VALUE!</v>
      </c>
      <c r="GZ181" t="e">
        <f>AND(Hoja3!K143,"AAAAAFQ9vc8=")</f>
        <v>#VALUE!</v>
      </c>
      <c r="HA181" t="e">
        <f>AND(Hoja3!L143,"AAAAAFQ9vdA=")</f>
        <v>#VALUE!</v>
      </c>
      <c r="HB181" t="e">
        <f>AND(Hoja3!M143,"AAAAAFQ9vdE=")</f>
        <v>#VALUE!</v>
      </c>
      <c r="HC181" t="e">
        <f>AND(Hoja3!N143,"AAAAAFQ9vdI=")</f>
        <v>#VALUE!</v>
      </c>
      <c r="HD181" t="e">
        <f>AND(Hoja3!O143,"AAAAAFQ9vdM=")</f>
        <v>#VALUE!</v>
      </c>
      <c r="HE181" t="e">
        <f>AND(Hoja3!P143,"AAAAAFQ9vdQ=")</f>
        <v>#VALUE!</v>
      </c>
      <c r="HF181" t="e">
        <f>AND(Hoja3!Q143,"AAAAAFQ9vdU=")</f>
        <v>#VALUE!</v>
      </c>
      <c r="HG181" s="60">
        <f>IF(Hoja3!144:144,"AAAAAFQ9vdY=",0)</f>
        <v>0</v>
      </c>
      <c r="HH181" t="e">
        <f>AND(Hoja3!A144,"AAAAAFQ9vdc=")</f>
        <v>#VALUE!</v>
      </c>
      <c r="HI181" t="e">
        <f>AND(Hoja3!B144,"AAAAAFQ9vdg=")</f>
        <v>#VALUE!</v>
      </c>
      <c r="HJ181" t="e">
        <f>AND(Hoja3!C144,"AAAAAFQ9vdk=")</f>
        <v>#VALUE!</v>
      </c>
      <c r="HK181" t="e">
        <f>AND(Hoja3!D144,"AAAAAFQ9vdo=")</f>
        <v>#VALUE!</v>
      </c>
      <c r="HL181" t="e">
        <f>AND(Hoja3!E144,"AAAAAFQ9vds=")</f>
        <v>#VALUE!</v>
      </c>
      <c r="HM181" t="e">
        <f>AND(Hoja3!F144,"AAAAAFQ9vdw=")</f>
        <v>#VALUE!</v>
      </c>
      <c r="HN181" t="e">
        <f>AND(Hoja3!G144,"AAAAAFQ9vd0=")</f>
        <v>#VALUE!</v>
      </c>
      <c r="HO181" t="e">
        <f>AND(Hoja3!H144,"AAAAAFQ9vd4=")</f>
        <v>#VALUE!</v>
      </c>
      <c r="HP181" t="e">
        <f>AND(Hoja3!I144,"AAAAAFQ9vd8=")</f>
        <v>#VALUE!</v>
      </c>
      <c r="HQ181" t="e">
        <f>AND(Hoja3!J144,"AAAAAFQ9veA=")</f>
        <v>#VALUE!</v>
      </c>
      <c r="HR181" t="e">
        <f>AND(Hoja3!K144,"AAAAAFQ9veE=")</f>
        <v>#VALUE!</v>
      </c>
      <c r="HS181" t="e">
        <f>AND(Hoja3!L144,"AAAAAFQ9veI=")</f>
        <v>#VALUE!</v>
      </c>
      <c r="HT181" t="e">
        <f>AND(Hoja3!M144,"AAAAAFQ9veM=")</f>
        <v>#VALUE!</v>
      </c>
      <c r="HU181" t="e">
        <f>AND(Hoja3!N144,"AAAAAFQ9veQ=")</f>
        <v>#VALUE!</v>
      </c>
      <c r="HV181" t="e">
        <f>AND(Hoja3!O144,"AAAAAFQ9veU=")</f>
        <v>#VALUE!</v>
      </c>
      <c r="HW181" t="e">
        <f>AND(Hoja3!P144,"AAAAAFQ9veY=")</f>
        <v>#VALUE!</v>
      </c>
      <c r="HX181" t="e">
        <f>AND(Hoja3!Q144,"AAAAAFQ9vec=")</f>
        <v>#VALUE!</v>
      </c>
      <c r="HY181" s="60">
        <f>IF(Hoja3!145:145,"AAAAAFQ9veg=",0)</f>
        <v>0</v>
      </c>
      <c r="HZ181" t="e">
        <f>AND(Hoja3!A145,"AAAAAFQ9vek=")</f>
        <v>#VALUE!</v>
      </c>
      <c r="IA181" t="e">
        <f>AND(Hoja3!B145,"AAAAAFQ9veo=")</f>
        <v>#VALUE!</v>
      </c>
      <c r="IB181" t="e">
        <f>AND(Hoja3!C145,"AAAAAFQ9ves=")</f>
        <v>#VALUE!</v>
      </c>
      <c r="IC181" t="e">
        <f>AND(Hoja3!D145,"AAAAAFQ9vew=")</f>
        <v>#VALUE!</v>
      </c>
      <c r="ID181" t="e">
        <f>AND(Hoja3!E145,"AAAAAFQ9ve0=")</f>
        <v>#VALUE!</v>
      </c>
      <c r="IE181" t="e">
        <f>AND(Hoja3!F145,"AAAAAFQ9ve4=")</f>
        <v>#VALUE!</v>
      </c>
      <c r="IF181" t="e">
        <f>AND(Hoja3!G145,"AAAAAFQ9ve8=")</f>
        <v>#VALUE!</v>
      </c>
      <c r="IG181" t="e">
        <f>AND(Hoja3!H145,"AAAAAFQ9vfA=")</f>
        <v>#VALUE!</v>
      </c>
      <c r="IH181" t="e">
        <f>AND(Hoja3!I145,"AAAAAFQ9vfE=")</f>
        <v>#VALUE!</v>
      </c>
      <c r="II181" t="e">
        <f>AND(Hoja3!J145,"AAAAAFQ9vfI=")</f>
        <v>#VALUE!</v>
      </c>
      <c r="IJ181" t="e">
        <f>AND(Hoja3!K145,"AAAAAFQ9vfM=")</f>
        <v>#VALUE!</v>
      </c>
      <c r="IK181" t="e">
        <f>AND(Hoja3!L145,"AAAAAFQ9vfQ=")</f>
        <v>#VALUE!</v>
      </c>
      <c r="IL181" t="e">
        <f>AND(Hoja3!M145,"AAAAAFQ9vfU=")</f>
        <v>#VALUE!</v>
      </c>
      <c r="IM181" t="e">
        <f>AND(Hoja3!N145,"AAAAAFQ9vfY=")</f>
        <v>#VALUE!</v>
      </c>
      <c r="IN181" t="e">
        <f>AND(Hoja3!O145,"AAAAAFQ9vfc=")</f>
        <v>#VALUE!</v>
      </c>
      <c r="IO181" t="e">
        <f>AND(Hoja3!P145,"AAAAAFQ9vfg=")</f>
        <v>#VALUE!</v>
      </c>
      <c r="IP181" t="e">
        <f>AND(Hoja3!Q145,"AAAAAFQ9vfk=")</f>
        <v>#VALUE!</v>
      </c>
      <c r="IQ181" s="60">
        <f>IF(Hoja3!146:146,"AAAAAFQ9vfo=",0)</f>
        <v>0</v>
      </c>
      <c r="IR181" t="e">
        <f>AND(Hoja3!A146,"AAAAAFQ9vfs=")</f>
        <v>#VALUE!</v>
      </c>
      <c r="IS181" t="e">
        <f>AND(Hoja3!B146,"AAAAAFQ9vfw=")</f>
        <v>#VALUE!</v>
      </c>
      <c r="IT181" t="e">
        <f>AND(Hoja3!C146,"AAAAAFQ9vf0=")</f>
        <v>#VALUE!</v>
      </c>
      <c r="IU181" t="e">
        <f>AND(Hoja3!D146,"AAAAAFQ9vf4=")</f>
        <v>#VALUE!</v>
      </c>
      <c r="IV181" t="e">
        <f>AND(Hoja3!E146,"AAAAAFQ9vf8=")</f>
        <v>#VALUE!</v>
      </c>
    </row>
    <row r="182" spans="1:256" ht="15" customHeight="1" x14ac:dyDescent="0.25">
      <c r="A182" t="e">
        <f>AND(Hoja3!F146,"AAAAAHXc2wA=")</f>
        <v>#VALUE!</v>
      </c>
      <c r="B182" t="e">
        <f>AND(Hoja3!G146,"AAAAAHXc2wE=")</f>
        <v>#VALUE!</v>
      </c>
      <c r="C182" t="e">
        <f>AND(Hoja3!H146,"AAAAAHXc2wI=")</f>
        <v>#VALUE!</v>
      </c>
      <c r="D182" t="e">
        <f>AND(Hoja3!I146,"AAAAAHXc2wM=")</f>
        <v>#VALUE!</v>
      </c>
      <c r="E182" t="e">
        <f>AND(Hoja3!J146,"AAAAAHXc2wQ=")</f>
        <v>#VALUE!</v>
      </c>
      <c r="F182" t="e">
        <f>AND(Hoja3!K146,"AAAAAHXc2wU=")</f>
        <v>#VALUE!</v>
      </c>
      <c r="G182" t="e">
        <f>AND(Hoja3!L146,"AAAAAHXc2wY=")</f>
        <v>#VALUE!</v>
      </c>
      <c r="H182" t="e">
        <f>AND(Hoja3!M146,"AAAAAHXc2wc=")</f>
        <v>#VALUE!</v>
      </c>
      <c r="I182" t="e">
        <f>AND(Hoja3!N146,"AAAAAHXc2wg=")</f>
        <v>#VALUE!</v>
      </c>
      <c r="J182" t="e">
        <f>AND(Hoja3!O146,"AAAAAHXc2wk=")</f>
        <v>#VALUE!</v>
      </c>
      <c r="K182" t="e">
        <f>AND(Hoja3!P146,"AAAAAHXc2wo=")</f>
        <v>#VALUE!</v>
      </c>
      <c r="L182" t="e">
        <f>AND(Hoja3!Q146,"AAAAAHXc2ws=")</f>
        <v>#VALUE!</v>
      </c>
      <c r="M182" s="60">
        <f>IF(Hoja3!147:147,"AAAAAHXc2ww=",0)</f>
        <v>0</v>
      </c>
      <c r="N182" t="e">
        <f>AND(Hoja3!A147,"AAAAAHXc2w0=")</f>
        <v>#VALUE!</v>
      </c>
      <c r="O182" t="e">
        <f>AND(Hoja3!B147,"AAAAAHXc2w4=")</f>
        <v>#VALUE!</v>
      </c>
      <c r="P182" t="e">
        <f>AND(Hoja3!C147,"AAAAAHXc2w8=")</f>
        <v>#VALUE!</v>
      </c>
      <c r="Q182" t="e">
        <f>AND(Hoja3!D147,"AAAAAHXc2xA=")</f>
        <v>#VALUE!</v>
      </c>
      <c r="R182" t="e">
        <f>AND(Hoja3!E147,"AAAAAHXc2xE=")</f>
        <v>#VALUE!</v>
      </c>
      <c r="S182" t="e">
        <f>AND(Hoja3!F147,"AAAAAHXc2xI=")</f>
        <v>#VALUE!</v>
      </c>
      <c r="T182" t="e">
        <f>AND(Hoja3!G147,"AAAAAHXc2xM=")</f>
        <v>#VALUE!</v>
      </c>
      <c r="U182" t="e">
        <f>AND(Hoja3!H147,"AAAAAHXc2xQ=")</f>
        <v>#VALUE!</v>
      </c>
      <c r="V182" t="e">
        <f>AND(Hoja3!I147,"AAAAAHXc2xU=")</f>
        <v>#VALUE!</v>
      </c>
      <c r="W182" t="e">
        <f>AND(Hoja3!J147,"AAAAAHXc2xY=")</f>
        <v>#VALUE!</v>
      </c>
      <c r="X182" t="e">
        <f>AND(Hoja3!K147,"AAAAAHXc2xc=")</f>
        <v>#VALUE!</v>
      </c>
      <c r="Y182" t="e">
        <f>AND(Hoja3!L147,"AAAAAHXc2xg=")</f>
        <v>#VALUE!</v>
      </c>
      <c r="Z182" t="e">
        <f>AND(Hoja3!M147,"AAAAAHXc2xk=")</f>
        <v>#VALUE!</v>
      </c>
      <c r="AA182" t="e">
        <f>AND(Hoja3!N147,"AAAAAHXc2xo=")</f>
        <v>#VALUE!</v>
      </c>
      <c r="AB182" t="e">
        <f>AND(Hoja3!O147,"AAAAAHXc2xs=")</f>
        <v>#VALUE!</v>
      </c>
      <c r="AC182" t="e">
        <f>AND(Hoja3!P147,"AAAAAHXc2xw=")</f>
        <v>#VALUE!</v>
      </c>
      <c r="AD182" t="e">
        <f>AND(Hoja3!Q147,"AAAAAHXc2x0=")</f>
        <v>#VALUE!</v>
      </c>
      <c r="AE182" s="60">
        <f>IF(Hoja3!148:148,"AAAAAHXc2x4=",0)</f>
        <v>0</v>
      </c>
      <c r="AF182" t="e">
        <f>AND(Hoja3!A148,"AAAAAHXc2x8=")</f>
        <v>#VALUE!</v>
      </c>
      <c r="AG182" t="e">
        <f>AND(Hoja3!B148,"AAAAAHXc2yA=")</f>
        <v>#VALUE!</v>
      </c>
      <c r="AH182" t="e">
        <f>AND(Hoja3!C148,"AAAAAHXc2yE=")</f>
        <v>#VALUE!</v>
      </c>
      <c r="AI182" t="e">
        <f>AND(Hoja3!D148,"AAAAAHXc2yI=")</f>
        <v>#VALUE!</v>
      </c>
      <c r="AJ182" t="e">
        <f>AND(Hoja3!E148,"AAAAAHXc2yM=")</f>
        <v>#VALUE!</v>
      </c>
      <c r="AK182" t="e">
        <f>AND(Hoja3!F148,"AAAAAHXc2yQ=")</f>
        <v>#VALUE!</v>
      </c>
      <c r="AL182" t="e">
        <f>AND(Hoja3!G148,"AAAAAHXc2yU=")</f>
        <v>#VALUE!</v>
      </c>
      <c r="AM182" t="e">
        <f>AND(Hoja3!H148,"AAAAAHXc2yY=")</f>
        <v>#VALUE!</v>
      </c>
      <c r="AN182" t="e">
        <f>AND(Hoja3!I148,"AAAAAHXc2yc=")</f>
        <v>#VALUE!</v>
      </c>
      <c r="AO182" t="e">
        <f>AND(Hoja3!J148,"AAAAAHXc2yg=")</f>
        <v>#VALUE!</v>
      </c>
      <c r="AP182" t="e">
        <f>AND(Hoja3!K148,"AAAAAHXc2yk=")</f>
        <v>#VALUE!</v>
      </c>
      <c r="AQ182" t="e">
        <f>AND(Hoja3!L148,"AAAAAHXc2yo=")</f>
        <v>#VALUE!</v>
      </c>
      <c r="AR182" t="e">
        <f>AND(Hoja3!M148,"AAAAAHXc2ys=")</f>
        <v>#VALUE!</v>
      </c>
      <c r="AS182" t="e">
        <f>AND(Hoja3!N148,"AAAAAHXc2yw=")</f>
        <v>#VALUE!</v>
      </c>
      <c r="AT182" t="e">
        <f>AND(Hoja3!O148,"AAAAAHXc2y0=")</f>
        <v>#VALUE!</v>
      </c>
      <c r="AU182" t="e">
        <f>AND(Hoja3!P148,"AAAAAHXc2y4=")</f>
        <v>#VALUE!</v>
      </c>
      <c r="AV182" t="e">
        <f>AND(Hoja3!Q148,"AAAAAHXc2y8=")</f>
        <v>#VALUE!</v>
      </c>
      <c r="AW182" s="60">
        <f>IF(Hoja3!149:149,"AAAAAHXc2zA=",0)</f>
        <v>0</v>
      </c>
      <c r="AX182" t="e">
        <f>AND(Hoja3!A149,"AAAAAHXc2zE=")</f>
        <v>#VALUE!</v>
      </c>
      <c r="AY182" t="e">
        <f>AND(Hoja3!B149,"AAAAAHXc2zI=")</f>
        <v>#VALUE!</v>
      </c>
      <c r="AZ182" t="e">
        <f>AND(Hoja3!C149,"AAAAAHXc2zM=")</f>
        <v>#VALUE!</v>
      </c>
      <c r="BA182" t="e">
        <f>AND(Hoja3!D149,"AAAAAHXc2zQ=")</f>
        <v>#VALUE!</v>
      </c>
      <c r="BB182" t="e">
        <f>AND(Hoja3!E149,"AAAAAHXc2zU=")</f>
        <v>#VALUE!</v>
      </c>
      <c r="BC182" t="e">
        <f>AND(Hoja3!F149,"AAAAAHXc2zY=")</f>
        <v>#VALUE!</v>
      </c>
      <c r="BD182" t="e">
        <f>AND(Hoja3!G149,"AAAAAHXc2zc=")</f>
        <v>#VALUE!</v>
      </c>
      <c r="BE182" t="e">
        <f>AND(Hoja3!H149,"AAAAAHXc2zg=")</f>
        <v>#VALUE!</v>
      </c>
      <c r="BF182" t="e">
        <f>AND(Hoja3!I149,"AAAAAHXc2zk=")</f>
        <v>#VALUE!</v>
      </c>
      <c r="BG182" t="e">
        <f>AND(Hoja3!J149,"AAAAAHXc2zo=")</f>
        <v>#VALUE!</v>
      </c>
      <c r="BH182" t="e">
        <f>AND(Hoja3!K149,"AAAAAHXc2zs=")</f>
        <v>#VALUE!</v>
      </c>
      <c r="BI182" t="e">
        <f>AND(Hoja3!L149,"AAAAAHXc2zw=")</f>
        <v>#VALUE!</v>
      </c>
      <c r="BJ182" t="e">
        <f>AND(Hoja3!M149,"AAAAAHXc2z0=")</f>
        <v>#VALUE!</v>
      </c>
      <c r="BK182" t="e">
        <f>AND(Hoja3!N149,"AAAAAHXc2z4=")</f>
        <v>#VALUE!</v>
      </c>
      <c r="BL182" t="e">
        <f>AND(Hoja3!O149,"AAAAAHXc2z8=")</f>
        <v>#VALUE!</v>
      </c>
      <c r="BM182" t="e">
        <f>AND(Hoja3!P149,"AAAAAHXc20A=")</f>
        <v>#VALUE!</v>
      </c>
      <c r="BN182" t="e">
        <f>AND(Hoja3!Q149,"AAAAAHXc20E=")</f>
        <v>#VALUE!</v>
      </c>
      <c r="BO182" s="60">
        <f>IF(Hoja3!150:150,"AAAAAHXc20I=",0)</f>
        <v>0</v>
      </c>
      <c r="BP182" t="e">
        <f>AND(Hoja3!A150,"AAAAAHXc20M=")</f>
        <v>#VALUE!</v>
      </c>
      <c r="BQ182" t="e">
        <f>AND(Hoja3!B150,"AAAAAHXc20Q=")</f>
        <v>#VALUE!</v>
      </c>
      <c r="BR182" t="e">
        <f>AND(Hoja3!C150,"AAAAAHXc20U=")</f>
        <v>#VALUE!</v>
      </c>
      <c r="BS182" t="e">
        <f>AND(Hoja3!D150,"AAAAAHXc20Y=")</f>
        <v>#VALUE!</v>
      </c>
      <c r="BT182" t="e">
        <f>AND(Hoja3!E150,"AAAAAHXc20c=")</f>
        <v>#VALUE!</v>
      </c>
      <c r="BU182" t="e">
        <f>AND(Hoja3!F150,"AAAAAHXc20g=")</f>
        <v>#VALUE!</v>
      </c>
      <c r="BV182" t="e">
        <f>AND(Hoja3!G150,"AAAAAHXc20k=")</f>
        <v>#VALUE!</v>
      </c>
      <c r="BW182" t="e">
        <f>AND(Hoja3!H150,"AAAAAHXc20o=")</f>
        <v>#VALUE!</v>
      </c>
      <c r="BX182" t="e">
        <f>AND(Hoja3!I150,"AAAAAHXc20s=")</f>
        <v>#VALUE!</v>
      </c>
      <c r="BY182" t="e">
        <f>AND(Hoja3!J150,"AAAAAHXc20w=")</f>
        <v>#VALUE!</v>
      </c>
      <c r="BZ182" t="e">
        <f>AND(Hoja3!K150,"AAAAAHXc200=")</f>
        <v>#VALUE!</v>
      </c>
      <c r="CA182" t="e">
        <f>AND(Hoja3!L150,"AAAAAHXc204=")</f>
        <v>#VALUE!</v>
      </c>
      <c r="CB182" t="e">
        <f>AND(Hoja3!M150,"AAAAAHXc208=")</f>
        <v>#VALUE!</v>
      </c>
      <c r="CC182" t="e">
        <f>AND(Hoja3!N150,"AAAAAHXc21A=")</f>
        <v>#VALUE!</v>
      </c>
      <c r="CD182" t="e">
        <f>AND(Hoja3!O150,"AAAAAHXc21E=")</f>
        <v>#VALUE!</v>
      </c>
      <c r="CE182" t="e">
        <f>AND(Hoja3!P150,"AAAAAHXc21I=")</f>
        <v>#VALUE!</v>
      </c>
      <c r="CF182" t="e">
        <f>AND(Hoja3!Q150,"AAAAAHXc21M=")</f>
        <v>#VALUE!</v>
      </c>
      <c r="CG182" s="60">
        <f>IF(Hoja3!151:151,"AAAAAHXc21Q=",0)</f>
        <v>0</v>
      </c>
      <c r="CH182" t="e">
        <f>AND(Hoja3!A151,"AAAAAHXc21U=")</f>
        <v>#VALUE!</v>
      </c>
      <c r="CI182" t="e">
        <f>AND(Hoja3!B151,"AAAAAHXc21Y=")</f>
        <v>#VALUE!</v>
      </c>
      <c r="CJ182" t="e">
        <f>AND(Hoja3!C151,"AAAAAHXc21c=")</f>
        <v>#VALUE!</v>
      </c>
      <c r="CK182" t="e">
        <f>AND(Hoja3!D151,"AAAAAHXc21g=")</f>
        <v>#VALUE!</v>
      </c>
      <c r="CL182" t="e">
        <f>AND(Hoja3!E151,"AAAAAHXc21k=")</f>
        <v>#VALUE!</v>
      </c>
      <c r="CM182" t="e">
        <f>AND(Hoja3!F151,"AAAAAHXc21o=")</f>
        <v>#VALUE!</v>
      </c>
      <c r="CN182" t="e">
        <f>AND(Hoja3!G151,"AAAAAHXc21s=")</f>
        <v>#VALUE!</v>
      </c>
      <c r="CO182" t="e">
        <f>AND(Hoja3!H151,"AAAAAHXc21w=")</f>
        <v>#VALUE!</v>
      </c>
      <c r="CP182" t="e">
        <f>AND(Hoja3!I151,"AAAAAHXc210=")</f>
        <v>#VALUE!</v>
      </c>
      <c r="CQ182" t="e">
        <f>AND(Hoja3!J151,"AAAAAHXc214=")</f>
        <v>#VALUE!</v>
      </c>
      <c r="CR182" t="e">
        <f>AND(Hoja3!K151,"AAAAAHXc218=")</f>
        <v>#VALUE!</v>
      </c>
      <c r="CS182" t="e">
        <f>AND(Hoja3!L151,"AAAAAHXc22A=")</f>
        <v>#VALUE!</v>
      </c>
      <c r="CT182" t="e">
        <f>AND(Hoja3!M151,"AAAAAHXc22E=")</f>
        <v>#VALUE!</v>
      </c>
      <c r="CU182" t="e">
        <f>AND(Hoja3!N151,"AAAAAHXc22I=")</f>
        <v>#VALUE!</v>
      </c>
      <c r="CV182" t="e">
        <f>AND(Hoja3!O151,"AAAAAHXc22M=")</f>
        <v>#VALUE!</v>
      </c>
      <c r="CW182" t="e">
        <f>AND(Hoja3!P151,"AAAAAHXc22Q=")</f>
        <v>#VALUE!</v>
      </c>
      <c r="CX182" t="e">
        <f>AND(Hoja3!Q151,"AAAAAHXc22U=")</f>
        <v>#VALUE!</v>
      </c>
      <c r="CY182" s="60">
        <f>IF(Hoja3!152:152,"AAAAAHXc22Y=",0)</f>
        <v>0</v>
      </c>
      <c r="CZ182" t="e">
        <f>AND(Hoja3!A152,"AAAAAHXc22c=")</f>
        <v>#VALUE!</v>
      </c>
      <c r="DA182" t="e">
        <f>AND(Hoja3!B152,"AAAAAHXc22g=")</f>
        <v>#VALUE!</v>
      </c>
      <c r="DB182" t="e">
        <f>AND(Hoja3!C152,"AAAAAHXc22k=")</f>
        <v>#VALUE!</v>
      </c>
      <c r="DC182" t="e">
        <f>AND(Hoja3!D152,"AAAAAHXc22o=")</f>
        <v>#VALUE!</v>
      </c>
      <c r="DD182" t="e">
        <f>AND(Hoja3!E152,"AAAAAHXc22s=")</f>
        <v>#VALUE!</v>
      </c>
      <c r="DE182" t="e">
        <f>AND(Hoja3!F152,"AAAAAHXc22w=")</f>
        <v>#VALUE!</v>
      </c>
      <c r="DF182" t="e">
        <f>AND(Hoja3!G152,"AAAAAHXc220=")</f>
        <v>#VALUE!</v>
      </c>
      <c r="DG182" t="e">
        <f>AND(Hoja3!H152,"AAAAAHXc224=")</f>
        <v>#VALUE!</v>
      </c>
      <c r="DH182" t="e">
        <f>AND(Hoja3!I152,"AAAAAHXc228=")</f>
        <v>#VALUE!</v>
      </c>
      <c r="DI182" t="e">
        <f>AND(Hoja3!J152,"AAAAAHXc23A=")</f>
        <v>#VALUE!</v>
      </c>
      <c r="DJ182" t="e">
        <f>AND(Hoja3!K152,"AAAAAHXc23E=")</f>
        <v>#VALUE!</v>
      </c>
      <c r="DK182" t="e">
        <f>AND(Hoja3!L152,"AAAAAHXc23I=")</f>
        <v>#VALUE!</v>
      </c>
      <c r="DL182" t="e">
        <f>AND(Hoja3!M152,"AAAAAHXc23M=")</f>
        <v>#VALUE!</v>
      </c>
      <c r="DM182" t="e">
        <f>AND(Hoja3!N152,"AAAAAHXc23Q=")</f>
        <v>#VALUE!</v>
      </c>
      <c r="DN182" t="e">
        <f>AND(Hoja3!O152,"AAAAAHXc23U=")</f>
        <v>#VALUE!</v>
      </c>
      <c r="DO182" t="e">
        <f>AND(Hoja3!P152,"AAAAAHXc23Y=")</f>
        <v>#VALUE!</v>
      </c>
      <c r="DP182" t="e">
        <f>AND(Hoja3!Q152,"AAAAAHXc23c=")</f>
        <v>#VALUE!</v>
      </c>
      <c r="DQ182" s="60">
        <f>IF(Hoja3!153:153,"AAAAAHXc23g=",0)</f>
        <v>0</v>
      </c>
      <c r="DR182" t="e">
        <f>AND(Hoja3!A153,"AAAAAHXc23k=")</f>
        <v>#VALUE!</v>
      </c>
      <c r="DS182" t="e">
        <f>AND(Hoja3!B153,"AAAAAHXc23o=")</f>
        <v>#VALUE!</v>
      </c>
      <c r="DT182" t="e">
        <f>AND(Hoja3!C153,"AAAAAHXc23s=")</f>
        <v>#VALUE!</v>
      </c>
      <c r="DU182" t="e">
        <f>AND(Hoja3!D153,"AAAAAHXc23w=")</f>
        <v>#VALUE!</v>
      </c>
      <c r="DV182" t="e">
        <f>AND(Hoja3!E153,"AAAAAHXc230=")</f>
        <v>#VALUE!</v>
      </c>
      <c r="DW182" t="e">
        <f>AND(Hoja3!F153,"AAAAAHXc234=")</f>
        <v>#VALUE!</v>
      </c>
      <c r="DX182" t="e">
        <f>AND(Hoja3!G153,"AAAAAHXc238=")</f>
        <v>#VALUE!</v>
      </c>
      <c r="DY182" t="e">
        <f>AND(Hoja3!H153,"AAAAAHXc24A=")</f>
        <v>#VALUE!</v>
      </c>
      <c r="DZ182" t="e">
        <f>AND(Hoja3!I153,"AAAAAHXc24E=")</f>
        <v>#VALUE!</v>
      </c>
      <c r="EA182" t="e">
        <f>AND(Hoja3!J153,"AAAAAHXc24I=")</f>
        <v>#VALUE!</v>
      </c>
      <c r="EB182" t="e">
        <f>AND(Hoja3!K153,"AAAAAHXc24M=")</f>
        <v>#VALUE!</v>
      </c>
      <c r="EC182" t="e">
        <f>AND(Hoja3!L153,"AAAAAHXc24Q=")</f>
        <v>#VALUE!</v>
      </c>
      <c r="ED182" t="e">
        <f>AND(Hoja3!M153,"AAAAAHXc24U=")</f>
        <v>#VALUE!</v>
      </c>
      <c r="EE182" t="e">
        <f>AND(Hoja3!N153,"AAAAAHXc24Y=")</f>
        <v>#VALUE!</v>
      </c>
      <c r="EF182" t="e">
        <f>AND(Hoja3!O153,"AAAAAHXc24c=")</f>
        <v>#VALUE!</v>
      </c>
      <c r="EG182" t="e">
        <f>AND(Hoja3!P153,"AAAAAHXc24g=")</f>
        <v>#VALUE!</v>
      </c>
      <c r="EH182" t="e">
        <f>AND(Hoja3!Q153,"AAAAAHXc24k=")</f>
        <v>#VALUE!</v>
      </c>
      <c r="EI182" s="60">
        <f>IF(Hoja3!154:154,"AAAAAHXc24o=",0)</f>
        <v>0</v>
      </c>
      <c r="EJ182" t="e">
        <f>AND(Hoja3!A154,"AAAAAHXc24s=")</f>
        <v>#VALUE!</v>
      </c>
      <c r="EK182" t="e">
        <f>AND(Hoja3!B154,"AAAAAHXc24w=")</f>
        <v>#VALUE!</v>
      </c>
      <c r="EL182" t="e">
        <f>AND(Hoja3!C154,"AAAAAHXc240=")</f>
        <v>#VALUE!</v>
      </c>
      <c r="EM182" t="e">
        <f>AND(Hoja3!D154,"AAAAAHXc244=")</f>
        <v>#VALUE!</v>
      </c>
      <c r="EN182" t="e">
        <f>AND(Hoja3!E154,"AAAAAHXc248=")</f>
        <v>#VALUE!</v>
      </c>
      <c r="EO182" t="e">
        <f>AND(Hoja3!F154,"AAAAAHXc25A=")</f>
        <v>#VALUE!</v>
      </c>
      <c r="EP182" t="e">
        <f>AND(Hoja3!G154,"AAAAAHXc25E=")</f>
        <v>#VALUE!</v>
      </c>
      <c r="EQ182" t="e">
        <f>AND(Hoja3!H154,"AAAAAHXc25I=")</f>
        <v>#VALUE!</v>
      </c>
      <c r="ER182" t="e">
        <f>AND(Hoja3!I154,"AAAAAHXc25M=")</f>
        <v>#VALUE!</v>
      </c>
      <c r="ES182" t="e">
        <f>AND(Hoja3!J154,"AAAAAHXc25Q=")</f>
        <v>#VALUE!</v>
      </c>
      <c r="ET182" t="e">
        <f>AND(Hoja3!K154,"AAAAAHXc25U=")</f>
        <v>#VALUE!</v>
      </c>
      <c r="EU182" t="e">
        <f>AND(Hoja3!L154,"AAAAAHXc25Y=")</f>
        <v>#VALUE!</v>
      </c>
      <c r="EV182" t="e">
        <f>AND(Hoja3!M154,"AAAAAHXc25c=")</f>
        <v>#VALUE!</v>
      </c>
      <c r="EW182" t="e">
        <f>AND(Hoja3!N154,"AAAAAHXc25g=")</f>
        <v>#VALUE!</v>
      </c>
      <c r="EX182" t="e">
        <f>AND(Hoja3!O154,"AAAAAHXc25k=")</f>
        <v>#VALUE!</v>
      </c>
      <c r="EY182" t="e">
        <f>AND(Hoja3!P154,"AAAAAHXc25o=")</f>
        <v>#VALUE!</v>
      </c>
      <c r="EZ182" t="e">
        <f>AND(Hoja3!Q154,"AAAAAHXc25s=")</f>
        <v>#VALUE!</v>
      </c>
      <c r="FA182" s="60">
        <f>IF(Hoja3!155:155,"AAAAAHXc25w=",0)</f>
        <v>0</v>
      </c>
      <c r="FB182" t="e">
        <f>AND(Hoja3!A155,"AAAAAHXc250=")</f>
        <v>#VALUE!</v>
      </c>
      <c r="FC182" t="e">
        <f>AND(Hoja3!B155,"AAAAAHXc254=")</f>
        <v>#VALUE!</v>
      </c>
      <c r="FD182" t="e">
        <f>AND(Hoja3!C155,"AAAAAHXc258=")</f>
        <v>#VALUE!</v>
      </c>
      <c r="FE182" t="e">
        <f>AND(Hoja3!D155,"AAAAAHXc26A=")</f>
        <v>#VALUE!</v>
      </c>
      <c r="FF182" t="e">
        <f>AND(Hoja3!E155,"AAAAAHXc26E=")</f>
        <v>#VALUE!</v>
      </c>
      <c r="FG182" t="e">
        <f>AND(Hoja3!F155,"AAAAAHXc26I=")</f>
        <v>#VALUE!</v>
      </c>
      <c r="FH182" t="e">
        <f>AND(Hoja3!G155,"AAAAAHXc26M=")</f>
        <v>#VALUE!</v>
      </c>
      <c r="FI182" t="e">
        <f>AND(Hoja3!H155,"AAAAAHXc26Q=")</f>
        <v>#VALUE!</v>
      </c>
      <c r="FJ182" t="e">
        <f>AND(Hoja3!I155,"AAAAAHXc26U=")</f>
        <v>#VALUE!</v>
      </c>
      <c r="FK182" t="e">
        <f>AND(Hoja3!J155,"AAAAAHXc26Y=")</f>
        <v>#VALUE!</v>
      </c>
      <c r="FL182" t="e">
        <f>AND(Hoja3!K155,"AAAAAHXc26c=")</f>
        <v>#VALUE!</v>
      </c>
      <c r="FM182" t="e">
        <f>AND(Hoja3!L155,"AAAAAHXc26g=")</f>
        <v>#VALUE!</v>
      </c>
      <c r="FN182" t="e">
        <f>AND(Hoja3!M155,"AAAAAHXc26k=")</f>
        <v>#VALUE!</v>
      </c>
      <c r="FO182" t="e">
        <f>AND(Hoja3!N155,"AAAAAHXc26o=")</f>
        <v>#VALUE!</v>
      </c>
      <c r="FP182" t="e">
        <f>AND(Hoja3!O155,"AAAAAHXc26s=")</f>
        <v>#VALUE!</v>
      </c>
      <c r="FQ182" t="e">
        <f>AND(Hoja3!P155,"AAAAAHXc26w=")</f>
        <v>#VALUE!</v>
      </c>
      <c r="FR182" t="e">
        <f>AND(Hoja3!Q155,"AAAAAHXc260=")</f>
        <v>#VALUE!</v>
      </c>
      <c r="FS182" s="60">
        <f>IF(Hoja3!156:156,"AAAAAHXc264=",0)</f>
        <v>0</v>
      </c>
      <c r="FT182" t="e">
        <f>AND(Hoja3!A156,"AAAAAHXc268=")</f>
        <v>#VALUE!</v>
      </c>
      <c r="FU182" t="e">
        <f>AND(Hoja3!B156,"AAAAAHXc27A=")</f>
        <v>#VALUE!</v>
      </c>
      <c r="FV182" t="e">
        <f>AND(Hoja3!C156,"AAAAAHXc27E=")</f>
        <v>#VALUE!</v>
      </c>
      <c r="FW182" t="e">
        <f>AND(Hoja3!D156,"AAAAAHXc27I=")</f>
        <v>#VALUE!</v>
      </c>
      <c r="FX182" t="e">
        <f>AND(Hoja3!E156,"AAAAAHXc27M=")</f>
        <v>#VALUE!</v>
      </c>
      <c r="FY182" t="e">
        <f>AND(Hoja3!F156,"AAAAAHXc27Q=")</f>
        <v>#VALUE!</v>
      </c>
      <c r="FZ182" t="e">
        <f>AND(Hoja3!G156,"AAAAAHXc27U=")</f>
        <v>#VALUE!</v>
      </c>
      <c r="GA182" t="e">
        <f>AND(Hoja3!H156,"AAAAAHXc27Y=")</f>
        <v>#VALUE!</v>
      </c>
      <c r="GB182" t="e">
        <f>AND(Hoja3!I156,"AAAAAHXc27c=")</f>
        <v>#VALUE!</v>
      </c>
      <c r="GC182" t="e">
        <f>AND(Hoja3!J156,"AAAAAHXc27g=")</f>
        <v>#VALUE!</v>
      </c>
      <c r="GD182" t="e">
        <f>AND(Hoja3!K156,"AAAAAHXc27k=")</f>
        <v>#VALUE!</v>
      </c>
      <c r="GE182" t="e">
        <f>AND(Hoja3!L156,"AAAAAHXc27o=")</f>
        <v>#VALUE!</v>
      </c>
      <c r="GF182" t="e">
        <f>AND(Hoja3!M156,"AAAAAHXc27s=")</f>
        <v>#VALUE!</v>
      </c>
      <c r="GG182" t="e">
        <f>AND(Hoja3!N156,"AAAAAHXc27w=")</f>
        <v>#VALUE!</v>
      </c>
      <c r="GH182" t="e">
        <f>AND(Hoja3!O156,"AAAAAHXc270=")</f>
        <v>#VALUE!</v>
      </c>
      <c r="GI182" t="e">
        <f>AND(Hoja3!P156,"AAAAAHXc274=")</f>
        <v>#VALUE!</v>
      </c>
      <c r="GJ182" t="e">
        <f>AND(Hoja3!Q156,"AAAAAHXc278=")</f>
        <v>#VALUE!</v>
      </c>
      <c r="GK182" s="60">
        <f>IF(Hoja3!157:157,"AAAAAHXc28A=",0)</f>
        <v>0</v>
      </c>
      <c r="GL182" t="e">
        <f>AND(Hoja3!A157,"AAAAAHXc28E=")</f>
        <v>#VALUE!</v>
      </c>
      <c r="GM182" t="e">
        <f>AND(Hoja3!B157,"AAAAAHXc28I=")</f>
        <v>#VALUE!</v>
      </c>
      <c r="GN182" t="e">
        <f>AND(Hoja3!C157,"AAAAAHXc28M=")</f>
        <v>#VALUE!</v>
      </c>
      <c r="GO182" t="e">
        <f>AND(Hoja3!D157,"AAAAAHXc28Q=")</f>
        <v>#VALUE!</v>
      </c>
      <c r="GP182" t="e">
        <f>AND(Hoja3!E157,"AAAAAHXc28U=")</f>
        <v>#VALUE!</v>
      </c>
      <c r="GQ182" t="e">
        <f>AND(Hoja3!F157,"AAAAAHXc28Y=")</f>
        <v>#VALUE!</v>
      </c>
      <c r="GR182" t="e">
        <f>AND(Hoja3!G157,"AAAAAHXc28c=")</f>
        <v>#VALUE!</v>
      </c>
      <c r="GS182" t="e">
        <f>AND(Hoja3!H157,"AAAAAHXc28g=")</f>
        <v>#VALUE!</v>
      </c>
      <c r="GT182" t="e">
        <f>AND(Hoja3!I157,"AAAAAHXc28k=")</f>
        <v>#VALUE!</v>
      </c>
      <c r="GU182" t="e">
        <f>AND(Hoja3!J157,"AAAAAHXc28o=")</f>
        <v>#VALUE!</v>
      </c>
      <c r="GV182" t="e">
        <f>AND(Hoja3!K157,"AAAAAHXc28s=")</f>
        <v>#VALUE!</v>
      </c>
      <c r="GW182" t="e">
        <f>AND(Hoja3!L157,"AAAAAHXc28w=")</f>
        <v>#VALUE!</v>
      </c>
      <c r="GX182" t="e">
        <f>AND(Hoja3!M157,"AAAAAHXc280=")</f>
        <v>#VALUE!</v>
      </c>
      <c r="GY182" t="e">
        <f>AND(Hoja3!N157,"AAAAAHXc284=")</f>
        <v>#VALUE!</v>
      </c>
      <c r="GZ182" t="e">
        <f>AND(Hoja3!O157,"AAAAAHXc288=")</f>
        <v>#VALUE!</v>
      </c>
      <c r="HA182" t="e">
        <f>AND(Hoja3!P157,"AAAAAHXc29A=")</f>
        <v>#VALUE!</v>
      </c>
      <c r="HB182" t="e">
        <f>AND(Hoja3!Q157,"AAAAAHXc29E=")</f>
        <v>#VALUE!</v>
      </c>
      <c r="HC182" s="60">
        <f>IF(Hoja3!158:158,"AAAAAHXc29I=",0)</f>
        <v>0</v>
      </c>
      <c r="HD182" t="e">
        <f>AND(Hoja3!A158,"AAAAAHXc29M=")</f>
        <v>#VALUE!</v>
      </c>
      <c r="HE182" t="e">
        <f>AND(Hoja3!B158,"AAAAAHXc29Q=")</f>
        <v>#VALUE!</v>
      </c>
      <c r="HF182" t="e">
        <f>AND(Hoja3!C158,"AAAAAHXc29U=")</f>
        <v>#VALUE!</v>
      </c>
      <c r="HG182" t="e">
        <f>AND(Hoja3!D158,"AAAAAHXc29Y=")</f>
        <v>#VALUE!</v>
      </c>
      <c r="HH182" t="e">
        <f>AND(Hoja3!E158,"AAAAAHXc29c=")</f>
        <v>#VALUE!</v>
      </c>
      <c r="HI182" t="e">
        <f>AND(Hoja3!F158,"AAAAAHXc29g=")</f>
        <v>#VALUE!</v>
      </c>
      <c r="HJ182" t="e">
        <f>AND(Hoja3!G158,"AAAAAHXc29k=")</f>
        <v>#VALUE!</v>
      </c>
      <c r="HK182" t="e">
        <f>AND(Hoja3!H158,"AAAAAHXc29o=")</f>
        <v>#VALUE!</v>
      </c>
      <c r="HL182" t="e">
        <f>AND(Hoja3!I158,"AAAAAHXc29s=")</f>
        <v>#VALUE!</v>
      </c>
      <c r="HM182" t="e">
        <f>AND(Hoja3!J158,"AAAAAHXc29w=")</f>
        <v>#VALUE!</v>
      </c>
      <c r="HN182" t="e">
        <f>AND(Hoja3!K158,"AAAAAHXc290=")</f>
        <v>#VALUE!</v>
      </c>
      <c r="HO182" t="e">
        <f>AND(Hoja3!L158,"AAAAAHXc294=")</f>
        <v>#VALUE!</v>
      </c>
      <c r="HP182" t="e">
        <f>AND(Hoja3!M158,"AAAAAHXc298=")</f>
        <v>#VALUE!</v>
      </c>
      <c r="HQ182" t="e">
        <f>AND(Hoja3!N158,"AAAAAHXc2+A=")</f>
        <v>#VALUE!</v>
      </c>
      <c r="HR182" t="e">
        <f>AND(Hoja3!O158,"AAAAAHXc2+E=")</f>
        <v>#VALUE!</v>
      </c>
      <c r="HS182" t="e">
        <f>AND(Hoja3!P158,"AAAAAHXc2+I=")</f>
        <v>#VALUE!</v>
      </c>
      <c r="HT182" t="e">
        <f>AND(Hoja3!Q158,"AAAAAHXc2+M=")</f>
        <v>#VALUE!</v>
      </c>
      <c r="HU182" s="60">
        <f>IF(Hoja3!159:159,"AAAAAHXc2+Q=",0)</f>
        <v>0</v>
      </c>
      <c r="HV182" t="e">
        <f>AND(Hoja3!A159,"AAAAAHXc2+U=")</f>
        <v>#VALUE!</v>
      </c>
      <c r="HW182" t="e">
        <f>AND(Hoja3!B159,"AAAAAHXc2+Y=")</f>
        <v>#VALUE!</v>
      </c>
      <c r="HX182" t="e">
        <f>AND(Hoja3!C159,"AAAAAHXc2+c=")</f>
        <v>#VALUE!</v>
      </c>
      <c r="HY182" t="e">
        <f>AND(Hoja3!D159,"AAAAAHXc2+g=")</f>
        <v>#VALUE!</v>
      </c>
      <c r="HZ182" t="e">
        <f>AND(Hoja3!E159,"AAAAAHXc2+k=")</f>
        <v>#VALUE!</v>
      </c>
      <c r="IA182" t="e">
        <f>AND(Hoja3!F159,"AAAAAHXc2+o=")</f>
        <v>#VALUE!</v>
      </c>
      <c r="IB182" t="e">
        <f>AND(Hoja3!G159,"AAAAAHXc2+s=")</f>
        <v>#VALUE!</v>
      </c>
      <c r="IC182" t="e">
        <f>AND(Hoja3!H159,"AAAAAHXc2+w=")</f>
        <v>#VALUE!</v>
      </c>
      <c r="ID182" t="e">
        <f>AND(Hoja3!I159,"AAAAAHXc2+0=")</f>
        <v>#VALUE!</v>
      </c>
      <c r="IE182" t="e">
        <f>AND(Hoja3!J159,"AAAAAHXc2+4=")</f>
        <v>#VALUE!</v>
      </c>
      <c r="IF182" t="e">
        <f>AND(Hoja3!K159,"AAAAAHXc2+8=")</f>
        <v>#VALUE!</v>
      </c>
      <c r="IG182" t="e">
        <f>AND(Hoja3!L159,"AAAAAHXc2/A=")</f>
        <v>#VALUE!</v>
      </c>
      <c r="IH182" t="e">
        <f>AND(Hoja3!M159,"AAAAAHXc2/E=")</f>
        <v>#VALUE!</v>
      </c>
      <c r="II182" t="e">
        <f>AND(Hoja3!N159,"AAAAAHXc2/I=")</f>
        <v>#VALUE!</v>
      </c>
      <c r="IJ182" t="e">
        <f>AND(Hoja3!O159,"AAAAAHXc2/M=")</f>
        <v>#VALUE!</v>
      </c>
      <c r="IK182" t="e">
        <f>AND(Hoja3!P159,"AAAAAHXc2/Q=")</f>
        <v>#VALUE!</v>
      </c>
      <c r="IL182" t="e">
        <f>AND(Hoja3!Q159,"AAAAAHXc2/U=")</f>
        <v>#VALUE!</v>
      </c>
      <c r="IM182" s="60">
        <f>IF(Hoja3!160:160,"AAAAAHXc2/Y=",0)</f>
        <v>0</v>
      </c>
      <c r="IN182" t="e">
        <f>AND(Hoja3!A160,"AAAAAHXc2/c=")</f>
        <v>#VALUE!</v>
      </c>
      <c r="IO182" t="e">
        <f>AND(Hoja3!B160,"AAAAAHXc2/g=")</f>
        <v>#VALUE!</v>
      </c>
      <c r="IP182" t="e">
        <f>AND(Hoja3!C160,"AAAAAHXc2/k=")</f>
        <v>#VALUE!</v>
      </c>
      <c r="IQ182" t="e">
        <f>AND(Hoja3!D160,"AAAAAHXc2/o=")</f>
        <v>#VALUE!</v>
      </c>
      <c r="IR182" t="e">
        <f>AND(Hoja3!E160,"AAAAAHXc2/s=")</f>
        <v>#VALUE!</v>
      </c>
      <c r="IS182" t="e">
        <f>AND(Hoja3!F160,"AAAAAHXc2/w=")</f>
        <v>#VALUE!</v>
      </c>
      <c r="IT182" t="e">
        <f>AND(Hoja3!G160,"AAAAAHXc2/0=")</f>
        <v>#VALUE!</v>
      </c>
      <c r="IU182" t="e">
        <f>AND(Hoja3!H160,"AAAAAHXc2/4=")</f>
        <v>#VALUE!</v>
      </c>
      <c r="IV182" t="e">
        <f>AND(Hoja3!I160,"AAAAAHXc2/8=")</f>
        <v>#VALUE!</v>
      </c>
    </row>
    <row r="183" spans="1:256" ht="15" customHeight="1" x14ac:dyDescent="0.25">
      <c r="A183" t="e">
        <f>AND(Hoja3!J160,"AAAAAH1nfQA=")</f>
        <v>#VALUE!</v>
      </c>
      <c r="B183" t="e">
        <f>AND(Hoja3!K160,"AAAAAH1nfQE=")</f>
        <v>#VALUE!</v>
      </c>
      <c r="C183" t="e">
        <f>AND(Hoja3!L160,"AAAAAH1nfQI=")</f>
        <v>#VALUE!</v>
      </c>
      <c r="D183" t="e">
        <f>AND(Hoja3!M160,"AAAAAH1nfQM=")</f>
        <v>#VALUE!</v>
      </c>
      <c r="E183" t="e">
        <f>AND(Hoja3!N160,"AAAAAH1nfQQ=")</f>
        <v>#VALUE!</v>
      </c>
      <c r="F183" t="e">
        <f>AND(Hoja3!O160,"AAAAAH1nfQU=")</f>
        <v>#VALUE!</v>
      </c>
      <c r="G183" t="e">
        <f>AND(Hoja3!P160,"AAAAAH1nfQY=")</f>
        <v>#VALUE!</v>
      </c>
      <c r="H183" t="e">
        <f>AND(Hoja3!Q160,"AAAAAH1nfQc=")</f>
        <v>#VALUE!</v>
      </c>
      <c r="I183" s="60">
        <f>IF(Hoja3!161:161,"AAAAAH1nfQg=",0)</f>
        <v>0</v>
      </c>
      <c r="J183" t="e">
        <f>AND(Hoja3!A161,"AAAAAH1nfQk=")</f>
        <v>#VALUE!</v>
      </c>
      <c r="K183" t="e">
        <f>AND(Hoja3!B161,"AAAAAH1nfQo=")</f>
        <v>#VALUE!</v>
      </c>
      <c r="L183" t="e">
        <f>AND(Hoja3!C161,"AAAAAH1nfQs=")</f>
        <v>#VALUE!</v>
      </c>
      <c r="M183" t="e">
        <f>AND(Hoja3!D161,"AAAAAH1nfQw=")</f>
        <v>#VALUE!</v>
      </c>
      <c r="N183" t="e">
        <f>AND(Hoja3!E161,"AAAAAH1nfQ0=")</f>
        <v>#VALUE!</v>
      </c>
      <c r="O183" t="e">
        <f>AND(Hoja3!F161,"AAAAAH1nfQ4=")</f>
        <v>#VALUE!</v>
      </c>
      <c r="P183" t="e">
        <f>AND(Hoja3!G161,"AAAAAH1nfQ8=")</f>
        <v>#VALUE!</v>
      </c>
      <c r="Q183" t="e">
        <f>AND(Hoja3!H161,"AAAAAH1nfRA=")</f>
        <v>#VALUE!</v>
      </c>
      <c r="R183" t="e">
        <f>AND(Hoja3!I161,"AAAAAH1nfRE=")</f>
        <v>#VALUE!</v>
      </c>
      <c r="S183" t="e">
        <f>AND(Hoja3!J161,"AAAAAH1nfRI=")</f>
        <v>#VALUE!</v>
      </c>
      <c r="T183" t="e">
        <f>AND(Hoja3!K161,"AAAAAH1nfRM=")</f>
        <v>#VALUE!</v>
      </c>
      <c r="U183" t="e">
        <f>AND(Hoja3!L161,"AAAAAH1nfRQ=")</f>
        <v>#VALUE!</v>
      </c>
      <c r="V183" t="e">
        <f>AND(Hoja3!M161,"AAAAAH1nfRU=")</f>
        <v>#VALUE!</v>
      </c>
      <c r="W183" t="e">
        <f>AND(Hoja3!N161,"AAAAAH1nfRY=")</f>
        <v>#VALUE!</v>
      </c>
      <c r="X183" t="e">
        <f>AND(Hoja3!O161,"AAAAAH1nfRc=")</f>
        <v>#VALUE!</v>
      </c>
      <c r="Y183" t="e">
        <f>AND(Hoja3!P161,"AAAAAH1nfRg=")</f>
        <v>#VALUE!</v>
      </c>
      <c r="Z183" t="e">
        <f>AND(Hoja3!Q161,"AAAAAH1nfRk=")</f>
        <v>#VALUE!</v>
      </c>
      <c r="AA183" s="60">
        <f>IF(Hoja3!162:162,"AAAAAH1nfRo=",0)</f>
        <v>0</v>
      </c>
      <c r="AB183" t="e">
        <f>AND(Hoja3!A162,"AAAAAH1nfRs=")</f>
        <v>#VALUE!</v>
      </c>
      <c r="AC183" t="e">
        <f>AND(Hoja3!B162,"AAAAAH1nfRw=")</f>
        <v>#VALUE!</v>
      </c>
      <c r="AD183" t="e">
        <f>AND(Hoja3!C162,"AAAAAH1nfR0=")</f>
        <v>#VALUE!</v>
      </c>
      <c r="AE183" t="e">
        <f>AND(Hoja3!D162,"AAAAAH1nfR4=")</f>
        <v>#VALUE!</v>
      </c>
      <c r="AF183" t="e">
        <f>AND(Hoja3!E162,"AAAAAH1nfR8=")</f>
        <v>#VALUE!</v>
      </c>
      <c r="AG183" t="e">
        <f>AND(Hoja3!F162,"AAAAAH1nfSA=")</f>
        <v>#VALUE!</v>
      </c>
      <c r="AH183" t="e">
        <f>AND(Hoja3!G162,"AAAAAH1nfSE=")</f>
        <v>#VALUE!</v>
      </c>
      <c r="AI183" t="e">
        <f>AND(Hoja3!H162,"AAAAAH1nfSI=")</f>
        <v>#VALUE!</v>
      </c>
      <c r="AJ183" t="e">
        <f>AND(Hoja3!I162,"AAAAAH1nfSM=")</f>
        <v>#VALUE!</v>
      </c>
      <c r="AK183" t="e">
        <f>AND(Hoja3!J162,"AAAAAH1nfSQ=")</f>
        <v>#VALUE!</v>
      </c>
      <c r="AL183" t="e">
        <f>AND(Hoja3!K162,"AAAAAH1nfSU=")</f>
        <v>#VALUE!</v>
      </c>
      <c r="AM183" t="e">
        <f>AND(Hoja3!L162,"AAAAAH1nfSY=")</f>
        <v>#VALUE!</v>
      </c>
      <c r="AN183" t="e">
        <f>AND(Hoja3!M162,"AAAAAH1nfSc=")</f>
        <v>#VALUE!</v>
      </c>
      <c r="AO183" t="e">
        <f>AND(Hoja3!N162,"AAAAAH1nfSg=")</f>
        <v>#VALUE!</v>
      </c>
      <c r="AP183" t="e">
        <f>AND(Hoja3!O162,"AAAAAH1nfSk=")</f>
        <v>#VALUE!</v>
      </c>
      <c r="AQ183" t="e">
        <f>AND(Hoja3!P162,"AAAAAH1nfSo=")</f>
        <v>#VALUE!</v>
      </c>
      <c r="AR183" t="e">
        <f>AND(Hoja3!Q162,"AAAAAH1nfSs=")</f>
        <v>#VALUE!</v>
      </c>
      <c r="AS183" s="60">
        <f>IF(Hoja3!163:163,"AAAAAH1nfSw=",0)</f>
        <v>0</v>
      </c>
      <c r="AT183" t="e">
        <f>AND(Hoja3!A163,"AAAAAH1nfS0=")</f>
        <v>#VALUE!</v>
      </c>
      <c r="AU183" t="e">
        <f>AND(Hoja3!B163,"AAAAAH1nfS4=")</f>
        <v>#VALUE!</v>
      </c>
      <c r="AV183" t="e">
        <f>AND(Hoja3!C163,"AAAAAH1nfS8=")</f>
        <v>#VALUE!</v>
      </c>
      <c r="AW183" t="e">
        <f>AND(Hoja3!D163,"AAAAAH1nfTA=")</f>
        <v>#VALUE!</v>
      </c>
      <c r="AX183" t="e">
        <f>AND(Hoja3!E163,"AAAAAH1nfTE=")</f>
        <v>#VALUE!</v>
      </c>
      <c r="AY183" t="e">
        <f>AND(Hoja3!F163,"AAAAAH1nfTI=")</f>
        <v>#VALUE!</v>
      </c>
      <c r="AZ183" t="e">
        <f>AND(Hoja3!G163,"AAAAAH1nfTM=")</f>
        <v>#VALUE!</v>
      </c>
      <c r="BA183" t="e">
        <f>AND(Hoja3!H163,"AAAAAH1nfTQ=")</f>
        <v>#VALUE!</v>
      </c>
      <c r="BB183" t="e">
        <f>AND(Hoja3!I163,"AAAAAH1nfTU=")</f>
        <v>#VALUE!</v>
      </c>
      <c r="BC183" t="e">
        <f>AND(Hoja3!J163,"AAAAAH1nfTY=")</f>
        <v>#VALUE!</v>
      </c>
      <c r="BD183" t="e">
        <f>AND(Hoja3!K163,"AAAAAH1nfTc=")</f>
        <v>#VALUE!</v>
      </c>
      <c r="BE183" t="e">
        <f>AND(Hoja3!L163,"AAAAAH1nfTg=")</f>
        <v>#VALUE!</v>
      </c>
      <c r="BF183" t="e">
        <f>AND(Hoja3!M163,"AAAAAH1nfTk=")</f>
        <v>#VALUE!</v>
      </c>
      <c r="BG183" t="e">
        <f>AND(Hoja3!N163,"AAAAAH1nfTo=")</f>
        <v>#VALUE!</v>
      </c>
      <c r="BH183" t="e">
        <f>AND(Hoja3!O163,"AAAAAH1nfTs=")</f>
        <v>#VALUE!</v>
      </c>
      <c r="BI183" t="e">
        <f>AND(Hoja3!P163,"AAAAAH1nfTw=")</f>
        <v>#VALUE!</v>
      </c>
      <c r="BJ183" t="e">
        <f>AND(Hoja3!Q163,"AAAAAH1nfT0=")</f>
        <v>#VALUE!</v>
      </c>
      <c r="BK183" s="60">
        <f>IF(Hoja3!164:164,"AAAAAH1nfT4=",0)</f>
        <v>0</v>
      </c>
      <c r="BL183" t="e">
        <f>AND(Hoja3!A164,"AAAAAH1nfT8=")</f>
        <v>#VALUE!</v>
      </c>
      <c r="BM183" t="e">
        <f>AND(Hoja3!B164,"AAAAAH1nfUA=")</f>
        <v>#VALUE!</v>
      </c>
      <c r="BN183" t="e">
        <f>AND(Hoja3!C164,"AAAAAH1nfUE=")</f>
        <v>#VALUE!</v>
      </c>
      <c r="BO183" t="e">
        <f>AND(Hoja3!D164,"AAAAAH1nfUI=")</f>
        <v>#VALUE!</v>
      </c>
      <c r="BP183" t="e">
        <f>AND(Hoja3!E164,"AAAAAH1nfUM=")</f>
        <v>#VALUE!</v>
      </c>
      <c r="BQ183" t="e">
        <f>AND(Hoja3!F164,"AAAAAH1nfUQ=")</f>
        <v>#VALUE!</v>
      </c>
      <c r="BR183" t="e">
        <f>AND(Hoja3!G164,"AAAAAH1nfUU=")</f>
        <v>#VALUE!</v>
      </c>
      <c r="BS183" t="e">
        <f>AND(Hoja3!H164,"AAAAAH1nfUY=")</f>
        <v>#VALUE!</v>
      </c>
      <c r="BT183" t="e">
        <f>AND(Hoja3!I164,"AAAAAH1nfUc=")</f>
        <v>#VALUE!</v>
      </c>
      <c r="BU183" t="e">
        <f>AND(Hoja3!J164,"AAAAAH1nfUg=")</f>
        <v>#VALUE!</v>
      </c>
      <c r="BV183" t="e">
        <f>AND(Hoja3!K164,"AAAAAH1nfUk=")</f>
        <v>#VALUE!</v>
      </c>
      <c r="BW183" t="e">
        <f>AND(Hoja3!L164,"AAAAAH1nfUo=")</f>
        <v>#VALUE!</v>
      </c>
      <c r="BX183" t="e">
        <f>AND(Hoja3!M164,"AAAAAH1nfUs=")</f>
        <v>#VALUE!</v>
      </c>
      <c r="BY183" t="e">
        <f>AND(Hoja3!N164,"AAAAAH1nfUw=")</f>
        <v>#VALUE!</v>
      </c>
      <c r="BZ183" t="e">
        <f>AND(Hoja3!O164,"AAAAAH1nfU0=")</f>
        <v>#VALUE!</v>
      </c>
      <c r="CA183" t="e">
        <f>AND(Hoja3!P164,"AAAAAH1nfU4=")</f>
        <v>#VALUE!</v>
      </c>
      <c r="CB183" t="e">
        <f>AND(Hoja3!Q164,"AAAAAH1nfU8=")</f>
        <v>#VALUE!</v>
      </c>
      <c r="CC183" s="60">
        <f>IF(Hoja3!165:165,"AAAAAH1nfVA=",0)</f>
        <v>0</v>
      </c>
      <c r="CD183" t="e">
        <f>AND(Hoja3!A165,"AAAAAH1nfVE=")</f>
        <v>#VALUE!</v>
      </c>
      <c r="CE183" t="e">
        <f>AND(Hoja3!B165,"AAAAAH1nfVI=")</f>
        <v>#VALUE!</v>
      </c>
      <c r="CF183" t="e">
        <f>AND(Hoja3!C165,"AAAAAH1nfVM=")</f>
        <v>#VALUE!</v>
      </c>
      <c r="CG183" t="e">
        <f>AND(Hoja3!D165,"AAAAAH1nfVQ=")</f>
        <v>#VALUE!</v>
      </c>
      <c r="CH183" t="e">
        <f>AND(Hoja3!E165,"AAAAAH1nfVU=")</f>
        <v>#VALUE!</v>
      </c>
      <c r="CI183" t="e">
        <f>AND(Hoja3!F165,"AAAAAH1nfVY=")</f>
        <v>#VALUE!</v>
      </c>
      <c r="CJ183" t="e">
        <f>AND(Hoja3!G165,"AAAAAH1nfVc=")</f>
        <v>#VALUE!</v>
      </c>
      <c r="CK183" t="e">
        <f>AND(Hoja3!H165,"AAAAAH1nfVg=")</f>
        <v>#VALUE!</v>
      </c>
      <c r="CL183" t="e">
        <f>AND(Hoja3!I165,"AAAAAH1nfVk=")</f>
        <v>#VALUE!</v>
      </c>
      <c r="CM183" t="e">
        <f>AND(Hoja3!J165,"AAAAAH1nfVo=")</f>
        <v>#VALUE!</v>
      </c>
      <c r="CN183" t="e">
        <f>AND(Hoja3!K165,"AAAAAH1nfVs=")</f>
        <v>#VALUE!</v>
      </c>
      <c r="CO183" t="e">
        <f>AND(Hoja3!L165,"AAAAAH1nfVw=")</f>
        <v>#VALUE!</v>
      </c>
      <c r="CP183" t="e">
        <f>AND(Hoja3!M165,"AAAAAH1nfV0=")</f>
        <v>#VALUE!</v>
      </c>
      <c r="CQ183" t="e">
        <f>AND(Hoja3!N165,"AAAAAH1nfV4=")</f>
        <v>#VALUE!</v>
      </c>
      <c r="CR183" t="e">
        <f>AND(Hoja3!O165,"AAAAAH1nfV8=")</f>
        <v>#VALUE!</v>
      </c>
      <c r="CS183" t="e">
        <f>AND(Hoja3!P165,"AAAAAH1nfWA=")</f>
        <v>#VALUE!</v>
      </c>
      <c r="CT183" t="e">
        <f>AND(Hoja3!Q165,"AAAAAH1nfWE=")</f>
        <v>#VALUE!</v>
      </c>
      <c r="CU183" s="60">
        <f>IF(Hoja3!166:166,"AAAAAH1nfWI=",0)</f>
        <v>0</v>
      </c>
      <c r="CV183" t="e">
        <f>AND(Hoja3!A166,"AAAAAH1nfWM=")</f>
        <v>#VALUE!</v>
      </c>
      <c r="CW183" t="e">
        <f>AND(Hoja3!B166,"AAAAAH1nfWQ=")</f>
        <v>#VALUE!</v>
      </c>
      <c r="CX183" t="e">
        <f>AND(Hoja3!C166,"AAAAAH1nfWU=")</f>
        <v>#VALUE!</v>
      </c>
      <c r="CY183" t="e">
        <f>AND(Hoja3!D166,"AAAAAH1nfWY=")</f>
        <v>#VALUE!</v>
      </c>
      <c r="CZ183" t="e">
        <f>AND(Hoja3!E166,"AAAAAH1nfWc=")</f>
        <v>#VALUE!</v>
      </c>
      <c r="DA183" t="e">
        <f>AND(Hoja3!F166,"AAAAAH1nfWg=")</f>
        <v>#VALUE!</v>
      </c>
      <c r="DB183" t="e">
        <f>AND(Hoja3!G166,"AAAAAH1nfWk=")</f>
        <v>#VALUE!</v>
      </c>
      <c r="DC183" t="e">
        <f>AND(Hoja3!H166,"AAAAAH1nfWo=")</f>
        <v>#VALUE!</v>
      </c>
      <c r="DD183" t="e">
        <f>AND(Hoja3!I166,"AAAAAH1nfWs=")</f>
        <v>#VALUE!</v>
      </c>
      <c r="DE183" t="e">
        <f>AND(Hoja3!J166,"AAAAAH1nfWw=")</f>
        <v>#VALUE!</v>
      </c>
      <c r="DF183" t="e">
        <f>AND(Hoja3!K166,"AAAAAH1nfW0=")</f>
        <v>#VALUE!</v>
      </c>
      <c r="DG183" t="e">
        <f>AND(Hoja3!L166,"AAAAAH1nfW4=")</f>
        <v>#VALUE!</v>
      </c>
      <c r="DH183" t="e">
        <f>AND(Hoja3!M166,"AAAAAH1nfW8=")</f>
        <v>#VALUE!</v>
      </c>
      <c r="DI183" t="e">
        <f>AND(Hoja3!N166,"AAAAAH1nfXA=")</f>
        <v>#VALUE!</v>
      </c>
      <c r="DJ183" t="e">
        <f>AND(Hoja3!O166,"AAAAAH1nfXE=")</f>
        <v>#VALUE!</v>
      </c>
      <c r="DK183" t="e">
        <f>AND(Hoja3!P166,"AAAAAH1nfXI=")</f>
        <v>#VALUE!</v>
      </c>
      <c r="DL183" t="e">
        <f>AND(Hoja3!Q166,"AAAAAH1nfXM=")</f>
        <v>#VALUE!</v>
      </c>
      <c r="DM183" s="60">
        <f>IF(Hoja3!167:167,"AAAAAH1nfXQ=",0)</f>
        <v>0</v>
      </c>
      <c r="DN183" t="e">
        <f>AND(Hoja3!A167,"AAAAAH1nfXU=")</f>
        <v>#VALUE!</v>
      </c>
      <c r="DO183" t="e">
        <f>AND(Hoja3!B167,"AAAAAH1nfXY=")</f>
        <v>#VALUE!</v>
      </c>
      <c r="DP183" t="e">
        <f>AND(Hoja3!C167,"AAAAAH1nfXc=")</f>
        <v>#VALUE!</v>
      </c>
      <c r="DQ183" t="e">
        <f>AND(Hoja3!D167,"AAAAAH1nfXg=")</f>
        <v>#VALUE!</v>
      </c>
      <c r="DR183" t="e">
        <f>AND(Hoja3!E167,"AAAAAH1nfXk=")</f>
        <v>#VALUE!</v>
      </c>
      <c r="DS183" t="e">
        <f>AND(Hoja3!F167,"AAAAAH1nfXo=")</f>
        <v>#VALUE!</v>
      </c>
      <c r="DT183" t="e">
        <f>AND(Hoja3!G167,"AAAAAH1nfXs=")</f>
        <v>#VALUE!</v>
      </c>
      <c r="DU183" t="e">
        <f>AND(Hoja3!H167,"AAAAAH1nfXw=")</f>
        <v>#VALUE!</v>
      </c>
      <c r="DV183" t="e">
        <f>AND(Hoja3!I167,"AAAAAH1nfX0=")</f>
        <v>#VALUE!</v>
      </c>
      <c r="DW183" t="e">
        <f>AND(Hoja3!J167,"AAAAAH1nfX4=")</f>
        <v>#VALUE!</v>
      </c>
      <c r="DX183" t="e">
        <f>AND(Hoja3!K167,"AAAAAH1nfX8=")</f>
        <v>#VALUE!</v>
      </c>
      <c r="DY183" t="e">
        <f>AND(Hoja3!L167,"AAAAAH1nfYA=")</f>
        <v>#VALUE!</v>
      </c>
      <c r="DZ183" t="e">
        <f>AND(Hoja3!M167,"AAAAAH1nfYE=")</f>
        <v>#VALUE!</v>
      </c>
      <c r="EA183" t="e">
        <f>AND(Hoja3!N167,"AAAAAH1nfYI=")</f>
        <v>#VALUE!</v>
      </c>
      <c r="EB183" t="e">
        <f>AND(Hoja3!O167,"AAAAAH1nfYM=")</f>
        <v>#VALUE!</v>
      </c>
      <c r="EC183" t="e">
        <f>AND(Hoja3!P167,"AAAAAH1nfYQ=")</f>
        <v>#VALUE!</v>
      </c>
      <c r="ED183" t="e">
        <f>AND(Hoja3!Q167,"AAAAAH1nfYU=")</f>
        <v>#VALUE!</v>
      </c>
      <c r="EE183" s="60">
        <f>IF(Hoja3!168:168,"AAAAAH1nfYY=",0)</f>
        <v>0</v>
      </c>
      <c r="EF183" t="e">
        <f>AND(Hoja3!A168,"AAAAAH1nfYc=")</f>
        <v>#VALUE!</v>
      </c>
      <c r="EG183" t="e">
        <f>AND(Hoja3!B168,"AAAAAH1nfYg=")</f>
        <v>#VALUE!</v>
      </c>
      <c r="EH183" t="e">
        <f>AND(Hoja3!C168,"AAAAAH1nfYk=")</f>
        <v>#VALUE!</v>
      </c>
      <c r="EI183" t="e">
        <f>AND(Hoja3!D168,"AAAAAH1nfYo=")</f>
        <v>#VALUE!</v>
      </c>
      <c r="EJ183" t="e">
        <f>AND(Hoja3!E168,"AAAAAH1nfYs=")</f>
        <v>#VALUE!</v>
      </c>
      <c r="EK183" t="e">
        <f>AND(Hoja3!F168,"AAAAAH1nfYw=")</f>
        <v>#VALUE!</v>
      </c>
      <c r="EL183" t="e">
        <f>AND(Hoja3!G168,"AAAAAH1nfY0=")</f>
        <v>#VALUE!</v>
      </c>
      <c r="EM183" t="e">
        <f>AND(Hoja3!H168,"AAAAAH1nfY4=")</f>
        <v>#VALUE!</v>
      </c>
      <c r="EN183" t="e">
        <f>AND(Hoja3!I168,"AAAAAH1nfY8=")</f>
        <v>#VALUE!</v>
      </c>
      <c r="EO183" t="e">
        <f>AND(Hoja3!J168,"AAAAAH1nfZA=")</f>
        <v>#VALUE!</v>
      </c>
      <c r="EP183" t="e">
        <f>AND(Hoja3!K168,"AAAAAH1nfZE=")</f>
        <v>#VALUE!</v>
      </c>
      <c r="EQ183" t="e">
        <f>AND(Hoja3!L168,"AAAAAH1nfZI=")</f>
        <v>#VALUE!</v>
      </c>
      <c r="ER183" t="e">
        <f>AND(Hoja3!M168,"AAAAAH1nfZM=")</f>
        <v>#VALUE!</v>
      </c>
      <c r="ES183" t="e">
        <f>AND(Hoja3!N168,"AAAAAH1nfZQ=")</f>
        <v>#VALUE!</v>
      </c>
      <c r="ET183" t="e">
        <f>AND(Hoja3!O168,"AAAAAH1nfZU=")</f>
        <v>#VALUE!</v>
      </c>
      <c r="EU183" t="e">
        <f>AND(Hoja3!P168,"AAAAAH1nfZY=")</f>
        <v>#VALUE!</v>
      </c>
      <c r="EV183" t="e">
        <f>AND(Hoja3!Q168,"AAAAAH1nfZc=")</f>
        <v>#VALUE!</v>
      </c>
      <c r="EW183" s="60">
        <f>IF(Hoja3!169:169,"AAAAAH1nfZg=",0)</f>
        <v>0</v>
      </c>
      <c r="EX183" t="e">
        <f>AND(Hoja3!A169,"AAAAAH1nfZk=")</f>
        <v>#VALUE!</v>
      </c>
      <c r="EY183" t="e">
        <f>AND(Hoja3!B169,"AAAAAH1nfZo=")</f>
        <v>#VALUE!</v>
      </c>
      <c r="EZ183" t="e">
        <f>AND(Hoja3!C169,"AAAAAH1nfZs=")</f>
        <v>#VALUE!</v>
      </c>
      <c r="FA183" t="e">
        <f>AND(Hoja3!D169,"AAAAAH1nfZw=")</f>
        <v>#VALUE!</v>
      </c>
      <c r="FB183" t="e">
        <f>AND(Hoja3!E169,"AAAAAH1nfZ0=")</f>
        <v>#VALUE!</v>
      </c>
      <c r="FC183" t="e">
        <f>AND(Hoja3!F169,"AAAAAH1nfZ4=")</f>
        <v>#VALUE!</v>
      </c>
      <c r="FD183" t="e">
        <f>AND(Hoja3!G169,"AAAAAH1nfZ8=")</f>
        <v>#VALUE!</v>
      </c>
      <c r="FE183" t="e">
        <f>AND(Hoja3!H169,"AAAAAH1nfaA=")</f>
        <v>#VALUE!</v>
      </c>
      <c r="FF183" t="e">
        <f>AND(Hoja3!I169,"AAAAAH1nfaE=")</f>
        <v>#VALUE!</v>
      </c>
      <c r="FG183" t="e">
        <f>AND(Hoja3!J169,"AAAAAH1nfaI=")</f>
        <v>#VALUE!</v>
      </c>
      <c r="FH183" t="e">
        <f>AND(Hoja3!K169,"AAAAAH1nfaM=")</f>
        <v>#VALUE!</v>
      </c>
      <c r="FI183" t="e">
        <f>AND(Hoja3!L169,"AAAAAH1nfaQ=")</f>
        <v>#VALUE!</v>
      </c>
      <c r="FJ183" t="e">
        <f>AND(Hoja3!M169,"AAAAAH1nfaU=")</f>
        <v>#VALUE!</v>
      </c>
      <c r="FK183" t="e">
        <f>AND(Hoja3!N169,"AAAAAH1nfaY=")</f>
        <v>#VALUE!</v>
      </c>
      <c r="FL183" t="e">
        <f>AND(Hoja3!O169,"AAAAAH1nfac=")</f>
        <v>#VALUE!</v>
      </c>
      <c r="FM183" t="e">
        <f>AND(Hoja3!P169,"AAAAAH1nfag=")</f>
        <v>#VALUE!</v>
      </c>
      <c r="FN183" t="e">
        <f>AND(Hoja3!Q169,"AAAAAH1nfak=")</f>
        <v>#VALUE!</v>
      </c>
      <c r="FO183" s="60">
        <f>IF(Hoja3!170:170,"AAAAAH1nfao=",0)</f>
        <v>0</v>
      </c>
      <c r="FP183" t="e">
        <f>AND(Hoja3!A170,"AAAAAH1nfas=")</f>
        <v>#VALUE!</v>
      </c>
      <c r="FQ183" t="e">
        <f>AND(Hoja3!B170,"AAAAAH1nfaw=")</f>
        <v>#VALUE!</v>
      </c>
      <c r="FR183" t="e">
        <f>AND(Hoja3!C170,"AAAAAH1nfa0=")</f>
        <v>#VALUE!</v>
      </c>
      <c r="FS183" t="e">
        <f>AND(Hoja3!D170,"AAAAAH1nfa4=")</f>
        <v>#VALUE!</v>
      </c>
      <c r="FT183" t="e">
        <f>AND(Hoja3!E170,"AAAAAH1nfa8=")</f>
        <v>#VALUE!</v>
      </c>
      <c r="FU183" t="e">
        <f>AND(Hoja3!F170,"AAAAAH1nfbA=")</f>
        <v>#VALUE!</v>
      </c>
      <c r="FV183" t="e">
        <f>AND(Hoja3!G170,"AAAAAH1nfbE=")</f>
        <v>#VALUE!</v>
      </c>
      <c r="FW183" t="e">
        <f>AND(Hoja3!H170,"AAAAAH1nfbI=")</f>
        <v>#VALUE!</v>
      </c>
      <c r="FX183" t="e">
        <f>AND(Hoja3!I170,"AAAAAH1nfbM=")</f>
        <v>#VALUE!</v>
      </c>
      <c r="FY183" t="e">
        <f>AND(Hoja3!J170,"AAAAAH1nfbQ=")</f>
        <v>#VALUE!</v>
      </c>
      <c r="FZ183" t="e">
        <f>AND(Hoja3!K170,"AAAAAH1nfbU=")</f>
        <v>#VALUE!</v>
      </c>
      <c r="GA183" t="e">
        <f>AND(Hoja3!L170,"AAAAAH1nfbY=")</f>
        <v>#VALUE!</v>
      </c>
      <c r="GB183" t="e">
        <f>AND(Hoja3!M170,"AAAAAH1nfbc=")</f>
        <v>#VALUE!</v>
      </c>
      <c r="GC183" t="e">
        <f>AND(Hoja3!N170,"AAAAAH1nfbg=")</f>
        <v>#VALUE!</v>
      </c>
      <c r="GD183" t="e">
        <f>AND(Hoja3!O170,"AAAAAH1nfbk=")</f>
        <v>#VALUE!</v>
      </c>
      <c r="GE183" t="e">
        <f>AND(Hoja3!P170,"AAAAAH1nfbo=")</f>
        <v>#VALUE!</v>
      </c>
      <c r="GF183" t="e">
        <f>AND(Hoja3!Q170,"AAAAAH1nfbs=")</f>
        <v>#VALUE!</v>
      </c>
      <c r="GG183" s="60">
        <f>IF(Hoja3!171:171,"AAAAAH1nfbw=",0)</f>
        <v>0</v>
      </c>
      <c r="GH183" t="e">
        <f>AND(Hoja3!A171,"AAAAAH1nfb0=")</f>
        <v>#VALUE!</v>
      </c>
      <c r="GI183" t="e">
        <f>AND(Hoja3!B171,"AAAAAH1nfb4=")</f>
        <v>#VALUE!</v>
      </c>
      <c r="GJ183" t="e">
        <f>AND(Hoja3!C171,"AAAAAH1nfb8=")</f>
        <v>#VALUE!</v>
      </c>
      <c r="GK183" t="e">
        <f>AND(Hoja3!D171,"AAAAAH1nfcA=")</f>
        <v>#VALUE!</v>
      </c>
      <c r="GL183" t="e">
        <f>AND(Hoja3!E171,"AAAAAH1nfcE=")</f>
        <v>#VALUE!</v>
      </c>
      <c r="GM183" t="e">
        <f>AND(Hoja3!F171,"AAAAAH1nfcI=")</f>
        <v>#VALUE!</v>
      </c>
      <c r="GN183" t="e">
        <f>AND(Hoja3!G171,"AAAAAH1nfcM=")</f>
        <v>#VALUE!</v>
      </c>
      <c r="GO183" t="e">
        <f>AND(Hoja3!H171,"AAAAAH1nfcQ=")</f>
        <v>#VALUE!</v>
      </c>
      <c r="GP183" t="e">
        <f>AND(Hoja3!I171,"AAAAAH1nfcU=")</f>
        <v>#VALUE!</v>
      </c>
      <c r="GQ183" t="e">
        <f>AND(Hoja3!J171,"AAAAAH1nfcY=")</f>
        <v>#VALUE!</v>
      </c>
      <c r="GR183" t="e">
        <f>AND(Hoja3!K171,"AAAAAH1nfcc=")</f>
        <v>#VALUE!</v>
      </c>
      <c r="GS183" t="e">
        <f>AND(Hoja3!L171,"AAAAAH1nfcg=")</f>
        <v>#VALUE!</v>
      </c>
      <c r="GT183" t="e">
        <f>AND(Hoja3!M171,"AAAAAH1nfck=")</f>
        <v>#VALUE!</v>
      </c>
      <c r="GU183" t="e">
        <f>AND(Hoja3!N171,"AAAAAH1nfco=")</f>
        <v>#VALUE!</v>
      </c>
      <c r="GV183" t="e">
        <f>AND(Hoja3!O171,"AAAAAH1nfcs=")</f>
        <v>#VALUE!</v>
      </c>
      <c r="GW183" t="e">
        <f>AND(Hoja3!P171,"AAAAAH1nfcw=")</f>
        <v>#VALUE!</v>
      </c>
      <c r="GX183" t="e">
        <f>AND(Hoja3!Q171,"AAAAAH1nfc0=")</f>
        <v>#VALUE!</v>
      </c>
      <c r="GY183" s="60">
        <f>IF(Hoja3!172:172,"AAAAAH1nfc4=",0)</f>
        <v>0</v>
      </c>
      <c r="GZ183" t="e">
        <f>AND(Hoja3!A172,"AAAAAH1nfc8=")</f>
        <v>#VALUE!</v>
      </c>
      <c r="HA183" t="e">
        <f>AND(Hoja3!B172,"AAAAAH1nfdA=")</f>
        <v>#VALUE!</v>
      </c>
      <c r="HB183" t="e">
        <f>AND(Hoja3!C172,"AAAAAH1nfdE=")</f>
        <v>#VALUE!</v>
      </c>
      <c r="HC183" t="e">
        <f>AND(Hoja3!D172,"AAAAAH1nfdI=")</f>
        <v>#VALUE!</v>
      </c>
      <c r="HD183" t="e">
        <f>AND(Hoja3!E172,"AAAAAH1nfdM=")</f>
        <v>#VALUE!</v>
      </c>
      <c r="HE183" t="e">
        <f>AND(Hoja3!F172,"AAAAAH1nfdQ=")</f>
        <v>#VALUE!</v>
      </c>
      <c r="HF183" t="e">
        <f>AND(Hoja3!G172,"AAAAAH1nfdU=")</f>
        <v>#VALUE!</v>
      </c>
      <c r="HG183" t="e">
        <f>AND(Hoja3!H172,"AAAAAH1nfdY=")</f>
        <v>#VALUE!</v>
      </c>
      <c r="HH183" t="e">
        <f>AND(Hoja3!I172,"AAAAAH1nfdc=")</f>
        <v>#VALUE!</v>
      </c>
      <c r="HI183" t="e">
        <f>AND(Hoja3!J172,"AAAAAH1nfdg=")</f>
        <v>#VALUE!</v>
      </c>
      <c r="HJ183" t="e">
        <f>AND(Hoja3!K172,"AAAAAH1nfdk=")</f>
        <v>#VALUE!</v>
      </c>
      <c r="HK183" t="e">
        <f>AND(Hoja3!L172,"AAAAAH1nfdo=")</f>
        <v>#VALUE!</v>
      </c>
      <c r="HL183" t="e">
        <f>AND(Hoja3!M172,"AAAAAH1nfds=")</f>
        <v>#VALUE!</v>
      </c>
      <c r="HM183" t="e">
        <f>AND(Hoja3!N172,"AAAAAH1nfdw=")</f>
        <v>#VALUE!</v>
      </c>
      <c r="HN183" t="e">
        <f>AND(Hoja3!O172,"AAAAAH1nfd0=")</f>
        <v>#VALUE!</v>
      </c>
      <c r="HO183" t="e">
        <f>AND(Hoja3!P172,"AAAAAH1nfd4=")</f>
        <v>#VALUE!</v>
      </c>
      <c r="HP183" t="e">
        <f>AND(Hoja3!Q172,"AAAAAH1nfd8=")</f>
        <v>#VALUE!</v>
      </c>
      <c r="HQ183" s="60">
        <f>IF(Hoja3!173:173,"AAAAAH1nfeA=",0)</f>
        <v>0</v>
      </c>
      <c r="HR183" t="e">
        <f>AND(Hoja3!A173,"AAAAAH1nfeE=")</f>
        <v>#VALUE!</v>
      </c>
      <c r="HS183" t="e">
        <f>AND(Hoja3!B173,"AAAAAH1nfeI=")</f>
        <v>#VALUE!</v>
      </c>
      <c r="HT183" t="e">
        <f>AND(Hoja3!C173,"AAAAAH1nfeM=")</f>
        <v>#VALUE!</v>
      </c>
      <c r="HU183" t="e">
        <f>AND(Hoja3!D173,"AAAAAH1nfeQ=")</f>
        <v>#VALUE!</v>
      </c>
      <c r="HV183" t="e">
        <f>AND(Hoja3!E173,"AAAAAH1nfeU=")</f>
        <v>#VALUE!</v>
      </c>
      <c r="HW183" t="e">
        <f>AND(Hoja3!F173,"AAAAAH1nfeY=")</f>
        <v>#VALUE!</v>
      </c>
      <c r="HX183" t="e">
        <f>AND(Hoja3!G173,"AAAAAH1nfec=")</f>
        <v>#VALUE!</v>
      </c>
      <c r="HY183" t="e">
        <f>AND(Hoja3!H173,"AAAAAH1nfeg=")</f>
        <v>#VALUE!</v>
      </c>
      <c r="HZ183" t="e">
        <f>AND(Hoja3!I173,"AAAAAH1nfek=")</f>
        <v>#VALUE!</v>
      </c>
      <c r="IA183" t="e">
        <f>AND(Hoja3!J173,"AAAAAH1nfeo=")</f>
        <v>#VALUE!</v>
      </c>
      <c r="IB183" t="e">
        <f>AND(Hoja3!K173,"AAAAAH1nfes=")</f>
        <v>#VALUE!</v>
      </c>
      <c r="IC183" t="e">
        <f>AND(Hoja3!L173,"AAAAAH1nfew=")</f>
        <v>#VALUE!</v>
      </c>
      <c r="ID183" t="e">
        <f>AND(Hoja3!M173,"AAAAAH1nfe0=")</f>
        <v>#VALUE!</v>
      </c>
      <c r="IE183" t="e">
        <f>AND(Hoja3!N173,"AAAAAH1nfe4=")</f>
        <v>#VALUE!</v>
      </c>
      <c r="IF183" t="e">
        <f>AND(Hoja3!O173,"AAAAAH1nfe8=")</f>
        <v>#VALUE!</v>
      </c>
      <c r="IG183" t="e">
        <f>AND(Hoja3!P173,"AAAAAH1nffA=")</f>
        <v>#VALUE!</v>
      </c>
      <c r="IH183" t="e">
        <f>AND(Hoja3!Q173,"AAAAAH1nffE=")</f>
        <v>#VALUE!</v>
      </c>
      <c r="II183" s="60">
        <f>IF(Hoja3!174:174,"AAAAAH1nffI=",0)</f>
        <v>0</v>
      </c>
      <c r="IJ183" t="e">
        <f>AND(Hoja3!A174,"AAAAAH1nffM=")</f>
        <v>#VALUE!</v>
      </c>
      <c r="IK183" t="e">
        <f>AND(Hoja3!B174,"AAAAAH1nffQ=")</f>
        <v>#VALUE!</v>
      </c>
      <c r="IL183" t="e">
        <f>AND(Hoja3!C174,"AAAAAH1nffU=")</f>
        <v>#VALUE!</v>
      </c>
      <c r="IM183" t="e">
        <f>AND(Hoja3!D174,"AAAAAH1nffY=")</f>
        <v>#VALUE!</v>
      </c>
      <c r="IN183" t="e">
        <f>AND(Hoja3!E174,"AAAAAH1nffc=")</f>
        <v>#VALUE!</v>
      </c>
      <c r="IO183" t="e">
        <f>AND(Hoja3!F174,"AAAAAH1nffg=")</f>
        <v>#VALUE!</v>
      </c>
      <c r="IP183" t="e">
        <f>AND(Hoja3!G174,"AAAAAH1nffk=")</f>
        <v>#VALUE!</v>
      </c>
      <c r="IQ183" t="e">
        <f>AND(Hoja3!H174,"AAAAAH1nffo=")</f>
        <v>#VALUE!</v>
      </c>
      <c r="IR183" t="e">
        <f>AND(Hoja3!I174,"AAAAAH1nffs=")</f>
        <v>#VALUE!</v>
      </c>
      <c r="IS183" t="e">
        <f>AND(Hoja3!J174,"AAAAAH1nffw=")</f>
        <v>#VALUE!</v>
      </c>
      <c r="IT183" t="e">
        <f>AND(Hoja3!K174,"AAAAAH1nff0=")</f>
        <v>#VALUE!</v>
      </c>
      <c r="IU183" t="e">
        <f>AND(Hoja3!L174,"AAAAAH1nff4=")</f>
        <v>#VALUE!</v>
      </c>
      <c r="IV183" t="e">
        <f>AND(Hoja3!M174,"AAAAAH1nff8=")</f>
        <v>#VALUE!</v>
      </c>
    </row>
    <row r="184" spans="1:256" ht="15" customHeight="1" x14ac:dyDescent="0.25">
      <c r="A184" t="e">
        <f>AND(Hoja3!N174,"AAAAACXyzAA=")</f>
        <v>#VALUE!</v>
      </c>
      <c r="B184" t="e">
        <f>AND(Hoja3!O174,"AAAAACXyzAE=")</f>
        <v>#VALUE!</v>
      </c>
      <c r="C184" t="e">
        <f>AND(Hoja3!P174,"AAAAACXyzAI=")</f>
        <v>#VALUE!</v>
      </c>
      <c r="D184" t="e">
        <f>AND(Hoja3!Q174,"AAAAACXyzAM=")</f>
        <v>#VALUE!</v>
      </c>
      <c r="E184" t="str">
        <f>IF(Hoja3!175:175,"AAAAACXyzAQ=",0)</f>
        <v>AAAAACXyzAQ=</v>
      </c>
      <c r="F184" t="e">
        <f>AND(Hoja3!A175,"AAAAACXyzAU=")</f>
        <v>#VALUE!</v>
      </c>
      <c r="G184" t="e">
        <f>AND(Hoja3!B175,"AAAAACXyzAY=")</f>
        <v>#VALUE!</v>
      </c>
      <c r="H184" t="e">
        <f>AND(Hoja3!C175,"AAAAACXyzAc=")</f>
        <v>#VALUE!</v>
      </c>
      <c r="I184" t="e">
        <f>AND(Hoja3!D175,"AAAAACXyzAg=")</f>
        <v>#VALUE!</v>
      </c>
      <c r="J184" t="e">
        <f>AND(Hoja3!E175,"AAAAACXyzAk=")</f>
        <v>#VALUE!</v>
      </c>
      <c r="K184" t="e">
        <f>AND(Hoja3!F175,"AAAAACXyzAo=")</f>
        <v>#VALUE!</v>
      </c>
      <c r="L184" t="e">
        <f>AND(Hoja3!G175,"AAAAACXyzAs=")</f>
        <v>#VALUE!</v>
      </c>
      <c r="M184" t="e">
        <f>AND(Hoja3!H175,"AAAAACXyzAw=")</f>
        <v>#VALUE!</v>
      </c>
      <c r="N184" t="e">
        <f>AND(Hoja3!I175,"AAAAACXyzA0=")</f>
        <v>#VALUE!</v>
      </c>
      <c r="O184" t="e">
        <f>AND(Hoja3!J175,"AAAAACXyzA4=")</f>
        <v>#VALUE!</v>
      </c>
      <c r="P184" t="e">
        <f>AND(Hoja3!K175,"AAAAACXyzA8=")</f>
        <v>#VALUE!</v>
      </c>
      <c r="Q184" t="e">
        <f>AND(Hoja3!L175,"AAAAACXyzBA=")</f>
        <v>#VALUE!</v>
      </c>
      <c r="R184" t="e">
        <f>AND(Hoja3!M175,"AAAAACXyzBE=")</f>
        <v>#VALUE!</v>
      </c>
      <c r="S184" t="e">
        <f>AND(Hoja3!N175,"AAAAACXyzBI=")</f>
        <v>#VALUE!</v>
      </c>
      <c r="T184" t="e">
        <f>AND(Hoja3!O175,"AAAAACXyzBM=")</f>
        <v>#VALUE!</v>
      </c>
      <c r="U184" t="e">
        <f>AND(Hoja3!P175,"AAAAACXyzBQ=")</f>
        <v>#VALUE!</v>
      </c>
      <c r="V184" t="e">
        <f>AND(Hoja3!Q175,"AAAAACXyzBU=")</f>
        <v>#VALUE!</v>
      </c>
      <c r="W184" s="60">
        <f>IF(Hoja3!176:176,"AAAAACXyzBY=",0)</f>
        <v>0</v>
      </c>
      <c r="X184" t="e">
        <f>AND(Hoja3!A176,"AAAAACXyzBc=")</f>
        <v>#VALUE!</v>
      </c>
      <c r="Y184" t="e">
        <f>AND(Hoja3!B176,"AAAAACXyzBg=")</f>
        <v>#VALUE!</v>
      </c>
      <c r="Z184" t="e">
        <f>AND(Hoja3!C176,"AAAAACXyzBk=")</f>
        <v>#VALUE!</v>
      </c>
      <c r="AA184" t="e">
        <f>AND(Hoja3!D176,"AAAAACXyzBo=")</f>
        <v>#VALUE!</v>
      </c>
      <c r="AB184" t="e">
        <f>AND(Hoja3!E176,"AAAAACXyzBs=")</f>
        <v>#VALUE!</v>
      </c>
      <c r="AC184" t="e">
        <f>AND(Hoja3!F176,"AAAAACXyzBw=")</f>
        <v>#VALUE!</v>
      </c>
      <c r="AD184" t="e">
        <f>AND(Hoja3!G176,"AAAAACXyzB0=")</f>
        <v>#VALUE!</v>
      </c>
      <c r="AE184" t="e">
        <f>AND(Hoja3!H176,"AAAAACXyzB4=")</f>
        <v>#VALUE!</v>
      </c>
      <c r="AF184" t="e">
        <f>AND(Hoja3!I176,"AAAAACXyzB8=")</f>
        <v>#VALUE!</v>
      </c>
      <c r="AG184" t="e">
        <f>AND(Hoja3!J176,"AAAAACXyzCA=")</f>
        <v>#VALUE!</v>
      </c>
      <c r="AH184" t="e">
        <f>AND(Hoja3!K176,"AAAAACXyzCE=")</f>
        <v>#VALUE!</v>
      </c>
      <c r="AI184" t="e">
        <f>AND(Hoja3!L176,"AAAAACXyzCI=")</f>
        <v>#VALUE!</v>
      </c>
      <c r="AJ184" t="e">
        <f>AND(Hoja3!M176,"AAAAACXyzCM=")</f>
        <v>#VALUE!</v>
      </c>
      <c r="AK184" t="e">
        <f>AND(Hoja3!N176,"AAAAACXyzCQ=")</f>
        <v>#VALUE!</v>
      </c>
      <c r="AL184" t="e">
        <f>AND(Hoja3!O176,"AAAAACXyzCU=")</f>
        <v>#VALUE!</v>
      </c>
      <c r="AM184" t="e">
        <f>AND(Hoja3!P176,"AAAAACXyzCY=")</f>
        <v>#VALUE!</v>
      </c>
      <c r="AN184" t="e">
        <f>AND(Hoja3!Q176,"AAAAACXyzCc=")</f>
        <v>#VALUE!</v>
      </c>
      <c r="AO184" s="60">
        <f>IF(Hoja3!177:177,"AAAAACXyzCg=",0)</f>
        <v>0</v>
      </c>
      <c r="AP184" t="e">
        <f>AND(Hoja3!A177,"AAAAACXyzCk=")</f>
        <v>#VALUE!</v>
      </c>
      <c r="AQ184" t="e">
        <f>AND(Hoja3!B177,"AAAAACXyzCo=")</f>
        <v>#VALUE!</v>
      </c>
      <c r="AR184" t="e">
        <f>AND(Hoja3!C177,"AAAAACXyzCs=")</f>
        <v>#VALUE!</v>
      </c>
      <c r="AS184" t="e">
        <f>AND(Hoja3!D177,"AAAAACXyzCw=")</f>
        <v>#VALUE!</v>
      </c>
      <c r="AT184" t="e">
        <f>AND(Hoja3!E177,"AAAAACXyzC0=")</f>
        <v>#VALUE!</v>
      </c>
      <c r="AU184" t="e">
        <f>AND(Hoja3!F177,"AAAAACXyzC4=")</f>
        <v>#VALUE!</v>
      </c>
      <c r="AV184" t="e">
        <f>AND(Hoja3!G177,"AAAAACXyzC8=")</f>
        <v>#VALUE!</v>
      </c>
      <c r="AW184" t="e">
        <f>AND(Hoja3!H177,"AAAAACXyzDA=")</f>
        <v>#VALUE!</v>
      </c>
      <c r="AX184" t="e">
        <f>AND(Hoja3!I177,"AAAAACXyzDE=")</f>
        <v>#VALUE!</v>
      </c>
      <c r="AY184" t="e">
        <f>AND(Hoja3!J177,"AAAAACXyzDI=")</f>
        <v>#VALUE!</v>
      </c>
      <c r="AZ184" t="e">
        <f>AND(Hoja3!K177,"AAAAACXyzDM=")</f>
        <v>#VALUE!</v>
      </c>
      <c r="BA184" t="e">
        <f>AND(Hoja3!L177,"AAAAACXyzDQ=")</f>
        <v>#VALUE!</v>
      </c>
      <c r="BB184" t="e">
        <f>AND(Hoja3!M177,"AAAAACXyzDU=")</f>
        <v>#VALUE!</v>
      </c>
      <c r="BC184" t="e">
        <f>AND(Hoja3!N177,"AAAAACXyzDY=")</f>
        <v>#VALUE!</v>
      </c>
      <c r="BD184" t="e">
        <f>AND(Hoja3!O177,"AAAAACXyzDc=")</f>
        <v>#VALUE!</v>
      </c>
      <c r="BE184" t="e">
        <f>AND(Hoja3!P177,"AAAAACXyzDg=")</f>
        <v>#VALUE!</v>
      </c>
      <c r="BF184" t="e">
        <f>AND(Hoja3!Q177,"AAAAACXyzDk=")</f>
        <v>#VALUE!</v>
      </c>
      <c r="BG184" s="60">
        <f>IF(Hoja3!178:178,"AAAAACXyzDo=",0)</f>
        <v>0</v>
      </c>
      <c r="BH184" t="e">
        <f>AND(Hoja3!A178,"AAAAACXyzDs=")</f>
        <v>#VALUE!</v>
      </c>
      <c r="BI184" t="e">
        <f>AND(Hoja3!B178,"AAAAACXyzDw=")</f>
        <v>#VALUE!</v>
      </c>
      <c r="BJ184" t="e">
        <f>AND(Hoja3!C178,"AAAAACXyzD0=")</f>
        <v>#VALUE!</v>
      </c>
      <c r="BK184" t="e">
        <f>AND(Hoja3!D178,"AAAAACXyzD4=")</f>
        <v>#VALUE!</v>
      </c>
      <c r="BL184" t="e">
        <f>AND(Hoja3!E178,"AAAAACXyzD8=")</f>
        <v>#VALUE!</v>
      </c>
      <c r="BM184" t="e">
        <f>AND(Hoja3!F178,"AAAAACXyzEA=")</f>
        <v>#VALUE!</v>
      </c>
      <c r="BN184" t="e">
        <f>AND(Hoja3!G178,"AAAAACXyzEE=")</f>
        <v>#VALUE!</v>
      </c>
      <c r="BO184" t="e">
        <f>AND(Hoja3!H178,"AAAAACXyzEI=")</f>
        <v>#VALUE!</v>
      </c>
      <c r="BP184" t="e">
        <f>AND(Hoja3!I178,"AAAAACXyzEM=")</f>
        <v>#VALUE!</v>
      </c>
      <c r="BQ184" t="e">
        <f>AND(Hoja3!J178,"AAAAACXyzEQ=")</f>
        <v>#VALUE!</v>
      </c>
      <c r="BR184" t="e">
        <f>AND(Hoja3!K178,"AAAAACXyzEU=")</f>
        <v>#VALUE!</v>
      </c>
      <c r="BS184" t="e">
        <f>AND(Hoja3!L178,"AAAAACXyzEY=")</f>
        <v>#VALUE!</v>
      </c>
      <c r="BT184" t="e">
        <f>AND(Hoja3!M178,"AAAAACXyzEc=")</f>
        <v>#VALUE!</v>
      </c>
      <c r="BU184" t="e">
        <f>AND(Hoja3!N178,"AAAAACXyzEg=")</f>
        <v>#VALUE!</v>
      </c>
      <c r="BV184" t="e">
        <f>AND(Hoja3!O178,"AAAAACXyzEk=")</f>
        <v>#VALUE!</v>
      </c>
      <c r="BW184" t="e">
        <f>AND(Hoja3!P178,"AAAAACXyzEo=")</f>
        <v>#VALUE!</v>
      </c>
      <c r="BX184" t="e">
        <f>AND(Hoja3!Q178,"AAAAACXyzEs=")</f>
        <v>#VALUE!</v>
      </c>
      <c r="BY184" s="60">
        <f>IF(Hoja3!179:179,"AAAAACXyzEw=",0)</f>
        <v>0</v>
      </c>
      <c r="BZ184" t="e">
        <f>AND(Hoja3!A179,"AAAAACXyzE0=")</f>
        <v>#VALUE!</v>
      </c>
      <c r="CA184" t="e">
        <f>AND(Hoja3!B179,"AAAAACXyzE4=")</f>
        <v>#VALUE!</v>
      </c>
      <c r="CB184" t="e">
        <f>AND(Hoja3!C179,"AAAAACXyzE8=")</f>
        <v>#VALUE!</v>
      </c>
      <c r="CC184" t="e">
        <f>AND(Hoja3!D179,"AAAAACXyzFA=")</f>
        <v>#VALUE!</v>
      </c>
      <c r="CD184" t="e">
        <f>AND(Hoja3!E179,"AAAAACXyzFE=")</f>
        <v>#VALUE!</v>
      </c>
      <c r="CE184" t="e">
        <f>AND(Hoja3!F179,"AAAAACXyzFI=")</f>
        <v>#VALUE!</v>
      </c>
      <c r="CF184" t="e">
        <f>AND(Hoja3!G179,"AAAAACXyzFM=")</f>
        <v>#VALUE!</v>
      </c>
      <c r="CG184" t="e">
        <f>AND(Hoja3!H179,"AAAAACXyzFQ=")</f>
        <v>#VALUE!</v>
      </c>
      <c r="CH184" t="e">
        <f>AND(Hoja3!I179,"AAAAACXyzFU=")</f>
        <v>#VALUE!</v>
      </c>
      <c r="CI184" t="e">
        <f>AND(Hoja3!J179,"AAAAACXyzFY=")</f>
        <v>#VALUE!</v>
      </c>
      <c r="CJ184" t="e">
        <f>AND(Hoja3!K179,"AAAAACXyzFc=")</f>
        <v>#VALUE!</v>
      </c>
      <c r="CK184" t="e">
        <f>AND(Hoja3!L179,"AAAAACXyzFg=")</f>
        <v>#VALUE!</v>
      </c>
      <c r="CL184" t="e">
        <f>AND(Hoja3!M179,"AAAAACXyzFk=")</f>
        <v>#VALUE!</v>
      </c>
      <c r="CM184" t="e">
        <f>AND(Hoja3!N179,"AAAAACXyzFo=")</f>
        <v>#VALUE!</v>
      </c>
      <c r="CN184" t="e">
        <f>AND(Hoja3!O179,"AAAAACXyzFs=")</f>
        <v>#VALUE!</v>
      </c>
      <c r="CO184" t="e">
        <f>AND(Hoja3!P179,"AAAAACXyzFw=")</f>
        <v>#VALUE!</v>
      </c>
      <c r="CP184" t="e">
        <f>AND(Hoja3!Q179,"AAAAACXyzF0=")</f>
        <v>#VALUE!</v>
      </c>
      <c r="CQ184" s="60">
        <f>IF(Hoja3!180:180,"AAAAACXyzF4=",0)</f>
        <v>0</v>
      </c>
      <c r="CR184" t="e">
        <f>AND(Hoja3!A180,"AAAAACXyzF8=")</f>
        <v>#VALUE!</v>
      </c>
      <c r="CS184" t="e">
        <f>AND(Hoja3!B180,"AAAAACXyzGA=")</f>
        <v>#VALUE!</v>
      </c>
      <c r="CT184" t="e">
        <f>AND(Hoja3!C180,"AAAAACXyzGE=")</f>
        <v>#VALUE!</v>
      </c>
      <c r="CU184" t="e">
        <f>AND(Hoja3!D180,"AAAAACXyzGI=")</f>
        <v>#VALUE!</v>
      </c>
      <c r="CV184" t="e">
        <f>AND(Hoja3!E180,"AAAAACXyzGM=")</f>
        <v>#VALUE!</v>
      </c>
      <c r="CW184" t="e">
        <f>AND(Hoja3!F180,"AAAAACXyzGQ=")</f>
        <v>#VALUE!</v>
      </c>
      <c r="CX184" t="e">
        <f>AND(Hoja3!G180,"AAAAACXyzGU=")</f>
        <v>#VALUE!</v>
      </c>
      <c r="CY184" t="e">
        <f>AND(Hoja3!H180,"AAAAACXyzGY=")</f>
        <v>#VALUE!</v>
      </c>
      <c r="CZ184" t="e">
        <f>AND(Hoja3!I180,"AAAAACXyzGc=")</f>
        <v>#VALUE!</v>
      </c>
      <c r="DA184" t="e">
        <f>AND(Hoja3!J180,"AAAAACXyzGg=")</f>
        <v>#VALUE!</v>
      </c>
      <c r="DB184" t="e">
        <f>AND(Hoja3!K180,"AAAAACXyzGk=")</f>
        <v>#VALUE!</v>
      </c>
      <c r="DC184" t="e">
        <f>AND(Hoja3!L180,"AAAAACXyzGo=")</f>
        <v>#VALUE!</v>
      </c>
      <c r="DD184" t="e">
        <f>AND(Hoja3!M180,"AAAAACXyzGs=")</f>
        <v>#VALUE!</v>
      </c>
      <c r="DE184" t="e">
        <f>AND(Hoja3!N180,"AAAAACXyzGw=")</f>
        <v>#VALUE!</v>
      </c>
      <c r="DF184" t="e">
        <f>AND(Hoja3!O180,"AAAAACXyzG0=")</f>
        <v>#VALUE!</v>
      </c>
      <c r="DG184" t="e">
        <f>AND(Hoja3!P180,"AAAAACXyzG4=")</f>
        <v>#VALUE!</v>
      </c>
      <c r="DH184" t="e">
        <f>AND(Hoja3!Q180,"AAAAACXyzG8=")</f>
        <v>#VALUE!</v>
      </c>
      <c r="DI184" s="60">
        <f>IF(Hoja3!181:181,"AAAAACXyzHA=",0)</f>
        <v>0</v>
      </c>
      <c r="DJ184" t="e">
        <f>AND(Hoja3!A181,"AAAAACXyzHE=")</f>
        <v>#VALUE!</v>
      </c>
      <c r="DK184" t="e">
        <f>AND(Hoja3!B181,"AAAAACXyzHI=")</f>
        <v>#VALUE!</v>
      </c>
      <c r="DL184" t="e">
        <f>AND(Hoja3!C181,"AAAAACXyzHM=")</f>
        <v>#VALUE!</v>
      </c>
      <c r="DM184" t="e">
        <f>AND(Hoja3!D181,"AAAAACXyzHQ=")</f>
        <v>#VALUE!</v>
      </c>
      <c r="DN184" t="e">
        <f>AND(Hoja3!E181,"AAAAACXyzHU=")</f>
        <v>#VALUE!</v>
      </c>
      <c r="DO184" t="e">
        <f>AND(Hoja3!F181,"AAAAACXyzHY=")</f>
        <v>#VALUE!</v>
      </c>
      <c r="DP184" t="e">
        <f>AND(Hoja3!G181,"AAAAACXyzHc=")</f>
        <v>#VALUE!</v>
      </c>
      <c r="DQ184" t="e">
        <f>AND(Hoja3!H181,"AAAAACXyzHg=")</f>
        <v>#VALUE!</v>
      </c>
      <c r="DR184" t="e">
        <f>AND(Hoja3!I181,"AAAAACXyzHk=")</f>
        <v>#VALUE!</v>
      </c>
      <c r="DS184" t="e">
        <f>AND(Hoja3!J181,"AAAAACXyzHo=")</f>
        <v>#VALUE!</v>
      </c>
      <c r="DT184" t="e">
        <f>AND(Hoja3!K181,"AAAAACXyzHs=")</f>
        <v>#VALUE!</v>
      </c>
      <c r="DU184" t="e">
        <f>AND(Hoja3!L181,"AAAAACXyzHw=")</f>
        <v>#VALUE!</v>
      </c>
      <c r="DV184" t="e">
        <f>AND(Hoja3!M181,"AAAAACXyzH0=")</f>
        <v>#VALUE!</v>
      </c>
      <c r="DW184" t="e">
        <f>AND(Hoja3!N181,"AAAAACXyzH4=")</f>
        <v>#VALUE!</v>
      </c>
      <c r="DX184" t="e">
        <f>AND(Hoja3!O181,"AAAAACXyzH8=")</f>
        <v>#VALUE!</v>
      </c>
      <c r="DY184" t="e">
        <f>AND(Hoja3!P181,"AAAAACXyzIA=")</f>
        <v>#VALUE!</v>
      </c>
      <c r="DZ184" t="e">
        <f>AND(Hoja3!Q181,"AAAAACXyzIE=")</f>
        <v>#VALUE!</v>
      </c>
      <c r="EA184" s="60">
        <f>IF(Hoja3!182:182,"AAAAACXyzII=",0)</f>
        <v>0</v>
      </c>
      <c r="EB184" t="e">
        <f>AND(Hoja3!A182,"AAAAACXyzIM=")</f>
        <v>#VALUE!</v>
      </c>
      <c r="EC184" t="e">
        <f>AND(Hoja3!B182,"AAAAACXyzIQ=")</f>
        <v>#VALUE!</v>
      </c>
      <c r="ED184" t="e">
        <f>AND(Hoja3!C182,"AAAAACXyzIU=")</f>
        <v>#VALUE!</v>
      </c>
      <c r="EE184" t="e">
        <f>AND(Hoja3!D182,"AAAAACXyzIY=")</f>
        <v>#VALUE!</v>
      </c>
      <c r="EF184" t="e">
        <f>AND(Hoja3!E182,"AAAAACXyzIc=")</f>
        <v>#VALUE!</v>
      </c>
      <c r="EG184" t="e">
        <f>AND(Hoja3!F182,"AAAAACXyzIg=")</f>
        <v>#VALUE!</v>
      </c>
      <c r="EH184" t="e">
        <f>AND(Hoja3!G182,"AAAAACXyzIk=")</f>
        <v>#VALUE!</v>
      </c>
      <c r="EI184" t="e">
        <f>AND(Hoja3!H182,"AAAAACXyzIo=")</f>
        <v>#VALUE!</v>
      </c>
      <c r="EJ184" t="e">
        <f>AND(Hoja3!I182,"AAAAACXyzIs=")</f>
        <v>#VALUE!</v>
      </c>
      <c r="EK184" t="e">
        <f>AND(Hoja3!J182,"AAAAACXyzIw=")</f>
        <v>#VALUE!</v>
      </c>
      <c r="EL184" t="e">
        <f>AND(Hoja3!K182,"AAAAACXyzI0=")</f>
        <v>#VALUE!</v>
      </c>
      <c r="EM184" t="e">
        <f>AND(Hoja3!L182,"AAAAACXyzI4=")</f>
        <v>#VALUE!</v>
      </c>
      <c r="EN184" t="e">
        <f>AND(Hoja3!M182,"AAAAACXyzI8=")</f>
        <v>#VALUE!</v>
      </c>
      <c r="EO184" t="e">
        <f>AND(Hoja3!N182,"AAAAACXyzJA=")</f>
        <v>#VALUE!</v>
      </c>
      <c r="EP184" t="e">
        <f>AND(Hoja3!O182,"AAAAACXyzJE=")</f>
        <v>#VALUE!</v>
      </c>
      <c r="EQ184" t="e">
        <f>AND(Hoja3!P182,"AAAAACXyzJI=")</f>
        <v>#VALUE!</v>
      </c>
      <c r="ER184" t="e">
        <f>AND(Hoja3!Q182,"AAAAACXyzJM=")</f>
        <v>#VALUE!</v>
      </c>
      <c r="ES184" s="60">
        <f>IF(Hoja3!183:183,"AAAAACXyzJQ=",0)</f>
        <v>0</v>
      </c>
      <c r="ET184" t="e">
        <f>AND(Hoja3!A183,"AAAAACXyzJU=")</f>
        <v>#VALUE!</v>
      </c>
      <c r="EU184" t="e">
        <f>AND(Hoja3!B183,"AAAAACXyzJY=")</f>
        <v>#VALUE!</v>
      </c>
      <c r="EV184" t="e">
        <f>AND(Hoja3!C183,"AAAAACXyzJc=")</f>
        <v>#VALUE!</v>
      </c>
      <c r="EW184" t="e">
        <f>AND(Hoja3!D183,"AAAAACXyzJg=")</f>
        <v>#VALUE!</v>
      </c>
      <c r="EX184" t="e">
        <f>AND(Hoja3!E183,"AAAAACXyzJk=")</f>
        <v>#VALUE!</v>
      </c>
      <c r="EY184" t="e">
        <f>AND(Hoja3!F183,"AAAAACXyzJo=")</f>
        <v>#VALUE!</v>
      </c>
      <c r="EZ184" t="e">
        <f>AND(Hoja3!G183,"AAAAACXyzJs=")</f>
        <v>#VALUE!</v>
      </c>
      <c r="FA184" t="e">
        <f>AND(Hoja3!H183,"AAAAACXyzJw=")</f>
        <v>#VALUE!</v>
      </c>
      <c r="FB184" t="e">
        <f>AND(Hoja3!I183,"AAAAACXyzJ0=")</f>
        <v>#VALUE!</v>
      </c>
      <c r="FC184" t="e">
        <f>AND(Hoja3!J183,"AAAAACXyzJ4=")</f>
        <v>#VALUE!</v>
      </c>
      <c r="FD184" t="e">
        <f>AND(Hoja3!K183,"AAAAACXyzJ8=")</f>
        <v>#VALUE!</v>
      </c>
      <c r="FE184" t="e">
        <f>AND(Hoja3!L183,"AAAAACXyzKA=")</f>
        <v>#VALUE!</v>
      </c>
      <c r="FF184" t="e">
        <f>AND(Hoja3!M183,"AAAAACXyzKE=")</f>
        <v>#VALUE!</v>
      </c>
      <c r="FG184" t="e">
        <f>AND(Hoja3!N183,"AAAAACXyzKI=")</f>
        <v>#VALUE!</v>
      </c>
      <c r="FH184" t="e">
        <f>AND(Hoja3!O183,"AAAAACXyzKM=")</f>
        <v>#VALUE!</v>
      </c>
      <c r="FI184" t="e">
        <f>AND(Hoja3!P183,"AAAAACXyzKQ=")</f>
        <v>#VALUE!</v>
      </c>
      <c r="FJ184" t="e">
        <f>AND(Hoja3!Q183,"AAAAACXyzKU=")</f>
        <v>#VALUE!</v>
      </c>
      <c r="FK184" s="60">
        <f>IF(Hoja3!184:184,"AAAAACXyzKY=",0)</f>
        <v>0</v>
      </c>
      <c r="FL184" t="e">
        <f>AND(Hoja3!A184,"AAAAACXyzKc=")</f>
        <v>#VALUE!</v>
      </c>
      <c r="FM184" t="e">
        <f>AND(Hoja3!B184,"AAAAACXyzKg=")</f>
        <v>#VALUE!</v>
      </c>
      <c r="FN184" t="e">
        <f>AND(Hoja3!C184,"AAAAACXyzKk=")</f>
        <v>#VALUE!</v>
      </c>
      <c r="FO184" t="e">
        <f>AND(Hoja3!D184,"AAAAACXyzKo=")</f>
        <v>#VALUE!</v>
      </c>
      <c r="FP184" t="e">
        <f>AND(Hoja3!E184,"AAAAACXyzKs=")</f>
        <v>#VALUE!</v>
      </c>
      <c r="FQ184" t="e">
        <f>AND(Hoja3!F184,"AAAAACXyzKw=")</f>
        <v>#VALUE!</v>
      </c>
      <c r="FR184" t="e">
        <f>AND(Hoja3!G184,"AAAAACXyzK0=")</f>
        <v>#VALUE!</v>
      </c>
      <c r="FS184" t="e">
        <f>AND(Hoja3!H184,"AAAAACXyzK4=")</f>
        <v>#VALUE!</v>
      </c>
      <c r="FT184" t="e">
        <f>AND(Hoja3!I184,"AAAAACXyzK8=")</f>
        <v>#VALUE!</v>
      </c>
      <c r="FU184" t="e">
        <f>AND(Hoja3!J184,"AAAAACXyzLA=")</f>
        <v>#VALUE!</v>
      </c>
      <c r="FV184" t="e">
        <f>AND(Hoja3!K184,"AAAAACXyzLE=")</f>
        <v>#VALUE!</v>
      </c>
      <c r="FW184" t="e">
        <f>AND(Hoja3!L184,"AAAAACXyzLI=")</f>
        <v>#VALUE!</v>
      </c>
      <c r="FX184" t="e">
        <f>AND(Hoja3!M184,"AAAAACXyzLM=")</f>
        <v>#VALUE!</v>
      </c>
      <c r="FY184" t="e">
        <f>AND(Hoja3!N184,"AAAAACXyzLQ=")</f>
        <v>#VALUE!</v>
      </c>
      <c r="FZ184" t="e">
        <f>AND(Hoja3!O184,"AAAAACXyzLU=")</f>
        <v>#VALUE!</v>
      </c>
      <c r="GA184" t="e">
        <f>AND(Hoja3!P184,"AAAAACXyzLY=")</f>
        <v>#VALUE!</v>
      </c>
      <c r="GB184" t="e">
        <f>AND(Hoja3!Q184,"AAAAACXyzLc=")</f>
        <v>#VALUE!</v>
      </c>
      <c r="GC184" s="60">
        <f>IF(Hoja3!185:185,"AAAAACXyzLg=",0)</f>
        <v>0</v>
      </c>
      <c r="GD184" t="e">
        <f>AND(Hoja3!A185,"AAAAACXyzLk=")</f>
        <v>#VALUE!</v>
      </c>
      <c r="GE184" t="e">
        <f>AND(Hoja3!B185,"AAAAACXyzLo=")</f>
        <v>#VALUE!</v>
      </c>
      <c r="GF184" t="e">
        <f>AND(Hoja3!C185,"AAAAACXyzLs=")</f>
        <v>#VALUE!</v>
      </c>
      <c r="GG184" t="e">
        <f>AND(Hoja3!D185,"AAAAACXyzLw=")</f>
        <v>#VALUE!</v>
      </c>
      <c r="GH184" t="e">
        <f>AND(Hoja3!E185,"AAAAACXyzL0=")</f>
        <v>#VALUE!</v>
      </c>
      <c r="GI184" t="e">
        <f>AND(Hoja3!F185,"AAAAACXyzL4=")</f>
        <v>#VALUE!</v>
      </c>
      <c r="GJ184" t="e">
        <f>AND(Hoja3!G185,"AAAAACXyzL8=")</f>
        <v>#VALUE!</v>
      </c>
      <c r="GK184" t="e">
        <f>AND(Hoja3!H185,"AAAAACXyzMA=")</f>
        <v>#VALUE!</v>
      </c>
      <c r="GL184" t="e">
        <f>AND(Hoja3!I185,"AAAAACXyzME=")</f>
        <v>#VALUE!</v>
      </c>
      <c r="GM184" t="e">
        <f>AND(Hoja3!J185,"AAAAACXyzMI=")</f>
        <v>#VALUE!</v>
      </c>
      <c r="GN184" t="e">
        <f>AND(Hoja3!K185,"AAAAACXyzMM=")</f>
        <v>#VALUE!</v>
      </c>
      <c r="GO184" t="e">
        <f>AND(Hoja3!L185,"AAAAACXyzMQ=")</f>
        <v>#VALUE!</v>
      </c>
      <c r="GP184" t="e">
        <f>AND(Hoja3!M185,"AAAAACXyzMU=")</f>
        <v>#VALUE!</v>
      </c>
      <c r="GQ184" t="e">
        <f>AND(Hoja3!N185,"AAAAACXyzMY=")</f>
        <v>#VALUE!</v>
      </c>
      <c r="GR184" t="e">
        <f>AND(Hoja3!O185,"AAAAACXyzMc=")</f>
        <v>#VALUE!</v>
      </c>
      <c r="GS184" t="e">
        <f>AND(Hoja3!P185,"AAAAACXyzMg=")</f>
        <v>#VALUE!</v>
      </c>
      <c r="GT184" t="e">
        <f>AND(Hoja3!Q185,"AAAAACXyzMk=")</f>
        <v>#VALUE!</v>
      </c>
      <c r="GU184" s="60">
        <f>IF(Hoja3!186:186,"AAAAACXyzMo=",0)</f>
        <v>0</v>
      </c>
      <c r="GV184" t="e">
        <f>AND(Hoja3!A186,"AAAAACXyzMs=")</f>
        <v>#VALUE!</v>
      </c>
      <c r="GW184" t="e">
        <f>AND(Hoja3!B186,"AAAAACXyzMw=")</f>
        <v>#VALUE!</v>
      </c>
      <c r="GX184" t="e">
        <f>AND(Hoja3!C186,"AAAAACXyzM0=")</f>
        <v>#VALUE!</v>
      </c>
      <c r="GY184" t="e">
        <f>AND(Hoja3!D186,"AAAAACXyzM4=")</f>
        <v>#VALUE!</v>
      </c>
      <c r="GZ184" t="e">
        <f>AND(Hoja3!E186,"AAAAACXyzM8=")</f>
        <v>#VALUE!</v>
      </c>
      <c r="HA184" t="e">
        <f>AND(Hoja3!F186,"AAAAACXyzNA=")</f>
        <v>#VALUE!</v>
      </c>
      <c r="HB184" t="e">
        <f>AND(Hoja3!G186,"AAAAACXyzNE=")</f>
        <v>#VALUE!</v>
      </c>
      <c r="HC184" t="e">
        <f>AND(Hoja3!H186,"AAAAACXyzNI=")</f>
        <v>#VALUE!</v>
      </c>
      <c r="HD184" t="e">
        <f>AND(Hoja3!I186,"AAAAACXyzNM=")</f>
        <v>#VALUE!</v>
      </c>
      <c r="HE184" t="e">
        <f>AND(Hoja3!J186,"AAAAACXyzNQ=")</f>
        <v>#VALUE!</v>
      </c>
      <c r="HF184" t="e">
        <f>AND(Hoja3!K186,"AAAAACXyzNU=")</f>
        <v>#VALUE!</v>
      </c>
      <c r="HG184" t="e">
        <f>AND(Hoja3!L186,"AAAAACXyzNY=")</f>
        <v>#VALUE!</v>
      </c>
      <c r="HH184" t="e">
        <f>AND(Hoja3!M186,"AAAAACXyzNc=")</f>
        <v>#VALUE!</v>
      </c>
      <c r="HI184" t="e">
        <f>AND(Hoja3!N186,"AAAAACXyzNg=")</f>
        <v>#VALUE!</v>
      </c>
      <c r="HJ184" t="e">
        <f>AND(Hoja3!O186,"AAAAACXyzNk=")</f>
        <v>#VALUE!</v>
      </c>
      <c r="HK184" t="e">
        <f>AND(Hoja3!P186,"AAAAACXyzNo=")</f>
        <v>#VALUE!</v>
      </c>
      <c r="HL184" t="e">
        <f>AND(Hoja3!Q186,"AAAAACXyzNs=")</f>
        <v>#VALUE!</v>
      </c>
      <c r="HM184" s="60">
        <f>IF(Hoja3!187:187,"AAAAACXyzNw=",0)</f>
        <v>0</v>
      </c>
      <c r="HN184" t="e">
        <f>AND(Hoja3!A187,"AAAAACXyzN0=")</f>
        <v>#VALUE!</v>
      </c>
      <c r="HO184" t="e">
        <f>AND(Hoja3!B187,"AAAAACXyzN4=")</f>
        <v>#VALUE!</v>
      </c>
      <c r="HP184" t="e">
        <f>AND(Hoja3!C187,"AAAAACXyzN8=")</f>
        <v>#VALUE!</v>
      </c>
      <c r="HQ184" t="e">
        <f>AND(Hoja3!D187,"AAAAACXyzOA=")</f>
        <v>#VALUE!</v>
      </c>
      <c r="HR184" t="e">
        <f>AND(Hoja3!E187,"AAAAACXyzOE=")</f>
        <v>#VALUE!</v>
      </c>
      <c r="HS184" t="e">
        <f>AND(Hoja3!F187,"AAAAACXyzOI=")</f>
        <v>#VALUE!</v>
      </c>
      <c r="HT184" t="e">
        <f>AND(Hoja3!G187,"AAAAACXyzOM=")</f>
        <v>#VALUE!</v>
      </c>
      <c r="HU184" t="e">
        <f>AND(Hoja3!H187,"AAAAACXyzOQ=")</f>
        <v>#VALUE!</v>
      </c>
      <c r="HV184" t="e">
        <f>AND(Hoja3!I187,"AAAAACXyzOU=")</f>
        <v>#VALUE!</v>
      </c>
      <c r="HW184" t="e">
        <f>AND(Hoja3!J187,"AAAAACXyzOY=")</f>
        <v>#VALUE!</v>
      </c>
      <c r="HX184" t="e">
        <f>AND(Hoja3!K187,"AAAAACXyzOc=")</f>
        <v>#VALUE!</v>
      </c>
      <c r="HY184" t="e">
        <f>AND(Hoja3!L187,"AAAAACXyzOg=")</f>
        <v>#VALUE!</v>
      </c>
      <c r="HZ184" t="e">
        <f>AND(Hoja3!M187,"AAAAACXyzOk=")</f>
        <v>#VALUE!</v>
      </c>
      <c r="IA184" t="e">
        <f>AND(Hoja3!N187,"AAAAACXyzOo=")</f>
        <v>#VALUE!</v>
      </c>
      <c r="IB184" t="e">
        <f>AND(Hoja3!O187,"AAAAACXyzOs=")</f>
        <v>#VALUE!</v>
      </c>
      <c r="IC184" t="e">
        <f>AND(Hoja3!P187,"AAAAACXyzOw=")</f>
        <v>#VALUE!</v>
      </c>
      <c r="ID184" t="e">
        <f>AND(Hoja3!Q187,"AAAAACXyzO0=")</f>
        <v>#VALUE!</v>
      </c>
      <c r="IE184" s="60">
        <f>IF(Hoja3!188:188,"AAAAACXyzO4=",0)</f>
        <v>0</v>
      </c>
      <c r="IF184" t="e">
        <f>AND(Hoja3!A188,"AAAAACXyzO8=")</f>
        <v>#VALUE!</v>
      </c>
      <c r="IG184" t="e">
        <f>AND(Hoja3!B188,"AAAAACXyzPA=")</f>
        <v>#VALUE!</v>
      </c>
      <c r="IH184" t="e">
        <f>AND(Hoja3!C188,"AAAAACXyzPE=")</f>
        <v>#VALUE!</v>
      </c>
      <c r="II184" t="e">
        <f>AND(Hoja3!D188,"AAAAACXyzPI=")</f>
        <v>#VALUE!</v>
      </c>
      <c r="IJ184" t="e">
        <f>AND(Hoja3!E188,"AAAAACXyzPM=")</f>
        <v>#VALUE!</v>
      </c>
      <c r="IK184" t="e">
        <f>AND(Hoja3!F188,"AAAAACXyzPQ=")</f>
        <v>#VALUE!</v>
      </c>
      <c r="IL184" t="e">
        <f>AND(Hoja3!G188,"AAAAACXyzPU=")</f>
        <v>#VALUE!</v>
      </c>
      <c r="IM184" t="e">
        <f>AND(Hoja3!H188,"AAAAACXyzPY=")</f>
        <v>#VALUE!</v>
      </c>
      <c r="IN184" t="e">
        <f>AND(Hoja3!I188,"AAAAACXyzPc=")</f>
        <v>#VALUE!</v>
      </c>
      <c r="IO184" t="e">
        <f>AND(Hoja3!J188,"AAAAACXyzPg=")</f>
        <v>#VALUE!</v>
      </c>
      <c r="IP184" t="e">
        <f>AND(Hoja3!K188,"AAAAACXyzPk=")</f>
        <v>#VALUE!</v>
      </c>
      <c r="IQ184" t="e">
        <f>AND(Hoja3!L188,"AAAAACXyzPo=")</f>
        <v>#VALUE!</v>
      </c>
      <c r="IR184" t="e">
        <f>AND(Hoja3!M188,"AAAAACXyzPs=")</f>
        <v>#VALUE!</v>
      </c>
      <c r="IS184" t="e">
        <f>AND(Hoja3!N188,"AAAAACXyzPw=")</f>
        <v>#VALUE!</v>
      </c>
      <c r="IT184" t="e">
        <f>AND(Hoja3!O188,"AAAAACXyzP0=")</f>
        <v>#VALUE!</v>
      </c>
      <c r="IU184" t="e">
        <f>AND(Hoja3!P188,"AAAAACXyzP4=")</f>
        <v>#VALUE!</v>
      </c>
      <c r="IV184" t="e">
        <f>AND(Hoja3!Q188,"AAAAACXyzP8=")</f>
        <v>#VALUE!</v>
      </c>
    </row>
    <row r="185" spans="1:256" ht="15" customHeight="1" x14ac:dyDescent="0.25">
      <c r="A185" s="60">
        <f>IF(Hoja3!189:189,"AAAAAD9/fQA=",0)</f>
        <v>0</v>
      </c>
      <c r="B185" t="e">
        <f>AND(Hoja3!A189,"AAAAAD9/fQE=")</f>
        <v>#VALUE!</v>
      </c>
      <c r="C185" t="e">
        <f>AND(Hoja3!B189,"AAAAAD9/fQI=")</f>
        <v>#VALUE!</v>
      </c>
      <c r="D185" t="e">
        <f>AND(Hoja3!C189,"AAAAAD9/fQM=")</f>
        <v>#VALUE!</v>
      </c>
      <c r="E185" t="e">
        <f>AND(Hoja3!D189,"AAAAAD9/fQQ=")</f>
        <v>#VALUE!</v>
      </c>
      <c r="F185" t="e">
        <f>AND(Hoja3!E189,"AAAAAD9/fQU=")</f>
        <v>#VALUE!</v>
      </c>
      <c r="G185" t="e">
        <f>AND(Hoja3!F189,"AAAAAD9/fQY=")</f>
        <v>#VALUE!</v>
      </c>
      <c r="H185" t="e">
        <f>AND(Hoja3!G189,"AAAAAD9/fQc=")</f>
        <v>#VALUE!</v>
      </c>
      <c r="I185" t="e">
        <f>AND(Hoja3!H189,"AAAAAD9/fQg=")</f>
        <v>#VALUE!</v>
      </c>
      <c r="J185" t="e">
        <f>AND(Hoja3!I189,"AAAAAD9/fQk=")</f>
        <v>#VALUE!</v>
      </c>
      <c r="K185" t="e">
        <f>AND(Hoja3!J189,"AAAAAD9/fQo=")</f>
        <v>#VALUE!</v>
      </c>
      <c r="L185" t="e">
        <f>AND(Hoja3!K189,"AAAAAD9/fQs=")</f>
        <v>#VALUE!</v>
      </c>
      <c r="M185" t="e">
        <f>AND(Hoja3!L189,"AAAAAD9/fQw=")</f>
        <v>#VALUE!</v>
      </c>
      <c r="N185" t="e">
        <f>AND(Hoja3!M189,"AAAAAD9/fQ0=")</f>
        <v>#VALUE!</v>
      </c>
      <c r="O185" t="e">
        <f>AND(Hoja3!N189,"AAAAAD9/fQ4=")</f>
        <v>#VALUE!</v>
      </c>
      <c r="P185" t="e">
        <f>AND(Hoja3!O189,"AAAAAD9/fQ8=")</f>
        <v>#VALUE!</v>
      </c>
      <c r="Q185" t="e">
        <f>AND(Hoja3!P189,"AAAAAD9/fRA=")</f>
        <v>#VALUE!</v>
      </c>
      <c r="R185" t="e">
        <f>AND(Hoja3!Q189,"AAAAAD9/fRE=")</f>
        <v>#VALUE!</v>
      </c>
      <c r="S185" s="60">
        <f>IF(Hoja3!190:190,"AAAAAD9/fRI=",0)</f>
        <v>0</v>
      </c>
      <c r="T185" t="e">
        <f>AND(Hoja3!A190,"AAAAAD9/fRM=")</f>
        <v>#VALUE!</v>
      </c>
      <c r="U185" t="e">
        <f>AND(Hoja3!B190,"AAAAAD9/fRQ=")</f>
        <v>#VALUE!</v>
      </c>
      <c r="V185" t="e">
        <f>AND(Hoja3!C190,"AAAAAD9/fRU=")</f>
        <v>#VALUE!</v>
      </c>
      <c r="W185" t="e">
        <f>AND(Hoja3!D190,"AAAAAD9/fRY=")</f>
        <v>#VALUE!</v>
      </c>
      <c r="X185" t="e">
        <f>AND(Hoja3!E190,"AAAAAD9/fRc=")</f>
        <v>#VALUE!</v>
      </c>
      <c r="Y185" t="e">
        <f>AND(Hoja3!F190,"AAAAAD9/fRg=")</f>
        <v>#VALUE!</v>
      </c>
      <c r="Z185" t="e">
        <f>AND(Hoja3!G190,"AAAAAD9/fRk=")</f>
        <v>#VALUE!</v>
      </c>
      <c r="AA185" t="e">
        <f>AND(Hoja3!H190,"AAAAAD9/fRo=")</f>
        <v>#VALUE!</v>
      </c>
      <c r="AB185" t="e">
        <f>AND(Hoja3!I190,"AAAAAD9/fRs=")</f>
        <v>#VALUE!</v>
      </c>
      <c r="AC185" t="e">
        <f>AND(Hoja3!J190,"AAAAAD9/fRw=")</f>
        <v>#VALUE!</v>
      </c>
      <c r="AD185" t="e">
        <f>AND(Hoja3!K190,"AAAAAD9/fR0=")</f>
        <v>#VALUE!</v>
      </c>
      <c r="AE185" t="e">
        <f>AND(Hoja3!L190,"AAAAAD9/fR4=")</f>
        <v>#VALUE!</v>
      </c>
      <c r="AF185" t="e">
        <f>AND(Hoja3!M190,"AAAAAD9/fR8=")</f>
        <v>#VALUE!</v>
      </c>
      <c r="AG185" t="e">
        <f>AND(Hoja3!N190,"AAAAAD9/fSA=")</f>
        <v>#VALUE!</v>
      </c>
      <c r="AH185" t="e">
        <f>AND(Hoja3!O190,"AAAAAD9/fSE=")</f>
        <v>#VALUE!</v>
      </c>
      <c r="AI185" t="e">
        <f>AND(Hoja3!P190,"AAAAAD9/fSI=")</f>
        <v>#VALUE!</v>
      </c>
      <c r="AJ185" t="e">
        <f>AND(Hoja3!Q190,"AAAAAD9/fSM=")</f>
        <v>#VALUE!</v>
      </c>
      <c r="AK185" s="60">
        <f>IF(Hoja3!191:191,"AAAAAD9/fSQ=",0)</f>
        <v>0</v>
      </c>
      <c r="AL185" t="e">
        <f>AND(Hoja3!A191,"AAAAAD9/fSU=")</f>
        <v>#VALUE!</v>
      </c>
      <c r="AM185" t="e">
        <f>AND(Hoja3!B191,"AAAAAD9/fSY=")</f>
        <v>#VALUE!</v>
      </c>
      <c r="AN185" t="e">
        <f>AND(Hoja3!C191,"AAAAAD9/fSc=")</f>
        <v>#VALUE!</v>
      </c>
      <c r="AO185" t="e">
        <f>AND(Hoja3!D191,"AAAAAD9/fSg=")</f>
        <v>#VALUE!</v>
      </c>
      <c r="AP185" t="e">
        <f>AND(Hoja3!E191,"AAAAAD9/fSk=")</f>
        <v>#VALUE!</v>
      </c>
      <c r="AQ185" t="e">
        <f>AND(Hoja3!F191,"AAAAAD9/fSo=")</f>
        <v>#VALUE!</v>
      </c>
      <c r="AR185" t="e">
        <f>AND(Hoja3!G191,"AAAAAD9/fSs=")</f>
        <v>#VALUE!</v>
      </c>
      <c r="AS185" t="e">
        <f>AND(Hoja3!H191,"AAAAAD9/fSw=")</f>
        <v>#VALUE!</v>
      </c>
      <c r="AT185" t="e">
        <f>AND(Hoja3!I191,"AAAAAD9/fS0=")</f>
        <v>#VALUE!</v>
      </c>
      <c r="AU185" t="e">
        <f>AND(Hoja3!J191,"AAAAAD9/fS4=")</f>
        <v>#VALUE!</v>
      </c>
      <c r="AV185" t="e">
        <f>AND(Hoja3!K191,"AAAAAD9/fS8=")</f>
        <v>#VALUE!</v>
      </c>
      <c r="AW185" t="e">
        <f>AND(Hoja3!L191,"AAAAAD9/fTA=")</f>
        <v>#VALUE!</v>
      </c>
      <c r="AX185" t="e">
        <f>AND(Hoja3!M191,"AAAAAD9/fTE=")</f>
        <v>#VALUE!</v>
      </c>
      <c r="AY185" t="e">
        <f>AND(Hoja3!N191,"AAAAAD9/fTI=")</f>
        <v>#VALUE!</v>
      </c>
      <c r="AZ185" t="e">
        <f>AND(Hoja3!O191,"AAAAAD9/fTM=")</f>
        <v>#VALUE!</v>
      </c>
      <c r="BA185" t="e">
        <f>AND(Hoja3!P191,"AAAAAD9/fTQ=")</f>
        <v>#VALUE!</v>
      </c>
      <c r="BB185" t="e">
        <f>AND(Hoja3!Q191,"AAAAAD9/fTU=")</f>
        <v>#VALUE!</v>
      </c>
      <c r="BC185" s="60">
        <f>IF(Hoja3!192:192,"AAAAAD9/fTY=",0)</f>
        <v>0</v>
      </c>
      <c r="BD185" t="e">
        <f>AND(Hoja3!A192,"AAAAAD9/fTc=")</f>
        <v>#VALUE!</v>
      </c>
      <c r="BE185" t="e">
        <f>AND(Hoja3!B192,"AAAAAD9/fTg=")</f>
        <v>#VALUE!</v>
      </c>
      <c r="BF185" t="e">
        <f>AND(Hoja3!C192,"AAAAAD9/fTk=")</f>
        <v>#VALUE!</v>
      </c>
      <c r="BG185" t="e">
        <f>AND(Hoja3!D192,"AAAAAD9/fTo=")</f>
        <v>#VALUE!</v>
      </c>
      <c r="BH185" t="e">
        <f>AND(Hoja3!E192,"AAAAAD9/fTs=")</f>
        <v>#VALUE!</v>
      </c>
      <c r="BI185" t="e">
        <f>AND(Hoja3!F192,"AAAAAD9/fTw=")</f>
        <v>#VALUE!</v>
      </c>
      <c r="BJ185" t="e">
        <f>AND(Hoja3!G192,"AAAAAD9/fT0=")</f>
        <v>#VALUE!</v>
      </c>
      <c r="BK185" t="e">
        <f>AND(Hoja3!H192,"AAAAAD9/fT4=")</f>
        <v>#VALUE!</v>
      </c>
      <c r="BL185" t="e">
        <f>AND(Hoja3!I192,"AAAAAD9/fT8=")</f>
        <v>#VALUE!</v>
      </c>
      <c r="BM185" t="e">
        <f>AND(Hoja3!J192,"AAAAAD9/fUA=")</f>
        <v>#VALUE!</v>
      </c>
      <c r="BN185" t="e">
        <f>AND(Hoja3!K192,"AAAAAD9/fUE=")</f>
        <v>#VALUE!</v>
      </c>
      <c r="BO185" t="e">
        <f>AND(Hoja3!L192,"AAAAAD9/fUI=")</f>
        <v>#VALUE!</v>
      </c>
      <c r="BP185" t="e">
        <f>AND(Hoja3!M192,"AAAAAD9/fUM=")</f>
        <v>#VALUE!</v>
      </c>
      <c r="BQ185" t="e">
        <f>AND(Hoja3!N192,"AAAAAD9/fUQ=")</f>
        <v>#VALUE!</v>
      </c>
      <c r="BR185" t="e">
        <f>AND(Hoja3!O192,"AAAAAD9/fUU=")</f>
        <v>#VALUE!</v>
      </c>
      <c r="BS185" t="e">
        <f>AND(Hoja3!P192,"AAAAAD9/fUY=")</f>
        <v>#VALUE!</v>
      </c>
      <c r="BT185" t="e">
        <f>AND(Hoja3!Q192,"AAAAAD9/fUc=")</f>
        <v>#VALUE!</v>
      </c>
      <c r="BU185" s="60">
        <f>IF(Hoja3!193:193,"AAAAAD9/fUg=",0)</f>
        <v>0</v>
      </c>
      <c r="BV185" t="e">
        <f>AND(Hoja3!A193,"AAAAAD9/fUk=")</f>
        <v>#VALUE!</v>
      </c>
      <c r="BW185" t="e">
        <f>AND(Hoja3!B193,"AAAAAD9/fUo=")</f>
        <v>#VALUE!</v>
      </c>
      <c r="BX185" t="e">
        <f>AND(Hoja3!C193,"AAAAAD9/fUs=")</f>
        <v>#VALUE!</v>
      </c>
      <c r="BY185" t="e">
        <f>AND(Hoja3!D193,"AAAAAD9/fUw=")</f>
        <v>#VALUE!</v>
      </c>
      <c r="BZ185" t="e">
        <f>AND(Hoja3!E193,"AAAAAD9/fU0=")</f>
        <v>#VALUE!</v>
      </c>
      <c r="CA185" t="e">
        <f>AND(Hoja3!F193,"AAAAAD9/fU4=")</f>
        <v>#VALUE!</v>
      </c>
      <c r="CB185" t="e">
        <f>AND(Hoja3!G193,"AAAAAD9/fU8=")</f>
        <v>#VALUE!</v>
      </c>
      <c r="CC185" t="e">
        <f>AND(Hoja3!H193,"AAAAAD9/fVA=")</f>
        <v>#VALUE!</v>
      </c>
      <c r="CD185" t="e">
        <f>AND(Hoja3!I193,"AAAAAD9/fVE=")</f>
        <v>#VALUE!</v>
      </c>
      <c r="CE185" t="e">
        <f>AND(Hoja3!J193,"AAAAAD9/fVI=")</f>
        <v>#VALUE!</v>
      </c>
      <c r="CF185" t="e">
        <f>AND(Hoja3!K193,"AAAAAD9/fVM=")</f>
        <v>#VALUE!</v>
      </c>
      <c r="CG185" t="e">
        <f>AND(Hoja3!L193,"AAAAAD9/fVQ=")</f>
        <v>#VALUE!</v>
      </c>
      <c r="CH185" t="e">
        <f>AND(Hoja3!M193,"AAAAAD9/fVU=")</f>
        <v>#VALUE!</v>
      </c>
      <c r="CI185" t="e">
        <f>AND(Hoja3!N193,"AAAAAD9/fVY=")</f>
        <v>#VALUE!</v>
      </c>
      <c r="CJ185" t="e">
        <f>AND(Hoja3!O193,"AAAAAD9/fVc=")</f>
        <v>#VALUE!</v>
      </c>
      <c r="CK185" t="e">
        <f>AND(Hoja3!P193,"AAAAAD9/fVg=")</f>
        <v>#VALUE!</v>
      </c>
      <c r="CL185" t="e">
        <f>AND(Hoja3!Q193,"AAAAAD9/fVk=")</f>
        <v>#VALUE!</v>
      </c>
      <c r="CM185" s="60">
        <f>IF(Hoja3!194:194,"AAAAAD9/fVo=",0)</f>
        <v>0</v>
      </c>
      <c r="CN185" t="e">
        <f>AND(Hoja3!A194,"AAAAAD9/fVs=")</f>
        <v>#VALUE!</v>
      </c>
      <c r="CO185" t="e">
        <f>AND(Hoja3!B194,"AAAAAD9/fVw=")</f>
        <v>#VALUE!</v>
      </c>
      <c r="CP185" t="e">
        <f>AND(Hoja3!C194,"AAAAAD9/fV0=")</f>
        <v>#VALUE!</v>
      </c>
      <c r="CQ185" t="e">
        <f>AND(Hoja3!D194,"AAAAAD9/fV4=")</f>
        <v>#VALUE!</v>
      </c>
      <c r="CR185" t="e">
        <f>AND(Hoja3!E194,"AAAAAD9/fV8=")</f>
        <v>#VALUE!</v>
      </c>
      <c r="CS185" t="e">
        <f>AND(Hoja3!F194,"AAAAAD9/fWA=")</f>
        <v>#VALUE!</v>
      </c>
      <c r="CT185" t="e">
        <f>AND(Hoja3!G194,"AAAAAD9/fWE=")</f>
        <v>#VALUE!</v>
      </c>
      <c r="CU185" t="e">
        <f>AND(Hoja3!H194,"AAAAAD9/fWI=")</f>
        <v>#VALUE!</v>
      </c>
      <c r="CV185" t="e">
        <f>AND(Hoja3!I194,"AAAAAD9/fWM=")</f>
        <v>#VALUE!</v>
      </c>
      <c r="CW185" t="e">
        <f>AND(Hoja3!J194,"AAAAAD9/fWQ=")</f>
        <v>#VALUE!</v>
      </c>
      <c r="CX185" t="e">
        <f>AND(Hoja3!K194,"AAAAAD9/fWU=")</f>
        <v>#VALUE!</v>
      </c>
      <c r="CY185" t="e">
        <f>AND(Hoja3!L194,"AAAAAD9/fWY=")</f>
        <v>#VALUE!</v>
      </c>
      <c r="CZ185" t="e">
        <f>AND(Hoja3!M194,"AAAAAD9/fWc=")</f>
        <v>#VALUE!</v>
      </c>
      <c r="DA185" t="e">
        <f>AND(Hoja3!N194,"AAAAAD9/fWg=")</f>
        <v>#VALUE!</v>
      </c>
      <c r="DB185" t="e">
        <f>AND(Hoja3!O194,"AAAAAD9/fWk=")</f>
        <v>#VALUE!</v>
      </c>
      <c r="DC185" t="e">
        <f>AND(Hoja3!P194,"AAAAAD9/fWo=")</f>
        <v>#VALUE!</v>
      </c>
      <c r="DD185" t="e">
        <f>AND(Hoja3!Q194,"AAAAAD9/fWs=")</f>
        <v>#VALUE!</v>
      </c>
      <c r="DE185" s="60">
        <f>IF(Hoja3!195:195,"AAAAAD9/fWw=",0)</f>
        <v>0</v>
      </c>
      <c r="DF185" t="e">
        <f>AND(Hoja3!A195,"AAAAAD9/fW0=")</f>
        <v>#VALUE!</v>
      </c>
      <c r="DG185" t="e">
        <f>AND(Hoja3!B195,"AAAAAD9/fW4=")</f>
        <v>#VALUE!</v>
      </c>
      <c r="DH185" t="e">
        <f>AND(Hoja3!C195,"AAAAAD9/fW8=")</f>
        <v>#VALUE!</v>
      </c>
      <c r="DI185" t="e">
        <f>AND(Hoja3!D195,"AAAAAD9/fXA=")</f>
        <v>#VALUE!</v>
      </c>
      <c r="DJ185" t="e">
        <f>AND(Hoja3!E195,"AAAAAD9/fXE=")</f>
        <v>#VALUE!</v>
      </c>
      <c r="DK185" t="e">
        <f>AND(Hoja3!F195,"AAAAAD9/fXI=")</f>
        <v>#VALUE!</v>
      </c>
      <c r="DL185" t="e">
        <f>AND(Hoja3!G195,"AAAAAD9/fXM=")</f>
        <v>#VALUE!</v>
      </c>
      <c r="DM185" t="e">
        <f>AND(Hoja3!H195,"AAAAAD9/fXQ=")</f>
        <v>#VALUE!</v>
      </c>
      <c r="DN185" t="e">
        <f>AND(Hoja3!I195,"AAAAAD9/fXU=")</f>
        <v>#VALUE!</v>
      </c>
      <c r="DO185" t="e">
        <f>AND(Hoja3!J195,"AAAAAD9/fXY=")</f>
        <v>#VALUE!</v>
      </c>
      <c r="DP185" t="e">
        <f>AND(Hoja3!K195,"AAAAAD9/fXc=")</f>
        <v>#VALUE!</v>
      </c>
      <c r="DQ185" t="e">
        <f>AND(Hoja3!L195,"AAAAAD9/fXg=")</f>
        <v>#VALUE!</v>
      </c>
      <c r="DR185" t="e">
        <f>AND(Hoja3!M195,"AAAAAD9/fXk=")</f>
        <v>#VALUE!</v>
      </c>
      <c r="DS185" t="e">
        <f>AND(Hoja3!N195,"AAAAAD9/fXo=")</f>
        <v>#VALUE!</v>
      </c>
      <c r="DT185" t="e">
        <f>AND(Hoja3!O195,"AAAAAD9/fXs=")</f>
        <v>#VALUE!</v>
      </c>
      <c r="DU185" t="e">
        <f>AND(Hoja3!P195,"AAAAAD9/fXw=")</f>
        <v>#VALUE!</v>
      </c>
      <c r="DV185" t="e">
        <f>AND(Hoja3!Q195,"AAAAAD9/fX0=")</f>
        <v>#VALUE!</v>
      </c>
      <c r="DW185" s="60">
        <f>IF(Hoja3!196:196,"AAAAAD9/fX4=",0)</f>
        <v>0</v>
      </c>
      <c r="DX185" t="e">
        <f>AND(Hoja3!A196,"AAAAAD9/fX8=")</f>
        <v>#VALUE!</v>
      </c>
      <c r="DY185" t="e">
        <f>AND(Hoja3!B196,"AAAAAD9/fYA=")</f>
        <v>#VALUE!</v>
      </c>
      <c r="DZ185" t="e">
        <f>AND(Hoja3!C196,"AAAAAD9/fYE=")</f>
        <v>#VALUE!</v>
      </c>
      <c r="EA185" t="e">
        <f>AND(Hoja3!D196,"AAAAAD9/fYI=")</f>
        <v>#VALUE!</v>
      </c>
      <c r="EB185" t="e">
        <f>AND(Hoja3!E196,"AAAAAD9/fYM=")</f>
        <v>#VALUE!</v>
      </c>
      <c r="EC185" t="e">
        <f>AND(Hoja3!F196,"AAAAAD9/fYQ=")</f>
        <v>#VALUE!</v>
      </c>
      <c r="ED185" t="e">
        <f>AND(Hoja3!G196,"AAAAAD9/fYU=")</f>
        <v>#VALUE!</v>
      </c>
      <c r="EE185" t="e">
        <f>AND(Hoja3!H196,"AAAAAD9/fYY=")</f>
        <v>#VALUE!</v>
      </c>
      <c r="EF185" t="e">
        <f>AND(Hoja3!I196,"AAAAAD9/fYc=")</f>
        <v>#VALUE!</v>
      </c>
      <c r="EG185" t="e">
        <f>AND(Hoja3!J196,"AAAAAD9/fYg=")</f>
        <v>#VALUE!</v>
      </c>
      <c r="EH185" t="e">
        <f>AND(Hoja3!K196,"AAAAAD9/fYk=")</f>
        <v>#VALUE!</v>
      </c>
      <c r="EI185" t="e">
        <f>AND(Hoja3!L196,"AAAAAD9/fYo=")</f>
        <v>#VALUE!</v>
      </c>
      <c r="EJ185" t="e">
        <f>AND(Hoja3!M196,"AAAAAD9/fYs=")</f>
        <v>#VALUE!</v>
      </c>
      <c r="EK185" t="e">
        <f>AND(Hoja3!N196,"AAAAAD9/fYw=")</f>
        <v>#VALUE!</v>
      </c>
      <c r="EL185" t="e">
        <f>AND(Hoja3!O196,"AAAAAD9/fY0=")</f>
        <v>#VALUE!</v>
      </c>
      <c r="EM185" t="e">
        <f>AND(Hoja3!P196,"AAAAAD9/fY4=")</f>
        <v>#VALUE!</v>
      </c>
      <c r="EN185" t="e">
        <f>AND(Hoja3!Q196,"AAAAAD9/fY8=")</f>
        <v>#VALUE!</v>
      </c>
      <c r="EO185" s="60">
        <f>IF(Hoja3!197:197,"AAAAAD9/fZA=",0)</f>
        <v>0</v>
      </c>
      <c r="EP185" t="e">
        <f>AND(Hoja3!A197,"AAAAAD9/fZE=")</f>
        <v>#VALUE!</v>
      </c>
      <c r="EQ185" t="e">
        <f>AND(Hoja3!B197,"AAAAAD9/fZI=")</f>
        <v>#VALUE!</v>
      </c>
      <c r="ER185" t="e">
        <f>AND(Hoja3!C197,"AAAAAD9/fZM=")</f>
        <v>#VALUE!</v>
      </c>
      <c r="ES185" t="e">
        <f>AND(Hoja3!D197,"AAAAAD9/fZQ=")</f>
        <v>#VALUE!</v>
      </c>
      <c r="ET185" t="e">
        <f>AND(Hoja3!E197,"AAAAAD9/fZU=")</f>
        <v>#VALUE!</v>
      </c>
      <c r="EU185" t="e">
        <f>AND(Hoja3!F197,"AAAAAD9/fZY=")</f>
        <v>#VALUE!</v>
      </c>
      <c r="EV185" t="e">
        <f>AND(Hoja3!G197,"AAAAAD9/fZc=")</f>
        <v>#VALUE!</v>
      </c>
      <c r="EW185" t="e">
        <f>AND(Hoja3!H197,"AAAAAD9/fZg=")</f>
        <v>#VALUE!</v>
      </c>
      <c r="EX185" t="e">
        <f>AND(Hoja3!I197,"AAAAAD9/fZk=")</f>
        <v>#VALUE!</v>
      </c>
      <c r="EY185" t="e">
        <f>AND(Hoja3!J197,"AAAAAD9/fZo=")</f>
        <v>#VALUE!</v>
      </c>
      <c r="EZ185" t="e">
        <f>AND(Hoja3!K197,"AAAAAD9/fZs=")</f>
        <v>#VALUE!</v>
      </c>
      <c r="FA185" t="e">
        <f>AND(Hoja3!L197,"AAAAAD9/fZw=")</f>
        <v>#VALUE!</v>
      </c>
      <c r="FB185" t="e">
        <f>AND(Hoja3!M197,"AAAAAD9/fZ0=")</f>
        <v>#VALUE!</v>
      </c>
      <c r="FC185" t="e">
        <f>AND(Hoja3!N197,"AAAAAD9/fZ4=")</f>
        <v>#VALUE!</v>
      </c>
      <c r="FD185" t="e">
        <f>AND(Hoja3!O197,"AAAAAD9/fZ8=")</f>
        <v>#VALUE!</v>
      </c>
      <c r="FE185" t="e">
        <f>AND(Hoja3!P197,"AAAAAD9/faA=")</f>
        <v>#VALUE!</v>
      </c>
      <c r="FF185" t="e">
        <f>AND(Hoja3!Q197,"AAAAAD9/faE=")</f>
        <v>#VALUE!</v>
      </c>
      <c r="FG185" s="60">
        <f>IF(Hoja3!198:198,"AAAAAD9/faI=",0)</f>
        <v>0</v>
      </c>
      <c r="FH185" t="e">
        <f>AND(Hoja3!A198,"AAAAAD9/faM=")</f>
        <v>#VALUE!</v>
      </c>
      <c r="FI185" t="e">
        <f>AND(Hoja3!B198,"AAAAAD9/faQ=")</f>
        <v>#VALUE!</v>
      </c>
      <c r="FJ185" t="e">
        <f>AND(Hoja3!C198,"AAAAAD9/faU=")</f>
        <v>#VALUE!</v>
      </c>
      <c r="FK185" t="e">
        <f>AND(Hoja3!D198,"AAAAAD9/faY=")</f>
        <v>#VALUE!</v>
      </c>
      <c r="FL185" t="e">
        <f>AND(Hoja3!E198,"AAAAAD9/fac=")</f>
        <v>#VALUE!</v>
      </c>
      <c r="FM185" t="e">
        <f>AND(Hoja3!F198,"AAAAAD9/fag=")</f>
        <v>#VALUE!</v>
      </c>
      <c r="FN185" t="e">
        <f>AND(Hoja3!G198,"AAAAAD9/fak=")</f>
        <v>#VALUE!</v>
      </c>
      <c r="FO185" t="e">
        <f>AND(Hoja3!H198,"AAAAAD9/fao=")</f>
        <v>#VALUE!</v>
      </c>
      <c r="FP185" t="e">
        <f>AND(Hoja3!I198,"AAAAAD9/fas=")</f>
        <v>#VALUE!</v>
      </c>
      <c r="FQ185" t="e">
        <f>AND(Hoja3!J198,"AAAAAD9/faw=")</f>
        <v>#VALUE!</v>
      </c>
      <c r="FR185" t="e">
        <f>AND(Hoja3!K198,"AAAAAD9/fa0=")</f>
        <v>#VALUE!</v>
      </c>
      <c r="FS185" t="e">
        <f>AND(Hoja3!L198,"AAAAAD9/fa4=")</f>
        <v>#VALUE!</v>
      </c>
      <c r="FT185" t="e">
        <f>AND(Hoja3!M198,"AAAAAD9/fa8=")</f>
        <v>#VALUE!</v>
      </c>
      <c r="FU185" t="e">
        <f>AND(Hoja3!N198,"AAAAAD9/fbA=")</f>
        <v>#VALUE!</v>
      </c>
      <c r="FV185" t="e">
        <f>AND(Hoja3!O198,"AAAAAD9/fbE=")</f>
        <v>#VALUE!</v>
      </c>
      <c r="FW185" t="e">
        <f>AND(Hoja3!P198,"AAAAAD9/fbI=")</f>
        <v>#VALUE!</v>
      </c>
      <c r="FX185" t="e">
        <f>AND(Hoja3!Q198,"AAAAAD9/fbM=")</f>
        <v>#VALUE!</v>
      </c>
      <c r="FY185" s="60">
        <f>IF(Hoja3!199:199,"AAAAAD9/fbQ=",0)</f>
        <v>0</v>
      </c>
      <c r="FZ185" t="e">
        <f>AND(Hoja3!A199,"AAAAAD9/fbU=")</f>
        <v>#VALUE!</v>
      </c>
      <c r="GA185" t="e">
        <f>AND(Hoja3!B199,"AAAAAD9/fbY=")</f>
        <v>#VALUE!</v>
      </c>
      <c r="GB185" t="e">
        <f>AND(Hoja3!C199,"AAAAAD9/fbc=")</f>
        <v>#VALUE!</v>
      </c>
      <c r="GC185" t="e">
        <f>AND(Hoja3!D199,"AAAAAD9/fbg=")</f>
        <v>#VALUE!</v>
      </c>
      <c r="GD185" t="e">
        <f>AND(Hoja3!E199,"AAAAAD9/fbk=")</f>
        <v>#VALUE!</v>
      </c>
      <c r="GE185" t="e">
        <f>AND(Hoja3!F199,"AAAAAD9/fbo=")</f>
        <v>#VALUE!</v>
      </c>
      <c r="GF185" t="e">
        <f>AND(Hoja3!G199,"AAAAAD9/fbs=")</f>
        <v>#VALUE!</v>
      </c>
      <c r="GG185" t="e">
        <f>AND(Hoja3!H199,"AAAAAD9/fbw=")</f>
        <v>#VALUE!</v>
      </c>
      <c r="GH185" t="e">
        <f>AND(Hoja3!I199,"AAAAAD9/fb0=")</f>
        <v>#VALUE!</v>
      </c>
      <c r="GI185" t="e">
        <f>AND(Hoja3!J199,"AAAAAD9/fb4=")</f>
        <v>#VALUE!</v>
      </c>
      <c r="GJ185" t="e">
        <f>AND(Hoja3!K199,"AAAAAD9/fb8=")</f>
        <v>#VALUE!</v>
      </c>
      <c r="GK185" t="e">
        <f>AND(Hoja3!L199,"AAAAAD9/fcA=")</f>
        <v>#VALUE!</v>
      </c>
      <c r="GL185" t="e">
        <f>AND(Hoja3!M199,"AAAAAD9/fcE=")</f>
        <v>#VALUE!</v>
      </c>
      <c r="GM185" t="e">
        <f>AND(Hoja3!N199,"AAAAAD9/fcI=")</f>
        <v>#VALUE!</v>
      </c>
      <c r="GN185" t="e">
        <f>AND(Hoja3!O199,"AAAAAD9/fcM=")</f>
        <v>#VALUE!</v>
      </c>
      <c r="GO185" t="e">
        <f>AND(Hoja3!P199,"AAAAAD9/fcQ=")</f>
        <v>#VALUE!</v>
      </c>
      <c r="GP185" t="e">
        <f>AND(Hoja3!Q199,"AAAAAD9/fcU=")</f>
        <v>#VALUE!</v>
      </c>
      <c r="GQ185" s="60">
        <f>IF(Hoja3!200:200,"AAAAAD9/fcY=",0)</f>
        <v>0</v>
      </c>
      <c r="GR185" t="e">
        <f>AND(Hoja3!A200,"AAAAAD9/fcc=")</f>
        <v>#VALUE!</v>
      </c>
      <c r="GS185" t="e">
        <f>AND(Hoja3!B200,"AAAAAD9/fcg=")</f>
        <v>#VALUE!</v>
      </c>
      <c r="GT185" t="e">
        <f>AND(Hoja3!C200,"AAAAAD9/fck=")</f>
        <v>#VALUE!</v>
      </c>
      <c r="GU185" t="e">
        <f>AND(Hoja3!D200,"AAAAAD9/fco=")</f>
        <v>#VALUE!</v>
      </c>
      <c r="GV185" t="e">
        <f>AND(Hoja3!E200,"AAAAAD9/fcs=")</f>
        <v>#VALUE!</v>
      </c>
      <c r="GW185" t="e">
        <f>AND(Hoja3!F200,"AAAAAD9/fcw=")</f>
        <v>#VALUE!</v>
      </c>
      <c r="GX185" t="e">
        <f>AND(Hoja3!G200,"AAAAAD9/fc0=")</f>
        <v>#VALUE!</v>
      </c>
      <c r="GY185" t="e">
        <f>AND(Hoja3!H200,"AAAAAD9/fc4=")</f>
        <v>#VALUE!</v>
      </c>
      <c r="GZ185" t="e">
        <f>AND(Hoja3!I200,"AAAAAD9/fc8=")</f>
        <v>#VALUE!</v>
      </c>
      <c r="HA185" t="e">
        <f>AND(Hoja3!J200,"AAAAAD9/fdA=")</f>
        <v>#VALUE!</v>
      </c>
      <c r="HB185" t="e">
        <f>AND(Hoja3!K200,"AAAAAD9/fdE=")</f>
        <v>#VALUE!</v>
      </c>
      <c r="HC185" t="e">
        <f>AND(Hoja3!L200,"AAAAAD9/fdI=")</f>
        <v>#VALUE!</v>
      </c>
      <c r="HD185" t="e">
        <f>AND(Hoja3!M200,"AAAAAD9/fdM=")</f>
        <v>#VALUE!</v>
      </c>
      <c r="HE185" t="e">
        <f>AND(Hoja3!N200,"AAAAAD9/fdQ=")</f>
        <v>#VALUE!</v>
      </c>
      <c r="HF185" t="e">
        <f>AND(Hoja3!O200,"AAAAAD9/fdU=")</f>
        <v>#VALUE!</v>
      </c>
      <c r="HG185" t="e">
        <f>AND(Hoja3!P200,"AAAAAD9/fdY=")</f>
        <v>#VALUE!</v>
      </c>
      <c r="HH185" t="e">
        <f>AND(Hoja3!Q200,"AAAAAD9/fdc=")</f>
        <v>#VALUE!</v>
      </c>
      <c r="HI185" s="60">
        <f>IF(Hoja3!201:201,"AAAAAD9/fdg=",0)</f>
        <v>0</v>
      </c>
      <c r="HJ185" t="e">
        <f>AND(Hoja3!A201,"AAAAAD9/fdk=")</f>
        <v>#VALUE!</v>
      </c>
      <c r="HK185" t="e">
        <f>AND(Hoja3!B201,"AAAAAD9/fdo=")</f>
        <v>#VALUE!</v>
      </c>
      <c r="HL185" t="e">
        <f>AND(Hoja3!C201,"AAAAAD9/fds=")</f>
        <v>#VALUE!</v>
      </c>
      <c r="HM185" t="e">
        <f>AND(Hoja3!D201,"AAAAAD9/fdw=")</f>
        <v>#VALUE!</v>
      </c>
      <c r="HN185" t="e">
        <f>AND(Hoja3!E201,"AAAAAD9/fd0=")</f>
        <v>#VALUE!</v>
      </c>
      <c r="HO185" t="e">
        <f>AND(Hoja3!F201,"AAAAAD9/fd4=")</f>
        <v>#VALUE!</v>
      </c>
      <c r="HP185" t="e">
        <f>AND(Hoja3!G201,"AAAAAD9/fd8=")</f>
        <v>#VALUE!</v>
      </c>
      <c r="HQ185" t="e">
        <f>AND(Hoja3!H201,"AAAAAD9/feA=")</f>
        <v>#VALUE!</v>
      </c>
      <c r="HR185" t="e">
        <f>AND(Hoja3!I201,"AAAAAD9/feE=")</f>
        <v>#VALUE!</v>
      </c>
      <c r="HS185" t="e">
        <f>AND(Hoja3!J201,"AAAAAD9/feI=")</f>
        <v>#VALUE!</v>
      </c>
      <c r="HT185" t="e">
        <f>AND(Hoja3!K201,"AAAAAD9/feM=")</f>
        <v>#VALUE!</v>
      </c>
      <c r="HU185" t="e">
        <f>AND(Hoja3!L201,"AAAAAD9/feQ=")</f>
        <v>#VALUE!</v>
      </c>
      <c r="HV185" t="e">
        <f>AND(Hoja3!M201,"AAAAAD9/feU=")</f>
        <v>#VALUE!</v>
      </c>
      <c r="HW185" t="e">
        <f>AND(Hoja3!N201,"AAAAAD9/feY=")</f>
        <v>#VALUE!</v>
      </c>
      <c r="HX185" t="e">
        <f>AND(Hoja3!O201,"AAAAAD9/fec=")</f>
        <v>#VALUE!</v>
      </c>
      <c r="HY185" t="e">
        <f>AND(Hoja3!P201,"AAAAAD9/feg=")</f>
        <v>#VALUE!</v>
      </c>
      <c r="HZ185" t="e">
        <f>AND(Hoja3!Q201,"AAAAAD9/fek=")</f>
        <v>#VALUE!</v>
      </c>
      <c r="IA185" s="60">
        <f>IF(Hoja3!202:202,"AAAAAD9/feo=",0)</f>
        <v>0</v>
      </c>
      <c r="IB185" t="e">
        <f>AND(Hoja3!A202,"AAAAAD9/fes=")</f>
        <v>#VALUE!</v>
      </c>
      <c r="IC185" t="e">
        <f>AND(Hoja3!B202,"AAAAAD9/few=")</f>
        <v>#VALUE!</v>
      </c>
      <c r="ID185" t="e">
        <f>AND(Hoja3!C202,"AAAAAD9/fe0=")</f>
        <v>#VALUE!</v>
      </c>
      <c r="IE185" t="e">
        <f>AND(Hoja3!D202,"AAAAAD9/fe4=")</f>
        <v>#VALUE!</v>
      </c>
      <c r="IF185" t="e">
        <f>AND(Hoja3!E202,"AAAAAD9/fe8=")</f>
        <v>#VALUE!</v>
      </c>
      <c r="IG185" t="e">
        <f>AND(Hoja3!F202,"AAAAAD9/ffA=")</f>
        <v>#VALUE!</v>
      </c>
      <c r="IH185" t="e">
        <f>AND(Hoja3!G202,"AAAAAD9/ffE=")</f>
        <v>#VALUE!</v>
      </c>
      <c r="II185" t="e">
        <f>AND(Hoja3!H202,"AAAAAD9/ffI=")</f>
        <v>#VALUE!</v>
      </c>
      <c r="IJ185" t="e">
        <f>AND(Hoja3!I202,"AAAAAD9/ffM=")</f>
        <v>#VALUE!</v>
      </c>
      <c r="IK185" t="e">
        <f>AND(Hoja3!J202,"AAAAAD9/ffQ=")</f>
        <v>#VALUE!</v>
      </c>
      <c r="IL185" t="e">
        <f>AND(Hoja3!K202,"AAAAAD9/ffU=")</f>
        <v>#VALUE!</v>
      </c>
      <c r="IM185" t="e">
        <f>AND(Hoja3!L202,"AAAAAD9/ffY=")</f>
        <v>#VALUE!</v>
      </c>
      <c r="IN185" t="e">
        <f>AND(Hoja3!M202,"AAAAAD9/ffc=")</f>
        <v>#VALUE!</v>
      </c>
      <c r="IO185" t="e">
        <f>AND(Hoja3!N202,"AAAAAD9/ffg=")</f>
        <v>#VALUE!</v>
      </c>
      <c r="IP185" t="e">
        <f>AND(Hoja3!O202,"AAAAAD9/ffk=")</f>
        <v>#VALUE!</v>
      </c>
      <c r="IQ185" t="e">
        <f>AND(Hoja3!P202,"AAAAAD9/ffo=")</f>
        <v>#VALUE!</v>
      </c>
      <c r="IR185" t="e">
        <f>AND(Hoja3!Q202,"AAAAAD9/ffs=")</f>
        <v>#VALUE!</v>
      </c>
      <c r="IS185" s="60">
        <f>IF(Hoja3!203:203,"AAAAAD9/ffw=",0)</f>
        <v>0</v>
      </c>
      <c r="IT185" t="e">
        <f>AND(Hoja3!A203,"AAAAAD9/ff0=")</f>
        <v>#VALUE!</v>
      </c>
      <c r="IU185" t="e">
        <f>AND(Hoja3!B203,"AAAAAD9/ff4=")</f>
        <v>#VALUE!</v>
      </c>
      <c r="IV185" t="e">
        <f>AND(Hoja3!C203,"AAAAAD9/ff8=")</f>
        <v>#VALUE!</v>
      </c>
    </row>
    <row r="186" spans="1:256" ht="15" customHeight="1" x14ac:dyDescent="0.25">
      <c r="A186" t="e">
        <f>AND(Hoja3!D203,"AAAAAD397gA=")</f>
        <v>#VALUE!</v>
      </c>
      <c r="B186" t="e">
        <f>AND(Hoja3!E203,"AAAAAD397gE=")</f>
        <v>#VALUE!</v>
      </c>
      <c r="C186" t="e">
        <f>AND(Hoja3!F203,"AAAAAD397gI=")</f>
        <v>#VALUE!</v>
      </c>
      <c r="D186" t="e">
        <f>AND(Hoja3!G203,"AAAAAD397gM=")</f>
        <v>#VALUE!</v>
      </c>
      <c r="E186" t="e">
        <f>AND(Hoja3!H203,"AAAAAD397gQ=")</f>
        <v>#VALUE!</v>
      </c>
      <c r="F186" t="e">
        <f>AND(Hoja3!I203,"AAAAAD397gU=")</f>
        <v>#VALUE!</v>
      </c>
      <c r="G186" t="e">
        <f>AND(Hoja3!J203,"AAAAAD397gY=")</f>
        <v>#VALUE!</v>
      </c>
      <c r="H186" t="e">
        <f>AND(Hoja3!K203,"AAAAAD397gc=")</f>
        <v>#VALUE!</v>
      </c>
      <c r="I186" t="e">
        <f>AND(Hoja3!L203,"AAAAAD397gg=")</f>
        <v>#VALUE!</v>
      </c>
      <c r="J186" t="e">
        <f>AND(Hoja3!M203,"AAAAAD397gk=")</f>
        <v>#VALUE!</v>
      </c>
      <c r="K186" t="e">
        <f>AND(Hoja3!N203,"AAAAAD397go=")</f>
        <v>#VALUE!</v>
      </c>
      <c r="L186" t="e">
        <f>AND(Hoja3!O203,"AAAAAD397gs=")</f>
        <v>#VALUE!</v>
      </c>
      <c r="M186" t="e">
        <f>AND(Hoja3!P203,"AAAAAD397gw=")</f>
        <v>#VALUE!</v>
      </c>
      <c r="N186" t="e">
        <f>AND(Hoja3!Q203,"AAAAAD397g0=")</f>
        <v>#VALUE!</v>
      </c>
      <c r="O186" t="str">
        <f>IF(Hoja3!204:204,"AAAAAD397g4=",0)</f>
        <v>AAAAAD397g4=</v>
      </c>
      <c r="P186" t="e">
        <f>AND(Hoja3!A204,"AAAAAD397g8=")</f>
        <v>#VALUE!</v>
      </c>
      <c r="Q186" t="e">
        <f>AND(Hoja3!B204,"AAAAAD397hA=")</f>
        <v>#VALUE!</v>
      </c>
      <c r="R186" t="e">
        <f>AND(Hoja3!C204,"AAAAAD397hE=")</f>
        <v>#VALUE!</v>
      </c>
      <c r="S186" t="e">
        <f>AND(Hoja3!D204,"AAAAAD397hI=")</f>
        <v>#VALUE!</v>
      </c>
      <c r="T186" t="e">
        <f>AND(Hoja3!E204,"AAAAAD397hM=")</f>
        <v>#VALUE!</v>
      </c>
      <c r="U186" t="e">
        <f>AND(Hoja3!F204,"AAAAAD397hQ=")</f>
        <v>#VALUE!</v>
      </c>
      <c r="V186" t="e">
        <f>AND(Hoja3!G204,"AAAAAD397hU=")</f>
        <v>#VALUE!</v>
      </c>
      <c r="W186" t="e">
        <f>AND(Hoja3!H204,"AAAAAD397hY=")</f>
        <v>#VALUE!</v>
      </c>
      <c r="X186" t="e">
        <f>AND(Hoja3!I204,"AAAAAD397hc=")</f>
        <v>#VALUE!</v>
      </c>
      <c r="Y186" t="e">
        <f>AND(Hoja3!J204,"AAAAAD397hg=")</f>
        <v>#VALUE!</v>
      </c>
      <c r="Z186" t="e">
        <f>AND(Hoja3!K204,"AAAAAD397hk=")</f>
        <v>#VALUE!</v>
      </c>
      <c r="AA186" t="e">
        <f>AND(Hoja3!L204,"AAAAAD397ho=")</f>
        <v>#VALUE!</v>
      </c>
      <c r="AB186" t="e">
        <f>AND(Hoja3!M204,"AAAAAD397hs=")</f>
        <v>#VALUE!</v>
      </c>
      <c r="AC186" t="e">
        <f>AND(Hoja3!N204,"AAAAAD397hw=")</f>
        <v>#VALUE!</v>
      </c>
      <c r="AD186" t="e">
        <f>AND(Hoja3!O204,"AAAAAD397h0=")</f>
        <v>#VALUE!</v>
      </c>
      <c r="AE186" t="e">
        <f>AND(Hoja3!P204,"AAAAAD397h4=")</f>
        <v>#VALUE!</v>
      </c>
      <c r="AF186" t="e">
        <f>AND(Hoja3!Q204,"AAAAAD397h8=")</f>
        <v>#VALUE!</v>
      </c>
      <c r="AG186" s="60">
        <f>IF(Hoja3!205:205,"AAAAAD397iA=",0)</f>
        <v>0</v>
      </c>
      <c r="AH186" t="e">
        <f>AND(Hoja3!A205,"AAAAAD397iE=")</f>
        <v>#VALUE!</v>
      </c>
      <c r="AI186" t="e">
        <f>AND(Hoja3!B205,"AAAAAD397iI=")</f>
        <v>#VALUE!</v>
      </c>
      <c r="AJ186" t="e">
        <f>AND(Hoja3!C205,"AAAAAD397iM=")</f>
        <v>#VALUE!</v>
      </c>
      <c r="AK186" t="e">
        <f>AND(Hoja3!D205,"AAAAAD397iQ=")</f>
        <v>#VALUE!</v>
      </c>
      <c r="AL186" t="e">
        <f>AND(Hoja3!E205,"AAAAAD397iU=")</f>
        <v>#VALUE!</v>
      </c>
      <c r="AM186" t="e">
        <f>AND(Hoja3!F205,"AAAAAD397iY=")</f>
        <v>#VALUE!</v>
      </c>
      <c r="AN186" t="e">
        <f>AND(Hoja3!G205,"AAAAAD397ic=")</f>
        <v>#VALUE!</v>
      </c>
      <c r="AO186" t="e">
        <f>AND(Hoja3!H205,"AAAAAD397ig=")</f>
        <v>#VALUE!</v>
      </c>
      <c r="AP186" t="e">
        <f>AND(Hoja3!I205,"AAAAAD397ik=")</f>
        <v>#VALUE!</v>
      </c>
      <c r="AQ186" t="e">
        <f>AND(Hoja3!J205,"AAAAAD397io=")</f>
        <v>#VALUE!</v>
      </c>
      <c r="AR186" t="e">
        <f>AND(Hoja3!K205,"AAAAAD397is=")</f>
        <v>#VALUE!</v>
      </c>
      <c r="AS186" t="e">
        <f>AND(Hoja3!L205,"AAAAAD397iw=")</f>
        <v>#VALUE!</v>
      </c>
      <c r="AT186" t="e">
        <f>AND(Hoja3!M205,"AAAAAD397i0=")</f>
        <v>#VALUE!</v>
      </c>
      <c r="AU186" t="e">
        <f>AND(Hoja3!N205,"AAAAAD397i4=")</f>
        <v>#VALUE!</v>
      </c>
      <c r="AV186" t="e">
        <f>AND(Hoja3!O205,"AAAAAD397i8=")</f>
        <v>#VALUE!</v>
      </c>
      <c r="AW186" t="e">
        <f>AND(Hoja3!P205,"AAAAAD397jA=")</f>
        <v>#VALUE!</v>
      </c>
      <c r="AX186" t="e">
        <f>AND(Hoja3!Q205,"AAAAAD397jE=")</f>
        <v>#VALUE!</v>
      </c>
      <c r="AY186" s="60">
        <f>IF(Hoja3!206:206,"AAAAAD397jI=",0)</f>
        <v>0</v>
      </c>
      <c r="AZ186" t="e">
        <f>AND(Hoja3!A206,"AAAAAD397jM=")</f>
        <v>#VALUE!</v>
      </c>
      <c r="BA186" t="e">
        <f>AND(Hoja3!B206,"AAAAAD397jQ=")</f>
        <v>#VALUE!</v>
      </c>
      <c r="BB186" t="e">
        <f>AND(Hoja3!C206,"AAAAAD397jU=")</f>
        <v>#VALUE!</v>
      </c>
      <c r="BC186" t="e">
        <f>AND(Hoja3!D206,"AAAAAD397jY=")</f>
        <v>#VALUE!</v>
      </c>
      <c r="BD186" t="e">
        <f>AND(Hoja3!E206,"AAAAAD397jc=")</f>
        <v>#VALUE!</v>
      </c>
      <c r="BE186" t="e">
        <f>AND(Hoja3!F206,"AAAAAD397jg=")</f>
        <v>#VALUE!</v>
      </c>
      <c r="BF186" t="e">
        <f>AND(Hoja3!G206,"AAAAAD397jk=")</f>
        <v>#VALUE!</v>
      </c>
      <c r="BG186" t="e">
        <f>AND(Hoja3!H206,"AAAAAD397jo=")</f>
        <v>#VALUE!</v>
      </c>
      <c r="BH186" t="e">
        <f>AND(Hoja3!I206,"AAAAAD397js=")</f>
        <v>#VALUE!</v>
      </c>
      <c r="BI186" t="e">
        <f>AND(Hoja3!J206,"AAAAAD397jw=")</f>
        <v>#VALUE!</v>
      </c>
      <c r="BJ186" t="e">
        <f>AND(Hoja3!K206,"AAAAAD397j0=")</f>
        <v>#VALUE!</v>
      </c>
      <c r="BK186" t="e">
        <f>AND(Hoja3!L206,"AAAAAD397j4=")</f>
        <v>#VALUE!</v>
      </c>
      <c r="BL186" t="e">
        <f>AND(Hoja3!M206,"AAAAAD397j8=")</f>
        <v>#VALUE!</v>
      </c>
      <c r="BM186" t="e">
        <f>AND(Hoja3!N206,"AAAAAD397kA=")</f>
        <v>#VALUE!</v>
      </c>
      <c r="BN186" t="e">
        <f>AND(Hoja3!O206,"AAAAAD397kE=")</f>
        <v>#VALUE!</v>
      </c>
      <c r="BO186" t="e">
        <f>AND(Hoja3!P206,"AAAAAD397kI=")</f>
        <v>#VALUE!</v>
      </c>
      <c r="BP186" t="e">
        <f>AND(Hoja3!Q206,"AAAAAD397kM=")</f>
        <v>#VALUE!</v>
      </c>
      <c r="BQ186" s="60">
        <f>IF(Hoja3!207:207,"AAAAAD397kQ=",0)</f>
        <v>0</v>
      </c>
      <c r="BR186" t="e">
        <f>AND(Hoja3!A207,"AAAAAD397kU=")</f>
        <v>#VALUE!</v>
      </c>
      <c r="BS186" t="e">
        <f>AND(Hoja3!B207,"AAAAAD397kY=")</f>
        <v>#VALUE!</v>
      </c>
      <c r="BT186" t="e">
        <f>AND(Hoja3!C207,"AAAAAD397kc=")</f>
        <v>#VALUE!</v>
      </c>
      <c r="BU186" t="e">
        <f>AND(Hoja3!D207,"AAAAAD397kg=")</f>
        <v>#VALUE!</v>
      </c>
      <c r="BV186" t="e">
        <f>AND(Hoja3!E207,"AAAAAD397kk=")</f>
        <v>#VALUE!</v>
      </c>
      <c r="BW186" t="e">
        <f>AND(Hoja3!F207,"AAAAAD397ko=")</f>
        <v>#VALUE!</v>
      </c>
      <c r="BX186" t="e">
        <f>AND(Hoja3!G207,"AAAAAD397ks=")</f>
        <v>#VALUE!</v>
      </c>
      <c r="BY186" t="e">
        <f>AND(Hoja3!H207,"AAAAAD397kw=")</f>
        <v>#VALUE!</v>
      </c>
      <c r="BZ186" t="e">
        <f>AND(Hoja3!I207,"AAAAAD397k0=")</f>
        <v>#VALUE!</v>
      </c>
      <c r="CA186" t="e">
        <f>AND(Hoja3!J207,"AAAAAD397k4=")</f>
        <v>#VALUE!</v>
      </c>
      <c r="CB186" t="e">
        <f>AND(Hoja3!K207,"AAAAAD397k8=")</f>
        <v>#VALUE!</v>
      </c>
      <c r="CC186" t="e">
        <f>AND(Hoja3!L207,"AAAAAD397lA=")</f>
        <v>#VALUE!</v>
      </c>
      <c r="CD186" t="e">
        <f>AND(Hoja3!M207,"AAAAAD397lE=")</f>
        <v>#VALUE!</v>
      </c>
      <c r="CE186" t="e">
        <f>AND(Hoja3!N207,"AAAAAD397lI=")</f>
        <v>#VALUE!</v>
      </c>
      <c r="CF186" t="e">
        <f>AND(Hoja3!O207,"AAAAAD397lM=")</f>
        <v>#VALUE!</v>
      </c>
      <c r="CG186" t="e">
        <f>AND(Hoja3!P207,"AAAAAD397lQ=")</f>
        <v>#VALUE!</v>
      </c>
      <c r="CH186" t="e">
        <f>AND(Hoja3!Q207,"AAAAAD397lU=")</f>
        <v>#VALUE!</v>
      </c>
      <c r="CI186" s="60">
        <f>IF(Hoja3!208:208,"AAAAAD397lY=",0)</f>
        <v>0</v>
      </c>
      <c r="CJ186" t="e">
        <f>AND(Hoja3!A208,"AAAAAD397lc=")</f>
        <v>#VALUE!</v>
      </c>
      <c r="CK186" t="e">
        <f>AND(Hoja3!B208,"AAAAAD397lg=")</f>
        <v>#VALUE!</v>
      </c>
      <c r="CL186" t="e">
        <f>AND(Hoja3!C208,"AAAAAD397lk=")</f>
        <v>#VALUE!</v>
      </c>
      <c r="CM186" t="e">
        <f>AND(Hoja3!D208,"AAAAAD397lo=")</f>
        <v>#VALUE!</v>
      </c>
      <c r="CN186" t="e">
        <f>AND(Hoja3!E208,"AAAAAD397ls=")</f>
        <v>#VALUE!</v>
      </c>
      <c r="CO186" t="e">
        <f>AND(Hoja3!F208,"AAAAAD397lw=")</f>
        <v>#VALUE!</v>
      </c>
      <c r="CP186" t="e">
        <f>AND(Hoja3!G208,"AAAAAD397l0=")</f>
        <v>#VALUE!</v>
      </c>
      <c r="CQ186" t="e">
        <f>AND(Hoja3!H208,"AAAAAD397l4=")</f>
        <v>#VALUE!</v>
      </c>
      <c r="CR186" t="e">
        <f>AND(Hoja3!I208,"AAAAAD397l8=")</f>
        <v>#VALUE!</v>
      </c>
      <c r="CS186" t="e">
        <f>AND(Hoja3!J208,"AAAAAD397mA=")</f>
        <v>#VALUE!</v>
      </c>
      <c r="CT186" t="e">
        <f>AND(Hoja3!K208,"AAAAAD397mE=")</f>
        <v>#VALUE!</v>
      </c>
      <c r="CU186" t="e">
        <f>AND(Hoja3!L208,"AAAAAD397mI=")</f>
        <v>#VALUE!</v>
      </c>
      <c r="CV186" t="e">
        <f>AND(Hoja3!M208,"AAAAAD397mM=")</f>
        <v>#VALUE!</v>
      </c>
      <c r="CW186" t="e">
        <f>AND(Hoja3!N208,"AAAAAD397mQ=")</f>
        <v>#VALUE!</v>
      </c>
      <c r="CX186" t="e">
        <f>AND(Hoja3!O208,"AAAAAD397mU=")</f>
        <v>#VALUE!</v>
      </c>
      <c r="CY186" t="e">
        <f>AND(Hoja3!P208,"AAAAAD397mY=")</f>
        <v>#VALUE!</v>
      </c>
      <c r="CZ186" t="e">
        <f>AND(Hoja3!Q208,"AAAAAD397mc=")</f>
        <v>#VALUE!</v>
      </c>
      <c r="DA186" s="60">
        <f>IF(Hoja3!209:209,"AAAAAD397mg=",0)</f>
        <v>0</v>
      </c>
      <c r="DB186" t="e">
        <f>AND(Hoja3!A209,"AAAAAD397mk=")</f>
        <v>#VALUE!</v>
      </c>
      <c r="DC186" t="e">
        <f>AND(Hoja3!B209,"AAAAAD397mo=")</f>
        <v>#VALUE!</v>
      </c>
      <c r="DD186" t="e">
        <f>AND(Hoja3!C209,"AAAAAD397ms=")</f>
        <v>#VALUE!</v>
      </c>
      <c r="DE186" t="e">
        <f>AND(Hoja3!D209,"AAAAAD397mw=")</f>
        <v>#VALUE!</v>
      </c>
      <c r="DF186" t="e">
        <f>AND(Hoja3!E209,"AAAAAD397m0=")</f>
        <v>#VALUE!</v>
      </c>
      <c r="DG186" t="e">
        <f>AND(Hoja3!F209,"AAAAAD397m4=")</f>
        <v>#VALUE!</v>
      </c>
      <c r="DH186" t="e">
        <f>AND(Hoja3!G209,"AAAAAD397m8=")</f>
        <v>#VALUE!</v>
      </c>
      <c r="DI186" t="e">
        <f>AND(Hoja3!H209,"AAAAAD397nA=")</f>
        <v>#VALUE!</v>
      </c>
      <c r="DJ186" t="e">
        <f>AND(Hoja3!I209,"AAAAAD397nE=")</f>
        <v>#VALUE!</v>
      </c>
      <c r="DK186" t="e">
        <f>AND(Hoja3!J209,"AAAAAD397nI=")</f>
        <v>#VALUE!</v>
      </c>
      <c r="DL186" t="e">
        <f>AND(Hoja3!K209,"AAAAAD397nM=")</f>
        <v>#VALUE!</v>
      </c>
      <c r="DM186" t="e">
        <f>AND(Hoja3!L209,"AAAAAD397nQ=")</f>
        <v>#VALUE!</v>
      </c>
      <c r="DN186" t="e">
        <f>AND(Hoja3!M209,"AAAAAD397nU=")</f>
        <v>#VALUE!</v>
      </c>
      <c r="DO186" t="e">
        <f>AND(Hoja3!N209,"AAAAAD397nY=")</f>
        <v>#VALUE!</v>
      </c>
      <c r="DP186" t="e">
        <f>AND(Hoja3!O209,"AAAAAD397nc=")</f>
        <v>#VALUE!</v>
      </c>
      <c r="DQ186" t="e">
        <f>AND(Hoja3!P209,"AAAAAD397ng=")</f>
        <v>#VALUE!</v>
      </c>
      <c r="DR186" t="e">
        <f>AND(Hoja3!Q209,"AAAAAD397nk=")</f>
        <v>#VALUE!</v>
      </c>
      <c r="DS186" s="60">
        <f>IF(Hoja3!210:210,"AAAAAD397no=",0)</f>
        <v>0</v>
      </c>
      <c r="DT186" t="e">
        <f>AND(Hoja3!A210,"AAAAAD397ns=")</f>
        <v>#VALUE!</v>
      </c>
      <c r="DU186" t="e">
        <f>AND(Hoja3!B210,"AAAAAD397nw=")</f>
        <v>#VALUE!</v>
      </c>
      <c r="DV186" t="e">
        <f>AND(Hoja3!C210,"AAAAAD397n0=")</f>
        <v>#VALUE!</v>
      </c>
      <c r="DW186" t="e">
        <f>AND(Hoja3!D210,"AAAAAD397n4=")</f>
        <v>#VALUE!</v>
      </c>
      <c r="DX186" t="e">
        <f>AND(Hoja3!E210,"AAAAAD397n8=")</f>
        <v>#VALUE!</v>
      </c>
      <c r="DY186" t="e">
        <f>AND(Hoja3!F210,"AAAAAD397oA=")</f>
        <v>#VALUE!</v>
      </c>
      <c r="DZ186" t="e">
        <f>AND(Hoja3!G210,"AAAAAD397oE=")</f>
        <v>#VALUE!</v>
      </c>
      <c r="EA186" t="e">
        <f>AND(Hoja3!H210,"AAAAAD397oI=")</f>
        <v>#VALUE!</v>
      </c>
      <c r="EB186" t="e">
        <f>AND(Hoja3!I210,"AAAAAD397oM=")</f>
        <v>#VALUE!</v>
      </c>
      <c r="EC186" t="e">
        <f>AND(Hoja3!J210,"AAAAAD397oQ=")</f>
        <v>#VALUE!</v>
      </c>
      <c r="ED186" t="e">
        <f>AND(Hoja3!K210,"AAAAAD397oU=")</f>
        <v>#VALUE!</v>
      </c>
      <c r="EE186" t="e">
        <f>AND(Hoja3!L210,"AAAAAD397oY=")</f>
        <v>#VALUE!</v>
      </c>
      <c r="EF186" t="e">
        <f>AND(Hoja3!M210,"AAAAAD397oc=")</f>
        <v>#VALUE!</v>
      </c>
      <c r="EG186" t="e">
        <f>AND(Hoja3!N210,"AAAAAD397og=")</f>
        <v>#VALUE!</v>
      </c>
      <c r="EH186" t="e">
        <f>AND(Hoja3!O210,"AAAAAD397ok=")</f>
        <v>#VALUE!</v>
      </c>
      <c r="EI186" t="e">
        <f>AND(Hoja3!P210,"AAAAAD397oo=")</f>
        <v>#VALUE!</v>
      </c>
      <c r="EJ186" t="e">
        <f>AND(Hoja3!Q210,"AAAAAD397os=")</f>
        <v>#VALUE!</v>
      </c>
      <c r="EK186" s="60">
        <f>IF(Hoja3!211:211,"AAAAAD397ow=",0)</f>
        <v>0</v>
      </c>
      <c r="EL186" t="e">
        <f>AND(Hoja3!A211,"AAAAAD397o0=")</f>
        <v>#VALUE!</v>
      </c>
      <c r="EM186" t="e">
        <f>AND(Hoja3!B211,"AAAAAD397o4=")</f>
        <v>#VALUE!</v>
      </c>
      <c r="EN186" t="e">
        <f>AND(Hoja3!C211,"AAAAAD397o8=")</f>
        <v>#VALUE!</v>
      </c>
      <c r="EO186" t="e">
        <f>AND(Hoja3!D211,"AAAAAD397pA=")</f>
        <v>#VALUE!</v>
      </c>
      <c r="EP186" t="e">
        <f>AND(Hoja3!E211,"AAAAAD397pE=")</f>
        <v>#VALUE!</v>
      </c>
      <c r="EQ186" t="e">
        <f>AND(Hoja3!F211,"AAAAAD397pI=")</f>
        <v>#VALUE!</v>
      </c>
      <c r="ER186" t="e">
        <f>AND(Hoja3!G211,"AAAAAD397pM=")</f>
        <v>#VALUE!</v>
      </c>
      <c r="ES186" t="e">
        <f>AND(Hoja3!H211,"AAAAAD397pQ=")</f>
        <v>#VALUE!</v>
      </c>
      <c r="ET186" t="e">
        <f>AND(Hoja3!I211,"AAAAAD397pU=")</f>
        <v>#VALUE!</v>
      </c>
      <c r="EU186" t="e">
        <f>AND(Hoja3!J211,"AAAAAD397pY=")</f>
        <v>#VALUE!</v>
      </c>
      <c r="EV186" t="e">
        <f>AND(Hoja3!K211,"AAAAAD397pc=")</f>
        <v>#VALUE!</v>
      </c>
      <c r="EW186" t="e">
        <f>AND(Hoja3!L211,"AAAAAD397pg=")</f>
        <v>#VALUE!</v>
      </c>
      <c r="EX186" t="e">
        <f>AND(Hoja3!M211,"AAAAAD397pk=")</f>
        <v>#VALUE!</v>
      </c>
      <c r="EY186" t="e">
        <f>AND(Hoja3!N211,"AAAAAD397po=")</f>
        <v>#VALUE!</v>
      </c>
      <c r="EZ186" t="e">
        <f>AND(Hoja3!O211,"AAAAAD397ps=")</f>
        <v>#VALUE!</v>
      </c>
      <c r="FA186" t="e">
        <f>AND(Hoja3!P211,"AAAAAD397pw=")</f>
        <v>#VALUE!</v>
      </c>
      <c r="FB186" t="e">
        <f>AND(Hoja3!Q211,"AAAAAD397p0=")</f>
        <v>#VALUE!</v>
      </c>
      <c r="FC186" s="60">
        <f>IF(Hoja3!212:212,"AAAAAD397p4=",0)</f>
        <v>0</v>
      </c>
      <c r="FD186" t="e">
        <f>AND(Hoja3!A212,"AAAAAD397p8=")</f>
        <v>#VALUE!</v>
      </c>
      <c r="FE186" t="e">
        <f>AND(Hoja3!B212,"AAAAAD397qA=")</f>
        <v>#VALUE!</v>
      </c>
      <c r="FF186" t="e">
        <f>AND(Hoja3!C212,"AAAAAD397qE=")</f>
        <v>#VALUE!</v>
      </c>
      <c r="FG186" t="e">
        <f>AND(Hoja3!D212,"AAAAAD397qI=")</f>
        <v>#VALUE!</v>
      </c>
      <c r="FH186" t="e">
        <f>AND(Hoja3!E212,"AAAAAD397qM=")</f>
        <v>#VALUE!</v>
      </c>
      <c r="FI186" t="e">
        <f>AND(Hoja3!F212,"AAAAAD397qQ=")</f>
        <v>#VALUE!</v>
      </c>
      <c r="FJ186" t="e">
        <f>AND(Hoja3!G212,"AAAAAD397qU=")</f>
        <v>#VALUE!</v>
      </c>
      <c r="FK186" t="e">
        <f>AND(Hoja3!H212,"AAAAAD397qY=")</f>
        <v>#VALUE!</v>
      </c>
      <c r="FL186" t="e">
        <f>AND(Hoja3!I212,"AAAAAD397qc=")</f>
        <v>#VALUE!</v>
      </c>
      <c r="FM186" t="e">
        <f>AND(Hoja3!J212,"AAAAAD397qg=")</f>
        <v>#VALUE!</v>
      </c>
      <c r="FN186" t="e">
        <f>AND(Hoja3!K212,"AAAAAD397qk=")</f>
        <v>#VALUE!</v>
      </c>
      <c r="FO186" t="e">
        <f>AND(Hoja3!L212,"AAAAAD397qo=")</f>
        <v>#VALUE!</v>
      </c>
      <c r="FP186" t="e">
        <f>AND(Hoja3!M212,"AAAAAD397qs=")</f>
        <v>#VALUE!</v>
      </c>
      <c r="FQ186" t="e">
        <f>AND(Hoja3!N212,"AAAAAD397qw=")</f>
        <v>#VALUE!</v>
      </c>
      <c r="FR186" t="e">
        <f>AND(Hoja3!O212,"AAAAAD397q0=")</f>
        <v>#VALUE!</v>
      </c>
      <c r="FS186" t="e">
        <f>AND(Hoja3!P212,"AAAAAD397q4=")</f>
        <v>#VALUE!</v>
      </c>
      <c r="FT186" t="e">
        <f>AND(Hoja3!Q212,"AAAAAD397q8=")</f>
        <v>#VALUE!</v>
      </c>
      <c r="FU186" s="60">
        <f>IF(Hoja3!213:213,"AAAAAD397rA=",0)</f>
        <v>0</v>
      </c>
      <c r="FV186" t="e">
        <f>AND(Hoja3!A213,"AAAAAD397rE=")</f>
        <v>#VALUE!</v>
      </c>
      <c r="FW186" t="e">
        <f>AND(Hoja3!B213,"AAAAAD397rI=")</f>
        <v>#VALUE!</v>
      </c>
      <c r="FX186" t="e">
        <f>AND(Hoja3!C213,"AAAAAD397rM=")</f>
        <v>#VALUE!</v>
      </c>
      <c r="FY186" t="e">
        <f>AND(Hoja3!D213,"AAAAAD397rQ=")</f>
        <v>#VALUE!</v>
      </c>
      <c r="FZ186" t="e">
        <f>AND(Hoja3!E213,"AAAAAD397rU=")</f>
        <v>#VALUE!</v>
      </c>
      <c r="GA186" t="e">
        <f>AND(Hoja3!F213,"AAAAAD397rY=")</f>
        <v>#VALUE!</v>
      </c>
      <c r="GB186" t="e">
        <f>AND(Hoja3!G213,"AAAAAD397rc=")</f>
        <v>#VALUE!</v>
      </c>
      <c r="GC186" t="e">
        <f>AND(Hoja3!H213,"AAAAAD397rg=")</f>
        <v>#VALUE!</v>
      </c>
      <c r="GD186" t="e">
        <f>AND(Hoja3!I213,"AAAAAD397rk=")</f>
        <v>#VALUE!</v>
      </c>
      <c r="GE186" t="e">
        <f>AND(Hoja3!J213,"AAAAAD397ro=")</f>
        <v>#VALUE!</v>
      </c>
      <c r="GF186" t="e">
        <f>AND(Hoja3!K213,"AAAAAD397rs=")</f>
        <v>#VALUE!</v>
      </c>
      <c r="GG186" t="e">
        <f>AND(Hoja3!L213,"AAAAAD397rw=")</f>
        <v>#VALUE!</v>
      </c>
      <c r="GH186" t="e">
        <f>AND(Hoja3!M213,"AAAAAD397r0=")</f>
        <v>#VALUE!</v>
      </c>
      <c r="GI186" t="e">
        <f>AND(Hoja3!N213,"AAAAAD397r4=")</f>
        <v>#VALUE!</v>
      </c>
      <c r="GJ186" t="e">
        <f>AND(Hoja3!O213,"AAAAAD397r8=")</f>
        <v>#VALUE!</v>
      </c>
      <c r="GK186" t="e">
        <f>AND(Hoja3!P213,"AAAAAD397sA=")</f>
        <v>#VALUE!</v>
      </c>
      <c r="GL186" t="e">
        <f>AND(Hoja3!Q213,"AAAAAD397sE=")</f>
        <v>#VALUE!</v>
      </c>
      <c r="GM186" s="60">
        <f>IF(Hoja3!214:214,"AAAAAD397sI=",0)</f>
        <v>0</v>
      </c>
      <c r="GN186" t="e">
        <f>AND(Hoja3!A214,"AAAAAD397sM=")</f>
        <v>#VALUE!</v>
      </c>
      <c r="GO186" t="e">
        <f>AND(Hoja3!B214,"AAAAAD397sQ=")</f>
        <v>#VALUE!</v>
      </c>
      <c r="GP186" t="e">
        <f>AND(Hoja3!C214,"AAAAAD397sU=")</f>
        <v>#VALUE!</v>
      </c>
      <c r="GQ186" t="e">
        <f>AND(Hoja3!D214,"AAAAAD397sY=")</f>
        <v>#VALUE!</v>
      </c>
      <c r="GR186" t="e">
        <f>AND(Hoja3!E214,"AAAAAD397sc=")</f>
        <v>#VALUE!</v>
      </c>
      <c r="GS186" t="e">
        <f>AND(Hoja3!F214,"AAAAAD397sg=")</f>
        <v>#VALUE!</v>
      </c>
      <c r="GT186" t="e">
        <f>AND(Hoja3!G214,"AAAAAD397sk=")</f>
        <v>#VALUE!</v>
      </c>
      <c r="GU186" t="e">
        <f>AND(Hoja3!H214,"AAAAAD397so=")</f>
        <v>#VALUE!</v>
      </c>
      <c r="GV186" t="e">
        <f>AND(Hoja3!I214,"AAAAAD397ss=")</f>
        <v>#VALUE!</v>
      </c>
      <c r="GW186" t="e">
        <f>AND(Hoja3!J214,"AAAAAD397sw=")</f>
        <v>#VALUE!</v>
      </c>
      <c r="GX186" t="e">
        <f>AND(Hoja3!K214,"AAAAAD397s0=")</f>
        <v>#VALUE!</v>
      </c>
      <c r="GY186" t="e">
        <f>AND(Hoja3!L214,"AAAAAD397s4=")</f>
        <v>#VALUE!</v>
      </c>
      <c r="GZ186" t="e">
        <f>AND(Hoja3!M214,"AAAAAD397s8=")</f>
        <v>#VALUE!</v>
      </c>
      <c r="HA186" t="e">
        <f>AND(Hoja3!N214,"AAAAAD397tA=")</f>
        <v>#VALUE!</v>
      </c>
      <c r="HB186" t="e">
        <f>AND(Hoja3!O214,"AAAAAD397tE=")</f>
        <v>#VALUE!</v>
      </c>
      <c r="HC186" t="e">
        <f>AND(Hoja3!P214,"AAAAAD397tI=")</f>
        <v>#VALUE!</v>
      </c>
      <c r="HD186" t="e">
        <f>AND(Hoja3!Q214,"AAAAAD397tM=")</f>
        <v>#VALUE!</v>
      </c>
      <c r="HE186" s="60">
        <f>IF(Hoja3!215:215,"AAAAAD397tQ=",0)</f>
        <v>0</v>
      </c>
      <c r="HF186" t="e">
        <f>AND(Hoja3!A215,"AAAAAD397tU=")</f>
        <v>#VALUE!</v>
      </c>
      <c r="HG186" t="e">
        <f>AND(Hoja3!B215,"AAAAAD397tY=")</f>
        <v>#VALUE!</v>
      </c>
      <c r="HH186" t="e">
        <f>AND(Hoja3!C215,"AAAAAD397tc=")</f>
        <v>#VALUE!</v>
      </c>
      <c r="HI186" t="e">
        <f>AND(Hoja3!D215,"AAAAAD397tg=")</f>
        <v>#VALUE!</v>
      </c>
      <c r="HJ186" t="e">
        <f>AND(Hoja3!E215,"AAAAAD397tk=")</f>
        <v>#VALUE!</v>
      </c>
      <c r="HK186" t="e">
        <f>AND(Hoja3!F215,"AAAAAD397to=")</f>
        <v>#VALUE!</v>
      </c>
      <c r="HL186" t="e">
        <f>AND(Hoja3!G215,"AAAAAD397ts=")</f>
        <v>#VALUE!</v>
      </c>
      <c r="HM186" t="e">
        <f>AND(Hoja3!H215,"AAAAAD397tw=")</f>
        <v>#VALUE!</v>
      </c>
      <c r="HN186" t="e">
        <f>AND(Hoja3!I215,"AAAAAD397t0=")</f>
        <v>#VALUE!</v>
      </c>
      <c r="HO186" t="e">
        <f>AND(Hoja3!J215,"AAAAAD397t4=")</f>
        <v>#VALUE!</v>
      </c>
      <c r="HP186" t="e">
        <f>AND(Hoja3!K215,"AAAAAD397t8=")</f>
        <v>#VALUE!</v>
      </c>
      <c r="HQ186" t="e">
        <f>AND(Hoja3!L215,"AAAAAD397uA=")</f>
        <v>#VALUE!</v>
      </c>
      <c r="HR186" t="e">
        <f>AND(Hoja3!M215,"AAAAAD397uE=")</f>
        <v>#VALUE!</v>
      </c>
      <c r="HS186" t="e">
        <f>AND(Hoja3!N215,"AAAAAD397uI=")</f>
        <v>#VALUE!</v>
      </c>
      <c r="HT186" t="e">
        <f>AND(Hoja3!O215,"AAAAAD397uM=")</f>
        <v>#VALUE!</v>
      </c>
      <c r="HU186" t="e">
        <f>AND(Hoja3!P215,"AAAAAD397uQ=")</f>
        <v>#VALUE!</v>
      </c>
      <c r="HV186" t="e">
        <f>AND(Hoja3!Q215,"AAAAAD397uU=")</f>
        <v>#VALUE!</v>
      </c>
      <c r="HW186" s="60">
        <f>IF(Hoja3!216:216,"AAAAAD397uY=",0)</f>
        <v>0</v>
      </c>
      <c r="HX186" t="e">
        <f>AND(Hoja3!A216,"AAAAAD397uc=")</f>
        <v>#VALUE!</v>
      </c>
      <c r="HY186" t="e">
        <f>AND(Hoja3!B216,"AAAAAD397ug=")</f>
        <v>#VALUE!</v>
      </c>
      <c r="HZ186" t="e">
        <f>AND(Hoja3!C216,"AAAAAD397uk=")</f>
        <v>#VALUE!</v>
      </c>
      <c r="IA186" t="e">
        <f>AND(Hoja3!D216,"AAAAAD397uo=")</f>
        <v>#VALUE!</v>
      </c>
      <c r="IB186" t="e">
        <f>AND(Hoja3!E216,"AAAAAD397us=")</f>
        <v>#VALUE!</v>
      </c>
      <c r="IC186" t="e">
        <f>AND(Hoja3!F216,"AAAAAD397uw=")</f>
        <v>#VALUE!</v>
      </c>
      <c r="ID186" t="e">
        <f>AND(Hoja3!G216,"AAAAAD397u0=")</f>
        <v>#VALUE!</v>
      </c>
      <c r="IE186" t="e">
        <f>AND(Hoja3!H216,"AAAAAD397u4=")</f>
        <v>#VALUE!</v>
      </c>
      <c r="IF186" t="e">
        <f>AND(Hoja3!I216,"AAAAAD397u8=")</f>
        <v>#VALUE!</v>
      </c>
      <c r="IG186" t="e">
        <f>AND(Hoja3!J216,"AAAAAD397vA=")</f>
        <v>#VALUE!</v>
      </c>
      <c r="IH186" t="e">
        <f>AND(Hoja3!K216,"AAAAAD397vE=")</f>
        <v>#VALUE!</v>
      </c>
      <c r="II186" t="e">
        <f>AND(Hoja3!L216,"AAAAAD397vI=")</f>
        <v>#VALUE!</v>
      </c>
      <c r="IJ186" t="e">
        <f>AND(Hoja3!M216,"AAAAAD397vM=")</f>
        <v>#VALUE!</v>
      </c>
      <c r="IK186" t="e">
        <f>AND(Hoja3!N216,"AAAAAD397vQ=")</f>
        <v>#VALUE!</v>
      </c>
      <c r="IL186" t="e">
        <f>AND(Hoja3!O216,"AAAAAD397vU=")</f>
        <v>#VALUE!</v>
      </c>
      <c r="IM186" t="e">
        <f>AND(Hoja3!P216,"AAAAAD397vY=")</f>
        <v>#VALUE!</v>
      </c>
      <c r="IN186" t="e">
        <f>AND(Hoja3!Q216,"AAAAAD397vc=")</f>
        <v>#VALUE!</v>
      </c>
      <c r="IO186" s="60">
        <f>IF(Hoja3!217:217,"AAAAAD397vg=",0)</f>
        <v>0</v>
      </c>
      <c r="IP186" t="e">
        <f>AND(Hoja3!A217,"AAAAAD397vk=")</f>
        <v>#VALUE!</v>
      </c>
      <c r="IQ186" t="e">
        <f>AND(Hoja3!B217,"AAAAAD397vo=")</f>
        <v>#VALUE!</v>
      </c>
      <c r="IR186" t="e">
        <f>AND(Hoja3!C217,"AAAAAD397vs=")</f>
        <v>#VALUE!</v>
      </c>
      <c r="IS186" t="e">
        <f>AND(Hoja3!D217,"AAAAAD397vw=")</f>
        <v>#VALUE!</v>
      </c>
      <c r="IT186" t="e">
        <f>AND(Hoja3!E217,"AAAAAD397v0=")</f>
        <v>#VALUE!</v>
      </c>
      <c r="IU186" t="e">
        <f>AND(Hoja3!F217,"AAAAAD397v4=")</f>
        <v>#VALUE!</v>
      </c>
      <c r="IV186" t="e">
        <f>AND(Hoja3!G217,"AAAAAD397v8=")</f>
        <v>#VALUE!</v>
      </c>
    </row>
    <row r="187" spans="1:256" ht="15" customHeight="1" x14ac:dyDescent="0.25">
      <c r="A187" t="e">
        <f>AND(Hoja3!H217,"AAAAAHP7vwA=")</f>
        <v>#VALUE!</v>
      </c>
      <c r="B187" t="e">
        <f>AND(Hoja3!I217,"AAAAAHP7vwE=")</f>
        <v>#VALUE!</v>
      </c>
      <c r="C187" t="e">
        <f>AND(Hoja3!J217,"AAAAAHP7vwI=")</f>
        <v>#VALUE!</v>
      </c>
      <c r="D187" t="e">
        <f>AND(Hoja3!K217,"AAAAAHP7vwM=")</f>
        <v>#VALUE!</v>
      </c>
      <c r="E187" t="e">
        <f>AND(Hoja3!L217,"AAAAAHP7vwQ=")</f>
        <v>#VALUE!</v>
      </c>
      <c r="F187" t="e">
        <f>AND(Hoja3!M217,"AAAAAHP7vwU=")</f>
        <v>#VALUE!</v>
      </c>
      <c r="G187" t="e">
        <f>AND(Hoja3!N217,"AAAAAHP7vwY=")</f>
        <v>#VALUE!</v>
      </c>
      <c r="H187" t="e">
        <f>AND(Hoja3!O217,"AAAAAHP7vwc=")</f>
        <v>#VALUE!</v>
      </c>
      <c r="I187" t="e">
        <f>AND(Hoja3!P217,"AAAAAHP7vwg=")</f>
        <v>#VALUE!</v>
      </c>
      <c r="J187" t="e">
        <f>AND(Hoja3!Q217,"AAAAAHP7vwk=")</f>
        <v>#VALUE!</v>
      </c>
      <c r="K187" t="str">
        <f>IF(Hoja3!218:218,"AAAAAHP7vwo=",0)</f>
        <v>AAAAAHP7vwo=</v>
      </c>
      <c r="L187" t="e">
        <f>AND(Hoja3!A218,"AAAAAHP7vws=")</f>
        <v>#VALUE!</v>
      </c>
      <c r="M187" t="e">
        <f>AND(Hoja3!B218,"AAAAAHP7vww=")</f>
        <v>#VALUE!</v>
      </c>
      <c r="N187" t="e">
        <f>AND(Hoja3!C218,"AAAAAHP7vw0=")</f>
        <v>#VALUE!</v>
      </c>
      <c r="O187" t="e">
        <f>AND(Hoja3!D218,"AAAAAHP7vw4=")</f>
        <v>#VALUE!</v>
      </c>
      <c r="P187" t="e">
        <f>AND(Hoja3!E218,"AAAAAHP7vw8=")</f>
        <v>#VALUE!</v>
      </c>
      <c r="Q187" t="e">
        <f>AND(Hoja3!F218,"AAAAAHP7vxA=")</f>
        <v>#VALUE!</v>
      </c>
      <c r="R187" t="e">
        <f>AND(Hoja3!G218,"AAAAAHP7vxE=")</f>
        <v>#VALUE!</v>
      </c>
      <c r="S187" t="e">
        <f>AND(Hoja3!H218,"AAAAAHP7vxI=")</f>
        <v>#VALUE!</v>
      </c>
      <c r="T187" t="e">
        <f>AND(Hoja3!I218,"AAAAAHP7vxM=")</f>
        <v>#VALUE!</v>
      </c>
      <c r="U187" t="e">
        <f>AND(Hoja3!J218,"AAAAAHP7vxQ=")</f>
        <v>#VALUE!</v>
      </c>
      <c r="V187" t="e">
        <f>AND(Hoja3!K218,"AAAAAHP7vxU=")</f>
        <v>#VALUE!</v>
      </c>
      <c r="W187" t="e">
        <f>AND(Hoja3!L218,"AAAAAHP7vxY=")</f>
        <v>#VALUE!</v>
      </c>
      <c r="X187" t="e">
        <f>AND(Hoja3!M218,"AAAAAHP7vxc=")</f>
        <v>#VALUE!</v>
      </c>
      <c r="Y187" t="e">
        <f>AND(Hoja3!N218,"AAAAAHP7vxg=")</f>
        <v>#VALUE!</v>
      </c>
      <c r="Z187" t="e">
        <f>AND(Hoja3!O218,"AAAAAHP7vxk=")</f>
        <v>#VALUE!</v>
      </c>
      <c r="AA187" t="e">
        <f>AND(Hoja3!P218,"AAAAAHP7vxo=")</f>
        <v>#VALUE!</v>
      </c>
      <c r="AB187" t="e">
        <f>AND(Hoja3!Q218,"AAAAAHP7vxs=")</f>
        <v>#VALUE!</v>
      </c>
      <c r="AC187" s="60">
        <f>IF(Hoja3!219:219,"AAAAAHP7vxw=",0)</f>
        <v>0</v>
      </c>
      <c r="AD187" t="e">
        <f>AND(Hoja3!A219,"AAAAAHP7vx0=")</f>
        <v>#VALUE!</v>
      </c>
      <c r="AE187" t="e">
        <f>AND(Hoja3!B219,"AAAAAHP7vx4=")</f>
        <v>#VALUE!</v>
      </c>
      <c r="AF187" t="e">
        <f>AND(Hoja3!C219,"AAAAAHP7vx8=")</f>
        <v>#VALUE!</v>
      </c>
      <c r="AG187" t="e">
        <f>AND(Hoja3!D219,"AAAAAHP7vyA=")</f>
        <v>#VALUE!</v>
      </c>
      <c r="AH187" t="e">
        <f>AND(Hoja3!E219,"AAAAAHP7vyE=")</f>
        <v>#VALUE!</v>
      </c>
      <c r="AI187" t="e">
        <f>AND(Hoja3!F219,"AAAAAHP7vyI=")</f>
        <v>#VALUE!</v>
      </c>
      <c r="AJ187" t="e">
        <f>AND(Hoja3!G219,"AAAAAHP7vyM=")</f>
        <v>#VALUE!</v>
      </c>
      <c r="AK187" t="e">
        <f>AND(Hoja3!H219,"AAAAAHP7vyQ=")</f>
        <v>#VALUE!</v>
      </c>
      <c r="AL187" t="e">
        <f>AND(Hoja3!I219,"AAAAAHP7vyU=")</f>
        <v>#VALUE!</v>
      </c>
      <c r="AM187" t="e">
        <f>AND(Hoja3!J219,"AAAAAHP7vyY=")</f>
        <v>#VALUE!</v>
      </c>
      <c r="AN187" t="e">
        <f>AND(Hoja3!K219,"AAAAAHP7vyc=")</f>
        <v>#VALUE!</v>
      </c>
      <c r="AO187" t="e">
        <f>AND(Hoja3!L219,"AAAAAHP7vyg=")</f>
        <v>#VALUE!</v>
      </c>
      <c r="AP187" t="e">
        <f>AND(Hoja3!M219,"AAAAAHP7vyk=")</f>
        <v>#VALUE!</v>
      </c>
      <c r="AQ187" t="e">
        <f>AND(Hoja3!N219,"AAAAAHP7vyo=")</f>
        <v>#VALUE!</v>
      </c>
      <c r="AR187" t="e">
        <f>AND(Hoja3!O219,"AAAAAHP7vys=")</f>
        <v>#VALUE!</v>
      </c>
      <c r="AS187" t="e">
        <f>AND(Hoja3!P219,"AAAAAHP7vyw=")</f>
        <v>#VALUE!</v>
      </c>
      <c r="AT187" t="e">
        <f>AND(Hoja3!Q219,"AAAAAHP7vy0=")</f>
        <v>#VALUE!</v>
      </c>
      <c r="AU187" s="60">
        <f>IF(Hoja3!220:220,"AAAAAHP7vy4=",0)</f>
        <v>0</v>
      </c>
      <c r="AV187" t="e">
        <f>AND(Hoja3!A220,"AAAAAHP7vy8=")</f>
        <v>#VALUE!</v>
      </c>
      <c r="AW187" t="e">
        <f>AND(Hoja3!B220,"AAAAAHP7vzA=")</f>
        <v>#VALUE!</v>
      </c>
      <c r="AX187" t="e">
        <f>AND(Hoja3!C220,"AAAAAHP7vzE=")</f>
        <v>#VALUE!</v>
      </c>
      <c r="AY187" t="e">
        <f>AND(Hoja3!D220,"AAAAAHP7vzI=")</f>
        <v>#VALUE!</v>
      </c>
      <c r="AZ187" t="e">
        <f>AND(Hoja3!E220,"AAAAAHP7vzM=")</f>
        <v>#VALUE!</v>
      </c>
      <c r="BA187" t="e">
        <f>AND(Hoja3!F220,"AAAAAHP7vzQ=")</f>
        <v>#VALUE!</v>
      </c>
      <c r="BB187" t="e">
        <f>AND(Hoja3!G220,"AAAAAHP7vzU=")</f>
        <v>#VALUE!</v>
      </c>
      <c r="BC187" t="e">
        <f>AND(Hoja3!H220,"AAAAAHP7vzY=")</f>
        <v>#VALUE!</v>
      </c>
      <c r="BD187" t="e">
        <f>AND(Hoja3!I220,"AAAAAHP7vzc=")</f>
        <v>#VALUE!</v>
      </c>
      <c r="BE187" t="e">
        <f>AND(Hoja3!J220,"AAAAAHP7vzg=")</f>
        <v>#VALUE!</v>
      </c>
      <c r="BF187" t="e">
        <f>AND(Hoja3!K220,"AAAAAHP7vzk=")</f>
        <v>#VALUE!</v>
      </c>
      <c r="BG187" t="e">
        <f>AND(Hoja3!L220,"AAAAAHP7vzo=")</f>
        <v>#VALUE!</v>
      </c>
      <c r="BH187" t="e">
        <f>AND(Hoja3!M220,"AAAAAHP7vzs=")</f>
        <v>#VALUE!</v>
      </c>
      <c r="BI187" t="e">
        <f>AND(Hoja3!N220,"AAAAAHP7vzw=")</f>
        <v>#VALUE!</v>
      </c>
      <c r="BJ187" t="e">
        <f>AND(Hoja3!O220,"AAAAAHP7vz0=")</f>
        <v>#VALUE!</v>
      </c>
      <c r="BK187" t="e">
        <f>AND(Hoja3!P220,"AAAAAHP7vz4=")</f>
        <v>#VALUE!</v>
      </c>
      <c r="BL187" t="e">
        <f>AND(Hoja3!Q220,"AAAAAHP7vz8=")</f>
        <v>#VALUE!</v>
      </c>
      <c r="BM187" s="60">
        <f>IF(Hoja3!221:221,"AAAAAHP7v0A=",0)</f>
        <v>0</v>
      </c>
      <c r="BN187" t="e">
        <f>AND(Hoja3!A221,"AAAAAHP7v0E=")</f>
        <v>#VALUE!</v>
      </c>
      <c r="BO187" t="e">
        <f>AND(Hoja3!B221,"AAAAAHP7v0I=")</f>
        <v>#VALUE!</v>
      </c>
      <c r="BP187" t="e">
        <f>AND(Hoja3!C221,"AAAAAHP7v0M=")</f>
        <v>#VALUE!</v>
      </c>
      <c r="BQ187" t="e">
        <f>AND(Hoja3!D221,"AAAAAHP7v0Q=")</f>
        <v>#VALUE!</v>
      </c>
      <c r="BR187" t="e">
        <f>AND(Hoja3!E221,"AAAAAHP7v0U=")</f>
        <v>#VALUE!</v>
      </c>
      <c r="BS187" t="e">
        <f>AND(Hoja3!F221,"AAAAAHP7v0Y=")</f>
        <v>#VALUE!</v>
      </c>
      <c r="BT187" t="e">
        <f>AND(Hoja3!G221,"AAAAAHP7v0c=")</f>
        <v>#VALUE!</v>
      </c>
      <c r="BU187" t="e">
        <f>AND(Hoja3!H221,"AAAAAHP7v0g=")</f>
        <v>#VALUE!</v>
      </c>
      <c r="BV187" t="e">
        <f>AND(Hoja3!I221,"AAAAAHP7v0k=")</f>
        <v>#VALUE!</v>
      </c>
      <c r="BW187" t="e">
        <f>AND(Hoja3!J221,"AAAAAHP7v0o=")</f>
        <v>#VALUE!</v>
      </c>
      <c r="BX187" t="e">
        <f>AND(Hoja3!K221,"AAAAAHP7v0s=")</f>
        <v>#VALUE!</v>
      </c>
      <c r="BY187" t="e">
        <f>AND(Hoja3!L221,"AAAAAHP7v0w=")</f>
        <v>#VALUE!</v>
      </c>
      <c r="BZ187" t="e">
        <f>AND(Hoja3!M221,"AAAAAHP7v00=")</f>
        <v>#VALUE!</v>
      </c>
      <c r="CA187" t="e">
        <f>AND(Hoja3!N221,"AAAAAHP7v04=")</f>
        <v>#VALUE!</v>
      </c>
      <c r="CB187" t="e">
        <f>AND(Hoja3!O221,"AAAAAHP7v08=")</f>
        <v>#VALUE!</v>
      </c>
      <c r="CC187" t="e">
        <f>AND(Hoja3!P221,"AAAAAHP7v1A=")</f>
        <v>#VALUE!</v>
      </c>
      <c r="CD187" t="e">
        <f>AND(Hoja3!Q221,"AAAAAHP7v1E=")</f>
        <v>#VALUE!</v>
      </c>
      <c r="CE187" s="60">
        <f>IF(Hoja3!222:222,"AAAAAHP7v1I=",0)</f>
        <v>0</v>
      </c>
      <c r="CF187" t="e">
        <f>AND(Hoja3!A222,"AAAAAHP7v1M=")</f>
        <v>#VALUE!</v>
      </c>
      <c r="CG187" t="e">
        <f>AND(Hoja3!B222,"AAAAAHP7v1Q=")</f>
        <v>#VALUE!</v>
      </c>
      <c r="CH187" t="e">
        <f>AND(Hoja3!C222,"AAAAAHP7v1U=")</f>
        <v>#VALUE!</v>
      </c>
      <c r="CI187" t="e">
        <f>AND(Hoja3!D222,"AAAAAHP7v1Y=")</f>
        <v>#VALUE!</v>
      </c>
      <c r="CJ187" t="e">
        <f>AND(Hoja3!E222,"AAAAAHP7v1c=")</f>
        <v>#VALUE!</v>
      </c>
      <c r="CK187" t="e">
        <f>AND(Hoja3!F222,"AAAAAHP7v1g=")</f>
        <v>#VALUE!</v>
      </c>
      <c r="CL187" t="e">
        <f>AND(Hoja3!G222,"AAAAAHP7v1k=")</f>
        <v>#VALUE!</v>
      </c>
      <c r="CM187" t="e">
        <f>AND(Hoja3!H222,"AAAAAHP7v1o=")</f>
        <v>#VALUE!</v>
      </c>
      <c r="CN187" t="e">
        <f>AND(Hoja3!I222,"AAAAAHP7v1s=")</f>
        <v>#VALUE!</v>
      </c>
      <c r="CO187" t="e">
        <f>AND(Hoja3!J222,"AAAAAHP7v1w=")</f>
        <v>#VALUE!</v>
      </c>
      <c r="CP187" t="e">
        <f>AND(Hoja3!K222,"AAAAAHP7v10=")</f>
        <v>#VALUE!</v>
      </c>
      <c r="CQ187" t="e">
        <f>AND(Hoja3!L222,"AAAAAHP7v14=")</f>
        <v>#VALUE!</v>
      </c>
      <c r="CR187" t="e">
        <f>AND(Hoja3!M222,"AAAAAHP7v18=")</f>
        <v>#VALUE!</v>
      </c>
      <c r="CS187" t="e">
        <f>AND(Hoja3!N222,"AAAAAHP7v2A=")</f>
        <v>#VALUE!</v>
      </c>
      <c r="CT187" t="e">
        <f>AND(Hoja3!O222,"AAAAAHP7v2E=")</f>
        <v>#VALUE!</v>
      </c>
      <c r="CU187" t="e">
        <f>AND(Hoja3!P222,"AAAAAHP7v2I=")</f>
        <v>#VALUE!</v>
      </c>
      <c r="CV187" t="e">
        <f>AND(Hoja3!Q222,"AAAAAHP7v2M=")</f>
        <v>#VALUE!</v>
      </c>
      <c r="CW187" s="60">
        <f>IF(Hoja3!223:223,"AAAAAHP7v2Q=",0)</f>
        <v>0</v>
      </c>
      <c r="CX187" t="e">
        <f>AND(Hoja3!A223,"AAAAAHP7v2U=")</f>
        <v>#VALUE!</v>
      </c>
      <c r="CY187" t="e">
        <f>AND(Hoja3!B223,"AAAAAHP7v2Y=")</f>
        <v>#VALUE!</v>
      </c>
      <c r="CZ187" t="e">
        <f>AND(Hoja3!C223,"AAAAAHP7v2c=")</f>
        <v>#VALUE!</v>
      </c>
      <c r="DA187" t="e">
        <f>AND(Hoja3!D223,"AAAAAHP7v2g=")</f>
        <v>#VALUE!</v>
      </c>
      <c r="DB187" t="e">
        <f>AND(Hoja3!E223,"AAAAAHP7v2k=")</f>
        <v>#VALUE!</v>
      </c>
      <c r="DC187" t="e">
        <f>AND(Hoja3!F223,"AAAAAHP7v2o=")</f>
        <v>#VALUE!</v>
      </c>
      <c r="DD187" t="e">
        <f>AND(Hoja3!G223,"AAAAAHP7v2s=")</f>
        <v>#VALUE!</v>
      </c>
      <c r="DE187" t="e">
        <f>AND(Hoja3!H223,"AAAAAHP7v2w=")</f>
        <v>#VALUE!</v>
      </c>
      <c r="DF187" t="e">
        <f>AND(Hoja3!I223,"AAAAAHP7v20=")</f>
        <v>#VALUE!</v>
      </c>
      <c r="DG187" t="e">
        <f>AND(Hoja3!J223,"AAAAAHP7v24=")</f>
        <v>#VALUE!</v>
      </c>
      <c r="DH187" t="e">
        <f>AND(Hoja3!K223,"AAAAAHP7v28=")</f>
        <v>#VALUE!</v>
      </c>
      <c r="DI187" t="e">
        <f>AND(Hoja3!L223,"AAAAAHP7v3A=")</f>
        <v>#VALUE!</v>
      </c>
      <c r="DJ187" t="e">
        <f>AND(Hoja3!M223,"AAAAAHP7v3E=")</f>
        <v>#VALUE!</v>
      </c>
      <c r="DK187" t="e">
        <f>AND(Hoja3!N223,"AAAAAHP7v3I=")</f>
        <v>#VALUE!</v>
      </c>
      <c r="DL187" t="e">
        <f>AND(Hoja3!O223,"AAAAAHP7v3M=")</f>
        <v>#VALUE!</v>
      </c>
      <c r="DM187" t="e">
        <f>AND(Hoja3!P223,"AAAAAHP7v3Q=")</f>
        <v>#VALUE!</v>
      </c>
      <c r="DN187" t="e">
        <f>AND(Hoja3!Q223,"AAAAAHP7v3U=")</f>
        <v>#VALUE!</v>
      </c>
      <c r="DO187" s="60">
        <f>IF(Hoja3!224:224,"AAAAAHP7v3Y=",0)</f>
        <v>0</v>
      </c>
      <c r="DP187" t="e">
        <f>AND(Hoja3!A224,"AAAAAHP7v3c=")</f>
        <v>#VALUE!</v>
      </c>
      <c r="DQ187" t="e">
        <f>AND(Hoja3!B224,"AAAAAHP7v3g=")</f>
        <v>#VALUE!</v>
      </c>
      <c r="DR187" t="e">
        <f>AND(Hoja3!C224,"AAAAAHP7v3k=")</f>
        <v>#VALUE!</v>
      </c>
      <c r="DS187" t="e">
        <f>AND(Hoja3!D224,"AAAAAHP7v3o=")</f>
        <v>#VALUE!</v>
      </c>
      <c r="DT187" t="e">
        <f>AND(Hoja3!E224,"AAAAAHP7v3s=")</f>
        <v>#VALUE!</v>
      </c>
      <c r="DU187" t="e">
        <f>AND(Hoja3!F224,"AAAAAHP7v3w=")</f>
        <v>#VALUE!</v>
      </c>
      <c r="DV187" t="e">
        <f>AND(Hoja3!G224,"AAAAAHP7v30=")</f>
        <v>#VALUE!</v>
      </c>
      <c r="DW187" t="e">
        <f>AND(Hoja3!H224,"AAAAAHP7v34=")</f>
        <v>#VALUE!</v>
      </c>
      <c r="DX187" t="e">
        <f>AND(Hoja3!I224,"AAAAAHP7v38=")</f>
        <v>#VALUE!</v>
      </c>
      <c r="DY187" t="e">
        <f>AND(Hoja3!J224,"AAAAAHP7v4A=")</f>
        <v>#VALUE!</v>
      </c>
      <c r="DZ187" t="e">
        <f>AND(Hoja3!K224,"AAAAAHP7v4E=")</f>
        <v>#VALUE!</v>
      </c>
      <c r="EA187" t="e">
        <f>AND(Hoja3!L224,"AAAAAHP7v4I=")</f>
        <v>#VALUE!</v>
      </c>
      <c r="EB187" t="e">
        <f>AND(Hoja3!M224,"AAAAAHP7v4M=")</f>
        <v>#VALUE!</v>
      </c>
      <c r="EC187" t="e">
        <f>AND(Hoja3!N224,"AAAAAHP7v4Q=")</f>
        <v>#VALUE!</v>
      </c>
      <c r="ED187" t="e">
        <f>AND(Hoja3!O224,"AAAAAHP7v4U=")</f>
        <v>#VALUE!</v>
      </c>
      <c r="EE187" t="e">
        <f>AND(Hoja3!P224,"AAAAAHP7v4Y=")</f>
        <v>#VALUE!</v>
      </c>
      <c r="EF187" t="e">
        <f>AND(Hoja3!Q224,"AAAAAHP7v4c=")</f>
        <v>#VALUE!</v>
      </c>
      <c r="EG187" s="60">
        <f>IF(Hoja3!225:225,"AAAAAHP7v4g=",0)</f>
        <v>0</v>
      </c>
      <c r="EH187" t="e">
        <f>AND(Hoja3!A225,"AAAAAHP7v4k=")</f>
        <v>#VALUE!</v>
      </c>
      <c r="EI187" t="e">
        <f>AND(Hoja3!B225,"AAAAAHP7v4o=")</f>
        <v>#VALUE!</v>
      </c>
      <c r="EJ187" t="e">
        <f>AND(Hoja3!C225,"AAAAAHP7v4s=")</f>
        <v>#VALUE!</v>
      </c>
      <c r="EK187" t="e">
        <f>AND(Hoja3!D225,"AAAAAHP7v4w=")</f>
        <v>#VALUE!</v>
      </c>
      <c r="EL187" t="e">
        <f>AND(Hoja3!E225,"AAAAAHP7v40=")</f>
        <v>#VALUE!</v>
      </c>
      <c r="EM187" t="e">
        <f>AND(Hoja3!F225,"AAAAAHP7v44=")</f>
        <v>#VALUE!</v>
      </c>
      <c r="EN187" t="e">
        <f>AND(Hoja3!G225,"AAAAAHP7v48=")</f>
        <v>#VALUE!</v>
      </c>
      <c r="EO187" t="e">
        <f>AND(Hoja3!H225,"AAAAAHP7v5A=")</f>
        <v>#VALUE!</v>
      </c>
      <c r="EP187" t="e">
        <f>AND(Hoja3!I225,"AAAAAHP7v5E=")</f>
        <v>#VALUE!</v>
      </c>
      <c r="EQ187" t="e">
        <f>AND(Hoja3!J225,"AAAAAHP7v5I=")</f>
        <v>#VALUE!</v>
      </c>
      <c r="ER187" t="e">
        <f>AND(Hoja3!K225,"AAAAAHP7v5M=")</f>
        <v>#VALUE!</v>
      </c>
      <c r="ES187" t="e">
        <f>AND(Hoja3!L225,"AAAAAHP7v5Q=")</f>
        <v>#VALUE!</v>
      </c>
      <c r="ET187" t="e">
        <f>AND(Hoja3!M225,"AAAAAHP7v5U=")</f>
        <v>#VALUE!</v>
      </c>
      <c r="EU187" t="e">
        <f>AND(Hoja3!N225,"AAAAAHP7v5Y=")</f>
        <v>#VALUE!</v>
      </c>
      <c r="EV187" t="e">
        <f>AND(Hoja3!O225,"AAAAAHP7v5c=")</f>
        <v>#VALUE!</v>
      </c>
      <c r="EW187" t="e">
        <f>AND(Hoja3!P225,"AAAAAHP7v5g=")</f>
        <v>#VALUE!</v>
      </c>
      <c r="EX187" t="e">
        <f>AND(Hoja3!Q225,"AAAAAHP7v5k=")</f>
        <v>#VALUE!</v>
      </c>
      <c r="EY187" s="60">
        <f>IF(Hoja3!226:226,"AAAAAHP7v5o=",0)</f>
        <v>0</v>
      </c>
      <c r="EZ187" t="e">
        <f>AND(Hoja3!A226,"AAAAAHP7v5s=")</f>
        <v>#VALUE!</v>
      </c>
      <c r="FA187" t="e">
        <f>AND(Hoja3!B226,"AAAAAHP7v5w=")</f>
        <v>#VALUE!</v>
      </c>
      <c r="FB187" t="e">
        <f>AND(Hoja3!C226,"AAAAAHP7v50=")</f>
        <v>#VALUE!</v>
      </c>
      <c r="FC187" t="e">
        <f>AND(Hoja3!D226,"AAAAAHP7v54=")</f>
        <v>#VALUE!</v>
      </c>
      <c r="FD187" t="e">
        <f>AND(Hoja3!E226,"AAAAAHP7v58=")</f>
        <v>#VALUE!</v>
      </c>
      <c r="FE187" t="e">
        <f>AND(Hoja3!F226,"AAAAAHP7v6A=")</f>
        <v>#VALUE!</v>
      </c>
      <c r="FF187" t="e">
        <f>AND(Hoja3!G226,"AAAAAHP7v6E=")</f>
        <v>#VALUE!</v>
      </c>
      <c r="FG187" t="e">
        <f>AND(Hoja3!H226,"AAAAAHP7v6I=")</f>
        <v>#VALUE!</v>
      </c>
      <c r="FH187" t="e">
        <f>AND(Hoja3!I226,"AAAAAHP7v6M=")</f>
        <v>#VALUE!</v>
      </c>
      <c r="FI187" t="e">
        <f>AND(Hoja3!J226,"AAAAAHP7v6Q=")</f>
        <v>#VALUE!</v>
      </c>
      <c r="FJ187" t="e">
        <f>AND(Hoja3!K226,"AAAAAHP7v6U=")</f>
        <v>#VALUE!</v>
      </c>
      <c r="FK187" t="e">
        <f>AND(Hoja3!L226,"AAAAAHP7v6Y=")</f>
        <v>#VALUE!</v>
      </c>
      <c r="FL187" t="e">
        <f>AND(Hoja3!M226,"AAAAAHP7v6c=")</f>
        <v>#VALUE!</v>
      </c>
      <c r="FM187" t="e">
        <f>AND(Hoja3!N226,"AAAAAHP7v6g=")</f>
        <v>#VALUE!</v>
      </c>
      <c r="FN187" t="e">
        <f>AND(Hoja3!O226,"AAAAAHP7v6k=")</f>
        <v>#VALUE!</v>
      </c>
      <c r="FO187" t="e">
        <f>AND(Hoja3!P226,"AAAAAHP7v6o=")</f>
        <v>#VALUE!</v>
      </c>
      <c r="FP187" t="e">
        <f>AND(Hoja3!Q226,"AAAAAHP7v6s=")</f>
        <v>#VALUE!</v>
      </c>
      <c r="FQ187" s="60">
        <f>IF(Hoja3!227:227,"AAAAAHP7v6w=",0)</f>
        <v>0</v>
      </c>
      <c r="FR187" t="e">
        <f>AND(Hoja3!A227,"AAAAAHP7v60=")</f>
        <v>#VALUE!</v>
      </c>
      <c r="FS187" t="e">
        <f>AND(Hoja3!B227,"AAAAAHP7v64=")</f>
        <v>#VALUE!</v>
      </c>
      <c r="FT187" t="e">
        <f>AND(Hoja3!C227,"AAAAAHP7v68=")</f>
        <v>#VALUE!</v>
      </c>
      <c r="FU187" t="e">
        <f>AND(Hoja3!D227,"AAAAAHP7v7A=")</f>
        <v>#VALUE!</v>
      </c>
      <c r="FV187" t="e">
        <f>AND(Hoja3!E227,"AAAAAHP7v7E=")</f>
        <v>#VALUE!</v>
      </c>
      <c r="FW187" t="e">
        <f>AND(Hoja3!F227,"AAAAAHP7v7I=")</f>
        <v>#VALUE!</v>
      </c>
      <c r="FX187" t="e">
        <f>AND(Hoja3!G227,"AAAAAHP7v7M=")</f>
        <v>#VALUE!</v>
      </c>
      <c r="FY187" t="e">
        <f>AND(Hoja3!H227,"AAAAAHP7v7Q=")</f>
        <v>#VALUE!</v>
      </c>
      <c r="FZ187" t="e">
        <f>AND(Hoja3!I227,"AAAAAHP7v7U=")</f>
        <v>#VALUE!</v>
      </c>
      <c r="GA187" t="e">
        <f>AND(Hoja3!J227,"AAAAAHP7v7Y=")</f>
        <v>#VALUE!</v>
      </c>
      <c r="GB187" t="e">
        <f>AND(Hoja3!K227,"AAAAAHP7v7c=")</f>
        <v>#VALUE!</v>
      </c>
      <c r="GC187" t="e">
        <f>AND(Hoja3!L227,"AAAAAHP7v7g=")</f>
        <v>#VALUE!</v>
      </c>
      <c r="GD187" t="e">
        <f>AND(Hoja3!M227,"AAAAAHP7v7k=")</f>
        <v>#VALUE!</v>
      </c>
      <c r="GE187" t="e">
        <f>AND(Hoja3!N227,"AAAAAHP7v7o=")</f>
        <v>#VALUE!</v>
      </c>
      <c r="GF187" t="e">
        <f>AND(Hoja3!O227,"AAAAAHP7v7s=")</f>
        <v>#VALUE!</v>
      </c>
      <c r="GG187" t="e">
        <f>AND(Hoja3!P227,"AAAAAHP7v7w=")</f>
        <v>#VALUE!</v>
      </c>
      <c r="GH187" t="e">
        <f>AND(Hoja3!Q227,"AAAAAHP7v70=")</f>
        <v>#VALUE!</v>
      </c>
      <c r="GI187" s="60">
        <f>IF(Hoja3!228:228,"AAAAAHP7v74=",0)</f>
        <v>0</v>
      </c>
      <c r="GJ187" t="e">
        <f>AND(Hoja3!A228,"AAAAAHP7v78=")</f>
        <v>#VALUE!</v>
      </c>
      <c r="GK187" t="e">
        <f>AND(Hoja3!B228,"AAAAAHP7v8A=")</f>
        <v>#VALUE!</v>
      </c>
      <c r="GL187" t="e">
        <f>AND(Hoja3!C228,"AAAAAHP7v8E=")</f>
        <v>#VALUE!</v>
      </c>
      <c r="GM187" t="e">
        <f>AND(Hoja3!D228,"AAAAAHP7v8I=")</f>
        <v>#VALUE!</v>
      </c>
      <c r="GN187" t="e">
        <f>AND(Hoja3!E228,"AAAAAHP7v8M=")</f>
        <v>#VALUE!</v>
      </c>
      <c r="GO187" t="e">
        <f>AND(Hoja3!F228,"AAAAAHP7v8Q=")</f>
        <v>#VALUE!</v>
      </c>
      <c r="GP187" t="e">
        <f>AND(Hoja3!G228,"AAAAAHP7v8U=")</f>
        <v>#VALUE!</v>
      </c>
      <c r="GQ187" t="e">
        <f>AND(Hoja3!H228,"AAAAAHP7v8Y=")</f>
        <v>#VALUE!</v>
      </c>
      <c r="GR187" t="e">
        <f>AND(Hoja3!I228,"AAAAAHP7v8c=")</f>
        <v>#VALUE!</v>
      </c>
      <c r="GS187" t="e">
        <f>AND(Hoja3!J228,"AAAAAHP7v8g=")</f>
        <v>#VALUE!</v>
      </c>
      <c r="GT187" t="e">
        <f>AND(Hoja3!K228,"AAAAAHP7v8k=")</f>
        <v>#VALUE!</v>
      </c>
      <c r="GU187" t="e">
        <f>AND(Hoja3!L228,"AAAAAHP7v8o=")</f>
        <v>#VALUE!</v>
      </c>
      <c r="GV187" t="e">
        <f>AND(Hoja3!M228,"AAAAAHP7v8s=")</f>
        <v>#VALUE!</v>
      </c>
      <c r="GW187" t="e">
        <f>AND(Hoja3!N228,"AAAAAHP7v8w=")</f>
        <v>#VALUE!</v>
      </c>
      <c r="GX187" t="e">
        <f>AND(Hoja3!O228,"AAAAAHP7v80=")</f>
        <v>#VALUE!</v>
      </c>
      <c r="GY187" t="e">
        <f>AND(Hoja3!P228,"AAAAAHP7v84=")</f>
        <v>#VALUE!</v>
      </c>
      <c r="GZ187" t="e">
        <f>AND(Hoja3!Q228,"AAAAAHP7v88=")</f>
        <v>#VALUE!</v>
      </c>
      <c r="HA187" s="60">
        <f>IF(Hoja3!229:229,"AAAAAHP7v9A=",0)</f>
        <v>0</v>
      </c>
      <c r="HB187" t="e">
        <f>AND(Hoja3!A229,"AAAAAHP7v9E=")</f>
        <v>#VALUE!</v>
      </c>
      <c r="HC187" t="e">
        <f>AND(Hoja3!B229,"AAAAAHP7v9I=")</f>
        <v>#VALUE!</v>
      </c>
      <c r="HD187" t="e">
        <f>AND(Hoja3!C229,"AAAAAHP7v9M=")</f>
        <v>#VALUE!</v>
      </c>
      <c r="HE187" t="e">
        <f>AND(Hoja3!D229,"AAAAAHP7v9Q=")</f>
        <v>#VALUE!</v>
      </c>
      <c r="HF187" t="e">
        <f>AND(Hoja3!E229,"AAAAAHP7v9U=")</f>
        <v>#VALUE!</v>
      </c>
      <c r="HG187" t="e">
        <f>AND(Hoja3!F229,"AAAAAHP7v9Y=")</f>
        <v>#VALUE!</v>
      </c>
      <c r="HH187" t="e">
        <f>AND(Hoja3!G229,"AAAAAHP7v9c=")</f>
        <v>#VALUE!</v>
      </c>
      <c r="HI187" t="e">
        <f>AND(Hoja3!H229,"AAAAAHP7v9g=")</f>
        <v>#VALUE!</v>
      </c>
      <c r="HJ187" t="e">
        <f>AND(Hoja3!I229,"AAAAAHP7v9k=")</f>
        <v>#VALUE!</v>
      </c>
      <c r="HK187" t="e">
        <f>AND(Hoja3!J229,"AAAAAHP7v9o=")</f>
        <v>#VALUE!</v>
      </c>
      <c r="HL187" t="e">
        <f>AND(Hoja3!K229,"AAAAAHP7v9s=")</f>
        <v>#VALUE!</v>
      </c>
      <c r="HM187" t="e">
        <f>AND(Hoja3!L229,"AAAAAHP7v9w=")</f>
        <v>#VALUE!</v>
      </c>
      <c r="HN187" t="e">
        <f>AND(Hoja3!M229,"AAAAAHP7v90=")</f>
        <v>#VALUE!</v>
      </c>
      <c r="HO187" t="e">
        <f>AND(Hoja3!N229,"AAAAAHP7v94=")</f>
        <v>#VALUE!</v>
      </c>
      <c r="HP187" t="e">
        <f>AND(Hoja3!O229,"AAAAAHP7v98=")</f>
        <v>#VALUE!</v>
      </c>
      <c r="HQ187" t="e">
        <f>AND(Hoja3!P229,"AAAAAHP7v+A=")</f>
        <v>#VALUE!</v>
      </c>
      <c r="HR187" t="e">
        <f>AND(Hoja3!Q229,"AAAAAHP7v+E=")</f>
        <v>#VALUE!</v>
      </c>
      <c r="HS187" s="60">
        <f>IF(Hoja3!230:230,"AAAAAHP7v+I=",0)</f>
        <v>0</v>
      </c>
      <c r="HT187" t="e">
        <f>AND(Hoja3!A230,"AAAAAHP7v+M=")</f>
        <v>#VALUE!</v>
      </c>
      <c r="HU187" t="e">
        <f>AND(Hoja3!B230,"AAAAAHP7v+Q=")</f>
        <v>#VALUE!</v>
      </c>
      <c r="HV187" t="e">
        <f>AND(Hoja3!C230,"AAAAAHP7v+U=")</f>
        <v>#VALUE!</v>
      </c>
      <c r="HW187" t="e">
        <f>AND(Hoja3!D230,"AAAAAHP7v+Y=")</f>
        <v>#VALUE!</v>
      </c>
      <c r="HX187" t="e">
        <f>AND(Hoja3!E230,"AAAAAHP7v+c=")</f>
        <v>#VALUE!</v>
      </c>
      <c r="HY187" t="e">
        <f>AND(Hoja3!F230,"AAAAAHP7v+g=")</f>
        <v>#VALUE!</v>
      </c>
      <c r="HZ187" t="e">
        <f>AND(Hoja3!G230,"AAAAAHP7v+k=")</f>
        <v>#VALUE!</v>
      </c>
      <c r="IA187" t="e">
        <f>AND(Hoja3!H230,"AAAAAHP7v+o=")</f>
        <v>#VALUE!</v>
      </c>
      <c r="IB187" t="e">
        <f>AND(Hoja3!I230,"AAAAAHP7v+s=")</f>
        <v>#VALUE!</v>
      </c>
      <c r="IC187" t="e">
        <f>AND(Hoja3!J230,"AAAAAHP7v+w=")</f>
        <v>#VALUE!</v>
      </c>
      <c r="ID187" t="e">
        <f>AND(Hoja3!K230,"AAAAAHP7v+0=")</f>
        <v>#VALUE!</v>
      </c>
      <c r="IE187" t="e">
        <f>AND(Hoja3!L230,"AAAAAHP7v+4=")</f>
        <v>#VALUE!</v>
      </c>
      <c r="IF187" t="e">
        <f>AND(Hoja3!M230,"AAAAAHP7v+8=")</f>
        <v>#VALUE!</v>
      </c>
      <c r="IG187" t="e">
        <f>AND(Hoja3!N230,"AAAAAHP7v/A=")</f>
        <v>#VALUE!</v>
      </c>
      <c r="IH187" t="e">
        <f>AND(Hoja3!O230,"AAAAAHP7v/E=")</f>
        <v>#VALUE!</v>
      </c>
      <c r="II187" t="e">
        <f>AND(Hoja3!P230,"AAAAAHP7v/I=")</f>
        <v>#VALUE!</v>
      </c>
      <c r="IJ187" t="e">
        <f>AND(Hoja3!Q230,"AAAAAHP7v/M=")</f>
        <v>#VALUE!</v>
      </c>
      <c r="IK187" s="60">
        <f>IF(Hoja3!231:231,"AAAAAHP7v/Q=",0)</f>
        <v>0</v>
      </c>
      <c r="IL187" t="e">
        <f>AND(Hoja3!A231,"AAAAAHP7v/U=")</f>
        <v>#VALUE!</v>
      </c>
      <c r="IM187" t="e">
        <f>AND(Hoja3!B231,"AAAAAHP7v/Y=")</f>
        <v>#VALUE!</v>
      </c>
      <c r="IN187" t="e">
        <f>AND(Hoja3!C231,"AAAAAHP7v/c=")</f>
        <v>#VALUE!</v>
      </c>
      <c r="IO187" t="e">
        <f>AND(Hoja3!D231,"AAAAAHP7v/g=")</f>
        <v>#VALUE!</v>
      </c>
      <c r="IP187" t="e">
        <f>AND(Hoja3!E231,"AAAAAHP7v/k=")</f>
        <v>#VALUE!</v>
      </c>
      <c r="IQ187" t="e">
        <f>AND(Hoja3!F231,"AAAAAHP7v/o=")</f>
        <v>#VALUE!</v>
      </c>
      <c r="IR187" t="e">
        <f>AND(Hoja3!G231,"AAAAAHP7v/s=")</f>
        <v>#VALUE!</v>
      </c>
      <c r="IS187" t="e">
        <f>AND(Hoja3!H231,"AAAAAHP7v/w=")</f>
        <v>#VALUE!</v>
      </c>
      <c r="IT187" t="e">
        <f>AND(Hoja3!I231,"AAAAAHP7v/0=")</f>
        <v>#VALUE!</v>
      </c>
      <c r="IU187" t="e">
        <f>AND(Hoja3!J231,"AAAAAHP7v/4=")</f>
        <v>#VALUE!</v>
      </c>
      <c r="IV187" t="e">
        <f>AND(Hoja3!K231,"AAAAAHP7v/8=")</f>
        <v>#VALUE!</v>
      </c>
    </row>
    <row r="188" spans="1:256" ht="15" customHeight="1" x14ac:dyDescent="0.25">
      <c r="A188" t="e">
        <f>AND(Hoja3!L231,"AAAAAF82/wA=")</f>
        <v>#VALUE!</v>
      </c>
      <c r="B188" t="e">
        <f>AND(Hoja3!M231,"AAAAAF82/wE=")</f>
        <v>#VALUE!</v>
      </c>
      <c r="C188" t="e">
        <f>AND(Hoja3!N231,"AAAAAF82/wI=")</f>
        <v>#VALUE!</v>
      </c>
      <c r="D188" t="e">
        <f>AND(Hoja3!O231,"AAAAAF82/wM=")</f>
        <v>#VALUE!</v>
      </c>
      <c r="E188" t="e">
        <f>AND(Hoja3!P231,"AAAAAF82/wQ=")</f>
        <v>#VALUE!</v>
      </c>
      <c r="F188" t="e">
        <f>AND(Hoja3!Q231,"AAAAAF82/wU=")</f>
        <v>#VALUE!</v>
      </c>
      <c r="G188" s="60">
        <f>IF(Hoja3!232:232,"AAAAAF82/wY=",0)</f>
        <v>0</v>
      </c>
      <c r="H188" t="e">
        <f>AND(Hoja3!A232,"AAAAAF82/wc=")</f>
        <v>#VALUE!</v>
      </c>
      <c r="I188" t="e">
        <f>AND(Hoja3!B232,"AAAAAF82/wg=")</f>
        <v>#VALUE!</v>
      </c>
      <c r="J188" t="e">
        <f>AND(Hoja3!C232,"AAAAAF82/wk=")</f>
        <v>#VALUE!</v>
      </c>
      <c r="K188" t="e">
        <f>AND(Hoja3!D232,"AAAAAF82/wo=")</f>
        <v>#VALUE!</v>
      </c>
      <c r="L188" t="e">
        <f>AND(Hoja3!E232,"AAAAAF82/ws=")</f>
        <v>#VALUE!</v>
      </c>
      <c r="M188" t="e">
        <f>AND(Hoja3!F232,"AAAAAF82/ww=")</f>
        <v>#VALUE!</v>
      </c>
      <c r="N188" t="e">
        <f>AND(Hoja3!G232,"AAAAAF82/w0=")</f>
        <v>#VALUE!</v>
      </c>
      <c r="O188" t="e">
        <f>AND(Hoja3!H232,"AAAAAF82/w4=")</f>
        <v>#VALUE!</v>
      </c>
      <c r="P188" t="e">
        <f>AND(Hoja3!I232,"AAAAAF82/w8=")</f>
        <v>#VALUE!</v>
      </c>
      <c r="Q188" t="e">
        <f>AND(Hoja3!J232,"AAAAAF82/xA=")</f>
        <v>#VALUE!</v>
      </c>
      <c r="R188" t="e">
        <f>AND(Hoja3!K232,"AAAAAF82/xE=")</f>
        <v>#VALUE!</v>
      </c>
      <c r="S188" t="e">
        <f>AND(Hoja3!L232,"AAAAAF82/xI=")</f>
        <v>#VALUE!</v>
      </c>
      <c r="T188" t="e">
        <f>AND(Hoja3!M232,"AAAAAF82/xM=")</f>
        <v>#VALUE!</v>
      </c>
      <c r="U188" t="e">
        <f>AND(Hoja3!N232,"AAAAAF82/xQ=")</f>
        <v>#VALUE!</v>
      </c>
      <c r="V188" t="e">
        <f>AND(Hoja3!O232,"AAAAAF82/xU=")</f>
        <v>#VALUE!</v>
      </c>
      <c r="W188" t="e">
        <f>AND(Hoja3!P232,"AAAAAF82/xY=")</f>
        <v>#VALUE!</v>
      </c>
      <c r="X188" t="e">
        <f>AND(Hoja3!Q232,"AAAAAF82/xc=")</f>
        <v>#VALUE!</v>
      </c>
      <c r="Y188" s="60">
        <f>IF(Hoja3!233:233,"AAAAAF82/xg=",0)</f>
        <v>0</v>
      </c>
      <c r="Z188" t="e">
        <f>AND(Hoja3!A233,"AAAAAF82/xk=")</f>
        <v>#VALUE!</v>
      </c>
      <c r="AA188" t="e">
        <f>AND(Hoja3!B233,"AAAAAF82/xo=")</f>
        <v>#VALUE!</v>
      </c>
      <c r="AB188" t="e">
        <f>AND(Hoja3!C233,"AAAAAF82/xs=")</f>
        <v>#VALUE!</v>
      </c>
      <c r="AC188" t="e">
        <f>AND(Hoja3!D233,"AAAAAF82/xw=")</f>
        <v>#VALUE!</v>
      </c>
      <c r="AD188" t="e">
        <f>AND(Hoja3!E233,"AAAAAF82/x0=")</f>
        <v>#VALUE!</v>
      </c>
      <c r="AE188" t="e">
        <f>AND(Hoja3!F233,"AAAAAF82/x4=")</f>
        <v>#VALUE!</v>
      </c>
      <c r="AF188" t="e">
        <f>AND(Hoja3!G233,"AAAAAF82/x8=")</f>
        <v>#VALUE!</v>
      </c>
      <c r="AG188" t="e">
        <f>AND(Hoja3!H233,"AAAAAF82/yA=")</f>
        <v>#VALUE!</v>
      </c>
      <c r="AH188" t="e">
        <f>AND(Hoja3!I233,"AAAAAF82/yE=")</f>
        <v>#VALUE!</v>
      </c>
      <c r="AI188" t="e">
        <f>AND(Hoja3!J233,"AAAAAF82/yI=")</f>
        <v>#VALUE!</v>
      </c>
      <c r="AJ188" t="e">
        <f>AND(Hoja3!K233,"AAAAAF82/yM=")</f>
        <v>#VALUE!</v>
      </c>
      <c r="AK188" t="e">
        <f>AND(Hoja3!L233,"AAAAAF82/yQ=")</f>
        <v>#VALUE!</v>
      </c>
      <c r="AL188" t="e">
        <f>AND(Hoja3!M233,"AAAAAF82/yU=")</f>
        <v>#VALUE!</v>
      </c>
      <c r="AM188" t="e">
        <f>AND(Hoja3!N233,"AAAAAF82/yY=")</f>
        <v>#VALUE!</v>
      </c>
      <c r="AN188" t="e">
        <f>AND(Hoja3!O233,"AAAAAF82/yc=")</f>
        <v>#VALUE!</v>
      </c>
      <c r="AO188" t="e">
        <f>AND(Hoja3!P233,"AAAAAF82/yg=")</f>
        <v>#VALUE!</v>
      </c>
      <c r="AP188" t="e">
        <f>AND(Hoja3!Q233,"AAAAAF82/yk=")</f>
        <v>#VALUE!</v>
      </c>
      <c r="AQ188" s="60">
        <f>IF(Hoja3!234:234,"AAAAAF82/yo=",0)</f>
        <v>0</v>
      </c>
      <c r="AR188" t="e">
        <f>AND(Hoja3!A234,"AAAAAF82/ys=")</f>
        <v>#VALUE!</v>
      </c>
      <c r="AS188" t="e">
        <f>AND(Hoja3!B234,"AAAAAF82/yw=")</f>
        <v>#VALUE!</v>
      </c>
      <c r="AT188" t="e">
        <f>AND(Hoja3!C234,"AAAAAF82/y0=")</f>
        <v>#VALUE!</v>
      </c>
      <c r="AU188" t="e">
        <f>AND(Hoja3!D234,"AAAAAF82/y4=")</f>
        <v>#VALUE!</v>
      </c>
      <c r="AV188" t="e">
        <f>AND(Hoja3!E234,"AAAAAF82/y8=")</f>
        <v>#VALUE!</v>
      </c>
      <c r="AW188" t="e">
        <f>AND(Hoja3!F234,"AAAAAF82/zA=")</f>
        <v>#VALUE!</v>
      </c>
      <c r="AX188" t="e">
        <f>AND(Hoja3!G234,"AAAAAF82/zE=")</f>
        <v>#VALUE!</v>
      </c>
      <c r="AY188" t="e">
        <f>AND(Hoja3!H234,"AAAAAF82/zI=")</f>
        <v>#VALUE!</v>
      </c>
      <c r="AZ188" t="e">
        <f>AND(Hoja3!I234,"AAAAAF82/zM=")</f>
        <v>#VALUE!</v>
      </c>
      <c r="BA188" t="e">
        <f>AND(Hoja3!J234,"AAAAAF82/zQ=")</f>
        <v>#VALUE!</v>
      </c>
      <c r="BB188" t="e">
        <f>AND(Hoja3!K234,"AAAAAF82/zU=")</f>
        <v>#VALUE!</v>
      </c>
      <c r="BC188" t="e">
        <f>AND(Hoja3!L234,"AAAAAF82/zY=")</f>
        <v>#VALUE!</v>
      </c>
      <c r="BD188" t="e">
        <f>AND(Hoja3!M234,"AAAAAF82/zc=")</f>
        <v>#VALUE!</v>
      </c>
      <c r="BE188" t="e">
        <f>AND(Hoja3!N234,"AAAAAF82/zg=")</f>
        <v>#VALUE!</v>
      </c>
      <c r="BF188" t="e">
        <f>AND(Hoja3!O234,"AAAAAF82/zk=")</f>
        <v>#VALUE!</v>
      </c>
      <c r="BG188" t="e">
        <f>AND(Hoja3!P234,"AAAAAF82/zo=")</f>
        <v>#VALUE!</v>
      </c>
      <c r="BH188" t="e">
        <f>AND(Hoja3!Q234,"AAAAAF82/zs=")</f>
        <v>#VALUE!</v>
      </c>
      <c r="BI188" s="60">
        <f>IF(Hoja3!235:235,"AAAAAF82/zw=",0)</f>
        <v>0</v>
      </c>
      <c r="BJ188" t="e">
        <f>AND(Hoja3!A235,"AAAAAF82/z0=")</f>
        <v>#VALUE!</v>
      </c>
      <c r="BK188" t="e">
        <f>AND(Hoja3!B235,"AAAAAF82/z4=")</f>
        <v>#VALUE!</v>
      </c>
      <c r="BL188" t="e">
        <f>AND(Hoja3!C235,"AAAAAF82/z8=")</f>
        <v>#VALUE!</v>
      </c>
      <c r="BM188" t="e">
        <f>AND(Hoja3!D235,"AAAAAF82/0A=")</f>
        <v>#VALUE!</v>
      </c>
      <c r="BN188" t="e">
        <f>AND(Hoja3!E235,"AAAAAF82/0E=")</f>
        <v>#VALUE!</v>
      </c>
      <c r="BO188" t="e">
        <f>AND(Hoja3!F235,"AAAAAF82/0I=")</f>
        <v>#VALUE!</v>
      </c>
      <c r="BP188" t="e">
        <f>AND(Hoja3!G235,"AAAAAF82/0M=")</f>
        <v>#VALUE!</v>
      </c>
      <c r="BQ188" t="e">
        <f>AND(Hoja3!H235,"AAAAAF82/0Q=")</f>
        <v>#VALUE!</v>
      </c>
      <c r="BR188" t="e">
        <f>AND(Hoja3!I235,"AAAAAF82/0U=")</f>
        <v>#VALUE!</v>
      </c>
      <c r="BS188" t="e">
        <f>AND(Hoja3!J235,"AAAAAF82/0Y=")</f>
        <v>#VALUE!</v>
      </c>
      <c r="BT188" t="e">
        <f>AND(Hoja3!K235,"AAAAAF82/0c=")</f>
        <v>#VALUE!</v>
      </c>
      <c r="BU188" t="e">
        <f>AND(Hoja3!L235,"AAAAAF82/0g=")</f>
        <v>#VALUE!</v>
      </c>
      <c r="BV188" t="e">
        <f>AND(Hoja3!M235,"AAAAAF82/0k=")</f>
        <v>#VALUE!</v>
      </c>
      <c r="BW188" t="e">
        <f>AND(Hoja3!N235,"AAAAAF82/0o=")</f>
        <v>#VALUE!</v>
      </c>
      <c r="BX188" t="e">
        <f>AND(Hoja3!O235,"AAAAAF82/0s=")</f>
        <v>#VALUE!</v>
      </c>
      <c r="BY188" t="e">
        <f>AND(Hoja3!P235,"AAAAAF82/0w=")</f>
        <v>#VALUE!</v>
      </c>
      <c r="BZ188" t="e">
        <f>AND(Hoja3!Q235,"AAAAAF82/00=")</f>
        <v>#VALUE!</v>
      </c>
      <c r="CA188" s="60">
        <f>IF(Hoja3!236:236,"AAAAAF82/04=",0)</f>
        <v>0</v>
      </c>
      <c r="CB188" t="e">
        <f>AND(Hoja3!A236,"AAAAAF82/08=")</f>
        <v>#VALUE!</v>
      </c>
      <c r="CC188" t="e">
        <f>AND(Hoja3!B236,"AAAAAF82/1A=")</f>
        <v>#VALUE!</v>
      </c>
      <c r="CD188" t="e">
        <f>AND(Hoja3!C236,"AAAAAF82/1E=")</f>
        <v>#VALUE!</v>
      </c>
      <c r="CE188" t="e">
        <f>AND(Hoja3!D236,"AAAAAF82/1I=")</f>
        <v>#VALUE!</v>
      </c>
      <c r="CF188" t="e">
        <f>AND(Hoja3!E236,"AAAAAF82/1M=")</f>
        <v>#VALUE!</v>
      </c>
      <c r="CG188" t="e">
        <f>AND(Hoja3!F236,"AAAAAF82/1Q=")</f>
        <v>#VALUE!</v>
      </c>
      <c r="CH188" t="e">
        <f>AND(Hoja3!G236,"AAAAAF82/1U=")</f>
        <v>#VALUE!</v>
      </c>
      <c r="CI188" t="e">
        <f>AND(Hoja3!H236,"AAAAAF82/1Y=")</f>
        <v>#VALUE!</v>
      </c>
      <c r="CJ188" t="e">
        <f>AND(Hoja3!I236,"AAAAAF82/1c=")</f>
        <v>#VALUE!</v>
      </c>
      <c r="CK188" t="e">
        <f>AND(Hoja3!J236,"AAAAAF82/1g=")</f>
        <v>#VALUE!</v>
      </c>
      <c r="CL188" t="e">
        <f>AND(Hoja3!K236,"AAAAAF82/1k=")</f>
        <v>#VALUE!</v>
      </c>
      <c r="CM188" t="e">
        <f>AND(Hoja3!L236,"AAAAAF82/1o=")</f>
        <v>#VALUE!</v>
      </c>
      <c r="CN188" t="e">
        <f>AND(Hoja3!M236,"AAAAAF82/1s=")</f>
        <v>#VALUE!</v>
      </c>
      <c r="CO188" t="e">
        <f>AND(Hoja3!N236,"AAAAAF82/1w=")</f>
        <v>#VALUE!</v>
      </c>
      <c r="CP188" t="e">
        <f>AND(Hoja3!O236,"AAAAAF82/10=")</f>
        <v>#VALUE!</v>
      </c>
      <c r="CQ188" t="e">
        <f>AND(Hoja3!P236,"AAAAAF82/14=")</f>
        <v>#VALUE!</v>
      </c>
      <c r="CR188" t="e">
        <f>AND(Hoja3!Q236,"AAAAAF82/18=")</f>
        <v>#VALUE!</v>
      </c>
      <c r="CS188" s="60">
        <f>IF(Hoja3!237:237,"AAAAAF82/2A=",0)</f>
        <v>0</v>
      </c>
      <c r="CT188" t="e">
        <f>AND(Hoja3!A237,"AAAAAF82/2E=")</f>
        <v>#VALUE!</v>
      </c>
      <c r="CU188" t="e">
        <f>AND(Hoja3!B237,"AAAAAF82/2I=")</f>
        <v>#VALUE!</v>
      </c>
      <c r="CV188" t="e">
        <f>AND(Hoja3!C237,"AAAAAF82/2M=")</f>
        <v>#VALUE!</v>
      </c>
      <c r="CW188" t="e">
        <f>AND(Hoja3!D237,"AAAAAF82/2Q=")</f>
        <v>#VALUE!</v>
      </c>
      <c r="CX188" t="e">
        <f>AND(Hoja3!E237,"AAAAAF82/2U=")</f>
        <v>#VALUE!</v>
      </c>
      <c r="CY188" t="e">
        <f>AND(Hoja3!F237,"AAAAAF82/2Y=")</f>
        <v>#VALUE!</v>
      </c>
      <c r="CZ188" t="e">
        <f>AND(Hoja3!G237,"AAAAAF82/2c=")</f>
        <v>#VALUE!</v>
      </c>
      <c r="DA188" t="e">
        <f>AND(Hoja3!H237,"AAAAAF82/2g=")</f>
        <v>#VALUE!</v>
      </c>
      <c r="DB188" t="e">
        <f>AND(Hoja3!I237,"AAAAAF82/2k=")</f>
        <v>#VALUE!</v>
      </c>
      <c r="DC188" t="e">
        <f>AND(Hoja3!J237,"AAAAAF82/2o=")</f>
        <v>#VALUE!</v>
      </c>
      <c r="DD188" t="e">
        <f>AND(Hoja3!K237,"AAAAAF82/2s=")</f>
        <v>#VALUE!</v>
      </c>
      <c r="DE188" t="e">
        <f>AND(Hoja3!L237,"AAAAAF82/2w=")</f>
        <v>#VALUE!</v>
      </c>
      <c r="DF188" t="e">
        <f>AND(Hoja3!M237,"AAAAAF82/20=")</f>
        <v>#VALUE!</v>
      </c>
      <c r="DG188" t="e">
        <f>AND(Hoja3!N237,"AAAAAF82/24=")</f>
        <v>#VALUE!</v>
      </c>
      <c r="DH188" t="e">
        <f>AND(Hoja3!O237,"AAAAAF82/28=")</f>
        <v>#VALUE!</v>
      </c>
      <c r="DI188" t="e">
        <f>AND(Hoja3!P237,"AAAAAF82/3A=")</f>
        <v>#VALUE!</v>
      </c>
      <c r="DJ188" t="e">
        <f>AND(Hoja3!Q237,"AAAAAF82/3E=")</f>
        <v>#VALUE!</v>
      </c>
      <c r="DK188" s="60">
        <f>IF(Hoja3!238:238,"AAAAAF82/3I=",0)</f>
        <v>0</v>
      </c>
      <c r="DL188" t="e">
        <f>AND(Hoja3!A238,"AAAAAF82/3M=")</f>
        <v>#VALUE!</v>
      </c>
      <c r="DM188" t="e">
        <f>AND(Hoja3!B238,"AAAAAF82/3Q=")</f>
        <v>#VALUE!</v>
      </c>
      <c r="DN188" t="e">
        <f>AND(Hoja3!C238,"AAAAAF82/3U=")</f>
        <v>#VALUE!</v>
      </c>
      <c r="DO188" t="e">
        <f>AND(Hoja3!D238,"AAAAAF82/3Y=")</f>
        <v>#VALUE!</v>
      </c>
      <c r="DP188" t="e">
        <f>AND(Hoja3!E238,"AAAAAF82/3c=")</f>
        <v>#VALUE!</v>
      </c>
      <c r="DQ188" t="e">
        <f>AND(Hoja3!F238,"AAAAAF82/3g=")</f>
        <v>#VALUE!</v>
      </c>
      <c r="DR188" t="e">
        <f>AND(Hoja3!G238,"AAAAAF82/3k=")</f>
        <v>#VALUE!</v>
      </c>
      <c r="DS188" t="e">
        <f>AND(Hoja3!H238,"AAAAAF82/3o=")</f>
        <v>#VALUE!</v>
      </c>
      <c r="DT188" t="e">
        <f>AND(Hoja3!I238,"AAAAAF82/3s=")</f>
        <v>#VALUE!</v>
      </c>
      <c r="DU188" t="e">
        <f>AND(Hoja3!J238,"AAAAAF82/3w=")</f>
        <v>#VALUE!</v>
      </c>
      <c r="DV188" t="e">
        <f>AND(Hoja3!K238,"AAAAAF82/30=")</f>
        <v>#VALUE!</v>
      </c>
      <c r="DW188" t="e">
        <f>AND(Hoja3!L238,"AAAAAF82/34=")</f>
        <v>#VALUE!</v>
      </c>
      <c r="DX188" t="e">
        <f>AND(Hoja3!M238,"AAAAAF82/38=")</f>
        <v>#VALUE!</v>
      </c>
      <c r="DY188" t="e">
        <f>AND(Hoja3!N238,"AAAAAF82/4A=")</f>
        <v>#VALUE!</v>
      </c>
      <c r="DZ188" t="e">
        <f>AND(Hoja3!O238,"AAAAAF82/4E=")</f>
        <v>#VALUE!</v>
      </c>
      <c r="EA188" t="e">
        <f>AND(Hoja3!P238,"AAAAAF82/4I=")</f>
        <v>#VALUE!</v>
      </c>
      <c r="EB188" t="e">
        <f>AND(Hoja3!Q238,"AAAAAF82/4M=")</f>
        <v>#VALUE!</v>
      </c>
      <c r="EC188" s="60">
        <f>IF(Hoja3!239:239,"AAAAAF82/4Q=",0)</f>
        <v>0</v>
      </c>
      <c r="ED188" t="e">
        <f>AND(Hoja3!A239,"AAAAAF82/4U=")</f>
        <v>#VALUE!</v>
      </c>
      <c r="EE188" t="e">
        <f>AND(Hoja3!B239,"AAAAAF82/4Y=")</f>
        <v>#VALUE!</v>
      </c>
      <c r="EF188" t="e">
        <f>AND(Hoja3!C239,"AAAAAF82/4c=")</f>
        <v>#VALUE!</v>
      </c>
      <c r="EG188" t="e">
        <f>AND(Hoja3!D239,"AAAAAF82/4g=")</f>
        <v>#VALUE!</v>
      </c>
      <c r="EH188" t="e">
        <f>AND(Hoja3!E239,"AAAAAF82/4k=")</f>
        <v>#VALUE!</v>
      </c>
      <c r="EI188" t="e">
        <f>AND(Hoja3!F239,"AAAAAF82/4o=")</f>
        <v>#VALUE!</v>
      </c>
      <c r="EJ188" t="e">
        <f>AND(Hoja3!G239,"AAAAAF82/4s=")</f>
        <v>#VALUE!</v>
      </c>
      <c r="EK188" t="e">
        <f>AND(Hoja3!H239,"AAAAAF82/4w=")</f>
        <v>#VALUE!</v>
      </c>
      <c r="EL188" t="e">
        <f>AND(Hoja3!I239,"AAAAAF82/40=")</f>
        <v>#VALUE!</v>
      </c>
      <c r="EM188" t="e">
        <f>AND(Hoja3!J239,"AAAAAF82/44=")</f>
        <v>#VALUE!</v>
      </c>
      <c r="EN188" t="e">
        <f>AND(Hoja3!K239,"AAAAAF82/48=")</f>
        <v>#VALUE!</v>
      </c>
      <c r="EO188" t="e">
        <f>AND(Hoja3!L239,"AAAAAF82/5A=")</f>
        <v>#VALUE!</v>
      </c>
      <c r="EP188" t="e">
        <f>AND(Hoja3!M239,"AAAAAF82/5E=")</f>
        <v>#VALUE!</v>
      </c>
      <c r="EQ188" t="e">
        <f>AND(Hoja3!N239,"AAAAAF82/5I=")</f>
        <v>#VALUE!</v>
      </c>
      <c r="ER188" t="e">
        <f>AND(Hoja3!O239,"AAAAAF82/5M=")</f>
        <v>#VALUE!</v>
      </c>
      <c r="ES188" t="e">
        <f>AND(Hoja3!P239,"AAAAAF82/5Q=")</f>
        <v>#VALUE!</v>
      </c>
      <c r="ET188" t="e">
        <f>AND(Hoja3!Q239,"AAAAAF82/5U=")</f>
        <v>#VALUE!</v>
      </c>
      <c r="EU188" s="60">
        <f>IF(Hoja3!240:240,"AAAAAF82/5Y=",0)</f>
        <v>0</v>
      </c>
      <c r="EV188" t="e">
        <f>AND(Hoja3!A240,"AAAAAF82/5c=")</f>
        <v>#VALUE!</v>
      </c>
      <c r="EW188" t="e">
        <f>AND(Hoja3!B240,"AAAAAF82/5g=")</f>
        <v>#VALUE!</v>
      </c>
      <c r="EX188" t="e">
        <f>AND(Hoja3!C240,"AAAAAF82/5k=")</f>
        <v>#VALUE!</v>
      </c>
      <c r="EY188" t="e">
        <f>AND(Hoja3!D240,"AAAAAF82/5o=")</f>
        <v>#VALUE!</v>
      </c>
      <c r="EZ188" t="e">
        <f>AND(Hoja3!E240,"AAAAAF82/5s=")</f>
        <v>#VALUE!</v>
      </c>
      <c r="FA188" t="e">
        <f>AND(Hoja3!F240,"AAAAAF82/5w=")</f>
        <v>#VALUE!</v>
      </c>
      <c r="FB188" t="e">
        <f>AND(Hoja3!G240,"AAAAAF82/50=")</f>
        <v>#VALUE!</v>
      </c>
      <c r="FC188" t="e">
        <f>AND(Hoja3!H240,"AAAAAF82/54=")</f>
        <v>#VALUE!</v>
      </c>
      <c r="FD188" t="e">
        <f>AND(Hoja3!I240,"AAAAAF82/58=")</f>
        <v>#VALUE!</v>
      </c>
      <c r="FE188" t="e">
        <f>AND(Hoja3!J240,"AAAAAF82/6A=")</f>
        <v>#VALUE!</v>
      </c>
      <c r="FF188" t="e">
        <f>AND(Hoja3!K240,"AAAAAF82/6E=")</f>
        <v>#VALUE!</v>
      </c>
      <c r="FG188" t="e">
        <f>AND(Hoja3!L240,"AAAAAF82/6I=")</f>
        <v>#VALUE!</v>
      </c>
      <c r="FH188" t="e">
        <f>AND(Hoja3!M240,"AAAAAF82/6M=")</f>
        <v>#VALUE!</v>
      </c>
      <c r="FI188" t="e">
        <f>AND(Hoja3!N240,"AAAAAF82/6Q=")</f>
        <v>#VALUE!</v>
      </c>
      <c r="FJ188" t="e">
        <f>AND(Hoja3!O240,"AAAAAF82/6U=")</f>
        <v>#VALUE!</v>
      </c>
      <c r="FK188" t="e">
        <f>AND(Hoja3!P240,"AAAAAF82/6Y=")</f>
        <v>#VALUE!</v>
      </c>
      <c r="FL188" t="e">
        <f>AND(Hoja3!Q240,"AAAAAF82/6c=")</f>
        <v>#VALUE!</v>
      </c>
      <c r="FM188" s="60">
        <f>IF(Hoja3!241:241,"AAAAAF82/6g=",0)</f>
        <v>0</v>
      </c>
      <c r="FN188" t="e">
        <f>AND(Hoja3!A241,"AAAAAF82/6k=")</f>
        <v>#VALUE!</v>
      </c>
      <c r="FO188" t="e">
        <f>AND(Hoja3!B241,"AAAAAF82/6o=")</f>
        <v>#VALUE!</v>
      </c>
      <c r="FP188" t="e">
        <f>AND(Hoja3!C241,"AAAAAF82/6s=")</f>
        <v>#VALUE!</v>
      </c>
      <c r="FQ188" t="e">
        <f>AND(Hoja3!D241,"AAAAAF82/6w=")</f>
        <v>#VALUE!</v>
      </c>
      <c r="FR188" t="e">
        <f>AND(Hoja3!E241,"AAAAAF82/60=")</f>
        <v>#VALUE!</v>
      </c>
      <c r="FS188" t="e">
        <f>AND(Hoja3!F241,"AAAAAF82/64=")</f>
        <v>#VALUE!</v>
      </c>
      <c r="FT188" t="e">
        <f>AND(Hoja3!G241,"AAAAAF82/68=")</f>
        <v>#VALUE!</v>
      </c>
      <c r="FU188" t="e">
        <f>AND(Hoja3!H241,"AAAAAF82/7A=")</f>
        <v>#VALUE!</v>
      </c>
      <c r="FV188" t="e">
        <f>AND(Hoja3!I241,"AAAAAF82/7E=")</f>
        <v>#VALUE!</v>
      </c>
      <c r="FW188" t="e">
        <f>AND(Hoja3!J241,"AAAAAF82/7I=")</f>
        <v>#VALUE!</v>
      </c>
      <c r="FX188" t="e">
        <f>AND(Hoja3!K241,"AAAAAF82/7M=")</f>
        <v>#VALUE!</v>
      </c>
      <c r="FY188" t="e">
        <f>AND(Hoja3!L241,"AAAAAF82/7Q=")</f>
        <v>#VALUE!</v>
      </c>
      <c r="FZ188" t="e">
        <f>AND(Hoja3!M241,"AAAAAF82/7U=")</f>
        <v>#VALUE!</v>
      </c>
      <c r="GA188" t="e">
        <f>AND(Hoja3!N241,"AAAAAF82/7Y=")</f>
        <v>#VALUE!</v>
      </c>
      <c r="GB188" t="e">
        <f>AND(Hoja3!O241,"AAAAAF82/7c=")</f>
        <v>#VALUE!</v>
      </c>
      <c r="GC188" t="e">
        <f>AND(Hoja3!P241,"AAAAAF82/7g=")</f>
        <v>#VALUE!</v>
      </c>
      <c r="GD188" t="e">
        <f>AND(Hoja3!Q241,"AAAAAF82/7k=")</f>
        <v>#VALUE!</v>
      </c>
      <c r="GE188" s="60">
        <f>IF(Hoja3!242:242,"AAAAAF82/7o=",0)</f>
        <v>0</v>
      </c>
      <c r="GF188" t="e">
        <f>AND(Hoja3!A242,"AAAAAF82/7s=")</f>
        <v>#VALUE!</v>
      </c>
      <c r="GG188" t="e">
        <f>AND(Hoja3!B242,"AAAAAF82/7w=")</f>
        <v>#VALUE!</v>
      </c>
      <c r="GH188" t="e">
        <f>AND(Hoja3!C242,"AAAAAF82/70=")</f>
        <v>#VALUE!</v>
      </c>
      <c r="GI188" t="e">
        <f>AND(Hoja3!D242,"AAAAAF82/74=")</f>
        <v>#VALUE!</v>
      </c>
      <c r="GJ188" t="e">
        <f>AND(Hoja3!E242,"AAAAAF82/78=")</f>
        <v>#VALUE!</v>
      </c>
      <c r="GK188" t="e">
        <f>AND(Hoja3!F242,"AAAAAF82/8A=")</f>
        <v>#VALUE!</v>
      </c>
      <c r="GL188" t="e">
        <f>AND(Hoja3!G242,"AAAAAF82/8E=")</f>
        <v>#VALUE!</v>
      </c>
      <c r="GM188" t="e">
        <f>AND(Hoja3!H242,"AAAAAF82/8I=")</f>
        <v>#VALUE!</v>
      </c>
      <c r="GN188" t="e">
        <f>AND(Hoja3!I242,"AAAAAF82/8M=")</f>
        <v>#VALUE!</v>
      </c>
      <c r="GO188" t="e">
        <f>AND(Hoja3!J242,"AAAAAF82/8Q=")</f>
        <v>#VALUE!</v>
      </c>
      <c r="GP188" t="e">
        <f>AND(Hoja3!K242,"AAAAAF82/8U=")</f>
        <v>#VALUE!</v>
      </c>
      <c r="GQ188" t="e">
        <f>AND(Hoja3!L242,"AAAAAF82/8Y=")</f>
        <v>#VALUE!</v>
      </c>
      <c r="GR188" t="e">
        <f>AND(Hoja3!M242,"AAAAAF82/8c=")</f>
        <v>#VALUE!</v>
      </c>
      <c r="GS188" t="e">
        <f>AND(Hoja3!N242,"AAAAAF82/8g=")</f>
        <v>#VALUE!</v>
      </c>
      <c r="GT188" t="e">
        <f>AND(Hoja3!O242,"AAAAAF82/8k=")</f>
        <v>#VALUE!</v>
      </c>
      <c r="GU188" t="e">
        <f>AND(Hoja3!P242,"AAAAAF82/8o=")</f>
        <v>#VALUE!</v>
      </c>
      <c r="GV188" t="e">
        <f>AND(Hoja3!Q242,"AAAAAF82/8s=")</f>
        <v>#VALUE!</v>
      </c>
      <c r="GW188" s="60">
        <f>IF(Hoja3!243:243,"AAAAAF82/8w=",0)</f>
        <v>0</v>
      </c>
      <c r="GX188" t="e">
        <f>AND(Hoja3!A243,"AAAAAF82/80=")</f>
        <v>#VALUE!</v>
      </c>
      <c r="GY188" t="e">
        <f>AND(Hoja3!B243,"AAAAAF82/84=")</f>
        <v>#VALUE!</v>
      </c>
      <c r="GZ188" t="e">
        <f>AND(Hoja3!C243,"AAAAAF82/88=")</f>
        <v>#VALUE!</v>
      </c>
      <c r="HA188" t="e">
        <f>AND(Hoja3!D243,"AAAAAF82/9A=")</f>
        <v>#VALUE!</v>
      </c>
      <c r="HB188" t="e">
        <f>AND(Hoja3!E243,"AAAAAF82/9E=")</f>
        <v>#VALUE!</v>
      </c>
      <c r="HC188" t="e">
        <f>AND(Hoja3!F243,"AAAAAF82/9I=")</f>
        <v>#VALUE!</v>
      </c>
      <c r="HD188" t="e">
        <f>AND(Hoja3!G243,"AAAAAF82/9M=")</f>
        <v>#VALUE!</v>
      </c>
      <c r="HE188" t="e">
        <f>AND(Hoja3!H243,"AAAAAF82/9Q=")</f>
        <v>#VALUE!</v>
      </c>
      <c r="HF188" t="e">
        <f>AND(Hoja3!I243,"AAAAAF82/9U=")</f>
        <v>#VALUE!</v>
      </c>
      <c r="HG188" t="e">
        <f>AND(Hoja3!J243,"AAAAAF82/9Y=")</f>
        <v>#VALUE!</v>
      </c>
      <c r="HH188" t="e">
        <f>AND(Hoja3!K243,"AAAAAF82/9c=")</f>
        <v>#VALUE!</v>
      </c>
      <c r="HI188" t="e">
        <f>AND(Hoja3!L243,"AAAAAF82/9g=")</f>
        <v>#VALUE!</v>
      </c>
      <c r="HJ188" t="e">
        <f>AND(Hoja3!M243,"AAAAAF82/9k=")</f>
        <v>#VALUE!</v>
      </c>
      <c r="HK188" t="e">
        <f>AND(Hoja3!N243,"AAAAAF82/9o=")</f>
        <v>#VALUE!</v>
      </c>
      <c r="HL188" t="e">
        <f>AND(Hoja3!O243,"AAAAAF82/9s=")</f>
        <v>#VALUE!</v>
      </c>
      <c r="HM188" t="e">
        <f>AND(Hoja3!P243,"AAAAAF82/9w=")</f>
        <v>#VALUE!</v>
      </c>
      <c r="HN188" t="e">
        <f>AND(Hoja3!Q243,"AAAAAF82/90=")</f>
        <v>#VALUE!</v>
      </c>
      <c r="HO188" s="60">
        <f>IF(Hoja3!244:244,"AAAAAF82/94=",0)</f>
        <v>0</v>
      </c>
      <c r="HP188" t="e">
        <f>AND(Hoja3!A244,"AAAAAF82/98=")</f>
        <v>#VALUE!</v>
      </c>
      <c r="HQ188" t="e">
        <f>AND(Hoja3!B244,"AAAAAF82/+A=")</f>
        <v>#VALUE!</v>
      </c>
      <c r="HR188" t="e">
        <f>AND(Hoja3!C244,"AAAAAF82/+E=")</f>
        <v>#VALUE!</v>
      </c>
      <c r="HS188" t="e">
        <f>AND(Hoja3!D244,"AAAAAF82/+I=")</f>
        <v>#VALUE!</v>
      </c>
      <c r="HT188" t="e">
        <f>AND(Hoja3!E244,"AAAAAF82/+M=")</f>
        <v>#VALUE!</v>
      </c>
      <c r="HU188" t="e">
        <f>AND(Hoja3!F244,"AAAAAF82/+Q=")</f>
        <v>#VALUE!</v>
      </c>
      <c r="HV188" t="e">
        <f>AND(Hoja3!G244,"AAAAAF82/+U=")</f>
        <v>#VALUE!</v>
      </c>
      <c r="HW188" t="e">
        <f>AND(Hoja3!H244,"AAAAAF82/+Y=")</f>
        <v>#VALUE!</v>
      </c>
      <c r="HX188" t="e">
        <f>AND(Hoja3!I244,"AAAAAF82/+c=")</f>
        <v>#VALUE!</v>
      </c>
      <c r="HY188" t="e">
        <f>AND(Hoja3!J244,"AAAAAF82/+g=")</f>
        <v>#VALUE!</v>
      </c>
      <c r="HZ188" t="e">
        <f>AND(Hoja3!K244,"AAAAAF82/+k=")</f>
        <v>#VALUE!</v>
      </c>
      <c r="IA188" t="e">
        <f>AND(Hoja3!L244,"AAAAAF82/+o=")</f>
        <v>#VALUE!</v>
      </c>
      <c r="IB188" t="e">
        <f>AND(Hoja3!M244,"AAAAAF82/+s=")</f>
        <v>#VALUE!</v>
      </c>
      <c r="IC188" t="e">
        <f>AND(Hoja3!N244,"AAAAAF82/+w=")</f>
        <v>#VALUE!</v>
      </c>
      <c r="ID188" t="e">
        <f>AND(Hoja3!O244,"AAAAAF82/+0=")</f>
        <v>#VALUE!</v>
      </c>
      <c r="IE188" t="e">
        <f>AND(Hoja3!P244,"AAAAAF82/+4=")</f>
        <v>#VALUE!</v>
      </c>
      <c r="IF188" t="e">
        <f>AND(Hoja3!Q244,"AAAAAF82/+8=")</f>
        <v>#VALUE!</v>
      </c>
      <c r="IG188" s="60">
        <f>IF(Hoja3!245:245,"AAAAAF82//A=",0)</f>
        <v>0</v>
      </c>
      <c r="IH188" t="e">
        <f>AND(Hoja3!A245,"AAAAAF82//E=")</f>
        <v>#VALUE!</v>
      </c>
      <c r="II188" t="e">
        <f>AND(Hoja3!B245,"AAAAAF82//I=")</f>
        <v>#VALUE!</v>
      </c>
      <c r="IJ188" t="e">
        <f>AND(Hoja3!C245,"AAAAAF82//M=")</f>
        <v>#VALUE!</v>
      </c>
      <c r="IK188" t="e">
        <f>AND(Hoja3!D245,"AAAAAF82//Q=")</f>
        <v>#VALUE!</v>
      </c>
      <c r="IL188" t="e">
        <f>AND(Hoja3!E245,"AAAAAF82//U=")</f>
        <v>#VALUE!</v>
      </c>
      <c r="IM188" t="e">
        <f>AND(Hoja3!F245,"AAAAAF82//Y=")</f>
        <v>#VALUE!</v>
      </c>
      <c r="IN188" t="e">
        <f>AND(Hoja3!G245,"AAAAAF82//c=")</f>
        <v>#VALUE!</v>
      </c>
      <c r="IO188" t="e">
        <f>AND(Hoja3!H245,"AAAAAF82//g=")</f>
        <v>#VALUE!</v>
      </c>
      <c r="IP188" t="e">
        <f>AND(Hoja3!I245,"AAAAAF82//k=")</f>
        <v>#VALUE!</v>
      </c>
      <c r="IQ188" t="e">
        <f>AND(Hoja3!J245,"AAAAAF82//o=")</f>
        <v>#VALUE!</v>
      </c>
      <c r="IR188" t="e">
        <f>AND(Hoja3!K245,"AAAAAF82//s=")</f>
        <v>#VALUE!</v>
      </c>
      <c r="IS188" t="e">
        <f>AND(Hoja3!L245,"AAAAAF82//w=")</f>
        <v>#VALUE!</v>
      </c>
      <c r="IT188" t="e">
        <f>AND(Hoja3!M245,"AAAAAF82//0=")</f>
        <v>#VALUE!</v>
      </c>
      <c r="IU188" t="e">
        <f>AND(Hoja3!N245,"AAAAAF82//4=")</f>
        <v>#VALUE!</v>
      </c>
      <c r="IV188" t="e">
        <f>AND(Hoja3!O245,"AAAAAF82//8=")</f>
        <v>#VALUE!</v>
      </c>
    </row>
    <row r="189" spans="1:256" ht="15" customHeight="1" x14ac:dyDescent="0.25">
      <c r="A189" t="e">
        <f>AND(Hoja3!P245,"AAAAADnafwA=")</f>
        <v>#VALUE!</v>
      </c>
      <c r="B189" t="e">
        <f>AND(Hoja3!Q245,"AAAAADnafwE=")</f>
        <v>#VALUE!</v>
      </c>
      <c r="C189" s="60" t="e">
        <f>IF(Hoja3!246:246,"AAAAADnafwI=",0)</f>
        <v>#VALUE!</v>
      </c>
      <c r="D189" t="e">
        <f>AND(Hoja3!A246,"AAAAADnafwM=")</f>
        <v>#VALUE!</v>
      </c>
      <c r="E189" t="e">
        <f>AND(Hoja3!B246,"AAAAADnafwQ=")</f>
        <v>#VALUE!</v>
      </c>
      <c r="F189" t="e">
        <f>AND(Hoja3!C246,"AAAAADnafwU=")</f>
        <v>#VALUE!</v>
      </c>
      <c r="G189" t="e">
        <f>AND(Hoja3!D246,"AAAAADnafwY=")</f>
        <v>#VALUE!</v>
      </c>
      <c r="H189" t="e">
        <f>AND(Hoja3!E246,"AAAAADnafwc=")</f>
        <v>#VALUE!</v>
      </c>
      <c r="I189" t="e">
        <f>AND(Hoja3!F246,"AAAAADnafwg=")</f>
        <v>#VALUE!</v>
      </c>
      <c r="J189" t="e">
        <f>AND(Hoja3!G246,"AAAAADnafwk=")</f>
        <v>#VALUE!</v>
      </c>
      <c r="K189" t="e">
        <f>AND(Hoja3!H246,"AAAAADnafwo=")</f>
        <v>#VALUE!</v>
      </c>
      <c r="L189" t="e">
        <f>AND(Hoja3!I246,"AAAAADnafws=")</f>
        <v>#VALUE!</v>
      </c>
      <c r="M189" t="e">
        <f>AND(Hoja3!J246,"AAAAADnafww=")</f>
        <v>#VALUE!</v>
      </c>
      <c r="N189" t="e">
        <f>AND(Hoja3!K246,"AAAAADnafw0=")</f>
        <v>#VALUE!</v>
      </c>
      <c r="O189" t="e">
        <f>AND(Hoja3!L246,"AAAAADnafw4=")</f>
        <v>#VALUE!</v>
      </c>
      <c r="P189" t="e">
        <f>AND(Hoja3!M246,"AAAAADnafw8=")</f>
        <v>#VALUE!</v>
      </c>
      <c r="Q189" t="e">
        <f>AND(Hoja3!N246,"AAAAADnafxA=")</f>
        <v>#VALUE!</v>
      </c>
      <c r="R189" t="e">
        <f>AND(Hoja3!O246,"AAAAADnafxE=")</f>
        <v>#VALUE!</v>
      </c>
      <c r="S189" t="e">
        <f>AND(Hoja3!P246,"AAAAADnafxI=")</f>
        <v>#VALUE!</v>
      </c>
      <c r="T189" t="e">
        <f>AND(Hoja3!Q246,"AAAAADnafxM=")</f>
        <v>#VALUE!</v>
      </c>
      <c r="U189" s="60">
        <f>IF(Hoja3!247:247,"AAAAADnafxQ=",0)</f>
        <v>0</v>
      </c>
      <c r="V189" t="e">
        <f>AND(Hoja3!A247,"AAAAADnafxU=")</f>
        <v>#VALUE!</v>
      </c>
      <c r="W189" t="e">
        <f>AND(Hoja3!B247,"AAAAADnafxY=")</f>
        <v>#VALUE!</v>
      </c>
      <c r="X189" t="e">
        <f>AND(Hoja3!C247,"AAAAADnafxc=")</f>
        <v>#VALUE!</v>
      </c>
      <c r="Y189" t="e">
        <f>AND(Hoja3!D247,"AAAAADnafxg=")</f>
        <v>#VALUE!</v>
      </c>
      <c r="Z189" t="e">
        <f>AND(Hoja3!E247,"AAAAADnafxk=")</f>
        <v>#VALUE!</v>
      </c>
      <c r="AA189" t="e">
        <f>AND(Hoja3!F247,"AAAAADnafxo=")</f>
        <v>#VALUE!</v>
      </c>
      <c r="AB189" t="e">
        <f>AND(Hoja3!G247,"AAAAADnafxs=")</f>
        <v>#VALUE!</v>
      </c>
      <c r="AC189" t="e">
        <f>AND(Hoja3!H247,"AAAAADnafxw=")</f>
        <v>#VALUE!</v>
      </c>
      <c r="AD189" t="e">
        <f>AND(Hoja3!I247,"AAAAADnafx0=")</f>
        <v>#VALUE!</v>
      </c>
      <c r="AE189" t="e">
        <f>AND(Hoja3!J247,"AAAAADnafx4=")</f>
        <v>#VALUE!</v>
      </c>
      <c r="AF189" t="e">
        <f>AND(Hoja3!K247,"AAAAADnafx8=")</f>
        <v>#VALUE!</v>
      </c>
      <c r="AG189" t="e">
        <f>AND(Hoja3!L247,"AAAAADnafyA=")</f>
        <v>#VALUE!</v>
      </c>
      <c r="AH189" t="e">
        <f>AND(Hoja3!M247,"AAAAADnafyE=")</f>
        <v>#VALUE!</v>
      </c>
      <c r="AI189" t="e">
        <f>AND(Hoja3!N247,"AAAAADnafyI=")</f>
        <v>#VALUE!</v>
      </c>
      <c r="AJ189" t="e">
        <f>AND(Hoja3!O247,"AAAAADnafyM=")</f>
        <v>#VALUE!</v>
      </c>
      <c r="AK189" t="e">
        <f>AND(Hoja3!P247,"AAAAADnafyQ=")</f>
        <v>#VALUE!</v>
      </c>
      <c r="AL189" t="e">
        <f>AND(Hoja3!Q247,"AAAAADnafyU=")</f>
        <v>#VALUE!</v>
      </c>
      <c r="AM189" s="60">
        <f>IF(Hoja3!248:248,"AAAAADnafyY=",0)</f>
        <v>0</v>
      </c>
      <c r="AN189" t="e">
        <f>AND(Hoja3!A248,"AAAAADnafyc=")</f>
        <v>#VALUE!</v>
      </c>
      <c r="AO189" t="e">
        <f>AND(Hoja3!B248,"AAAAADnafyg=")</f>
        <v>#VALUE!</v>
      </c>
      <c r="AP189" t="e">
        <f>AND(Hoja3!C248,"AAAAADnafyk=")</f>
        <v>#VALUE!</v>
      </c>
      <c r="AQ189" t="e">
        <f>AND(Hoja3!D248,"AAAAADnafyo=")</f>
        <v>#VALUE!</v>
      </c>
      <c r="AR189" t="e">
        <f>AND(Hoja3!E248,"AAAAADnafys=")</f>
        <v>#VALUE!</v>
      </c>
      <c r="AS189" t="e">
        <f>AND(Hoja3!F248,"AAAAADnafyw=")</f>
        <v>#VALUE!</v>
      </c>
      <c r="AT189" t="e">
        <f>AND(Hoja3!G248,"AAAAADnafy0=")</f>
        <v>#VALUE!</v>
      </c>
      <c r="AU189" t="e">
        <f>AND(Hoja3!H248,"AAAAADnafy4=")</f>
        <v>#VALUE!</v>
      </c>
      <c r="AV189" t="e">
        <f>AND(Hoja3!I248,"AAAAADnafy8=")</f>
        <v>#VALUE!</v>
      </c>
      <c r="AW189" t="e">
        <f>AND(Hoja3!J248,"AAAAADnafzA=")</f>
        <v>#VALUE!</v>
      </c>
      <c r="AX189" t="e">
        <f>AND(Hoja3!K248,"AAAAADnafzE=")</f>
        <v>#VALUE!</v>
      </c>
      <c r="AY189" t="e">
        <f>AND(Hoja3!L248,"AAAAADnafzI=")</f>
        <v>#VALUE!</v>
      </c>
      <c r="AZ189" t="e">
        <f>AND(Hoja3!M248,"AAAAADnafzM=")</f>
        <v>#VALUE!</v>
      </c>
      <c r="BA189" t="e">
        <f>AND(Hoja3!N248,"AAAAADnafzQ=")</f>
        <v>#VALUE!</v>
      </c>
      <c r="BB189" t="e">
        <f>AND(Hoja3!O248,"AAAAADnafzU=")</f>
        <v>#VALUE!</v>
      </c>
      <c r="BC189" t="e">
        <f>AND(Hoja3!P248,"AAAAADnafzY=")</f>
        <v>#VALUE!</v>
      </c>
      <c r="BD189" t="e">
        <f>AND(Hoja3!Q248,"AAAAADnafzc=")</f>
        <v>#VALUE!</v>
      </c>
      <c r="BE189" s="60">
        <f>IF(Hoja3!249:249,"AAAAADnafzg=",0)</f>
        <v>0</v>
      </c>
      <c r="BF189" t="e">
        <f>AND(Hoja3!A249,"AAAAADnafzk=")</f>
        <v>#VALUE!</v>
      </c>
      <c r="BG189" t="e">
        <f>AND(Hoja3!B249,"AAAAADnafzo=")</f>
        <v>#VALUE!</v>
      </c>
      <c r="BH189" t="e">
        <f>AND(Hoja3!C249,"AAAAADnafzs=")</f>
        <v>#VALUE!</v>
      </c>
      <c r="BI189" t="e">
        <f>AND(Hoja3!D249,"AAAAADnafzw=")</f>
        <v>#VALUE!</v>
      </c>
      <c r="BJ189" t="e">
        <f>AND(Hoja3!E249,"AAAAADnafz0=")</f>
        <v>#VALUE!</v>
      </c>
      <c r="BK189" t="e">
        <f>AND(Hoja3!F249,"AAAAADnafz4=")</f>
        <v>#VALUE!</v>
      </c>
      <c r="BL189" t="e">
        <f>AND(Hoja3!G249,"AAAAADnafz8=")</f>
        <v>#VALUE!</v>
      </c>
      <c r="BM189" t="e">
        <f>AND(Hoja3!H249,"AAAAADnaf0A=")</f>
        <v>#VALUE!</v>
      </c>
      <c r="BN189" t="e">
        <f>AND(Hoja3!I249,"AAAAADnaf0E=")</f>
        <v>#VALUE!</v>
      </c>
      <c r="BO189" t="e">
        <f>AND(Hoja3!J249,"AAAAADnaf0I=")</f>
        <v>#VALUE!</v>
      </c>
      <c r="BP189" t="e">
        <f>AND(Hoja3!K249,"AAAAADnaf0M=")</f>
        <v>#VALUE!</v>
      </c>
      <c r="BQ189" t="e">
        <f>AND(Hoja3!L249,"AAAAADnaf0Q=")</f>
        <v>#VALUE!</v>
      </c>
      <c r="BR189" t="e">
        <f>AND(Hoja3!M249,"AAAAADnaf0U=")</f>
        <v>#VALUE!</v>
      </c>
      <c r="BS189" t="e">
        <f>AND(Hoja3!N249,"AAAAADnaf0Y=")</f>
        <v>#VALUE!</v>
      </c>
      <c r="BT189" t="e">
        <f>AND(Hoja3!O249,"AAAAADnaf0c=")</f>
        <v>#VALUE!</v>
      </c>
      <c r="BU189" t="e">
        <f>AND(Hoja3!P249,"AAAAADnaf0g=")</f>
        <v>#VALUE!</v>
      </c>
      <c r="BV189" t="e">
        <f>AND(Hoja3!Q249,"AAAAADnaf0k=")</f>
        <v>#VALUE!</v>
      </c>
      <c r="BW189" s="60">
        <f>IF(Hoja3!250:250,"AAAAADnaf0o=",0)</f>
        <v>0</v>
      </c>
      <c r="BX189" t="e">
        <f>AND(Hoja3!A250,"AAAAADnaf0s=")</f>
        <v>#VALUE!</v>
      </c>
      <c r="BY189" t="e">
        <f>AND(Hoja3!B250,"AAAAADnaf0w=")</f>
        <v>#VALUE!</v>
      </c>
      <c r="BZ189" t="e">
        <f>AND(Hoja3!C250,"AAAAADnaf00=")</f>
        <v>#VALUE!</v>
      </c>
      <c r="CA189" t="e">
        <f>AND(Hoja3!D250,"AAAAADnaf04=")</f>
        <v>#VALUE!</v>
      </c>
      <c r="CB189" t="e">
        <f>AND(Hoja3!E250,"AAAAADnaf08=")</f>
        <v>#VALUE!</v>
      </c>
      <c r="CC189" t="e">
        <f>AND(Hoja3!F250,"AAAAADnaf1A=")</f>
        <v>#VALUE!</v>
      </c>
      <c r="CD189" t="e">
        <f>AND(Hoja3!G250,"AAAAADnaf1E=")</f>
        <v>#VALUE!</v>
      </c>
      <c r="CE189" t="e">
        <f>AND(Hoja3!H250,"AAAAADnaf1I=")</f>
        <v>#VALUE!</v>
      </c>
      <c r="CF189" t="e">
        <f>AND(Hoja3!I250,"AAAAADnaf1M=")</f>
        <v>#VALUE!</v>
      </c>
      <c r="CG189" t="e">
        <f>AND(Hoja3!J250,"AAAAADnaf1Q=")</f>
        <v>#VALUE!</v>
      </c>
      <c r="CH189" t="e">
        <f>AND(Hoja3!K250,"AAAAADnaf1U=")</f>
        <v>#VALUE!</v>
      </c>
      <c r="CI189" t="e">
        <f>AND(Hoja3!L250,"AAAAADnaf1Y=")</f>
        <v>#VALUE!</v>
      </c>
      <c r="CJ189" t="e">
        <f>AND(Hoja3!M250,"AAAAADnaf1c=")</f>
        <v>#VALUE!</v>
      </c>
      <c r="CK189" t="e">
        <f>AND(Hoja3!N250,"AAAAADnaf1g=")</f>
        <v>#VALUE!</v>
      </c>
      <c r="CL189" t="e">
        <f>AND(Hoja3!O250,"AAAAADnaf1k=")</f>
        <v>#VALUE!</v>
      </c>
      <c r="CM189" t="e">
        <f>AND(Hoja3!P250,"AAAAADnaf1o=")</f>
        <v>#VALUE!</v>
      </c>
      <c r="CN189" t="e">
        <f>AND(Hoja3!Q250,"AAAAADnaf1s=")</f>
        <v>#VALUE!</v>
      </c>
      <c r="CO189" s="60">
        <f>IF(Hoja3!251:251,"AAAAADnaf1w=",0)</f>
        <v>0</v>
      </c>
      <c r="CP189" t="e">
        <f>AND(Hoja3!A251,"AAAAADnaf10=")</f>
        <v>#VALUE!</v>
      </c>
      <c r="CQ189" t="e">
        <f>AND(Hoja3!B251,"AAAAADnaf14=")</f>
        <v>#VALUE!</v>
      </c>
      <c r="CR189" t="e">
        <f>AND(Hoja3!C251,"AAAAADnaf18=")</f>
        <v>#VALUE!</v>
      </c>
      <c r="CS189" t="e">
        <f>AND(Hoja3!D251,"AAAAADnaf2A=")</f>
        <v>#VALUE!</v>
      </c>
      <c r="CT189" t="e">
        <f>AND(Hoja3!E251,"AAAAADnaf2E=")</f>
        <v>#VALUE!</v>
      </c>
      <c r="CU189" t="e">
        <f>AND(Hoja3!F251,"AAAAADnaf2I=")</f>
        <v>#VALUE!</v>
      </c>
      <c r="CV189" t="e">
        <f>AND(Hoja3!G251,"AAAAADnaf2M=")</f>
        <v>#VALUE!</v>
      </c>
      <c r="CW189" t="e">
        <f>AND(Hoja3!H251,"AAAAADnaf2Q=")</f>
        <v>#VALUE!</v>
      </c>
      <c r="CX189" t="e">
        <f>AND(Hoja3!I251,"AAAAADnaf2U=")</f>
        <v>#VALUE!</v>
      </c>
      <c r="CY189" t="e">
        <f>AND(Hoja3!J251,"AAAAADnaf2Y=")</f>
        <v>#VALUE!</v>
      </c>
      <c r="CZ189" t="e">
        <f>AND(Hoja3!K251,"AAAAADnaf2c=")</f>
        <v>#VALUE!</v>
      </c>
      <c r="DA189" t="e">
        <f>AND(Hoja3!L251,"AAAAADnaf2g=")</f>
        <v>#VALUE!</v>
      </c>
      <c r="DB189" t="e">
        <f>AND(Hoja3!M251,"AAAAADnaf2k=")</f>
        <v>#VALUE!</v>
      </c>
      <c r="DC189" t="e">
        <f>AND(Hoja3!N251,"AAAAADnaf2o=")</f>
        <v>#VALUE!</v>
      </c>
      <c r="DD189" t="e">
        <f>AND(Hoja3!O251,"AAAAADnaf2s=")</f>
        <v>#VALUE!</v>
      </c>
      <c r="DE189" t="e">
        <f>AND(Hoja3!P251,"AAAAADnaf2w=")</f>
        <v>#VALUE!</v>
      </c>
      <c r="DF189" t="e">
        <f>AND(Hoja3!Q251,"AAAAADnaf20=")</f>
        <v>#VALUE!</v>
      </c>
      <c r="DG189" s="60">
        <f>IF(Hoja3!252:252,"AAAAADnaf24=",0)</f>
        <v>0</v>
      </c>
      <c r="DH189" t="e">
        <f>AND(Hoja3!A252,"AAAAADnaf28=")</f>
        <v>#VALUE!</v>
      </c>
      <c r="DI189" t="e">
        <f>AND(Hoja3!B252,"AAAAADnaf3A=")</f>
        <v>#VALUE!</v>
      </c>
      <c r="DJ189" t="e">
        <f>AND(Hoja3!C252,"AAAAADnaf3E=")</f>
        <v>#VALUE!</v>
      </c>
      <c r="DK189" t="e">
        <f>AND(Hoja3!D252,"AAAAADnaf3I=")</f>
        <v>#VALUE!</v>
      </c>
      <c r="DL189" t="e">
        <f>AND(Hoja3!E252,"AAAAADnaf3M=")</f>
        <v>#VALUE!</v>
      </c>
      <c r="DM189" t="e">
        <f>AND(Hoja3!F252,"AAAAADnaf3Q=")</f>
        <v>#VALUE!</v>
      </c>
      <c r="DN189" t="e">
        <f>AND(Hoja3!G252,"AAAAADnaf3U=")</f>
        <v>#VALUE!</v>
      </c>
      <c r="DO189" t="e">
        <f>AND(Hoja3!H252,"AAAAADnaf3Y=")</f>
        <v>#VALUE!</v>
      </c>
      <c r="DP189" t="e">
        <f>AND(Hoja3!I252,"AAAAADnaf3c=")</f>
        <v>#VALUE!</v>
      </c>
      <c r="DQ189" t="e">
        <f>AND(Hoja3!J252,"AAAAADnaf3g=")</f>
        <v>#VALUE!</v>
      </c>
      <c r="DR189" t="e">
        <f>AND(Hoja3!K252,"AAAAADnaf3k=")</f>
        <v>#VALUE!</v>
      </c>
      <c r="DS189" t="e">
        <f>AND(Hoja3!L252,"AAAAADnaf3o=")</f>
        <v>#VALUE!</v>
      </c>
      <c r="DT189" t="e">
        <f>AND(Hoja3!M252,"AAAAADnaf3s=")</f>
        <v>#VALUE!</v>
      </c>
      <c r="DU189" t="e">
        <f>AND(Hoja3!N252,"AAAAADnaf3w=")</f>
        <v>#VALUE!</v>
      </c>
      <c r="DV189" t="e">
        <f>AND(Hoja3!O252,"AAAAADnaf30=")</f>
        <v>#VALUE!</v>
      </c>
      <c r="DW189" t="e">
        <f>AND(Hoja3!P252,"AAAAADnaf34=")</f>
        <v>#VALUE!</v>
      </c>
      <c r="DX189" t="e">
        <f>AND(Hoja3!Q252,"AAAAADnaf38=")</f>
        <v>#VALUE!</v>
      </c>
      <c r="DY189" s="60">
        <f>IF(Hoja3!253:253,"AAAAADnaf4A=",0)</f>
        <v>0</v>
      </c>
      <c r="DZ189" t="e">
        <f>AND(Hoja3!A253,"AAAAADnaf4E=")</f>
        <v>#VALUE!</v>
      </c>
      <c r="EA189" t="e">
        <f>AND(Hoja3!B253,"AAAAADnaf4I=")</f>
        <v>#VALUE!</v>
      </c>
      <c r="EB189" t="e">
        <f>AND(Hoja3!C253,"AAAAADnaf4M=")</f>
        <v>#VALUE!</v>
      </c>
      <c r="EC189" t="e">
        <f>AND(Hoja3!D253,"AAAAADnaf4Q=")</f>
        <v>#VALUE!</v>
      </c>
      <c r="ED189" t="e">
        <f>AND(Hoja3!E253,"AAAAADnaf4U=")</f>
        <v>#VALUE!</v>
      </c>
      <c r="EE189" t="e">
        <f>AND(Hoja3!F253,"AAAAADnaf4Y=")</f>
        <v>#VALUE!</v>
      </c>
      <c r="EF189" t="e">
        <f>AND(Hoja3!G253,"AAAAADnaf4c=")</f>
        <v>#VALUE!</v>
      </c>
      <c r="EG189" t="e">
        <f>AND(Hoja3!H253,"AAAAADnaf4g=")</f>
        <v>#VALUE!</v>
      </c>
      <c r="EH189" t="e">
        <f>AND(Hoja3!I253,"AAAAADnaf4k=")</f>
        <v>#VALUE!</v>
      </c>
      <c r="EI189" t="e">
        <f>AND(Hoja3!J253,"AAAAADnaf4o=")</f>
        <v>#VALUE!</v>
      </c>
      <c r="EJ189" t="e">
        <f>AND(Hoja3!K253,"AAAAADnaf4s=")</f>
        <v>#VALUE!</v>
      </c>
      <c r="EK189" t="e">
        <f>AND(Hoja3!L253,"AAAAADnaf4w=")</f>
        <v>#VALUE!</v>
      </c>
      <c r="EL189" t="e">
        <f>AND(Hoja3!M253,"AAAAADnaf40=")</f>
        <v>#VALUE!</v>
      </c>
      <c r="EM189" t="e">
        <f>AND(Hoja3!N253,"AAAAADnaf44=")</f>
        <v>#VALUE!</v>
      </c>
      <c r="EN189" t="e">
        <f>AND(Hoja3!O253,"AAAAADnaf48=")</f>
        <v>#VALUE!</v>
      </c>
      <c r="EO189" t="e">
        <f>AND(Hoja3!P253,"AAAAADnaf5A=")</f>
        <v>#VALUE!</v>
      </c>
      <c r="EP189" t="e">
        <f>AND(Hoja3!Q253,"AAAAADnaf5E=")</f>
        <v>#VALUE!</v>
      </c>
      <c r="EQ189" s="60">
        <f>IF(Hoja3!254:254,"AAAAADnaf5I=",0)</f>
        <v>0</v>
      </c>
      <c r="ER189" t="e">
        <f>AND(Hoja3!A254,"AAAAADnaf5M=")</f>
        <v>#VALUE!</v>
      </c>
      <c r="ES189" t="e">
        <f>AND(Hoja3!B254,"AAAAADnaf5Q=")</f>
        <v>#VALUE!</v>
      </c>
      <c r="ET189" t="e">
        <f>AND(Hoja3!C254,"AAAAADnaf5U=")</f>
        <v>#VALUE!</v>
      </c>
      <c r="EU189" t="e">
        <f>AND(Hoja3!D254,"AAAAADnaf5Y=")</f>
        <v>#VALUE!</v>
      </c>
      <c r="EV189" t="e">
        <f>AND(Hoja3!E254,"AAAAADnaf5c=")</f>
        <v>#VALUE!</v>
      </c>
      <c r="EW189" t="e">
        <f>AND(Hoja3!F254,"AAAAADnaf5g=")</f>
        <v>#VALUE!</v>
      </c>
      <c r="EX189" t="e">
        <f>AND(Hoja3!G254,"AAAAADnaf5k=")</f>
        <v>#VALUE!</v>
      </c>
      <c r="EY189" t="e">
        <f>AND(Hoja3!H254,"AAAAADnaf5o=")</f>
        <v>#VALUE!</v>
      </c>
      <c r="EZ189" t="e">
        <f>AND(Hoja3!I254,"AAAAADnaf5s=")</f>
        <v>#VALUE!</v>
      </c>
      <c r="FA189" t="e">
        <f>AND(Hoja3!J254,"AAAAADnaf5w=")</f>
        <v>#VALUE!</v>
      </c>
      <c r="FB189" t="e">
        <f>AND(Hoja3!K254,"AAAAADnaf50=")</f>
        <v>#VALUE!</v>
      </c>
      <c r="FC189" t="e">
        <f>AND(Hoja3!L254,"AAAAADnaf54=")</f>
        <v>#VALUE!</v>
      </c>
      <c r="FD189" t="e">
        <f>AND(Hoja3!M254,"AAAAADnaf58=")</f>
        <v>#VALUE!</v>
      </c>
      <c r="FE189" t="e">
        <f>AND(Hoja3!N254,"AAAAADnaf6A=")</f>
        <v>#VALUE!</v>
      </c>
      <c r="FF189" t="e">
        <f>AND(Hoja3!O254,"AAAAADnaf6E=")</f>
        <v>#VALUE!</v>
      </c>
      <c r="FG189" t="e">
        <f>AND(Hoja3!P254,"AAAAADnaf6I=")</f>
        <v>#VALUE!</v>
      </c>
      <c r="FH189" t="e">
        <f>AND(Hoja3!Q254,"AAAAADnaf6M=")</f>
        <v>#VALUE!</v>
      </c>
      <c r="FI189" s="60">
        <f>IF(Hoja3!255:255,"AAAAADnaf6Q=",0)</f>
        <v>0</v>
      </c>
      <c r="FJ189" t="e">
        <f>AND(Hoja3!A255,"AAAAADnaf6U=")</f>
        <v>#VALUE!</v>
      </c>
      <c r="FK189" t="e">
        <f>AND(Hoja3!B255,"AAAAADnaf6Y=")</f>
        <v>#VALUE!</v>
      </c>
      <c r="FL189" t="e">
        <f>AND(Hoja3!C255,"AAAAADnaf6c=")</f>
        <v>#VALUE!</v>
      </c>
      <c r="FM189" t="e">
        <f>AND(Hoja3!D255,"AAAAADnaf6g=")</f>
        <v>#VALUE!</v>
      </c>
      <c r="FN189" t="e">
        <f>AND(Hoja3!E255,"AAAAADnaf6k=")</f>
        <v>#VALUE!</v>
      </c>
      <c r="FO189" t="e">
        <f>AND(Hoja3!F255,"AAAAADnaf6o=")</f>
        <v>#VALUE!</v>
      </c>
      <c r="FP189" t="e">
        <f>AND(Hoja3!G255,"AAAAADnaf6s=")</f>
        <v>#VALUE!</v>
      </c>
      <c r="FQ189" t="e">
        <f>AND(Hoja3!H255,"AAAAADnaf6w=")</f>
        <v>#VALUE!</v>
      </c>
      <c r="FR189" t="e">
        <f>AND(Hoja3!I255,"AAAAADnaf60=")</f>
        <v>#VALUE!</v>
      </c>
      <c r="FS189" t="e">
        <f>AND(Hoja3!J255,"AAAAADnaf64=")</f>
        <v>#VALUE!</v>
      </c>
      <c r="FT189" t="e">
        <f>AND(Hoja3!K255,"AAAAADnaf68=")</f>
        <v>#VALUE!</v>
      </c>
      <c r="FU189" t="e">
        <f>AND(Hoja3!L255,"AAAAADnaf7A=")</f>
        <v>#VALUE!</v>
      </c>
      <c r="FV189" t="e">
        <f>AND(Hoja3!M255,"AAAAADnaf7E=")</f>
        <v>#VALUE!</v>
      </c>
      <c r="FW189" t="e">
        <f>AND(Hoja3!N255,"AAAAADnaf7I=")</f>
        <v>#VALUE!</v>
      </c>
      <c r="FX189" t="e">
        <f>AND(Hoja3!O255,"AAAAADnaf7M=")</f>
        <v>#VALUE!</v>
      </c>
      <c r="FY189" t="e">
        <f>AND(Hoja3!P255,"AAAAADnaf7Q=")</f>
        <v>#VALUE!</v>
      </c>
      <c r="FZ189" t="e">
        <f>AND(Hoja3!Q255,"AAAAADnaf7U=")</f>
        <v>#VALUE!</v>
      </c>
      <c r="GA189" s="60">
        <f>IF(Hoja3!256:256,"AAAAADnaf7Y=",0)</f>
        <v>0</v>
      </c>
      <c r="GB189" t="e">
        <f>AND(Hoja3!A256,"AAAAADnaf7c=")</f>
        <v>#VALUE!</v>
      </c>
      <c r="GC189" t="e">
        <f>AND(Hoja3!B256,"AAAAADnaf7g=")</f>
        <v>#VALUE!</v>
      </c>
      <c r="GD189" t="e">
        <f>AND(Hoja3!C256,"AAAAADnaf7k=")</f>
        <v>#VALUE!</v>
      </c>
      <c r="GE189" t="e">
        <f>AND(Hoja3!D256,"AAAAADnaf7o=")</f>
        <v>#VALUE!</v>
      </c>
      <c r="GF189" t="e">
        <f>AND(Hoja3!E256,"AAAAADnaf7s=")</f>
        <v>#VALUE!</v>
      </c>
      <c r="GG189" t="e">
        <f>AND(Hoja3!F256,"AAAAADnaf7w=")</f>
        <v>#VALUE!</v>
      </c>
      <c r="GH189" t="e">
        <f>AND(Hoja3!G256,"AAAAADnaf70=")</f>
        <v>#VALUE!</v>
      </c>
      <c r="GI189" t="e">
        <f>AND(Hoja3!H256,"AAAAADnaf74=")</f>
        <v>#VALUE!</v>
      </c>
      <c r="GJ189" t="e">
        <f>AND(Hoja3!I256,"AAAAADnaf78=")</f>
        <v>#VALUE!</v>
      </c>
      <c r="GK189" t="e">
        <f>AND(Hoja3!J256,"AAAAADnaf8A=")</f>
        <v>#VALUE!</v>
      </c>
      <c r="GL189" t="e">
        <f>AND(Hoja3!K256,"AAAAADnaf8E=")</f>
        <v>#VALUE!</v>
      </c>
      <c r="GM189" t="e">
        <f>AND(Hoja3!L256,"AAAAADnaf8I=")</f>
        <v>#VALUE!</v>
      </c>
      <c r="GN189" t="e">
        <f>AND(Hoja3!M256,"AAAAADnaf8M=")</f>
        <v>#VALUE!</v>
      </c>
      <c r="GO189" t="e">
        <f>AND(Hoja3!N256,"AAAAADnaf8Q=")</f>
        <v>#VALUE!</v>
      </c>
      <c r="GP189" t="e">
        <f>AND(Hoja3!O256,"AAAAADnaf8U=")</f>
        <v>#VALUE!</v>
      </c>
      <c r="GQ189" t="e">
        <f>AND(Hoja3!P256,"AAAAADnaf8Y=")</f>
        <v>#VALUE!</v>
      </c>
      <c r="GR189" t="e">
        <f>AND(Hoja3!Q256,"AAAAADnaf8c=")</f>
        <v>#VALUE!</v>
      </c>
      <c r="GS189" s="60">
        <f>IF(Hoja3!257:257,"AAAAADnaf8g=",0)</f>
        <v>0</v>
      </c>
      <c r="GT189" t="e">
        <f>AND(Hoja3!A257,"AAAAADnaf8k=")</f>
        <v>#VALUE!</v>
      </c>
      <c r="GU189" t="e">
        <f>AND(Hoja3!B257,"AAAAADnaf8o=")</f>
        <v>#VALUE!</v>
      </c>
      <c r="GV189" t="e">
        <f>AND(Hoja3!C257,"AAAAADnaf8s=")</f>
        <v>#VALUE!</v>
      </c>
      <c r="GW189" t="e">
        <f>AND(Hoja3!D257,"AAAAADnaf8w=")</f>
        <v>#VALUE!</v>
      </c>
      <c r="GX189" t="e">
        <f>AND(Hoja3!E257,"AAAAADnaf80=")</f>
        <v>#VALUE!</v>
      </c>
      <c r="GY189" t="e">
        <f>AND(Hoja3!F257,"AAAAADnaf84=")</f>
        <v>#VALUE!</v>
      </c>
      <c r="GZ189" t="e">
        <f>AND(Hoja3!G257,"AAAAADnaf88=")</f>
        <v>#VALUE!</v>
      </c>
      <c r="HA189" t="e">
        <f>AND(Hoja3!H257,"AAAAADnaf9A=")</f>
        <v>#VALUE!</v>
      </c>
      <c r="HB189" t="e">
        <f>AND(Hoja3!I257,"AAAAADnaf9E=")</f>
        <v>#VALUE!</v>
      </c>
      <c r="HC189" t="e">
        <f>AND(Hoja3!J257,"AAAAADnaf9I=")</f>
        <v>#VALUE!</v>
      </c>
      <c r="HD189" t="e">
        <f>AND(Hoja3!K257,"AAAAADnaf9M=")</f>
        <v>#VALUE!</v>
      </c>
      <c r="HE189" t="e">
        <f>AND(Hoja3!L257,"AAAAADnaf9Q=")</f>
        <v>#VALUE!</v>
      </c>
      <c r="HF189" t="e">
        <f>AND(Hoja3!M257,"AAAAADnaf9U=")</f>
        <v>#VALUE!</v>
      </c>
      <c r="HG189" t="e">
        <f>AND(Hoja3!N257,"AAAAADnaf9Y=")</f>
        <v>#VALUE!</v>
      </c>
      <c r="HH189" t="e">
        <f>AND(Hoja3!O257,"AAAAADnaf9c=")</f>
        <v>#VALUE!</v>
      </c>
      <c r="HI189" t="e">
        <f>AND(Hoja3!P257,"AAAAADnaf9g=")</f>
        <v>#VALUE!</v>
      </c>
      <c r="HJ189" t="e">
        <f>AND(Hoja3!Q257,"AAAAADnaf9k=")</f>
        <v>#VALUE!</v>
      </c>
      <c r="HK189" s="60">
        <f>IF(Hoja3!258:258,"AAAAADnaf9o=",0)</f>
        <v>0</v>
      </c>
      <c r="HL189" t="e">
        <f>AND(Hoja3!A258,"AAAAADnaf9s=")</f>
        <v>#VALUE!</v>
      </c>
      <c r="HM189" t="e">
        <f>AND(Hoja3!B258,"AAAAADnaf9w=")</f>
        <v>#VALUE!</v>
      </c>
      <c r="HN189" t="e">
        <f>AND(Hoja3!C258,"AAAAADnaf90=")</f>
        <v>#VALUE!</v>
      </c>
      <c r="HO189" t="e">
        <f>AND(Hoja3!D258,"AAAAADnaf94=")</f>
        <v>#VALUE!</v>
      </c>
      <c r="HP189" t="e">
        <f>AND(Hoja3!E258,"AAAAADnaf98=")</f>
        <v>#VALUE!</v>
      </c>
      <c r="HQ189" t="e">
        <f>AND(Hoja3!F258,"AAAAADnaf+A=")</f>
        <v>#VALUE!</v>
      </c>
      <c r="HR189" t="e">
        <f>AND(Hoja3!G258,"AAAAADnaf+E=")</f>
        <v>#VALUE!</v>
      </c>
      <c r="HS189" t="e">
        <f>AND(Hoja3!H258,"AAAAADnaf+I=")</f>
        <v>#VALUE!</v>
      </c>
      <c r="HT189" t="e">
        <f>AND(Hoja3!I258,"AAAAADnaf+M=")</f>
        <v>#VALUE!</v>
      </c>
      <c r="HU189" t="e">
        <f>AND(Hoja3!J258,"AAAAADnaf+Q=")</f>
        <v>#VALUE!</v>
      </c>
      <c r="HV189" t="e">
        <f>AND(Hoja3!K258,"AAAAADnaf+U=")</f>
        <v>#VALUE!</v>
      </c>
      <c r="HW189" t="e">
        <f>AND(Hoja3!L258,"AAAAADnaf+Y=")</f>
        <v>#VALUE!</v>
      </c>
      <c r="HX189" t="e">
        <f>AND(Hoja3!M258,"AAAAADnaf+c=")</f>
        <v>#VALUE!</v>
      </c>
      <c r="HY189" t="e">
        <f>AND(Hoja3!N258,"AAAAADnaf+g=")</f>
        <v>#VALUE!</v>
      </c>
      <c r="HZ189" t="e">
        <f>AND(Hoja3!O258,"AAAAADnaf+k=")</f>
        <v>#VALUE!</v>
      </c>
      <c r="IA189" t="e">
        <f>AND(Hoja3!P258,"AAAAADnaf+o=")</f>
        <v>#VALUE!</v>
      </c>
      <c r="IB189" t="e">
        <f>AND(Hoja3!Q258,"AAAAADnaf+s=")</f>
        <v>#VALUE!</v>
      </c>
      <c r="IC189" s="60">
        <f>IF(Hoja3!259:259,"AAAAADnaf+w=",0)</f>
        <v>0</v>
      </c>
      <c r="ID189" t="e">
        <f>AND(Hoja3!A259,"AAAAADnaf+0=")</f>
        <v>#VALUE!</v>
      </c>
      <c r="IE189" t="e">
        <f>AND(Hoja3!B259,"AAAAADnaf+4=")</f>
        <v>#VALUE!</v>
      </c>
      <c r="IF189" t="e">
        <f>AND(Hoja3!C259,"AAAAADnaf+8=")</f>
        <v>#VALUE!</v>
      </c>
      <c r="IG189" t="e">
        <f>AND(Hoja3!D259,"AAAAADnaf/A=")</f>
        <v>#VALUE!</v>
      </c>
      <c r="IH189" t="e">
        <f>AND(Hoja3!E259,"AAAAADnaf/E=")</f>
        <v>#VALUE!</v>
      </c>
      <c r="II189" t="e">
        <f>AND(Hoja3!F259,"AAAAADnaf/I=")</f>
        <v>#VALUE!</v>
      </c>
      <c r="IJ189" t="e">
        <f>AND(Hoja3!G259,"AAAAADnaf/M=")</f>
        <v>#VALUE!</v>
      </c>
      <c r="IK189" t="e">
        <f>AND(Hoja3!H259,"AAAAADnaf/Q=")</f>
        <v>#VALUE!</v>
      </c>
      <c r="IL189" t="e">
        <f>AND(Hoja3!I259,"AAAAADnaf/U=")</f>
        <v>#VALUE!</v>
      </c>
      <c r="IM189" t="e">
        <f>AND(Hoja3!J259,"AAAAADnaf/Y=")</f>
        <v>#VALUE!</v>
      </c>
      <c r="IN189" t="e">
        <f>AND(Hoja3!K259,"AAAAADnaf/c=")</f>
        <v>#VALUE!</v>
      </c>
      <c r="IO189" t="e">
        <f>AND(Hoja3!L259,"AAAAADnaf/g=")</f>
        <v>#VALUE!</v>
      </c>
      <c r="IP189" t="e">
        <f>AND(Hoja3!M259,"AAAAADnaf/k=")</f>
        <v>#VALUE!</v>
      </c>
      <c r="IQ189" t="e">
        <f>AND(Hoja3!N259,"AAAAADnaf/o=")</f>
        <v>#VALUE!</v>
      </c>
      <c r="IR189" t="e">
        <f>AND(Hoja3!O259,"AAAAADnaf/s=")</f>
        <v>#VALUE!</v>
      </c>
      <c r="IS189" t="e">
        <f>AND(Hoja3!P259,"AAAAADnaf/w=")</f>
        <v>#VALUE!</v>
      </c>
      <c r="IT189" t="e">
        <f>AND(Hoja3!Q259,"AAAAADnaf/0=")</f>
        <v>#VALUE!</v>
      </c>
      <c r="IU189" s="60">
        <f>IF(Hoja3!260:260,"AAAAADnaf/4=",0)</f>
        <v>0</v>
      </c>
      <c r="IV189" t="e">
        <f>AND(Hoja3!A260,"AAAAADnaf/8=")</f>
        <v>#VALUE!</v>
      </c>
    </row>
    <row r="190" spans="1:256" ht="15" customHeight="1" x14ac:dyDescent="0.25">
      <c r="A190" t="e">
        <f>AND(Hoja3!B260,"AAAAAGPJ+wA=")</f>
        <v>#VALUE!</v>
      </c>
      <c r="B190" t="e">
        <f>AND(Hoja3!C260,"AAAAAGPJ+wE=")</f>
        <v>#VALUE!</v>
      </c>
      <c r="C190" t="e">
        <f>AND(Hoja3!D260,"AAAAAGPJ+wI=")</f>
        <v>#VALUE!</v>
      </c>
      <c r="D190" t="e">
        <f>AND(Hoja3!E260,"AAAAAGPJ+wM=")</f>
        <v>#VALUE!</v>
      </c>
      <c r="E190" t="e">
        <f>AND(Hoja3!F260,"AAAAAGPJ+wQ=")</f>
        <v>#VALUE!</v>
      </c>
      <c r="F190" t="e">
        <f>AND(Hoja3!G260,"AAAAAGPJ+wU=")</f>
        <v>#VALUE!</v>
      </c>
      <c r="G190" t="e">
        <f>AND(Hoja3!H260,"AAAAAGPJ+wY=")</f>
        <v>#VALUE!</v>
      </c>
      <c r="H190" t="e">
        <f>AND(Hoja3!I260,"AAAAAGPJ+wc=")</f>
        <v>#VALUE!</v>
      </c>
      <c r="I190" t="e">
        <f>AND(Hoja3!J260,"AAAAAGPJ+wg=")</f>
        <v>#VALUE!</v>
      </c>
      <c r="J190" t="e">
        <f>AND(Hoja3!K260,"AAAAAGPJ+wk=")</f>
        <v>#VALUE!</v>
      </c>
      <c r="K190" t="e">
        <f>AND(Hoja3!L260,"AAAAAGPJ+wo=")</f>
        <v>#VALUE!</v>
      </c>
      <c r="L190" t="e">
        <f>AND(Hoja3!M260,"AAAAAGPJ+ws=")</f>
        <v>#VALUE!</v>
      </c>
      <c r="M190" t="e">
        <f>AND(Hoja3!N260,"AAAAAGPJ+ww=")</f>
        <v>#VALUE!</v>
      </c>
      <c r="N190" t="e">
        <f>AND(Hoja3!O260,"AAAAAGPJ+w0=")</f>
        <v>#VALUE!</v>
      </c>
      <c r="O190" t="e">
        <f>AND(Hoja3!P260,"AAAAAGPJ+w4=")</f>
        <v>#VALUE!</v>
      </c>
      <c r="P190" t="e">
        <f>AND(Hoja3!Q260,"AAAAAGPJ+w8=")</f>
        <v>#VALUE!</v>
      </c>
      <c r="Q190" t="str">
        <f>IF(Hoja3!261:261,"AAAAAGPJ+xA=",0)</f>
        <v>AAAAAGPJ+xA=</v>
      </c>
      <c r="R190" t="e">
        <f>AND(Hoja3!A261,"AAAAAGPJ+xE=")</f>
        <v>#VALUE!</v>
      </c>
      <c r="S190" t="e">
        <f>AND(Hoja3!B261,"AAAAAGPJ+xI=")</f>
        <v>#VALUE!</v>
      </c>
      <c r="T190" t="e">
        <f>AND(Hoja3!C261,"AAAAAGPJ+xM=")</f>
        <v>#VALUE!</v>
      </c>
      <c r="U190" t="e">
        <f>AND(Hoja3!D261,"AAAAAGPJ+xQ=")</f>
        <v>#VALUE!</v>
      </c>
      <c r="V190" t="e">
        <f>AND(Hoja3!E261,"AAAAAGPJ+xU=")</f>
        <v>#VALUE!</v>
      </c>
      <c r="W190" t="e">
        <f>AND(Hoja3!F261,"AAAAAGPJ+xY=")</f>
        <v>#VALUE!</v>
      </c>
      <c r="X190" t="e">
        <f>AND(Hoja3!G261,"AAAAAGPJ+xc=")</f>
        <v>#VALUE!</v>
      </c>
      <c r="Y190" t="e">
        <f>AND(Hoja3!H261,"AAAAAGPJ+xg=")</f>
        <v>#VALUE!</v>
      </c>
      <c r="Z190" t="e">
        <f>AND(Hoja3!I261,"AAAAAGPJ+xk=")</f>
        <v>#VALUE!</v>
      </c>
      <c r="AA190" t="e">
        <f>AND(Hoja3!J261,"AAAAAGPJ+xo=")</f>
        <v>#VALUE!</v>
      </c>
      <c r="AB190" t="e">
        <f>AND(Hoja3!K261,"AAAAAGPJ+xs=")</f>
        <v>#VALUE!</v>
      </c>
      <c r="AC190" t="e">
        <f>AND(Hoja3!L261,"AAAAAGPJ+xw=")</f>
        <v>#VALUE!</v>
      </c>
      <c r="AD190" t="e">
        <f>AND(Hoja3!M261,"AAAAAGPJ+x0=")</f>
        <v>#VALUE!</v>
      </c>
      <c r="AE190" t="e">
        <f>AND(Hoja3!N261,"AAAAAGPJ+x4=")</f>
        <v>#VALUE!</v>
      </c>
      <c r="AF190" t="e">
        <f>AND(Hoja3!O261,"AAAAAGPJ+x8=")</f>
        <v>#VALUE!</v>
      </c>
      <c r="AG190" t="e">
        <f>AND(Hoja3!P261,"AAAAAGPJ+yA=")</f>
        <v>#VALUE!</v>
      </c>
      <c r="AH190" t="e">
        <f>AND(Hoja3!Q261,"AAAAAGPJ+yE=")</f>
        <v>#VALUE!</v>
      </c>
      <c r="AI190" s="60">
        <f>IF(Hoja3!262:262,"AAAAAGPJ+yI=",0)</f>
        <v>0</v>
      </c>
      <c r="AJ190" t="e">
        <f>AND(Hoja3!A262,"AAAAAGPJ+yM=")</f>
        <v>#VALUE!</v>
      </c>
      <c r="AK190" t="e">
        <f>AND(Hoja3!B262,"AAAAAGPJ+yQ=")</f>
        <v>#VALUE!</v>
      </c>
      <c r="AL190" t="e">
        <f>AND(Hoja3!C262,"AAAAAGPJ+yU=")</f>
        <v>#VALUE!</v>
      </c>
      <c r="AM190" t="e">
        <f>AND(Hoja3!D262,"AAAAAGPJ+yY=")</f>
        <v>#VALUE!</v>
      </c>
      <c r="AN190" t="e">
        <f>AND(Hoja3!E262,"AAAAAGPJ+yc=")</f>
        <v>#VALUE!</v>
      </c>
      <c r="AO190" t="e">
        <f>AND(Hoja3!F262,"AAAAAGPJ+yg=")</f>
        <v>#VALUE!</v>
      </c>
      <c r="AP190" t="e">
        <f>AND(Hoja3!G262,"AAAAAGPJ+yk=")</f>
        <v>#VALUE!</v>
      </c>
      <c r="AQ190" t="e">
        <f>AND(Hoja3!H262,"AAAAAGPJ+yo=")</f>
        <v>#VALUE!</v>
      </c>
      <c r="AR190" t="e">
        <f>AND(Hoja3!I262,"AAAAAGPJ+ys=")</f>
        <v>#VALUE!</v>
      </c>
      <c r="AS190" t="e">
        <f>AND(Hoja3!J262,"AAAAAGPJ+yw=")</f>
        <v>#VALUE!</v>
      </c>
      <c r="AT190" t="e">
        <f>AND(Hoja3!K262,"AAAAAGPJ+y0=")</f>
        <v>#VALUE!</v>
      </c>
      <c r="AU190" t="e">
        <f>AND(Hoja3!L262,"AAAAAGPJ+y4=")</f>
        <v>#VALUE!</v>
      </c>
      <c r="AV190" t="e">
        <f>AND(Hoja3!M262,"AAAAAGPJ+y8=")</f>
        <v>#VALUE!</v>
      </c>
      <c r="AW190" t="e">
        <f>AND(Hoja3!N262,"AAAAAGPJ+zA=")</f>
        <v>#VALUE!</v>
      </c>
      <c r="AX190" t="e">
        <f>AND(Hoja3!O262,"AAAAAGPJ+zE=")</f>
        <v>#VALUE!</v>
      </c>
      <c r="AY190" t="e">
        <f>AND(Hoja3!P262,"AAAAAGPJ+zI=")</f>
        <v>#VALUE!</v>
      </c>
      <c r="AZ190" t="e">
        <f>AND(Hoja3!Q262,"AAAAAGPJ+zM=")</f>
        <v>#VALUE!</v>
      </c>
      <c r="BA190" s="60">
        <f>IF(Hoja3!263:263,"AAAAAGPJ+zQ=",0)</f>
        <v>0</v>
      </c>
      <c r="BB190" t="e">
        <f>AND(Hoja3!A263,"AAAAAGPJ+zU=")</f>
        <v>#VALUE!</v>
      </c>
      <c r="BC190" t="e">
        <f>AND(Hoja3!B263,"AAAAAGPJ+zY=")</f>
        <v>#VALUE!</v>
      </c>
      <c r="BD190" t="e">
        <f>AND(Hoja3!C263,"AAAAAGPJ+zc=")</f>
        <v>#VALUE!</v>
      </c>
      <c r="BE190" t="e">
        <f>AND(Hoja3!D263,"AAAAAGPJ+zg=")</f>
        <v>#VALUE!</v>
      </c>
      <c r="BF190" t="e">
        <f>AND(Hoja3!E263,"AAAAAGPJ+zk=")</f>
        <v>#VALUE!</v>
      </c>
      <c r="BG190" t="e">
        <f>AND(Hoja3!F263,"AAAAAGPJ+zo=")</f>
        <v>#VALUE!</v>
      </c>
      <c r="BH190" t="e">
        <f>AND(Hoja3!G263,"AAAAAGPJ+zs=")</f>
        <v>#VALUE!</v>
      </c>
      <c r="BI190" t="e">
        <f>AND(Hoja3!H263,"AAAAAGPJ+zw=")</f>
        <v>#VALUE!</v>
      </c>
      <c r="BJ190" t="e">
        <f>AND(Hoja3!I263,"AAAAAGPJ+z0=")</f>
        <v>#VALUE!</v>
      </c>
      <c r="BK190" t="e">
        <f>AND(Hoja3!J263,"AAAAAGPJ+z4=")</f>
        <v>#VALUE!</v>
      </c>
      <c r="BL190" t="e">
        <f>AND(Hoja3!K263,"AAAAAGPJ+z8=")</f>
        <v>#VALUE!</v>
      </c>
      <c r="BM190" t="e">
        <f>AND(Hoja3!L263,"AAAAAGPJ+0A=")</f>
        <v>#VALUE!</v>
      </c>
      <c r="BN190" t="e">
        <f>AND(Hoja3!M263,"AAAAAGPJ+0E=")</f>
        <v>#VALUE!</v>
      </c>
      <c r="BO190" t="e">
        <f>AND(Hoja3!N263,"AAAAAGPJ+0I=")</f>
        <v>#VALUE!</v>
      </c>
      <c r="BP190" t="e">
        <f>AND(Hoja3!O263,"AAAAAGPJ+0M=")</f>
        <v>#VALUE!</v>
      </c>
      <c r="BQ190" t="e">
        <f>AND(Hoja3!P263,"AAAAAGPJ+0Q=")</f>
        <v>#VALUE!</v>
      </c>
      <c r="BR190" t="e">
        <f>AND(Hoja3!Q263,"AAAAAGPJ+0U=")</f>
        <v>#VALUE!</v>
      </c>
      <c r="BS190" s="60">
        <f>IF(Hoja3!264:264,"AAAAAGPJ+0Y=",0)</f>
        <v>0</v>
      </c>
      <c r="BT190" t="e">
        <f>AND(Hoja3!A264,"AAAAAGPJ+0c=")</f>
        <v>#VALUE!</v>
      </c>
      <c r="BU190" t="e">
        <f>AND(Hoja3!B264,"AAAAAGPJ+0g=")</f>
        <v>#VALUE!</v>
      </c>
      <c r="BV190" t="e">
        <f>AND(Hoja3!C264,"AAAAAGPJ+0k=")</f>
        <v>#VALUE!</v>
      </c>
      <c r="BW190" t="e">
        <f>AND(Hoja3!D264,"AAAAAGPJ+0o=")</f>
        <v>#VALUE!</v>
      </c>
      <c r="BX190" t="e">
        <f>AND(Hoja3!E264,"AAAAAGPJ+0s=")</f>
        <v>#VALUE!</v>
      </c>
      <c r="BY190" t="e">
        <f>AND(Hoja3!F264,"AAAAAGPJ+0w=")</f>
        <v>#VALUE!</v>
      </c>
      <c r="BZ190" t="e">
        <f>AND(Hoja3!G264,"AAAAAGPJ+00=")</f>
        <v>#VALUE!</v>
      </c>
      <c r="CA190" t="e">
        <f>AND(Hoja3!H264,"AAAAAGPJ+04=")</f>
        <v>#VALUE!</v>
      </c>
      <c r="CB190" t="e">
        <f>AND(Hoja3!I264,"AAAAAGPJ+08=")</f>
        <v>#VALUE!</v>
      </c>
      <c r="CC190" t="e">
        <f>AND(Hoja3!J264,"AAAAAGPJ+1A=")</f>
        <v>#VALUE!</v>
      </c>
      <c r="CD190" t="e">
        <f>AND(Hoja3!K264,"AAAAAGPJ+1E=")</f>
        <v>#VALUE!</v>
      </c>
      <c r="CE190" t="e">
        <f>AND(Hoja3!L264,"AAAAAGPJ+1I=")</f>
        <v>#VALUE!</v>
      </c>
      <c r="CF190" t="e">
        <f>AND(Hoja3!M264,"AAAAAGPJ+1M=")</f>
        <v>#VALUE!</v>
      </c>
      <c r="CG190" t="e">
        <f>AND(Hoja3!N264,"AAAAAGPJ+1Q=")</f>
        <v>#VALUE!</v>
      </c>
      <c r="CH190" t="e">
        <f>AND(Hoja3!O264,"AAAAAGPJ+1U=")</f>
        <v>#VALUE!</v>
      </c>
      <c r="CI190" t="e">
        <f>AND(Hoja3!P264,"AAAAAGPJ+1Y=")</f>
        <v>#VALUE!</v>
      </c>
      <c r="CJ190" t="e">
        <f>AND(Hoja3!Q264,"AAAAAGPJ+1c=")</f>
        <v>#VALUE!</v>
      </c>
      <c r="CK190" s="60">
        <f>IF(Hoja3!265:265,"AAAAAGPJ+1g=",0)</f>
        <v>0</v>
      </c>
      <c r="CL190" t="e">
        <f>AND(Hoja3!A265,"AAAAAGPJ+1k=")</f>
        <v>#VALUE!</v>
      </c>
      <c r="CM190" t="e">
        <f>AND(Hoja3!B265,"AAAAAGPJ+1o=")</f>
        <v>#VALUE!</v>
      </c>
      <c r="CN190" t="e">
        <f>AND(Hoja3!C265,"AAAAAGPJ+1s=")</f>
        <v>#VALUE!</v>
      </c>
      <c r="CO190" t="e">
        <f>AND(Hoja3!D265,"AAAAAGPJ+1w=")</f>
        <v>#VALUE!</v>
      </c>
      <c r="CP190" t="e">
        <f>AND(Hoja3!E265,"AAAAAGPJ+10=")</f>
        <v>#VALUE!</v>
      </c>
      <c r="CQ190" t="e">
        <f>AND(Hoja3!F265,"AAAAAGPJ+14=")</f>
        <v>#VALUE!</v>
      </c>
      <c r="CR190" t="e">
        <f>AND(Hoja3!G265,"AAAAAGPJ+18=")</f>
        <v>#VALUE!</v>
      </c>
      <c r="CS190" t="e">
        <f>AND(Hoja3!H265,"AAAAAGPJ+2A=")</f>
        <v>#VALUE!</v>
      </c>
      <c r="CT190" t="e">
        <f>AND(Hoja3!I265,"AAAAAGPJ+2E=")</f>
        <v>#VALUE!</v>
      </c>
      <c r="CU190" t="e">
        <f>AND(Hoja3!J265,"AAAAAGPJ+2I=")</f>
        <v>#VALUE!</v>
      </c>
      <c r="CV190" t="e">
        <f>AND(Hoja3!K265,"AAAAAGPJ+2M=")</f>
        <v>#VALUE!</v>
      </c>
      <c r="CW190" t="e">
        <f>AND(Hoja3!L265,"AAAAAGPJ+2Q=")</f>
        <v>#VALUE!</v>
      </c>
      <c r="CX190" t="e">
        <f>AND(Hoja3!M265,"AAAAAGPJ+2U=")</f>
        <v>#VALUE!</v>
      </c>
      <c r="CY190" t="e">
        <f>AND(Hoja3!N265,"AAAAAGPJ+2Y=")</f>
        <v>#VALUE!</v>
      </c>
      <c r="CZ190" t="e">
        <f>AND(Hoja3!O265,"AAAAAGPJ+2c=")</f>
        <v>#VALUE!</v>
      </c>
      <c r="DA190" t="e">
        <f>AND(Hoja3!P265,"AAAAAGPJ+2g=")</f>
        <v>#VALUE!</v>
      </c>
      <c r="DB190" t="e">
        <f>AND(Hoja3!Q265,"AAAAAGPJ+2k=")</f>
        <v>#VALUE!</v>
      </c>
      <c r="DC190" s="60">
        <f>IF(Hoja3!266:266,"AAAAAGPJ+2o=",0)</f>
        <v>0</v>
      </c>
      <c r="DD190" t="e">
        <f>AND(Hoja3!A266,"AAAAAGPJ+2s=")</f>
        <v>#VALUE!</v>
      </c>
      <c r="DE190" t="e">
        <f>AND(Hoja3!B266,"AAAAAGPJ+2w=")</f>
        <v>#VALUE!</v>
      </c>
      <c r="DF190" t="e">
        <f>AND(Hoja3!C266,"AAAAAGPJ+20=")</f>
        <v>#VALUE!</v>
      </c>
      <c r="DG190" t="e">
        <f>AND(Hoja3!D266,"AAAAAGPJ+24=")</f>
        <v>#VALUE!</v>
      </c>
      <c r="DH190" t="e">
        <f>AND(Hoja3!E266,"AAAAAGPJ+28=")</f>
        <v>#VALUE!</v>
      </c>
      <c r="DI190" t="e">
        <f>AND(Hoja3!F266,"AAAAAGPJ+3A=")</f>
        <v>#VALUE!</v>
      </c>
      <c r="DJ190" t="e">
        <f>AND(Hoja3!G266,"AAAAAGPJ+3E=")</f>
        <v>#VALUE!</v>
      </c>
      <c r="DK190" t="e">
        <f>AND(Hoja3!H266,"AAAAAGPJ+3I=")</f>
        <v>#VALUE!</v>
      </c>
      <c r="DL190" t="e">
        <f>AND(Hoja3!I266,"AAAAAGPJ+3M=")</f>
        <v>#VALUE!</v>
      </c>
      <c r="DM190" t="e">
        <f>AND(Hoja3!J266,"AAAAAGPJ+3Q=")</f>
        <v>#VALUE!</v>
      </c>
      <c r="DN190" t="e">
        <f>AND(Hoja3!K266,"AAAAAGPJ+3U=")</f>
        <v>#VALUE!</v>
      </c>
      <c r="DO190" t="e">
        <f>AND(Hoja3!L266,"AAAAAGPJ+3Y=")</f>
        <v>#VALUE!</v>
      </c>
      <c r="DP190" t="e">
        <f>AND(Hoja3!M266,"AAAAAGPJ+3c=")</f>
        <v>#VALUE!</v>
      </c>
      <c r="DQ190" t="e">
        <f>AND(Hoja3!N266,"AAAAAGPJ+3g=")</f>
        <v>#VALUE!</v>
      </c>
      <c r="DR190" t="e">
        <f>AND(Hoja3!O266,"AAAAAGPJ+3k=")</f>
        <v>#VALUE!</v>
      </c>
      <c r="DS190" t="e">
        <f>AND(Hoja3!P266,"AAAAAGPJ+3o=")</f>
        <v>#VALUE!</v>
      </c>
      <c r="DT190" t="e">
        <f>AND(Hoja3!Q266,"AAAAAGPJ+3s=")</f>
        <v>#VALUE!</v>
      </c>
      <c r="DU190" s="60">
        <f>IF(Hoja3!267:267,"AAAAAGPJ+3w=",0)</f>
        <v>0</v>
      </c>
      <c r="DV190" t="e">
        <f>AND(Hoja3!A267,"AAAAAGPJ+30=")</f>
        <v>#VALUE!</v>
      </c>
      <c r="DW190" t="e">
        <f>AND(Hoja3!B267,"AAAAAGPJ+34=")</f>
        <v>#VALUE!</v>
      </c>
      <c r="DX190" t="e">
        <f>AND(Hoja3!C267,"AAAAAGPJ+38=")</f>
        <v>#VALUE!</v>
      </c>
      <c r="DY190" t="e">
        <f>AND(Hoja3!D267,"AAAAAGPJ+4A=")</f>
        <v>#VALUE!</v>
      </c>
      <c r="DZ190" t="e">
        <f>AND(Hoja3!E267,"AAAAAGPJ+4E=")</f>
        <v>#VALUE!</v>
      </c>
      <c r="EA190" t="e">
        <f>AND(Hoja3!F267,"AAAAAGPJ+4I=")</f>
        <v>#VALUE!</v>
      </c>
      <c r="EB190" t="e">
        <f>AND(Hoja3!G267,"AAAAAGPJ+4M=")</f>
        <v>#VALUE!</v>
      </c>
      <c r="EC190" t="e">
        <f>AND(Hoja3!H267,"AAAAAGPJ+4Q=")</f>
        <v>#VALUE!</v>
      </c>
      <c r="ED190" t="e">
        <f>AND(Hoja3!I267,"AAAAAGPJ+4U=")</f>
        <v>#VALUE!</v>
      </c>
      <c r="EE190" t="e">
        <f>AND(Hoja3!J267,"AAAAAGPJ+4Y=")</f>
        <v>#VALUE!</v>
      </c>
      <c r="EF190" t="e">
        <f>AND(Hoja3!K267,"AAAAAGPJ+4c=")</f>
        <v>#VALUE!</v>
      </c>
      <c r="EG190" t="e">
        <f>AND(Hoja3!L267,"AAAAAGPJ+4g=")</f>
        <v>#VALUE!</v>
      </c>
      <c r="EH190" t="e">
        <f>AND(Hoja3!M267,"AAAAAGPJ+4k=")</f>
        <v>#VALUE!</v>
      </c>
      <c r="EI190" t="e">
        <f>AND(Hoja3!N267,"AAAAAGPJ+4o=")</f>
        <v>#VALUE!</v>
      </c>
      <c r="EJ190" t="e">
        <f>AND(Hoja3!O267,"AAAAAGPJ+4s=")</f>
        <v>#VALUE!</v>
      </c>
      <c r="EK190" t="e">
        <f>AND(Hoja3!P267,"AAAAAGPJ+4w=")</f>
        <v>#VALUE!</v>
      </c>
      <c r="EL190" t="e">
        <f>AND(Hoja3!Q267,"AAAAAGPJ+40=")</f>
        <v>#VALUE!</v>
      </c>
      <c r="EM190" s="60">
        <f>IF(Hoja3!268:268,"AAAAAGPJ+44=",0)</f>
        <v>0</v>
      </c>
      <c r="EN190" t="e">
        <f>AND(Hoja3!A268,"AAAAAGPJ+48=")</f>
        <v>#VALUE!</v>
      </c>
      <c r="EO190" t="e">
        <f>AND(Hoja3!B268,"AAAAAGPJ+5A=")</f>
        <v>#VALUE!</v>
      </c>
      <c r="EP190" t="e">
        <f>AND(Hoja3!C268,"AAAAAGPJ+5E=")</f>
        <v>#VALUE!</v>
      </c>
      <c r="EQ190" t="e">
        <f>AND(Hoja3!D268,"AAAAAGPJ+5I=")</f>
        <v>#VALUE!</v>
      </c>
      <c r="ER190" t="e">
        <f>AND(Hoja3!E268,"AAAAAGPJ+5M=")</f>
        <v>#VALUE!</v>
      </c>
      <c r="ES190" t="e">
        <f>AND(Hoja3!F268,"AAAAAGPJ+5Q=")</f>
        <v>#VALUE!</v>
      </c>
      <c r="ET190" t="e">
        <f>AND(Hoja3!G268,"AAAAAGPJ+5U=")</f>
        <v>#VALUE!</v>
      </c>
      <c r="EU190" t="e">
        <f>AND(Hoja3!H268,"AAAAAGPJ+5Y=")</f>
        <v>#VALUE!</v>
      </c>
      <c r="EV190" t="e">
        <f>AND(Hoja3!I268,"AAAAAGPJ+5c=")</f>
        <v>#VALUE!</v>
      </c>
      <c r="EW190" t="e">
        <f>AND(Hoja3!J268,"AAAAAGPJ+5g=")</f>
        <v>#VALUE!</v>
      </c>
      <c r="EX190" t="e">
        <f>AND(Hoja3!K268,"AAAAAGPJ+5k=")</f>
        <v>#VALUE!</v>
      </c>
      <c r="EY190" t="e">
        <f>AND(Hoja3!L268,"AAAAAGPJ+5o=")</f>
        <v>#VALUE!</v>
      </c>
      <c r="EZ190" t="e">
        <f>AND(Hoja3!M268,"AAAAAGPJ+5s=")</f>
        <v>#VALUE!</v>
      </c>
      <c r="FA190" t="e">
        <f>AND(Hoja3!N268,"AAAAAGPJ+5w=")</f>
        <v>#VALUE!</v>
      </c>
      <c r="FB190" t="e">
        <f>AND(Hoja3!O268,"AAAAAGPJ+50=")</f>
        <v>#VALUE!</v>
      </c>
      <c r="FC190" t="e">
        <f>AND(Hoja3!P268,"AAAAAGPJ+54=")</f>
        <v>#VALUE!</v>
      </c>
      <c r="FD190" t="e">
        <f>AND(Hoja3!Q268,"AAAAAGPJ+58=")</f>
        <v>#VALUE!</v>
      </c>
      <c r="FE190" s="60">
        <f>IF(Hoja3!269:269,"AAAAAGPJ+6A=",0)</f>
        <v>0</v>
      </c>
      <c r="FF190" t="e">
        <f>AND(Hoja3!A269,"AAAAAGPJ+6E=")</f>
        <v>#VALUE!</v>
      </c>
      <c r="FG190" t="e">
        <f>AND(Hoja3!B269,"AAAAAGPJ+6I=")</f>
        <v>#VALUE!</v>
      </c>
      <c r="FH190" t="e">
        <f>AND(Hoja3!C269,"AAAAAGPJ+6M=")</f>
        <v>#VALUE!</v>
      </c>
      <c r="FI190" t="e">
        <f>AND(Hoja3!D269,"AAAAAGPJ+6Q=")</f>
        <v>#VALUE!</v>
      </c>
      <c r="FJ190" t="e">
        <f>AND(Hoja3!E269,"AAAAAGPJ+6U=")</f>
        <v>#VALUE!</v>
      </c>
      <c r="FK190" t="e">
        <f>AND(Hoja3!F269,"AAAAAGPJ+6Y=")</f>
        <v>#VALUE!</v>
      </c>
      <c r="FL190" t="e">
        <f>AND(Hoja3!G269,"AAAAAGPJ+6c=")</f>
        <v>#VALUE!</v>
      </c>
      <c r="FM190" t="e">
        <f>AND(Hoja3!H269,"AAAAAGPJ+6g=")</f>
        <v>#VALUE!</v>
      </c>
      <c r="FN190" t="e">
        <f>AND(Hoja3!I269,"AAAAAGPJ+6k=")</f>
        <v>#VALUE!</v>
      </c>
      <c r="FO190" t="e">
        <f>AND(Hoja3!J269,"AAAAAGPJ+6o=")</f>
        <v>#VALUE!</v>
      </c>
      <c r="FP190" t="e">
        <f>AND(Hoja3!K269,"AAAAAGPJ+6s=")</f>
        <v>#VALUE!</v>
      </c>
      <c r="FQ190" t="e">
        <f>AND(Hoja3!L269,"AAAAAGPJ+6w=")</f>
        <v>#VALUE!</v>
      </c>
      <c r="FR190" t="e">
        <f>AND(Hoja3!M269,"AAAAAGPJ+60=")</f>
        <v>#VALUE!</v>
      </c>
      <c r="FS190" t="e">
        <f>AND(Hoja3!N269,"AAAAAGPJ+64=")</f>
        <v>#VALUE!</v>
      </c>
      <c r="FT190" t="e">
        <f>AND(Hoja3!O269,"AAAAAGPJ+68=")</f>
        <v>#VALUE!</v>
      </c>
      <c r="FU190" t="e">
        <f>AND(Hoja3!P269,"AAAAAGPJ+7A=")</f>
        <v>#VALUE!</v>
      </c>
      <c r="FV190" t="e">
        <f>AND(Hoja3!Q269,"AAAAAGPJ+7E=")</f>
        <v>#VALUE!</v>
      </c>
      <c r="FW190" s="60">
        <f>IF(Hoja3!270:270,"AAAAAGPJ+7I=",0)</f>
        <v>0</v>
      </c>
      <c r="FX190" t="e">
        <f>AND(Hoja3!A270,"AAAAAGPJ+7M=")</f>
        <v>#VALUE!</v>
      </c>
      <c r="FY190" t="e">
        <f>AND(Hoja3!B270,"AAAAAGPJ+7Q=")</f>
        <v>#VALUE!</v>
      </c>
      <c r="FZ190" t="e">
        <f>AND(Hoja3!C270,"AAAAAGPJ+7U=")</f>
        <v>#VALUE!</v>
      </c>
      <c r="GA190" t="e">
        <f>AND(Hoja3!D270,"AAAAAGPJ+7Y=")</f>
        <v>#VALUE!</v>
      </c>
      <c r="GB190" t="e">
        <f>AND(Hoja3!E270,"AAAAAGPJ+7c=")</f>
        <v>#VALUE!</v>
      </c>
      <c r="GC190" t="e">
        <f>AND(Hoja3!F270,"AAAAAGPJ+7g=")</f>
        <v>#VALUE!</v>
      </c>
      <c r="GD190" t="e">
        <f>AND(Hoja3!G270,"AAAAAGPJ+7k=")</f>
        <v>#VALUE!</v>
      </c>
      <c r="GE190" t="e">
        <f>AND(Hoja3!H270,"AAAAAGPJ+7o=")</f>
        <v>#VALUE!</v>
      </c>
      <c r="GF190" t="e">
        <f>AND(Hoja3!I270,"AAAAAGPJ+7s=")</f>
        <v>#VALUE!</v>
      </c>
      <c r="GG190" t="e">
        <f>AND(Hoja3!J270,"AAAAAGPJ+7w=")</f>
        <v>#VALUE!</v>
      </c>
      <c r="GH190" t="e">
        <f>AND(Hoja3!K270,"AAAAAGPJ+70=")</f>
        <v>#VALUE!</v>
      </c>
      <c r="GI190" t="e">
        <f>AND(Hoja3!L270,"AAAAAGPJ+74=")</f>
        <v>#VALUE!</v>
      </c>
      <c r="GJ190" t="e">
        <f>AND(Hoja3!M270,"AAAAAGPJ+78=")</f>
        <v>#VALUE!</v>
      </c>
      <c r="GK190" t="e">
        <f>AND(Hoja3!N270,"AAAAAGPJ+8A=")</f>
        <v>#VALUE!</v>
      </c>
      <c r="GL190" t="e">
        <f>AND(Hoja3!O270,"AAAAAGPJ+8E=")</f>
        <v>#VALUE!</v>
      </c>
      <c r="GM190" t="e">
        <f>AND(Hoja3!P270,"AAAAAGPJ+8I=")</f>
        <v>#VALUE!</v>
      </c>
      <c r="GN190" t="e">
        <f>AND(Hoja3!Q270,"AAAAAGPJ+8M=")</f>
        <v>#VALUE!</v>
      </c>
      <c r="GO190" s="60">
        <f>IF(Hoja3!271:271,"AAAAAGPJ+8Q=",0)</f>
        <v>0</v>
      </c>
      <c r="GP190" t="e">
        <f>AND(Hoja3!A271,"AAAAAGPJ+8U=")</f>
        <v>#VALUE!</v>
      </c>
      <c r="GQ190" t="e">
        <f>AND(Hoja3!B271,"AAAAAGPJ+8Y=")</f>
        <v>#VALUE!</v>
      </c>
      <c r="GR190" t="e">
        <f>AND(Hoja3!C271,"AAAAAGPJ+8c=")</f>
        <v>#VALUE!</v>
      </c>
      <c r="GS190" t="e">
        <f>AND(Hoja3!D271,"AAAAAGPJ+8g=")</f>
        <v>#VALUE!</v>
      </c>
      <c r="GT190" t="e">
        <f>AND(Hoja3!E271,"AAAAAGPJ+8k=")</f>
        <v>#VALUE!</v>
      </c>
      <c r="GU190" t="e">
        <f>AND(Hoja3!F271,"AAAAAGPJ+8o=")</f>
        <v>#VALUE!</v>
      </c>
      <c r="GV190" t="e">
        <f>AND(Hoja3!G271,"AAAAAGPJ+8s=")</f>
        <v>#VALUE!</v>
      </c>
      <c r="GW190" t="e">
        <f>AND(Hoja3!H271,"AAAAAGPJ+8w=")</f>
        <v>#VALUE!</v>
      </c>
      <c r="GX190" t="e">
        <f>AND(Hoja3!I271,"AAAAAGPJ+80=")</f>
        <v>#VALUE!</v>
      </c>
      <c r="GY190" t="e">
        <f>AND(Hoja3!J271,"AAAAAGPJ+84=")</f>
        <v>#VALUE!</v>
      </c>
      <c r="GZ190" t="e">
        <f>AND(Hoja3!K271,"AAAAAGPJ+88=")</f>
        <v>#VALUE!</v>
      </c>
      <c r="HA190" t="e">
        <f>AND(Hoja3!L271,"AAAAAGPJ+9A=")</f>
        <v>#VALUE!</v>
      </c>
      <c r="HB190" t="e">
        <f>AND(Hoja3!M271,"AAAAAGPJ+9E=")</f>
        <v>#VALUE!</v>
      </c>
      <c r="HC190" t="e">
        <f>AND(Hoja3!N271,"AAAAAGPJ+9I=")</f>
        <v>#VALUE!</v>
      </c>
      <c r="HD190" t="e">
        <f>AND(Hoja3!O271,"AAAAAGPJ+9M=")</f>
        <v>#VALUE!</v>
      </c>
      <c r="HE190" t="e">
        <f>AND(Hoja3!P271,"AAAAAGPJ+9Q=")</f>
        <v>#VALUE!</v>
      </c>
      <c r="HF190" t="e">
        <f>AND(Hoja3!Q271,"AAAAAGPJ+9U=")</f>
        <v>#VALUE!</v>
      </c>
      <c r="HG190" s="60">
        <f>IF(Hoja3!272:272,"AAAAAGPJ+9Y=",0)</f>
        <v>0</v>
      </c>
      <c r="HH190" t="e">
        <f>AND(Hoja3!A272,"AAAAAGPJ+9c=")</f>
        <v>#VALUE!</v>
      </c>
      <c r="HI190" t="e">
        <f>AND(Hoja3!B272,"AAAAAGPJ+9g=")</f>
        <v>#VALUE!</v>
      </c>
      <c r="HJ190" t="e">
        <f>AND(Hoja3!C272,"AAAAAGPJ+9k=")</f>
        <v>#VALUE!</v>
      </c>
      <c r="HK190" t="e">
        <f>AND(Hoja3!D272,"AAAAAGPJ+9o=")</f>
        <v>#VALUE!</v>
      </c>
      <c r="HL190" t="e">
        <f>AND(Hoja3!E272,"AAAAAGPJ+9s=")</f>
        <v>#VALUE!</v>
      </c>
      <c r="HM190" t="e">
        <f>AND(Hoja3!F272,"AAAAAGPJ+9w=")</f>
        <v>#VALUE!</v>
      </c>
      <c r="HN190" t="e">
        <f>AND(Hoja3!G272,"AAAAAGPJ+90=")</f>
        <v>#VALUE!</v>
      </c>
      <c r="HO190" t="e">
        <f>AND(Hoja3!H272,"AAAAAGPJ+94=")</f>
        <v>#VALUE!</v>
      </c>
      <c r="HP190" t="e">
        <f>AND(Hoja3!I272,"AAAAAGPJ+98=")</f>
        <v>#VALUE!</v>
      </c>
      <c r="HQ190" t="e">
        <f>AND(Hoja3!J272,"AAAAAGPJ++A=")</f>
        <v>#VALUE!</v>
      </c>
      <c r="HR190" t="e">
        <f>AND(Hoja3!K272,"AAAAAGPJ++E=")</f>
        <v>#VALUE!</v>
      </c>
      <c r="HS190" t="e">
        <f>AND(Hoja3!L272,"AAAAAGPJ++I=")</f>
        <v>#VALUE!</v>
      </c>
      <c r="HT190" t="e">
        <f>AND(Hoja3!M272,"AAAAAGPJ++M=")</f>
        <v>#VALUE!</v>
      </c>
      <c r="HU190" t="e">
        <f>AND(Hoja3!N272,"AAAAAGPJ++Q=")</f>
        <v>#VALUE!</v>
      </c>
      <c r="HV190" t="e">
        <f>AND(Hoja3!O272,"AAAAAGPJ++U=")</f>
        <v>#VALUE!</v>
      </c>
      <c r="HW190" t="e">
        <f>AND(Hoja3!P272,"AAAAAGPJ++Y=")</f>
        <v>#VALUE!</v>
      </c>
      <c r="HX190" t="e">
        <f>AND(Hoja3!Q272,"AAAAAGPJ++c=")</f>
        <v>#VALUE!</v>
      </c>
      <c r="HY190" s="60">
        <f>IF(Hoja3!273:273,"AAAAAGPJ++g=",0)</f>
        <v>0</v>
      </c>
      <c r="HZ190" t="e">
        <f>AND(Hoja3!A273,"AAAAAGPJ++k=")</f>
        <v>#VALUE!</v>
      </c>
      <c r="IA190" t="e">
        <f>AND(Hoja3!B273,"AAAAAGPJ++o=")</f>
        <v>#VALUE!</v>
      </c>
      <c r="IB190" t="e">
        <f>AND(Hoja3!C273,"AAAAAGPJ++s=")</f>
        <v>#VALUE!</v>
      </c>
      <c r="IC190" t="e">
        <f>AND(Hoja3!D273,"AAAAAGPJ++w=")</f>
        <v>#VALUE!</v>
      </c>
      <c r="ID190" t="e">
        <f>AND(Hoja3!E273,"AAAAAGPJ++0=")</f>
        <v>#VALUE!</v>
      </c>
      <c r="IE190" t="e">
        <f>AND(Hoja3!F273,"AAAAAGPJ++4=")</f>
        <v>#VALUE!</v>
      </c>
      <c r="IF190" t="e">
        <f>AND(Hoja3!G273,"AAAAAGPJ++8=")</f>
        <v>#VALUE!</v>
      </c>
      <c r="IG190" t="e">
        <f>AND(Hoja3!H273,"AAAAAGPJ+/A=")</f>
        <v>#VALUE!</v>
      </c>
      <c r="IH190" t="e">
        <f>AND(Hoja3!I273,"AAAAAGPJ+/E=")</f>
        <v>#VALUE!</v>
      </c>
      <c r="II190" t="e">
        <f>AND(Hoja3!J273,"AAAAAGPJ+/I=")</f>
        <v>#VALUE!</v>
      </c>
      <c r="IJ190" t="e">
        <f>AND(Hoja3!K273,"AAAAAGPJ+/M=")</f>
        <v>#VALUE!</v>
      </c>
      <c r="IK190" t="e">
        <f>AND(Hoja3!L273,"AAAAAGPJ+/Q=")</f>
        <v>#VALUE!</v>
      </c>
      <c r="IL190" t="e">
        <f>AND(Hoja3!M273,"AAAAAGPJ+/U=")</f>
        <v>#VALUE!</v>
      </c>
      <c r="IM190" t="e">
        <f>AND(Hoja3!N273,"AAAAAGPJ+/Y=")</f>
        <v>#VALUE!</v>
      </c>
      <c r="IN190" t="e">
        <f>AND(Hoja3!O273,"AAAAAGPJ+/c=")</f>
        <v>#VALUE!</v>
      </c>
      <c r="IO190" t="e">
        <f>AND(Hoja3!P273,"AAAAAGPJ+/g=")</f>
        <v>#VALUE!</v>
      </c>
      <c r="IP190" t="e">
        <f>AND(Hoja3!Q273,"AAAAAGPJ+/k=")</f>
        <v>#VALUE!</v>
      </c>
      <c r="IQ190" s="60">
        <f>IF(Hoja3!274:274,"AAAAAGPJ+/o=",0)</f>
        <v>0</v>
      </c>
      <c r="IR190" t="e">
        <f>AND(Hoja3!A274,"AAAAAGPJ+/s=")</f>
        <v>#VALUE!</v>
      </c>
      <c r="IS190" t="e">
        <f>AND(Hoja3!B274,"AAAAAGPJ+/w=")</f>
        <v>#VALUE!</v>
      </c>
      <c r="IT190" t="e">
        <f>AND(Hoja3!C274,"AAAAAGPJ+/0=")</f>
        <v>#VALUE!</v>
      </c>
      <c r="IU190" t="e">
        <f>AND(Hoja3!D274,"AAAAAGPJ+/4=")</f>
        <v>#VALUE!</v>
      </c>
      <c r="IV190" t="e">
        <f>AND(Hoja3!E274,"AAAAAGPJ+/8=")</f>
        <v>#VALUE!</v>
      </c>
    </row>
    <row r="191" spans="1:256" ht="15" customHeight="1" x14ac:dyDescent="0.25">
      <c r="A191" t="e">
        <f>AND(Hoja3!F274,"AAAAADvf/wA=")</f>
        <v>#VALUE!</v>
      </c>
      <c r="B191" t="e">
        <f>AND(Hoja3!G274,"AAAAADvf/wE=")</f>
        <v>#VALUE!</v>
      </c>
      <c r="C191" t="e">
        <f>AND(Hoja3!H274,"AAAAADvf/wI=")</f>
        <v>#VALUE!</v>
      </c>
      <c r="D191" t="e">
        <f>AND(Hoja3!I274,"AAAAADvf/wM=")</f>
        <v>#VALUE!</v>
      </c>
      <c r="E191" t="e">
        <f>AND(Hoja3!J274,"AAAAADvf/wQ=")</f>
        <v>#VALUE!</v>
      </c>
      <c r="F191" t="e">
        <f>AND(Hoja3!K274,"AAAAADvf/wU=")</f>
        <v>#VALUE!</v>
      </c>
      <c r="G191" t="e">
        <f>AND(Hoja3!L274,"AAAAADvf/wY=")</f>
        <v>#VALUE!</v>
      </c>
      <c r="H191" t="e">
        <f>AND(Hoja3!M274,"AAAAADvf/wc=")</f>
        <v>#VALUE!</v>
      </c>
      <c r="I191" t="e">
        <f>AND(Hoja3!N274,"AAAAADvf/wg=")</f>
        <v>#VALUE!</v>
      </c>
      <c r="J191" t="e">
        <f>AND(Hoja3!O274,"AAAAADvf/wk=")</f>
        <v>#VALUE!</v>
      </c>
      <c r="K191" t="e">
        <f>AND(Hoja3!P274,"AAAAADvf/wo=")</f>
        <v>#VALUE!</v>
      </c>
      <c r="L191" t="e">
        <f>AND(Hoja3!Q274,"AAAAADvf/ws=")</f>
        <v>#VALUE!</v>
      </c>
      <c r="M191" t="str">
        <f>IF(Hoja3!275:275,"AAAAADvf/ww=",0)</f>
        <v>AAAAADvf/ww=</v>
      </c>
      <c r="N191" t="e">
        <f>AND(Hoja3!A275,"AAAAADvf/w0=")</f>
        <v>#VALUE!</v>
      </c>
      <c r="O191" t="e">
        <f>AND(Hoja3!B275,"AAAAADvf/w4=")</f>
        <v>#VALUE!</v>
      </c>
      <c r="P191" t="e">
        <f>AND(Hoja3!C275,"AAAAADvf/w8=")</f>
        <v>#VALUE!</v>
      </c>
      <c r="Q191" t="e">
        <f>AND(Hoja3!D275,"AAAAADvf/xA=")</f>
        <v>#VALUE!</v>
      </c>
      <c r="R191" t="e">
        <f>AND(Hoja3!E275,"AAAAADvf/xE=")</f>
        <v>#VALUE!</v>
      </c>
      <c r="S191" t="e">
        <f>AND(Hoja3!F275,"AAAAADvf/xI=")</f>
        <v>#VALUE!</v>
      </c>
      <c r="T191" t="e">
        <f>AND(Hoja3!G275,"AAAAADvf/xM=")</f>
        <v>#VALUE!</v>
      </c>
      <c r="U191" t="e">
        <f>AND(Hoja3!H275,"AAAAADvf/xQ=")</f>
        <v>#VALUE!</v>
      </c>
      <c r="V191" t="e">
        <f>AND(Hoja3!I275,"AAAAADvf/xU=")</f>
        <v>#VALUE!</v>
      </c>
      <c r="W191" t="e">
        <f>AND(Hoja3!J275,"AAAAADvf/xY=")</f>
        <v>#VALUE!</v>
      </c>
      <c r="X191" t="e">
        <f>AND(Hoja3!K275,"AAAAADvf/xc=")</f>
        <v>#VALUE!</v>
      </c>
      <c r="Y191" t="e">
        <f>AND(Hoja3!L275,"AAAAADvf/xg=")</f>
        <v>#VALUE!</v>
      </c>
      <c r="Z191" t="e">
        <f>AND(Hoja3!M275,"AAAAADvf/xk=")</f>
        <v>#VALUE!</v>
      </c>
      <c r="AA191" t="e">
        <f>AND(Hoja3!N275,"AAAAADvf/xo=")</f>
        <v>#VALUE!</v>
      </c>
      <c r="AB191" t="e">
        <f>AND(Hoja3!O275,"AAAAADvf/xs=")</f>
        <v>#VALUE!</v>
      </c>
      <c r="AC191" t="e">
        <f>AND(Hoja3!P275,"AAAAADvf/xw=")</f>
        <v>#VALUE!</v>
      </c>
      <c r="AD191" t="e">
        <f>AND(Hoja3!Q275,"AAAAADvf/x0=")</f>
        <v>#VALUE!</v>
      </c>
      <c r="AE191" s="60">
        <f>IF(Hoja3!276:276,"AAAAADvf/x4=",0)</f>
        <v>0</v>
      </c>
      <c r="AF191" t="e">
        <f>AND(Hoja3!A276,"AAAAADvf/x8=")</f>
        <v>#VALUE!</v>
      </c>
      <c r="AG191" t="e">
        <f>AND(Hoja3!B276,"AAAAADvf/yA=")</f>
        <v>#VALUE!</v>
      </c>
      <c r="AH191" t="e">
        <f>AND(Hoja3!C276,"AAAAADvf/yE=")</f>
        <v>#VALUE!</v>
      </c>
      <c r="AI191" t="e">
        <f>AND(Hoja3!D276,"AAAAADvf/yI=")</f>
        <v>#VALUE!</v>
      </c>
      <c r="AJ191" t="e">
        <f>AND(Hoja3!E276,"AAAAADvf/yM=")</f>
        <v>#VALUE!</v>
      </c>
      <c r="AK191" t="e">
        <f>AND(Hoja3!F276,"AAAAADvf/yQ=")</f>
        <v>#VALUE!</v>
      </c>
      <c r="AL191" t="e">
        <f>AND(Hoja3!G276,"AAAAADvf/yU=")</f>
        <v>#VALUE!</v>
      </c>
      <c r="AM191" t="e">
        <f>AND(Hoja3!H276,"AAAAADvf/yY=")</f>
        <v>#VALUE!</v>
      </c>
      <c r="AN191" t="e">
        <f>AND(Hoja3!I276,"AAAAADvf/yc=")</f>
        <v>#VALUE!</v>
      </c>
      <c r="AO191" t="e">
        <f>AND(Hoja3!J276,"AAAAADvf/yg=")</f>
        <v>#VALUE!</v>
      </c>
      <c r="AP191" t="e">
        <f>AND(Hoja3!K276,"AAAAADvf/yk=")</f>
        <v>#VALUE!</v>
      </c>
      <c r="AQ191" t="e">
        <f>AND(Hoja3!L276,"AAAAADvf/yo=")</f>
        <v>#VALUE!</v>
      </c>
      <c r="AR191" t="e">
        <f>AND(Hoja3!M276,"AAAAADvf/ys=")</f>
        <v>#VALUE!</v>
      </c>
      <c r="AS191" t="e">
        <f>AND(Hoja3!N276,"AAAAADvf/yw=")</f>
        <v>#VALUE!</v>
      </c>
      <c r="AT191" t="e">
        <f>AND(Hoja3!O276,"AAAAADvf/y0=")</f>
        <v>#VALUE!</v>
      </c>
      <c r="AU191" t="e">
        <f>AND(Hoja3!P276,"AAAAADvf/y4=")</f>
        <v>#VALUE!</v>
      </c>
      <c r="AV191" t="e">
        <f>AND(Hoja3!Q276,"AAAAADvf/y8=")</f>
        <v>#VALUE!</v>
      </c>
      <c r="AW191" s="60">
        <f>IF(Hoja3!277:277,"AAAAADvf/zA=",0)</f>
        <v>0</v>
      </c>
      <c r="AX191" t="e">
        <f>AND(Hoja3!A277,"AAAAADvf/zE=")</f>
        <v>#VALUE!</v>
      </c>
      <c r="AY191" t="e">
        <f>AND(Hoja3!B277,"AAAAADvf/zI=")</f>
        <v>#VALUE!</v>
      </c>
      <c r="AZ191" t="e">
        <f>AND(Hoja3!C277,"AAAAADvf/zM=")</f>
        <v>#VALUE!</v>
      </c>
      <c r="BA191" t="e">
        <f>AND(Hoja3!D277,"AAAAADvf/zQ=")</f>
        <v>#VALUE!</v>
      </c>
      <c r="BB191" t="e">
        <f>AND(Hoja3!E277,"AAAAADvf/zU=")</f>
        <v>#VALUE!</v>
      </c>
      <c r="BC191" t="e">
        <f>AND(Hoja3!F277,"AAAAADvf/zY=")</f>
        <v>#VALUE!</v>
      </c>
      <c r="BD191" t="e">
        <f>AND(Hoja3!G277,"AAAAADvf/zc=")</f>
        <v>#VALUE!</v>
      </c>
      <c r="BE191" t="e">
        <f>AND(Hoja3!H277,"AAAAADvf/zg=")</f>
        <v>#VALUE!</v>
      </c>
      <c r="BF191" t="e">
        <f>AND(Hoja3!I277,"AAAAADvf/zk=")</f>
        <v>#VALUE!</v>
      </c>
      <c r="BG191" t="e">
        <f>AND(Hoja3!J277,"AAAAADvf/zo=")</f>
        <v>#VALUE!</v>
      </c>
      <c r="BH191" t="e">
        <f>AND(Hoja3!K277,"AAAAADvf/zs=")</f>
        <v>#VALUE!</v>
      </c>
      <c r="BI191" t="e">
        <f>AND(Hoja3!L277,"AAAAADvf/zw=")</f>
        <v>#VALUE!</v>
      </c>
      <c r="BJ191" t="e">
        <f>AND(Hoja3!M277,"AAAAADvf/z0=")</f>
        <v>#VALUE!</v>
      </c>
      <c r="BK191" t="e">
        <f>AND(Hoja3!N277,"AAAAADvf/z4=")</f>
        <v>#VALUE!</v>
      </c>
      <c r="BL191" t="e">
        <f>AND(Hoja3!O277,"AAAAADvf/z8=")</f>
        <v>#VALUE!</v>
      </c>
      <c r="BM191" t="e">
        <f>AND(Hoja3!P277,"AAAAADvf/0A=")</f>
        <v>#VALUE!</v>
      </c>
      <c r="BN191" t="e">
        <f>AND(Hoja3!Q277,"AAAAADvf/0E=")</f>
        <v>#VALUE!</v>
      </c>
      <c r="BO191" s="60">
        <f>IF(Hoja3!278:278,"AAAAADvf/0I=",0)</f>
        <v>0</v>
      </c>
      <c r="BP191" t="e">
        <f>AND(Hoja3!A278,"AAAAADvf/0M=")</f>
        <v>#VALUE!</v>
      </c>
      <c r="BQ191" t="e">
        <f>AND(Hoja3!B278,"AAAAADvf/0Q=")</f>
        <v>#VALUE!</v>
      </c>
      <c r="BR191" t="e">
        <f>AND(Hoja3!C278,"AAAAADvf/0U=")</f>
        <v>#VALUE!</v>
      </c>
      <c r="BS191" t="e">
        <f>AND(Hoja3!D278,"AAAAADvf/0Y=")</f>
        <v>#VALUE!</v>
      </c>
      <c r="BT191" t="e">
        <f>AND(Hoja3!E278,"AAAAADvf/0c=")</f>
        <v>#VALUE!</v>
      </c>
      <c r="BU191" t="e">
        <f>AND(Hoja3!F278,"AAAAADvf/0g=")</f>
        <v>#VALUE!</v>
      </c>
      <c r="BV191" t="e">
        <f>AND(Hoja3!G278,"AAAAADvf/0k=")</f>
        <v>#VALUE!</v>
      </c>
      <c r="BW191" t="e">
        <f>AND(Hoja3!H278,"AAAAADvf/0o=")</f>
        <v>#VALUE!</v>
      </c>
      <c r="BX191" t="e">
        <f>AND(Hoja3!I278,"AAAAADvf/0s=")</f>
        <v>#VALUE!</v>
      </c>
      <c r="BY191" t="e">
        <f>AND(Hoja3!J278,"AAAAADvf/0w=")</f>
        <v>#VALUE!</v>
      </c>
      <c r="BZ191" t="e">
        <f>AND(Hoja3!K278,"AAAAADvf/00=")</f>
        <v>#VALUE!</v>
      </c>
      <c r="CA191" t="e">
        <f>AND(Hoja3!L278,"AAAAADvf/04=")</f>
        <v>#VALUE!</v>
      </c>
      <c r="CB191" t="e">
        <f>AND(Hoja3!M278,"AAAAADvf/08=")</f>
        <v>#VALUE!</v>
      </c>
      <c r="CC191" t="e">
        <f>AND(Hoja3!N278,"AAAAADvf/1A=")</f>
        <v>#VALUE!</v>
      </c>
      <c r="CD191" t="e">
        <f>AND(Hoja3!O278,"AAAAADvf/1E=")</f>
        <v>#VALUE!</v>
      </c>
      <c r="CE191" t="e">
        <f>AND(Hoja3!P278,"AAAAADvf/1I=")</f>
        <v>#VALUE!</v>
      </c>
      <c r="CF191" t="e">
        <f>AND(Hoja3!Q278,"AAAAADvf/1M=")</f>
        <v>#VALUE!</v>
      </c>
      <c r="CG191" s="60">
        <f>IF(Hoja3!279:279,"AAAAADvf/1Q=",0)</f>
        <v>0</v>
      </c>
      <c r="CH191" t="e">
        <f>AND(Hoja3!A279,"AAAAADvf/1U=")</f>
        <v>#VALUE!</v>
      </c>
      <c r="CI191" t="e">
        <f>AND(Hoja3!B279,"AAAAADvf/1Y=")</f>
        <v>#VALUE!</v>
      </c>
      <c r="CJ191" t="e">
        <f>AND(Hoja3!C279,"AAAAADvf/1c=")</f>
        <v>#VALUE!</v>
      </c>
      <c r="CK191" t="e">
        <f>AND(Hoja3!D279,"AAAAADvf/1g=")</f>
        <v>#VALUE!</v>
      </c>
      <c r="CL191" t="e">
        <f>AND(Hoja3!E279,"AAAAADvf/1k=")</f>
        <v>#VALUE!</v>
      </c>
      <c r="CM191" t="e">
        <f>AND(Hoja3!F279,"AAAAADvf/1o=")</f>
        <v>#VALUE!</v>
      </c>
      <c r="CN191" t="e">
        <f>AND(Hoja3!G279,"AAAAADvf/1s=")</f>
        <v>#VALUE!</v>
      </c>
      <c r="CO191" t="e">
        <f>AND(Hoja3!H279,"AAAAADvf/1w=")</f>
        <v>#VALUE!</v>
      </c>
      <c r="CP191" t="e">
        <f>AND(Hoja3!I279,"AAAAADvf/10=")</f>
        <v>#VALUE!</v>
      </c>
      <c r="CQ191" t="e">
        <f>AND(Hoja3!J279,"AAAAADvf/14=")</f>
        <v>#VALUE!</v>
      </c>
      <c r="CR191" t="e">
        <f>AND(Hoja3!K279,"AAAAADvf/18=")</f>
        <v>#VALUE!</v>
      </c>
      <c r="CS191" t="e">
        <f>AND(Hoja3!L279,"AAAAADvf/2A=")</f>
        <v>#VALUE!</v>
      </c>
      <c r="CT191" t="e">
        <f>AND(Hoja3!M279,"AAAAADvf/2E=")</f>
        <v>#VALUE!</v>
      </c>
      <c r="CU191" t="e">
        <f>AND(Hoja3!N279,"AAAAADvf/2I=")</f>
        <v>#VALUE!</v>
      </c>
      <c r="CV191" t="e">
        <f>AND(Hoja3!O279,"AAAAADvf/2M=")</f>
        <v>#VALUE!</v>
      </c>
      <c r="CW191" t="e">
        <f>AND(Hoja3!P279,"AAAAADvf/2Q=")</f>
        <v>#VALUE!</v>
      </c>
      <c r="CX191" t="e">
        <f>AND(Hoja3!Q279,"AAAAADvf/2U=")</f>
        <v>#VALUE!</v>
      </c>
      <c r="CY191" s="60">
        <f>IF(Hoja3!280:280,"AAAAADvf/2Y=",0)</f>
        <v>0</v>
      </c>
      <c r="CZ191" t="e">
        <f>AND(Hoja3!A280,"AAAAADvf/2c=")</f>
        <v>#VALUE!</v>
      </c>
      <c r="DA191" t="e">
        <f>AND(Hoja3!B280,"AAAAADvf/2g=")</f>
        <v>#VALUE!</v>
      </c>
      <c r="DB191" t="e">
        <f>AND(Hoja3!C280,"AAAAADvf/2k=")</f>
        <v>#VALUE!</v>
      </c>
      <c r="DC191" t="e">
        <f>AND(Hoja3!D280,"AAAAADvf/2o=")</f>
        <v>#VALUE!</v>
      </c>
      <c r="DD191" t="e">
        <f>AND(Hoja3!E280,"AAAAADvf/2s=")</f>
        <v>#VALUE!</v>
      </c>
      <c r="DE191" t="e">
        <f>AND(Hoja3!F280,"AAAAADvf/2w=")</f>
        <v>#VALUE!</v>
      </c>
      <c r="DF191" t="e">
        <f>AND(Hoja3!G280,"AAAAADvf/20=")</f>
        <v>#VALUE!</v>
      </c>
      <c r="DG191" t="e">
        <f>AND(Hoja3!H280,"AAAAADvf/24=")</f>
        <v>#VALUE!</v>
      </c>
      <c r="DH191" t="e">
        <f>AND(Hoja3!I280,"AAAAADvf/28=")</f>
        <v>#VALUE!</v>
      </c>
      <c r="DI191" t="e">
        <f>AND(Hoja3!J280,"AAAAADvf/3A=")</f>
        <v>#VALUE!</v>
      </c>
      <c r="DJ191" t="e">
        <f>AND(Hoja3!K280,"AAAAADvf/3E=")</f>
        <v>#VALUE!</v>
      </c>
      <c r="DK191" t="e">
        <f>AND(Hoja3!L280,"AAAAADvf/3I=")</f>
        <v>#VALUE!</v>
      </c>
      <c r="DL191" t="e">
        <f>AND(Hoja3!M280,"AAAAADvf/3M=")</f>
        <v>#VALUE!</v>
      </c>
      <c r="DM191" t="e">
        <f>AND(Hoja3!N280,"AAAAADvf/3Q=")</f>
        <v>#VALUE!</v>
      </c>
      <c r="DN191" t="e">
        <f>AND(Hoja3!O280,"AAAAADvf/3U=")</f>
        <v>#VALUE!</v>
      </c>
      <c r="DO191" t="e">
        <f>AND(Hoja3!P280,"AAAAADvf/3Y=")</f>
        <v>#VALUE!</v>
      </c>
      <c r="DP191" t="e">
        <f>AND(Hoja3!Q280,"AAAAADvf/3c=")</f>
        <v>#VALUE!</v>
      </c>
      <c r="DQ191" s="60">
        <f>IF(Hoja3!281:281,"AAAAADvf/3g=",0)</f>
        <v>0</v>
      </c>
      <c r="DR191" t="e">
        <f>AND(Hoja3!A281,"AAAAADvf/3k=")</f>
        <v>#VALUE!</v>
      </c>
      <c r="DS191" t="e">
        <f>AND(Hoja3!B281,"AAAAADvf/3o=")</f>
        <v>#VALUE!</v>
      </c>
      <c r="DT191" t="e">
        <f>AND(Hoja3!C281,"AAAAADvf/3s=")</f>
        <v>#VALUE!</v>
      </c>
      <c r="DU191" t="e">
        <f>AND(Hoja3!D281,"AAAAADvf/3w=")</f>
        <v>#VALUE!</v>
      </c>
      <c r="DV191" t="e">
        <f>AND(Hoja3!E281,"AAAAADvf/30=")</f>
        <v>#VALUE!</v>
      </c>
      <c r="DW191" t="e">
        <f>AND(Hoja3!F281,"AAAAADvf/34=")</f>
        <v>#VALUE!</v>
      </c>
      <c r="DX191" t="e">
        <f>AND(Hoja3!G281,"AAAAADvf/38=")</f>
        <v>#VALUE!</v>
      </c>
      <c r="DY191" t="e">
        <f>AND(Hoja3!H281,"AAAAADvf/4A=")</f>
        <v>#VALUE!</v>
      </c>
      <c r="DZ191" t="e">
        <f>AND(Hoja3!I281,"AAAAADvf/4E=")</f>
        <v>#VALUE!</v>
      </c>
      <c r="EA191" t="e">
        <f>AND(Hoja3!J281,"AAAAADvf/4I=")</f>
        <v>#VALUE!</v>
      </c>
      <c r="EB191" t="e">
        <f>AND(Hoja3!K281,"AAAAADvf/4M=")</f>
        <v>#VALUE!</v>
      </c>
      <c r="EC191" t="e">
        <f>AND(Hoja3!L281,"AAAAADvf/4Q=")</f>
        <v>#VALUE!</v>
      </c>
      <c r="ED191" t="e">
        <f>AND(Hoja3!M281,"AAAAADvf/4U=")</f>
        <v>#VALUE!</v>
      </c>
      <c r="EE191" t="e">
        <f>AND(Hoja3!N281,"AAAAADvf/4Y=")</f>
        <v>#VALUE!</v>
      </c>
      <c r="EF191" t="e">
        <f>AND(Hoja3!O281,"AAAAADvf/4c=")</f>
        <v>#VALUE!</v>
      </c>
      <c r="EG191" t="e">
        <f>AND(Hoja3!P281,"AAAAADvf/4g=")</f>
        <v>#VALUE!</v>
      </c>
      <c r="EH191" t="e">
        <f>AND(Hoja3!Q281,"AAAAADvf/4k=")</f>
        <v>#VALUE!</v>
      </c>
      <c r="EI191" s="60">
        <f>IF(Hoja3!282:282,"AAAAADvf/4o=",0)</f>
        <v>0</v>
      </c>
      <c r="EJ191" t="e">
        <f>AND(Hoja3!A282,"AAAAADvf/4s=")</f>
        <v>#VALUE!</v>
      </c>
      <c r="EK191" t="e">
        <f>AND(Hoja3!B282,"AAAAADvf/4w=")</f>
        <v>#VALUE!</v>
      </c>
      <c r="EL191" t="e">
        <f>AND(Hoja3!C282,"AAAAADvf/40=")</f>
        <v>#VALUE!</v>
      </c>
      <c r="EM191" t="e">
        <f>AND(Hoja3!D282,"AAAAADvf/44=")</f>
        <v>#VALUE!</v>
      </c>
      <c r="EN191" t="e">
        <f>AND(Hoja3!E282,"AAAAADvf/48=")</f>
        <v>#VALUE!</v>
      </c>
      <c r="EO191" t="e">
        <f>AND(Hoja3!F282,"AAAAADvf/5A=")</f>
        <v>#VALUE!</v>
      </c>
      <c r="EP191" t="e">
        <f>AND(Hoja3!G282,"AAAAADvf/5E=")</f>
        <v>#VALUE!</v>
      </c>
      <c r="EQ191" t="e">
        <f>AND(Hoja3!H282,"AAAAADvf/5I=")</f>
        <v>#VALUE!</v>
      </c>
      <c r="ER191" t="e">
        <f>AND(Hoja3!I282,"AAAAADvf/5M=")</f>
        <v>#VALUE!</v>
      </c>
      <c r="ES191" t="e">
        <f>AND(Hoja3!J282,"AAAAADvf/5Q=")</f>
        <v>#VALUE!</v>
      </c>
      <c r="ET191" t="e">
        <f>AND(Hoja3!K282,"AAAAADvf/5U=")</f>
        <v>#VALUE!</v>
      </c>
      <c r="EU191" t="e">
        <f>AND(Hoja3!L282,"AAAAADvf/5Y=")</f>
        <v>#VALUE!</v>
      </c>
      <c r="EV191" t="e">
        <f>AND(Hoja3!M282,"AAAAADvf/5c=")</f>
        <v>#VALUE!</v>
      </c>
      <c r="EW191" t="e">
        <f>AND(Hoja3!N282,"AAAAADvf/5g=")</f>
        <v>#VALUE!</v>
      </c>
      <c r="EX191" t="e">
        <f>AND(Hoja3!O282,"AAAAADvf/5k=")</f>
        <v>#VALUE!</v>
      </c>
      <c r="EY191" t="e">
        <f>AND(Hoja3!P282,"AAAAADvf/5o=")</f>
        <v>#VALUE!</v>
      </c>
      <c r="EZ191" t="e">
        <f>AND(Hoja3!Q282,"AAAAADvf/5s=")</f>
        <v>#VALUE!</v>
      </c>
      <c r="FA191" s="60">
        <f>IF(Hoja3!283:283,"AAAAADvf/5w=",0)</f>
        <v>0</v>
      </c>
      <c r="FB191" t="e">
        <f>AND(Hoja3!A283,"AAAAADvf/50=")</f>
        <v>#VALUE!</v>
      </c>
      <c r="FC191" t="e">
        <f>AND(Hoja3!B283,"AAAAADvf/54=")</f>
        <v>#VALUE!</v>
      </c>
      <c r="FD191" t="e">
        <f>AND(Hoja3!C283,"AAAAADvf/58=")</f>
        <v>#VALUE!</v>
      </c>
      <c r="FE191" t="e">
        <f>AND(Hoja3!D283,"AAAAADvf/6A=")</f>
        <v>#VALUE!</v>
      </c>
      <c r="FF191" t="e">
        <f>AND(Hoja3!E283,"AAAAADvf/6E=")</f>
        <v>#VALUE!</v>
      </c>
      <c r="FG191" t="e">
        <f>AND(Hoja3!F283,"AAAAADvf/6I=")</f>
        <v>#VALUE!</v>
      </c>
      <c r="FH191" t="e">
        <f>AND(Hoja3!G283,"AAAAADvf/6M=")</f>
        <v>#VALUE!</v>
      </c>
      <c r="FI191" t="e">
        <f>AND(Hoja3!H283,"AAAAADvf/6Q=")</f>
        <v>#VALUE!</v>
      </c>
      <c r="FJ191" t="e">
        <f>AND(Hoja3!I283,"AAAAADvf/6U=")</f>
        <v>#VALUE!</v>
      </c>
      <c r="FK191" t="e">
        <f>AND(Hoja3!J283,"AAAAADvf/6Y=")</f>
        <v>#VALUE!</v>
      </c>
      <c r="FL191" t="e">
        <f>AND(Hoja3!K283,"AAAAADvf/6c=")</f>
        <v>#VALUE!</v>
      </c>
      <c r="FM191" t="e">
        <f>AND(Hoja3!L283,"AAAAADvf/6g=")</f>
        <v>#VALUE!</v>
      </c>
      <c r="FN191" t="e">
        <f>AND(Hoja3!M283,"AAAAADvf/6k=")</f>
        <v>#VALUE!</v>
      </c>
      <c r="FO191" t="e">
        <f>AND(Hoja3!N283,"AAAAADvf/6o=")</f>
        <v>#VALUE!</v>
      </c>
      <c r="FP191" t="e">
        <f>AND(Hoja3!O283,"AAAAADvf/6s=")</f>
        <v>#VALUE!</v>
      </c>
      <c r="FQ191" t="e">
        <f>AND(Hoja3!P283,"AAAAADvf/6w=")</f>
        <v>#VALUE!</v>
      </c>
      <c r="FR191" t="e">
        <f>AND(Hoja3!Q283,"AAAAADvf/60=")</f>
        <v>#VALUE!</v>
      </c>
      <c r="FS191" s="60">
        <f>IF(Hoja3!284:284,"AAAAADvf/64=",0)</f>
        <v>0</v>
      </c>
      <c r="FT191" t="e">
        <f>AND(Hoja3!A284,"AAAAADvf/68=")</f>
        <v>#VALUE!</v>
      </c>
      <c r="FU191" t="e">
        <f>AND(Hoja3!B284,"AAAAADvf/7A=")</f>
        <v>#VALUE!</v>
      </c>
      <c r="FV191" t="e">
        <f>AND(Hoja3!C284,"AAAAADvf/7E=")</f>
        <v>#VALUE!</v>
      </c>
      <c r="FW191" t="e">
        <f>AND(Hoja3!D284,"AAAAADvf/7I=")</f>
        <v>#VALUE!</v>
      </c>
      <c r="FX191" t="e">
        <f>AND(Hoja3!E284,"AAAAADvf/7M=")</f>
        <v>#VALUE!</v>
      </c>
      <c r="FY191" t="e">
        <f>AND(Hoja3!F284,"AAAAADvf/7Q=")</f>
        <v>#VALUE!</v>
      </c>
      <c r="FZ191" t="e">
        <f>AND(Hoja3!G284,"AAAAADvf/7U=")</f>
        <v>#VALUE!</v>
      </c>
      <c r="GA191" t="e">
        <f>AND(Hoja3!H284,"AAAAADvf/7Y=")</f>
        <v>#VALUE!</v>
      </c>
      <c r="GB191" t="e">
        <f>AND(Hoja3!I284,"AAAAADvf/7c=")</f>
        <v>#VALUE!</v>
      </c>
      <c r="GC191" t="e">
        <f>AND(Hoja3!J284,"AAAAADvf/7g=")</f>
        <v>#VALUE!</v>
      </c>
      <c r="GD191" t="e">
        <f>AND(Hoja3!K284,"AAAAADvf/7k=")</f>
        <v>#VALUE!</v>
      </c>
      <c r="GE191" t="e">
        <f>AND(Hoja3!L284,"AAAAADvf/7o=")</f>
        <v>#VALUE!</v>
      </c>
      <c r="GF191" t="e">
        <f>AND(Hoja3!M284,"AAAAADvf/7s=")</f>
        <v>#VALUE!</v>
      </c>
      <c r="GG191" t="e">
        <f>AND(Hoja3!N284,"AAAAADvf/7w=")</f>
        <v>#VALUE!</v>
      </c>
      <c r="GH191" t="e">
        <f>AND(Hoja3!O284,"AAAAADvf/70=")</f>
        <v>#VALUE!</v>
      </c>
      <c r="GI191" t="e">
        <f>AND(Hoja3!P284,"AAAAADvf/74=")</f>
        <v>#VALUE!</v>
      </c>
      <c r="GJ191" t="e">
        <f>AND(Hoja3!Q284,"AAAAADvf/78=")</f>
        <v>#VALUE!</v>
      </c>
      <c r="GK191" s="60">
        <f>IF(Hoja3!285:285,"AAAAADvf/8A=",0)</f>
        <v>0</v>
      </c>
      <c r="GL191" t="e">
        <f>AND(Hoja3!A285,"AAAAADvf/8E=")</f>
        <v>#VALUE!</v>
      </c>
      <c r="GM191" t="e">
        <f>AND(Hoja3!B285,"AAAAADvf/8I=")</f>
        <v>#VALUE!</v>
      </c>
      <c r="GN191" t="e">
        <f>AND(Hoja3!C285,"AAAAADvf/8M=")</f>
        <v>#VALUE!</v>
      </c>
      <c r="GO191" t="e">
        <f>AND(Hoja3!D285,"AAAAADvf/8Q=")</f>
        <v>#VALUE!</v>
      </c>
      <c r="GP191" t="e">
        <f>AND(Hoja3!E285,"AAAAADvf/8U=")</f>
        <v>#VALUE!</v>
      </c>
      <c r="GQ191" t="e">
        <f>AND(Hoja3!F285,"AAAAADvf/8Y=")</f>
        <v>#VALUE!</v>
      </c>
      <c r="GR191" t="e">
        <f>AND(Hoja3!G285,"AAAAADvf/8c=")</f>
        <v>#VALUE!</v>
      </c>
      <c r="GS191" t="e">
        <f>AND(Hoja3!H285,"AAAAADvf/8g=")</f>
        <v>#VALUE!</v>
      </c>
      <c r="GT191" t="e">
        <f>AND(Hoja3!I285,"AAAAADvf/8k=")</f>
        <v>#VALUE!</v>
      </c>
      <c r="GU191" t="e">
        <f>AND(Hoja3!J285,"AAAAADvf/8o=")</f>
        <v>#VALUE!</v>
      </c>
      <c r="GV191" t="e">
        <f>AND(Hoja3!K285,"AAAAADvf/8s=")</f>
        <v>#VALUE!</v>
      </c>
      <c r="GW191" t="e">
        <f>AND(Hoja3!L285,"AAAAADvf/8w=")</f>
        <v>#VALUE!</v>
      </c>
      <c r="GX191" t="e">
        <f>AND(Hoja3!M285,"AAAAADvf/80=")</f>
        <v>#VALUE!</v>
      </c>
      <c r="GY191" t="e">
        <f>AND(Hoja3!N285,"AAAAADvf/84=")</f>
        <v>#VALUE!</v>
      </c>
      <c r="GZ191" t="e">
        <f>AND(Hoja3!O285,"AAAAADvf/88=")</f>
        <v>#VALUE!</v>
      </c>
      <c r="HA191" t="e">
        <f>AND(Hoja3!P285,"AAAAADvf/9A=")</f>
        <v>#VALUE!</v>
      </c>
      <c r="HB191" t="e">
        <f>AND(Hoja3!Q285,"AAAAADvf/9E=")</f>
        <v>#VALUE!</v>
      </c>
      <c r="HC191" s="60">
        <f>IF(Hoja3!286:286,"AAAAADvf/9I=",0)</f>
        <v>0</v>
      </c>
      <c r="HD191" t="e">
        <f>AND(Hoja3!A286,"AAAAADvf/9M=")</f>
        <v>#VALUE!</v>
      </c>
      <c r="HE191" t="e">
        <f>AND(Hoja3!B286,"AAAAADvf/9Q=")</f>
        <v>#VALUE!</v>
      </c>
      <c r="HF191" t="e">
        <f>AND(Hoja3!C286,"AAAAADvf/9U=")</f>
        <v>#VALUE!</v>
      </c>
      <c r="HG191" t="e">
        <f>AND(Hoja3!D286,"AAAAADvf/9Y=")</f>
        <v>#VALUE!</v>
      </c>
      <c r="HH191" t="e">
        <f>AND(Hoja3!E286,"AAAAADvf/9c=")</f>
        <v>#VALUE!</v>
      </c>
      <c r="HI191" t="e">
        <f>AND(Hoja3!F286,"AAAAADvf/9g=")</f>
        <v>#VALUE!</v>
      </c>
      <c r="HJ191" t="e">
        <f>AND(Hoja3!G286,"AAAAADvf/9k=")</f>
        <v>#VALUE!</v>
      </c>
      <c r="HK191" t="e">
        <f>AND(Hoja3!H286,"AAAAADvf/9o=")</f>
        <v>#VALUE!</v>
      </c>
      <c r="HL191" t="e">
        <f>AND(Hoja3!I286,"AAAAADvf/9s=")</f>
        <v>#VALUE!</v>
      </c>
      <c r="HM191" t="e">
        <f>AND(Hoja3!J286,"AAAAADvf/9w=")</f>
        <v>#VALUE!</v>
      </c>
      <c r="HN191" t="e">
        <f>AND(Hoja3!K286,"AAAAADvf/90=")</f>
        <v>#VALUE!</v>
      </c>
      <c r="HO191" t="e">
        <f>AND(Hoja3!L286,"AAAAADvf/94=")</f>
        <v>#VALUE!</v>
      </c>
      <c r="HP191" t="e">
        <f>AND(Hoja3!M286,"AAAAADvf/98=")</f>
        <v>#VALUE!</v>
      </c>
      <c r="HQ191" t="e">
        <f>AND(Hoja3!N286,"AAAAADvf/+A=")</f>
        <v>#VALUE!</v>
      </c>
      <c r="HR191" t="e">
        <f>AND(Hoja3!O286,"AAAAADvf/+E=")</f>
        <v>#VALUE!</v>
      </c>
      <c r="HS191" t="e">
        <f>AND(Hoja3!P286,"AAAAADvf/+I=")</f>
        <v>#VALUE!</v>
      </c>
      <c r="HT191" t="e">
        <f>AND(Hoja3!Q286,"AAAAADvf/+M=")</f>
        <v>#VALUE!</v>
      </c>
      <c r="HU191" s="60">
        <f>IF(Hoja3!287:287,"AAAAADvf/+Q=",0)</f>
        <v>0</v>
      </c>
      <c r="HV191" t="e">
        <f>AND(Hoja3!A287,"AAAAADvf/+U=")</f>
        <v>#VALUE!</v>
      </c>
      <c r="HW191" t="e">
        <f>AND(Hoja3!B287,"AAAAADvf/+Y=")</f>
        <v>#VALUE!</v>
      </c>
      <c r="HX191" t="e">
        <f>AND(Hoja3!C287,"AAAAADvf/+c=")</f>
        <v>#VALUE!</v>
      </c>
      <c r="HY191" t="e">
        <f>AND(Hoja3!D287,"AAAAADvf/+g=")</f>
        <v>#VALUE!</v>
      </c>
      <c r="HZ191" t="e">
        <f>AND(Hoja3!E287,"AAAAADvf/+k=")</f>
        <v>#VALUE!</v>
      </c>
      <c r="IA191" t="e">
        <f>AND(Hoja3!F287,"AAAAADvf/+o=")</f>
        <v>#VALUE!</v>
      </c>
      <c r="IB191" t="e">
        <f>AND(Hoja3!G287,"AAAAADvf/+s=")</f>
        <v>#VALUE!</v>
      </c>
      <c r="IC191" t="e">
        <f>AND(Hoja3!H287,"AAAAADvf/+w=")</f>
        <v>#VALUE!</v>
      </c>
      <c r="ID191" t="e">
        <f>AND(Hoja3!I287,"AAAAADvf/+0=")</f>
        <v>#VALUE!</v>
      </c>
      <c r="IE191" t="e">
        <f>AND(Hoja3!J287,"AAAAADvf/+4=")</f>
        <v>#VALUE!</v>
      </c>
      <c r="IF191" t="e">
        <f>AND(Hoja3!K287,"AAAAADvf/+8=")</f>
        <v>#VALUE!</v>
      </c>
      <c r="IG191" t="e">
        <f>AND(Hoja3!L287,"AAAAADvf//A=")</f>
        <v>#VALUE!</v>
      </c>
      <c r="IH191" t="e">
        <f>AND(Hoja3!M287,"AAAAADvf//E=")</f>
        <v>#VALUE!</v>
      </c>
      <c r="II191" t="e">
        <f>AND(Hoja3!N287,"AAAAADvf//I=")</f>
        <v>#VALUE!</v>
      </c>
      <c r="IJ191" t="e">
        <f>AND(Hoja3!O287,"AAAAADvf//M=")</f>
        <v>#VALUE!</v>
      </c>
      <c r="IK191" t="e">
        <f>AND(Hoja3!P287,"AAAAADvf//Q=")</f>
        <v>#VALUE!</v>
      </c>
      <c r="IL191" t="e">
        <f>AND(Hoja3!Q287,"AAAAADvf//U=")</f>
        <v>#VALUE!</v>
      </c>
      <c r="IM191" s="60">
        <f>IF(Hoja3!288:288,"AAAAADvf//Y=",0)</f>
        <v>0</v>
      </c>
      <c r="IN191" t="e">
        <f>AND(Hoja3!A288,"AAAAADvf//c=")</f>
        <v>#VALUE!</v>
      </c>
      <c r="IO191" t="e">
        <f>AND(Hoja3!B288,"AAAAADvf//g=")</f>
        <v>#VALUE!</v>
      </c>
      <c r="IP191" t="e">
        <f>AND(Hoja3!C288,"AAAAADvf//k=")</f>
        <v>#VALUE!</v>
      </c>
      <c r="IQ191" t="e">
        <f>AND(Hoja3!D288,"AAAAADvf//o=")</f>
        <v>#VALUE!</v>
      </c>
      <c r="IR191" t="e">
        <f>AND(Hoja3!E288,"AAAAADvf//s=")</f>
        <v>#VALUE!</v>
      </c>
      <c r="IS191" t="e">
        <f>AND(Hoja3!F288,"AAAAADvf//w=")</f>
        <v>#VALUE!</v>
      </c>
      <c r="IT191" t="e">
        <f>AND(Hoja3!G288,"AAAAADvf//0=")</f>
        <v>#VALUE!</v>
      </c>
      <c r="IU191" t="e">
        <f>AND(Hoja3!H288,"AAAAADvf//4=")</f>
        <v>#VALUE!</v>
      </c>
      <c r="IV191" t="e">
        <f>AND(Hoja3!I288,"AAAAADvf//8=")</f>
        <v>#VALUE!</v>
      </c>
    </row>
    <row r="192" spans="1:256" ht="15" customHeight="1" x14ac:dyDescent="0.25">
      <c r="A192" t="e">
        <f>AND(Hoja3!J288,"AAAAAHt7rgA=")</f>
        <v>#VALUE!</v>
      </c>
      <c r="B192" t="e">
        <f>AND(Hoja3!K288,"AAAAAHt7rgE=")</f>
        <v>#VALUE!</v>
      </c>
      <c r="C192" t="e">
        <f>AND(Hoja3!L288,"AAAAAHt7rgI=")</f>
        <v>#VALUE!</v>
      </c>
      <c r="D192" t="e">
        <f>AND(Hoja3!M288,"AAAAAHt7rgM=")</f>
        <v>#VALUE!</v>
      </c>
      <c r="E192" t="e">
        <f>AND(Hoja3!N288,"AAAAAHt7rgQ=")</f>
        <v>#VALUE!</v>
      </c>
      <c r="F192" t="e">
        <f>AND(Hoja3!O288,"AAAAAHt7rgU=")</f>
        <v>#VALUE!</v>
      </c>
      <c r="G192" t="e">
        <f>AND(Hoja3!P288,"AAAAAHt7rgY=")</f>
        <v>#VALUE!</v>
      </c>
      <c r="H192" t="e">
        <f>AND(Hoja3!Q288,"AAAAAHt7rgc=")</f>
        <v>#VALUE!</v>
      </c>
      <c r="I192" s="60">
        <f>IF(Hoja3!289:289,"AAAAAHt7rgg=",0)</f>
        <v>0</v>
      </c>
      <c r="J192" t="e">
        <f>AND(Hoja3!A289,"AAAAAHt7rgk=")</f>
        <v>#VALUE!</v>
      </c>
      <c r="K192" t="e">
        <f>AND(Hoja3!B289,"AAAAAHt7rgo=")</f>
        <v>#VALUE!</v>
      </c>
      <c r="L192" t="e">
        <f>AND(Hoja3!C289,"AAAAAHt7rgs=")</f>
        <v>#VALUE!</v>
      </c>
      <c r="M192" t="e">
        <f>AND(Hoja3!D289,"AAAAAHt7rgw=")</f>
        <v>#VALUE!</v>
      </c>
      <c r="N192" t="e">
        <f>AND(Hoja3!E289,"AAAAAHt7rg0=")</f>
        <v>#VALUE!</v>
      </c>
      <c r="O192" t="e">
        <f>AND(Hoja3!F289,"AAAAAHt7rg4=")</f>
        <v>#VALUE!</v>
      </c>
      <c r="P192" t="e">
        <f>AND(Hoja3!G289,"AAAAAHt7rg8=")</f>
        <v>#VALUE!</v>
      </c>
      <c r="Q192" t="e">
        <f>AND(Hoja3!H289,"AAAAAHt7rhA=")</f>
        <v>#VALUE!</v>
      </c>
      <c r="R192" t="e">
        <f>AND(Hoja3!I289,"AAAAAHt7rhE=")</f>
        <v>#VALUE!</v>
      </c>
      <c r="S192" t="e">
        <f>AND(Hoja3!J289,"AAAAAHt7rhI=")</f>
        <v>#VALUE!</v>
      </c>
      <c r="T192" t="e">
        <f>AND(Hoja3!K289,"AAAAAHt7rhM=")</f>
        <v>#VALUE!</v>
      </c>
      <c r="U192" t="e">
        <f>AND(Hoja3!L289,"AAAAAHt7rhQ=")</f>
        <v>#VALUE!</v>
      </c>
      <c r="V192" t="e">
        <f>AND(Hoja3!M289,"AAAAAHt7rhU=")</f>
        <v>#VALUE!</v>
      </c>
      <c r="W192" t="e">
        <f>AND(Hoja3!N289,"AAAAAHt7rhY=")</f>
        <v>#VALUE!</v>
      </c>
      <c r="X192" t="e">
        <f>AND(Hoja3!O289,"AAAAAHt7rhc=")</f>
        <v>#VALUE!</v>
      </c>
      <c r="Y192" t="e">
        <f>AND(Hoja3!P289,"AAAAAHt7rhg=")</f>
        <v>#VALUE!</v>
      </c>
      <c r="Z192" t="e">
        <f>AND(Hoja3!Q289,"AAAAAHt7rhk=")</f>
        <v>#VALUE!</v>
      </c>
      <c r="AA192" s="60">
        <f>IF(Hoja3!290:290,"AAAAAHt7rho=",0)</f>
        <v>0</v>
      </c>
      <c r="AB192" t="e">
        <f>AND(Hoja3!A290,"AAAAAHt7rhs=")</f>
        <v>#VALUE!</v>
      </c>
      <c r="AC192" t="e">
        <f>AND(Hoja3!B290,"AAAAAHt7rhw=")</f>
        <v>#VALUE!</v>
      </c>
      <c r="AD192" t="e">
        <f>AND(Hoja3!C290,"AAAAAHt7rh0=")</f>
        <v>#VALUE!</v>
      </c>
      <c r="AE192" t="e">
        <f>AND(Hoja3!D290,"AAAAAHt7rh4=")</f>
        <v>#VALUE!</v>
      </c>
      <c r="AF192" t="e">
        <f>AND(Hoja3!E290,"AAAAAHt7rh8=")</f>
        <v>#VALUE!</v>
      </c>
      <c r="AG192" t="e">
        <f>AND(Hoja3!F290,"AAAAAHt7riA=")</f>
        <v>#VALUE!</v>
      </c>
      <c r="AH192" t="e">
        <f>AND(Hoja3!G290,"AAAAAHt7riE=")</f>
        <v>#VALUE!</v>
      </c>
      <c r="AI192" t="e">
        <f>AND(Hoja3!H290,"AAAAAHt7riI=")</f>
        <v>#VALUE!</v>
      </c>
      <c r="AJ192" t="e">
        <f>AND(Hoja3!I290,"AAAAAHt7riM=")</f>
        <v>#VALUE!</v>
      </c>
      <c r="AK192" t="e">
        <f>AND(Hoja3!J290,"AAAAAHt7riQ=")</f>
        <v>#VALUE!</v>
      </c>
      <c r="AL192" t="e">
        <f>AND(Hoja3!K290,"AAAAAHt7riU=")</f>
        <v>#VALUE!</v>
      </c>
      <c r="AM192" t="e">
        <f>AND(Hoja3!L290,"AAAAAHt7riY=")</f>
        <v>#VALUE!</v>
      </c>
      <c r="AN192" t="e">
        <f>AND(Hoja3!M290,"AAAAAHt7ric=")</f>
        <v>#VALUE!</v>
      </c>
      <c r="AO192" t="e">
        <f>AND(Hoja3!N290,"AAAAAHt7rig=")</f>
        <v>#VALUE!</v>
      </c>
      <c r="AP192" t="e">
        <f>AND(Hoja3!O290,"AAAAAHt7rik=")</f>
        <v>#VALUE!</v>
      </c>
      <c r="AQ192" t="e">
        <f>AND(Hoja3!P290,"AAAAAHt7rio=")</f>
        <v>#VALUE!</v>
      </c>
      <c r="AR192" t="e">
        <f>AND(Hoja3!Q290,"AAAAAHt7ris=")</f>
        <v>#VALUE!</v>
      </c>
      <c r="AS192" s="60">
        <f>IF(Hoja3!291:291,"AAAAAHt7riw=",0)</f>
        <v>0</v>
      </c>
      <c r="AT192" t="e">
        <f>AND(Hoja3!A291,"AAAAAHt7ri0=")</f>
        <v>#VALUE!</v>
      </c>
      <c r="AU192" t="e">
        <f>AND(Hoja3!B291,"AAAAAHt7ri4=")</f>
        <v>#VALUE!</v>
      </c>
      <c r="AV192" t="e">
        <f>AND(Hoja3!C291,"AAAAAHt7ri8=")</f>
        <v>#VALUE!</v>
      </c>
      <c r="AW192" t="e">
        <f>AND(Hoja3!D291,"AAAAAHt7rjA=")</f>
        <v>#VALUE!</v>
      </c>
      <c r="AX192" t="e">
        <f>AND(Hoja3!E291,"AAAAAHt7rjE=")</f>
        <v>#VALUE!</v>
      </c>
      <c r="AY192" t="e">
        <f>AND(Hoja3!F291,"AAAAAHt7rjI=")</f>
        <v>#VALUE!</v>
      </c>
      <c r="AZ192" t="e">
        <f>AND(Hoja3!G291,"AAAAAHt7rjM=")</f>
        <v>#VALUE!</v>
      </c>
      <c r="BA192" t="e">
        <f>AND(Hoja3!H291,"AAAAAHt7rjQ=")</f>
        <v>#VALUE!</v>
      </c>
      <c r="BB192" t="e">
        <f>AND(Hoja3!I291,"AAAAAHt7rjU=")</f>
        <v>#VALUE!</v>
      </c>
      <c r="BC192" t="e">
        <f>AND(Hoja3!J291,"AAAAAHt7rjY=")</f>
        <v>#VALUE!</v>
      </c>
      <c r="BD192" t="e">
        <f>AND(Hoja3!K291,"AAAAAHt7rjc=")</f>
        <v>#VALUE!</v>
      </c>
      <c r="BE192" t="e">
        <f>AND(Hoja3!L291,"AAAAAHt7rjg=")</f>
        <v>#VALUE!</v>
      </c>
      <c r="BF192" t="e">
        <f>AND(Hoja3!M291,"AAAAAHt7rjk=")</f>
        <v>#VALUE!</v>
      </c>
      <c r="BG192" t="e">
        <f>AND(Hoja3!N291,"AAAAAHt7rjo=")</f>
        <v>#VALUE!</v>
      </c>
      <c r="BH192" t="e">
        <f>AND(Hoja3!O291,"AAAAAHt7rjs=")</f>
        <v>#VALUE!</v>
      </c>
      <c r="BI192" t="e">
        <f>AND(Hoja3!P291,"AAAAAHt7rjw=")</f>
        <v>#VALUE!</v>
      </c>
      <c r="BJ192" t="e">
        <f>AND(Hoja3!Q291,"AAAAAHt7rj0=")</f>
        <v>#VALUE!</v>
      </c>
      <c r="BK192" s="60">
        <f>IF(Hoja3!292:292,"AAAAAHt7rj4=",0)</f>
        <v>0</v>
      </c>
      <c r="BL192" t="e">
        <f>AND(Hoja3!A292,"AAAAAHt7rj8=")</f>
        <v>#VALUE!</v>
      </c>
      <c r="BM192" t="e">
        <f>AND(Hoja3!B292,"AAAAAHt7rkA=")</f>
        <v>#VALUE!</v>
      </c>
      <c r="BN192" t="e">
        <f>AND(Hoja3!C292,"AAAAAHt7rkE=")</f>
        <v>#VALUE!</v>
      </c>
      <c r="BO192" t="e">
        <f>AND(Hoja3!D292,"AAAAAHt7rkI=")</f>
        <v>#VALUE!</v>
      </c>
      <c r="BP192" t="e">
        <f>AND(Hoja3!E292,"AAAAAHt7rkM=")</f>
        <v>#VALUE!</v>
      </c>
      <c r="BQ192" t="e">
        <f>AND(Hoja3!F292,"AAAAAHt7rkQ=")</f>
        <v>#VALUE!</v>
      </c>
      <c r="BR192" t="e">
        <f>AND(Hoja3!G292,"AAAAAHt7rkU=")</f>
        <v>#VALUE!</v>
      </c>
      <c r="BS192" t="e">
        <f>AND(Hoja3!H292,"AAAAAHt7rkY=")</f>
        <v>#VALUE!</v>
      </c>
      <c r="BT192" t="e">
        <f>AND(Hoja3!I292,"AAAAAHt7rkc=")</f>
        <v>#VALUE!</v>
      </c>
      <c r="BU192" t="e">
        <f>AND(Hoja3!J292,"AAAAAHt7rkg=")</f>
        <v>#VALUE!</v>
      </c>
      <c r="BV192" t="e">
        <f>AND(Hoja3!K292,"AAAAAHt7rkk=")</f>
        <v>#VALUE!</v>
      </c>
      <c r="BW192" t="e">
        <f>AND(Hoja3!L292,"AAAAAHt7rko=")</f>
        <v>#VALUE!</v>
      </c>
      <c r="BX192" t="e">
        <f>AND(Hoja3!M292,"AAAAAHt7rks=")</f>
        <v>#VALUE!</v>
      </c>
      <c r="BY192" t="e">
        <f>AND(Hoja3!N292,"AAAAAHt7rkw=")</f>
        <v>#VALUE!</v>
      </c>
      <c r="BZ192" t="e">
        <f>AND(Hoja3!O292,"AAAAAHt7rk0=")</f>
        <v>#VALUE!</v>
      </c>
      <c r="CA192" t="e">
        <f>AND(Hoja3!P292,"AAAAAHt7rk4=")</f>
        <v>#VALUE!</v>
      </c>
      <c r="CB192" t="e">
        <f>AND(Hoja3!Q292,"AAAAAHt7rk8=")</f>
        <v>#VALUE!</v>
      </c>
      <c r="CC192" s="60">
        <f>IF(Hoja3!293:293,"AAAAAHt7rlA=",0)</f>
        <v>0</v>
      </c>
      <c r="CD192" t="e">
        <f>AND(Hoja3!A293,"AAAAAHt7rlE=")</f>
        <v>#VALUE!</v>
      </c>
      <c r="CE192" t="e">
        <f>AND(Hoja3!B293,"AAAAAHt7rlI=")</f>
        <v>#VALUE!</v>
      </c>
      <c r="CF192" t="e">
        <f>AND(Hoja3!C293,"AAAAAHt7rlM=")</f>
        <v>#VALUE!</v>
      </c>
      <c r="CG192" t="e">
        <f>AND(Hoja3!D293,"AAAAAHt7rlQ=")</f>
        <v>#VALUE!</v>
      </c>
      <c r="CH192" t="e">
        <f>AND(Hoja3!E293,"AAAAAHt7rlU=")</f>
        <v>#VALUE!</v>
      </c>
      <c r="CI192" t="e">
        <f>AND(Hoja3!F293,"AAAAAHt7rlY=")</f>
        <v>#VALUE!</v>
      </c>
      <c r="CJ192" t="e">
        <f>AND(Hoja3!G293,"AAAAAHt7rlc=")</f>
        <v>#VALUE!</v>
      </c>
      <c r="CK192" t="e">
        <f>AND(Hoja3!H293,"AAAAAHt7rlg=")</f>
        <v>#VALUE!</v>
      </c>
      <c r="CL192" t="e">
        <f>AND(Hoja3!I293,"AAAAAHt7rlk=")</f>
        <v>#VALUE!</v>
      </c>
      <c r="CM192" t="e">
        <f>AND(Hoja3!J293,"AAAAAHt7rlo=")</f>
        <v>#VALUE!</v>
      </c>
      <c r="CN192" t="e">
        <f>AND(Hoja3!K293,"AAAAAHt7rls=")</f>
        <v>#VALUE!</v>
      </c>
      <c r="CO192" t="e">
        <f>AND(Hoja3!L293,"AAAAAHt7rlw=")</f>
        <v>#VALUE!</v>
      </c>
      <c r="CP192" t="e">
        <f>AND(Hoja3!M293,"AAAAAHt7rl0=")</f>
        <v>#VALUE!</v>
      </c>
      <c r="CQ192" t="e">
        <f>AND(Hoja3!N293,"AAAAAHt7rl4=")</f>
        <v>#VALUE!</v>
      </c>
      <c r="CR192" t="e">
        <f>AND(Hoja3!O293,"AAAAAHt7rl8=")</f>
        <v>#VALUE!</v>
      </c>
      <c r="CS192" t="e">
        <f>AND(Hoja3!P293,"AAAAAHt7rmA=")</f>
        <v>#VALUE!</v>
      </c>
      <c r="CT192" t="e">
        <f>AND(Hoja3!Q293,"AAAAAHt7rmE=")</f>
        <v>#VALUE!</v>
      </c>
      <c r="CU192" t="str">
        <f>IF(Hoja3!B:B,"AAAAAHt7rmI=",0)</f>
        <v>AAAAAHt7rmI=</v>
      </c>
      <c r="CV192" s="60" t="e">
        <f>IF(Hoja3!C:C,"AAAAAHt7rmM=",0)</f>
        <v>#VALUE!</v>
      </c>
      <c r="CW192" t="str">
        <f>IF(Hoja3!D:D,"AAAAAHt7rmQ=",0)</f>
        <v>AAAAAHt7rmQ=</v>
      </c>
      <c r="CX192" t="str">
        <f>IF(Hoja3!E:E,"AAAAAHt7rmU=",0)</f>
        <v>AAAAAHt7rmU=</v>
      </c>
      <c r="CY192" t="str">
        <f>IF(Hoja3!F:F,"AAAAAHt7rmY=",0)</f>
        <v>AAAAAHt7rmY=</v>
      </c>
      <c r="CZ192" s="60">
        <f>IF(Hoja3!G:G,"AAAAAHt7rmc=",0)</f>
        <v>0</v>
      </c>
      <c r="DA192" s="60">
        <f>IF(Hoja3!H:H,"AAAAAHt7rmg=",0)</f>
        <v>0</v>
      </c>
      <c r="DB192" s="60">
        <f>IF(Hoja3!I:I,"AAAAAHt7rmk=",0)</f>
        <v>0</v>
      </c>
      <c r="DC192" s="60">
        <f>IF(Hoja3!J:J,"AAAAAHt7rmo=",0)</f>
        <v>0</v>
      </c>
      <c r="DD192" t="str">
        <f>IF(Hoja3!K:K,"AAAAAHt7rms=",0)</f>
        <v>AAAAAHt7rms=</v>
      </c>
      <c r="DE192" t="str">
        <f>IF(Hoja3!L:L,"AAAAAHt7rmw=",0)</f>
        <v>AAAAAHt7rmw=</v>
      </c>
      <c r="DF192" t="str">
        <f>IF(Hoja3!M:M,"AAAAAHt7rm0=",0)</f>
        <v>AAAAAHt7rm0=</v>
      </c>
      <c r="DG192" s="60">
        <f>IF(Hoja3!N:N,"AAAAAHt7rm4=",0)</f>
        <v>0</v>
      </c>
      <c r="DH192" t="str">
        <f>IF(Hoja3!O:O,"AAAAAHt7rm8=",0)</f>
        <v>AAAAAHt7rm8=</v>
      </c>
      <c r="DI192" t="str">
        <f>IF(Hoja3!P:P,"AAAAAHt7rnA=",0)</f>
        <v>AAAAAHt7rnA=</v>
      </c>
      <c r="DJ192" t="str">
        <f>IF(Hoja3!Q:Q,"AAAAAHt7rnE=",0)</f>
        <v>AAAAAHt7rnE=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"/>
  <sheetViews>
    <sheetView tabSelected="1" topLeftCell="A29" zoomScaleNormal="100" workbookViewId="0">
      <selection activeCell="S45" sqref="S45"/>
    </sheetView>
  </sheetViews>
  <sheetFormatPr defaultRowHeight="15" x14ac:dyDescent="0.25"/>
  <cols>
    <col min="1" max="1" width="10.7109375"/>
    <col min="2" max="2" width="16.5703125"/>
    <col min="3" max="3" width="7.42578125"/>
    <col min="4" max="4" width="12.28515625"/>
    <col min="5" max="5" width="16.42578125"/>
    <col min="6" max="6" width="4.85546875"/>
    <col min="7" max="7" width="5.5703125"/>
    <col min="8" max="8" width="5.7109375"/>
    <col min="9" max="9" width="5.85546875"/>
    <col min="10" max="10" width="2.85546875"/>
    <col min="11" max="11" width="10.7109375"/>
    <col min="12" max="12" width="13.28515625"/>
    <col min="13" max="16" width="10.7109375"/>
    <col min="17" max="17" width="12.28515625"/>
    <col min="18" max="19" width="13.28515625"/>
    <col min="20" max="1025" width="10.7109375"/>
  </cols>
  <sheetData>
    <row r="1" spans="1:18" ht="15" customHeight="1" x14ac:dyDescent="0.25">
      <c r="D1" s="5" t="s">
        <v>0</v>
      </c>
      <c r="E1" s="6" t="s">
        <v>1</v>
      </c>
      <c r="F1" s="7" t="s">
        <v>2</v>
      </c>
      <c r="G1" s="7" t="s">
        <v>3</v>
      </c>
      <c r="H1" s="7" t="s">
        <v>4</v>
      </c>
      <c r="I1" s="7" t="s">
        <v>5</v>
      </c>
      <c r="K1" s="7" t="s">
        <v>2528</v>
      </c>
      <c r="L1" s="7" t="s">
        <v>2529</v>
      </c>
      <c r="P1" t="s">
        <v>2535</v>
      </c>
      <c r="R1" t="s">
        <v>2536</v>
      </c>
    </row>
    <row r="2" spans="1:18" ht="15" customHeight="1" x14ac:dyDescent="0.25">
      <c r="B2" s="7" t="s">
        <v>19</v>
      </c>
      <c r="C2" s="7" t="s">
        <v>20</v>
      </c>
      <c r="D2" s="5">
        <v>-12922.154699999999</v>
      </c>
      <c r="E2" s="20">
        <v>-12923.279990000001</v>
      </c>
      <c r="F2" s="61">
        <v>0.99598399999999998</v>
      </c>
      <c r="G2" s="34">
        <v>0.18626000000000001</v>
      </c>
      <c r="H2" s="7">
        <v>13</v>
      </c>
      <c r="I2" s="7">
        <v>0</v>
      </c>
      <c r="K2" s="8">
        <f>-(($D$2-$D$38)/($H$2-$H$38)*H2+$D$38-D2)</f>
        <v>0</v>
      </c>
      <c r="L2" s="2">
        <f>-(($E$2-$E$38)/($H$2-$H$38)*H2+$E$38-E2)</f>
        <v>0</v>
      </c>
      <c r="N2">
        <f>D2/13</f>
        <v>-994.01189999999997</v>
      </c>
      <c r="P2">
        <v>-995.34555399999999</v>
      </c>
      <c r="R2" s="74">
        <f>E2/13-(I2*$P$38+H2*$P$2)/13</f>
        <v>1.2470932307691101</v>
      </c>
    </row>
    <row r="3" spans="1:18" ht="6.95" customHeight="1" x14ac:dyDescent="0.25">
      <c r="B3" s="7"/>
      <c r="D3" s="8"/>
      <c r="E3" s="2"/>
      <c r="F3" s="11"/>
      <c r="G3" s="3"/>
      <c r="K3" s="8"/>
      <c r="L3" s="2"/>
      <c r="R3" s="74"/>
    </row>
    <row r="4" spans="1:18" ht="15" customHeight="1" x14ac:dyDescent="0.25">
      <c r="B4" s="7" t="s">
        <v>22</v>
      </c>
      <c r="C4" s="7" t="s">
        <v>26</v>
      </c>
      <c r="D4" s="5">
        <v>-12829.258</v>
      </c>
      <c r="E4" s="20">
        <v>-12830.413659</v>
      </c>
      <c r="F4" s="61">
        <v>0.996278</v>
      </c>
      <c r="G4" s="34">
        <v>0.18854000000000001</v>
      </c>
      <c r="H4" s="7">
        <v>12</v>
      </c>
      <c r="I4" s="7">
        <v>1</v>
      </c>
      <c r="K4" s="8">
        <f>-(($D$2-$D$38)/($H$2-$H$38)*H4+$D$38-D4)</f>
        <v>-0.38863846153981285</v>
      </c>
      <c r="L4" s="2">
        <f>-(($E$2-$E$38)/($H$2-$H$38)*H4+$E$38-E4)</f>
        <v>-0.36886869230693264</v>
      </c>
      <c r="R4" s="74">
        <f t="shared" ref="R4:R38" si="0">E4/13-(I4*$P$38+H4*$P$2)/13</f>
        <v>1.2222790769232006</v>
      </c>
    </row>
    <row r="5" spans="1:18" ht="6.95" customHeight="1" x14ac:dyDescent="0.25">
      <c r="B5" s="7"/>
      <c r="D5" s="8"/>
      <c r="E5" s="2"/>
      <c r="F5" s="11"/>
      <c r="G5" s="3"/>
      <c r="K5" s="8"/>
      <c r="L5" s="2"/>
      <c r="R5" s="74"/>
    </row>
    <row r="6" spans="1:18" ht="15" customHeight="1" x14ac:dyDescent="0.25">
      <c r="B6" s="7" t="s">
        <v>32</v>
      </c>
      <c r="C6" s="31" t="s">
        <v>50</v>
      </c>
      <c r="D6" s="5">
        <v>-12736.337299999999</v>
      </c>
      <c r="E6" s="20">
        <v>-12737.578846</v>
      </c>
      <c r="F6" s="62">
        <v>0.99658400000000003</v>
      </c>
      <c r="G6" s="29">
        <v>0.19112000000000001</v>
      </c>
      <c r="H6" s="31">
        <v>11</v>
      </c>
      <c r="I6" s="31">
        <v>2</v>
      </c>
      <c r="K6" s="8">
        <f>-(($D$2-$D$38)/($H$2-$H$38)*H6+$D$38-D6)</f>
        <v>-0.75327692307655525</v>
      </c>
      <c r="L6" s="2">
        <f>-(($E$2-$E$38)/($H$2-$H$38)*H6+$E$38-E6)</f>
        <v>-0.76925538461546239</v>
      </c>
      <c r="R6" s="74">
        <f t="shared" ref="R6:R38" si="1">E6/13-(I6*$P$38+H6*$P$2)/13</f>
        <v>1.1950404615383832</v>
      </c>
    </row>
    <row r="7" spans="1:18" ht="6.95" customHeight="1" x14ac:dyDescent="0.25">
      <c r="B7" s="7"/>
      <c r="D7" s="8"/>
      <c r="E7" s="2"/>
      <c r="F7" s="11"/>
      <c r="G7" s="3"/>
      <c r="K7" s="8"/>
      <c r="L7" s="2"/>
      <c r="R7" s="74"/>
    </row>
    <row r="8" spans="1:18" ht="15" customHeight="1" x14ac:dyDescent="0.25">
      <c r="B8" s="7" t="s">
        <v>78</v>
      </c>
      <c r="C8" s="7" t="s">
        <v>79</v>
      </c>
      <c r="D8" s="19">
        <v>-12643.069799999999</v>
      </c>
      <c r="E8" s="20">
        <v>-12644.661555999999</v>
      </c>
      <c r="F8" s="61">
        <v>0.99532299999999996</v>
      </c>
      <c r="G8" s="34">
        <v>0.18160999999999999</v>
      </c>
      <c r="H8" s="7">
        <v>10</v>
      </c>
      <c r="I8" s="7">
        <v>3</v>
      </c>
      <c r="K8" s="8">
        <f>-(($D$2-$D$38)/($H$2-$H$38)*H8+$D$38-D8)</f>
        <v>-0.77111538461576856</v>
      </c>
      <c r="L8" s="2">
        <f>-(($E$2-$E$38)/($H$2-$H$38)*H8+$E$38-E8)</f>
        <v>-1.087165076922247</v>
      </c>
      <c r="R8" s="74">
        <f t="shared" ref="R8:R38" si="2">E8/13-(I8*$P$38+H8*$P$2)/13</f>
        <v>1.1741462307692245</v>
      </c>
    </row>
    <row r="9" spans="1:18" ht="15" customHeight="1" x14ac:dyDescent="0.25">
      <c r="B9" s="7"/>
      <c r="C9" s="7" t="s">
        <v>97</v>
      </c>
      <c r="D9" s="5">
        <v>-12643.294900000001</v>
      </c>
      <c r="E9" s="23">
        <v>-12644.488434999999</v>
      </c>
      <c r="F9" s="61">
        <v>0.99682000000000004</v>
      </c>
      <c r="G9" s="34">
        <v>0.19300999999999999</v>
      </c>
      <c r="H9" s="7">
        <v>10</v>
      </c>
      <c r="I9" s="7">
        <v>3</v>
      </c>
      <c r="K9" s="8">
        <f>-(($D$2-$D$38)/($H$2-$H$38)*H9+$D$38-D9)</f>
        <v>-0.99621538461724413</v>
      </c>
      <c r="L9" s="2">
        <f>-(($E$2-$E$38)/($H$2-$H$38)*H9+$E$38-E9)</f>
        <v>-0.91404407692243694</v>
      </c>
      <c r="R9" s="74"/>
    </row>
    <row r="10" spans="1:18" ht="6.95" customHeight="1" x14ac:dyDescent="0.25">
      <c r="B10" s="7"/>
      <c r="D10" s="8"/>
      <c r="E10" s="2"/>
      <c r="F10" s="11"/>
      <c r="G10" s="3"/>
      <c r="K10" s="8"/>
      <c r="L10" s="2"/>
      <c r="R10" s="74"/>
    </row>
    <row r="11" spans="1:18" ht="15" customHeight="1" x14ac:dyDescent="0.25">
      <c r="A11" t="s">
        <v>2530</v>
      </c>
      <c r="B11" s="7" t="s">
        <v>297</v>
      </c>
      <c r="C11" s="7" t="s">
        <v>585</v>
      </c>
      <c r="D11" s="19">
        <v>-12550.0057</v>
      </c>
      <c r="E11" s="20">
        <v>-12551.705943000001</v>
      </c>
      <c r="F11" s="61">
        <v>0.99567600000000001</v>
      </c>
      <c r="G11" s="34">
        <v>0.18406</v>
      </c>
      <c r="H11" s="7">
        <v>9</v>
      </c>
      <c r="I11" s="7">
        <v>4</v>
      </c>
      <c r="K11" s="8">
        <f>-(($D$2-$D$38)/($H$2-$H$38)*H11+$D$38-D11)</f>
        <v>-0.99235384615349176</v>
      </c>
      <c r="L11" s="2">
        <f>-(($E$2-$E$38)/($H$2-$H$38)*H11+$E$38-E11)</f>
        <v>-1.3667517692301772</v>
      </c>
      <c r="R11" s="74">
        <f t="shared" si="2"/>
        <v>1.1561999230767697</v>
      </c>
    </row>
    <row r="12" spans="1:18" ht="15" customHeight="1" x14ac:dyDescent="0.25">
      <c r="B12" s="7"/>
      <c r="C12" s="7" t="s">
        <v>535</v>
      </c>
      <c r="D12" s="5">
        <v>-12550.225399999999</v>
      </c>
      <c r="E12" s="23">
        <v>-12551.492364</v>
      </c>
      <c r="F12" s="61">
        <v>0.998309</v>
      </c>
      <c r="G12" s="34">
        <v>0.21232999999999999</v>
      </c>
      <c r="H12" s="7">
        <v>9</v>
      </c>
      <c r="I12" s="7">
        <v>4</v>
      </c>
      <c r="K12" s="8">
        <f>-(($D$2-$D$38)/($H$2-$H$38)*H12+$D$38-D12)</f>
        <v>-1.2120538461531396</v>
      </c>
      <c r="L12" s="2">
        <f>-(($E$2-$E$38)/($H$2-$H$38)*H12+$E$38-E12)</f>
        <v>-1.1531727692290588</v>
      </c>
      <c r="R12" s="74">
        <f t="shared" ref="R12:R38" si="3">E12/13-(I12*$P$38+H12*$P$2)/13</f>
        <v>1.1726290769230445</v>
      </c>
    </row>
    <row r="13" spans="1:18" ht="6.95" customHeight="1" x14ac:dyDescent="0.25">
      <c r="B13" s="7"/>
      <c r="D13" s="8"/>
      <c r="E13" s="2"/>
      <c r="F13" s="11"/>
      <c r="G13" s="3"/>
      <c r="K13" s="8"/>
      <c r="L13" s="2"/>
      <c r="R13" s="74"/>
    </row>
    <row r="14" spans="1:18" ht="15" customHeight="1" x14ac:dyDescent="0.25">
      <c r="B14" s="7" t="s">
        <v>607</v>
      </c>
      <c r="C14" s="7">
        <v>568</v>
      </c>
      <c r="D14" s="19">
        <v>-12456.903899999999</v>
      </c>
      <c r="E14" s="20">
        <v>-12458.63812</v>
      </c>
      <c r="F14" s="61">
        <v>0.99545099999999997</v>
      </c>
      <c r="G14" s="34">
        <v>0.182529999999999</v>
      </c>
      <c r="H14" s="7">
        <v>8</v>
      </c>
      <c r="I14" s="7">
        <v>5</v>
      </c>
      <c r="K14" s="8">
        <f>-(($D$2-$D$38)/($H$2-$H$38)*H14+$D$38-D14)</f>
        <v>-1.1758923076922656</v>
      </c>
      <c r="L14" s="2">
        <f>-(($E$2-$E$38)/($H$2-$H$38)*H14+$E$38-E14)</f>
        <v>-1.5341284615369659</v>
      </c>
      <c r="R14" s="74">
        <f t="shared" ref="R14:R38" si="4">E14/13-(I14*$P$38+H14*$P$2)/13</f>
        <v>1.1468851538462559</v>
      </c>
    </row>
    <row r="15" spans="1:18" ht="15" customHeight="1" x14ac:dyDescent="0.25">
      <c r="B15" s="7"/>
      <c r="C15" s="7">
        <v>548</v>
      </c>
      <c r="D15" s="5">
        <v>-12457.134099999999</v>
      </c>
      <c r="E15" s="23">
        <v>-12458.439358</v>
      </c>
      <c r="F15" s="61">
        <v>0.99779799999999996</v>
      </c>
      <c r="G15" s="34">
        <v>0.204369999999999</v>
      </c>
      <c r="H15" s="7">
        <v>8</v>
      </c>
      <c r="I15" s="7">
        <v>5</v>
      </c>
      <c r="K15" s="8">
        <f>-(($D$2-$D$38)/($H$2-$H$38)*H15+$D$38-D15)</f>
        <v>-1.4060923076922336</v>
      </c>
      <c r="L15" s="2">
        <f>-(($E$2-$E$38)/($H$2-$H$38)*H15+$E$38-E15)</f>
        <v>-1.335366461536978</v>
      </c>
      <c r="R15" s="74">
        <f t="shared" si="2"/>
        <v>1.1621745384616133</v>
      </c>
    </row>
    <row r="16" spans="1:18" ht="6.95" customHeight="1" x14ac:dyDescent="0.25">
      <c r="B16" s="7"/>
      <c r="D16" s="8"/>
      <c r="E16" s="2"/>
      <c r="G16" s="3"/>
      <c r="K16" s="8"/>
      <c r="L16" s="2"/>
      <c r="R16" s="74"/>
    </row>
    <row r="17" spans="1:24" ht="15" customHeight="1" x14ac:dyDescent="0.25">
      <c r="A17" t="s">
        <v>2530</v>
      </c>
      <c r="B17" s="7" t="s">
        <v>951</v>
      </c>
      <c r="C17" s="26">
        <v>542</v>
      </c>
      <c r="D17" s="63">
        <v>-12363.718594</v>
      </c>
      <c r="E17" s="20">
        <v>-12365.688034999999</v>
      </c>
      <c r="F17" s="62">
        <v>0.99701499999999998</v>
      </c>
      <c r="G17" s="29">
        <v>0.187219999999999</v>
      </c>
      <c r="H17" s="31">
        <v>7</v>
      </c>
      <c r="I17" s="31">
        <v>6</v>
      </c>
      <c r="K17" s="8">
        <f>-(($D$2-$D$38)/($H$2-$H$38)*H17+$D$38-D17)</f>
        <v>-1.2759247692320059</v>
      </c>
      <c r="L17" s="2">
        <f>-(($E$2-$E$38)/($H$2-$H$38)*H17+$E$38-E17)</f>
        <v>-1.8192431538445817</v>
      </c>
      <c r="R17" s="74">
        <f t="shared" si="2"/>
        <v>1.1285136153848043</v>
      </c>
    </row>
    <row r="18" spans="1:24" ht="15" customHeight="1" x14ac:dyDescent="0.25">
      <c r="B18" s="7"/>
      <c r="C18" s="31">
        <v>674</v>
      </c>
      <c r="D18" s="5">
        <v>-12363.863969</v>
      </c>
      <c r="E18" s="23">
        <v>-12365.244441000001</v>
      </c>
      <c r="F18" s="61">
        <v>0.99712900000000004</v>
      </c>
      <c r="G18" s="34">
        <v>0.19427999999999901</v>
      </c>
      <c r="H18" s="7">
        <v>7</v>
      </c>
      <c r="I18" s="7">
        <v>6</v>
      </c>
      <c r="K18" s="8">
        <f>-(($D$2-$D$38)/($H$2-$H$38)*H18+$D$38-D18)</f>
        <v>-1.4212997692320641</v>
      </c>
      <c r="L18" s="2">
        <f>-(($E$2-$E$38)/($H$2-$H$38)*H18+$E$38-E18)</f>
        <v>-1.3756491538460978</v>
      </c>
      <c r="R18" s="74">
        <f t="shared" ref="R18:R38" si="5">E18/13-(I18*$P$38+H18*$P$2)/13</f>
        <v>1.1626362307692943</v>
      </c>
    </row>
    <row r="19" spans="1:24" ht="6.95" customHeight="1" x14ac:dyDescent="0.25">
      <c r="B19" s="7"/>
      <c r="D19" s="8"/>
      <c r="E19" s="2"/>
      <c r="F19" s="11"/>
      <c r="G19" s="3"/>
      <c r="K19" s="8"/>
      <c r="L19" s="2"/>
      <c r="R19" s="74"/>
    </row>
    <row r="20" spans="1:24" ht="15" customHeight="1" x14ac:dyDescent="0.25">
      <c r="B20" s="7" t="s">
        <v>1406</v>
      </c>
      <c r="C20" s="7">
        <v>451</v>
      </c>
      <c r="D20" s="27">
        <v>-12270.36</v>
      </c>
      <c r="E20" s="20">
        <v>-12272.269326</v>
      </c>
      <c r="F20" s="61">
        <v>0.99762200000000001</v>
      </c>
      <c r="G20" s="34">
        <v>0.20211999999999899</v>
      </c>
      <c r="H20">
        <v>6</v>
      </c>
      <c r="I20" s="7">
        <v>7</v>
      </c>
      <c r="J20" s="7"/>
      <c r="K20" s="8">
        <f>-(($D$2-$D$38)/($H$2-$H$38)*H20+$D$38-D20)</f>
        <v>-1.2026692307699705</v>
      </c>
      <c r="L20" s="2">
        <f>-(($E$2-$E$38)/($H$2-$H$38)*H20+$E$38-E20)</f>
        <v>-1.6357338461530162</v>
      </c>
      <c r="R20" s="74">
        <f t="shared" ref="R20:R38" si="6">E20/13-(I20*$P$38+H20*$P$2)/13</f>
        <v>1.1461900769230624</v>
      </c>
    </row>
    <row r="21" spans="1:24" ht="15" customHeight="1" x14ac:dyDescent="0.25">
      <c r="B21" s="7"/>
      <c r="C21">
        <v>474</v>
      </c>
      <c r="D21" s="64">
        <v>-12270.582</v>
      </c>
      <c r="E21" s="2">
        <v>-12272.129091000001</v>
      </c>
      <c r="F21" s="11">
        <v>0.99611000000000005</v>
      </c>
      <c r="G21" s="3">
        <v>0.18725999999999901</v>
      </c>
      <c r="H21">
        <v>6</v>
      </c>
      <c r="I21">
        <v>7</v>
      </c>
      <c r="K21" s="8">
        <f>-(($D$2-$D$38)/($H$2-$H$38)*H21+$D$38-D21)</f>
        <v>-1.4246692307697231</v>
      </c>
      <c r="L21" s="2">
        <f>-(($E$2-$E$38)/($H$2-$H$38)*H21+$E$38-E21)</f>
        <v>-1.4954988461540779</v>
      </c>
      <c r="R21" s="74">
        <f t="shared" si="2"/>
        <v>1.1569773846152884</v>
      </c>
    </row>
    <row r="22" spans="1:24" ht="6.95" customHeight="1" x14ac:dyDescent="0.25">
      <c r="B22" s="7"/>
      <c r="D22" s="8"/>
      <c r="E22" s="2"/>
      <c r="F22" s="11"/>
      <c r="G22" s="3"/>
      <c r="K22" s="8"/>
      <c r="L22" s="2"/>
      <c r="R22" s="74"/>
    </row>
    <row r="23" spans="1:24" ht="15" customHeight="1" x14ac:dyDescent="0.25">
      <c r="B23" s="7" t="s">
        <v>1862</v>
      </c>
      <c r="C23" s="7">
        <v>452</v>
      </c>
      <c r="D23" s="19">
        <v>-12176.8598</v>
      </c>
      <c r="E23" s="20">
        <v>-12179.08856</v>
      </c>
      <c r="F23" s="61">
        <v>0.99436400000000003</v>
      </c>
      <c r="G23" s="34">
        <v>0.176089999999999</v>
      </c>
      <c r="H23" s="7">
        <v>5</v>
      </c>
      <c r="I23" s="7">
        <v>8</v>
      </c>
      <c r="K23" s="8">
        <f>-(($D$2-$D$38)/($H$2-$H$38)*H23+$D$38-D23)</f>
        <v>-0.98780769230870646</v>
      </c>
      <c r="L23" s="2">
        <f>-(($E$2-$E$38)/($H$2-$H$38)*H23+$E$38-E23)</f>
        <v>-1.6901675384615373</v>
      </c>
      <c r="R23" s="74">
        <f t="shared" si="2"/>
        <v>1.1455632307691985</v>
      </c>
    </row>
    <row r="24" spans="1:24" ht="15" customHeight="1" x14ac:dyDescent="0.25">
      <c r="B24" s="7"/>
      <c r="C24" s="7">
        <v>397</v>
      </c>
      <c r="D24" s="5">
        <v>-12177.2755</v>
      </c>
      <c r="E24" s="23">
        <v>-12178.669586</v>
      </c>
      <c r="F24" s="61">
        <v>0.99648599999999998</v>
      </c>
      <c r="G24" s="34">
        <v>0.18933</v>
      </c>
      <c r="H24" s="7">
        <v>5</v>
      </c>
      <c r="I24" s="7">
        <v>8</v>
      </c>
      <c r="K24" s="8">
        <f>-(($D$2-$D$38)/($H$2-$H$38)*H24+$D$38-D24)</f>
        <v>-1.403507692308267</v>
      </c>
      <c r="L24" s="2">
        <f>-(($E$2-$E$38)/($H$2-$H$38)*H24+$E$38-E24)</f>
        <v>-1.2711935384613753</v>
      </c>
      <c r="R24" s="74">
        <f t="shared" ref="R24:R38" si="7">E24/13-(I24*$P$38+H24*$P$2)/13</f>
        <v>1.177791999999954</v>
      </c>
    </row>
    <row r="25" spans="1:24" ht="6.95" customHeight="1" x14ac:dyDescent="0.25">
      <c r="B25" s="7"/>
      <c r="D25" s="8"/>
      <c r="E25" s="2"/>
      <c r="F25" s="11"/>
      <c r="G25" s="3"/>
      <c r="K25" s="8"/>
      <c r="L25" s="2"/>
      <c r="R25" s="74"/>
    </row>
    <row r="26" spans="1:24" ht="15" customHeight="1" x14ac:dyDescent="0.25">
      <c r="B26" s="7" t="s">
        <v>2207</v>
      </c>
      <c r="C26" s="51" t="s">
        <v>132</v>
      </c>
      <c r="D26" s="19">
        <v>-12083.4359</v>
      </c>
      <c r="E26" s="20">
        <v>-12085.716555000001</v>
      </c>
      <c r="F26" s="61">
        <v>0.99734900000000004</v>
      </c>
      <c r="G26" s="34">
        <v>0.19994000000000001</v>
      </c>
      <c r="H26" s="7">
        <v>4</v>
      </c>
      <c r="I26" s="7">
        <v>9</v>
      </c>
      <c r="K26" s="8">
        <f>-(($D$2-$D$38)/($H$2-$H$38)*H26+$D$38-D26)</f>
        <v>-0.84924615384807112</v>
      </c>
      <c r="L26" s="2">
        <f>-(($E$2-$E$38)/($H$2-$H$38)*H26+$E$38-E26)</f>
        <v>-1.5533622307702899</v>
      </c>
      <c r="R26" s="74">
        <f t="shared" ref="R26:R38" si="8">E26/13-(I26*$P$38+H26*$P$2)/13</f>
        <v>1.1596470769230791</v>
      </c>
    </row>
    <row r="27" spans="1:24" ht="15" customHeight="1" x14ac:dyDescent="0.25">
      <c r="B27" s="7"/>
      <c r="C27" s="51" t="s">
        <v>76</v>
      </c>
      <c r="D27" s="5">
        <v>-12083.877699999999</v>
      </c>
      <c r="E27" s="23">
        <v>-12085.323372000001</v>
      </c>
      <c r="F27" s="61">
        <v>0.99770999999999999</v>
      </c>
      <c r="G27" s="34">
        <v>0.20441999999999899</v>
      </c>
      <c r="H27" s="7">
        <v>4</v>
      </c>
      <c r="I27" s="7">
        <v>9</v>
      </c>
      <c r="K27" s="8">
        <f>-(($D$2-$D$38)/($H$2-$H$38)*H27+$D$38-D27)</f>
        <v>-1.2910461538467644</v>
      </c>
      <c r="L27" s="2">
        <f>-(($E$2-$E$38)/($H$2-$H$38)*H27+$E$38-E27)</f>
        <v>-1.1601792307701544</v>
      </c>
      <c r="R27" s="74">
        <f t="shared" si="2"/>
        <v>1.1898919230769707</v>
      </c>
    </row>
    <row r="28" spans="1:24" ht="6.95" customHeight="1" x14ac:dyDescent="0.25">
      <c r="B28" s="7"/>
      <c r="C28" s="1"/>
      <c r="D28" s="8"/>
      <c r="E28" s="2"/>
      <c r="F28" s="11"/>
      <c r="G28" s="3"/>
      <c r="K28" s="8"/>
      <c r="L28" s="2"/>
      <c r="R28" s="74"/>
    </row>
    <row r="29" spans="1:24" ht="15" customHeight="1" x14ac:dyDescent="0.25">
      <c r="B29" s="7" t="s">
        <v>2403</v>
      </c>
      <c r="C29" s="7" t="s">
        <v>186</v>
      </c>
      <c r="D29" s="19">
        <v>-11989.977800000001</v>
      </c>
      <c r="E29" s="20">
        <v>-11992.242337</v>
      </c>
      <c r="F29" s="61">
        <v>0.99731300000000001</v>
      </c>
      <c r="G29" s="34">
        <v>0.19832</v>
      </c>
      <c r="H29" s="7">
        <v>3</v>
      </c>
      <c r="I29" s="7">
        <v>10</v>
      </c>
      <c r="K29" s="8">
        <f>-(($D$2-$D$38)/($H$2-$H$38)*H29+$D$38-D29)</f>
        <v>-0.67648461538556148</v>
      </c>
      <c r="L29" s="2">
        <f>-(($E$2-$E$38)/($H$2-$H$38)*H29+$E$38-E29)</f>
        <v>-1.3143439230752847</v>
      </c>
      <c r="Q29" s="1"/>
      <c r="R29" s="74">
        <f t="shared" si="2"/>
        <v>1.1815934615385686</v>
      </c>
      <c r="S29" s="3"/>
      <c r="T29" s="2"/>
      <c r="W29" s="32"/>
      <c r="X29" s="32">
        <v>424</v>
      </c>
    </row>
    <row r="30" spans="1:24" ht="15" customHeight="1" x14ac:dyDescent="0.25">
      <c r="C30" s="7" t="s">
        <v>58</v>
      </c>
      <c r="D30" s="5">
        <v>-11990.430700000001</v>
      </c>
      <c r="E30" s="23">
        <v>-11991.939754000001</v>
      </c>
      <c r="F30" s="61">
        <v>0.997664</v>
      </c>
      <c r="G30" s="34">
        <v>0.20238999999999999</v>
      </c>
      <c r="H30" s="7">
        <v>3</v>
      </c>
      <c r="I30" s="7">
        <v>10</v>
      </c>
      <c r="K30" s="8">
        <f>-(($D$2-$D$38)/($H$2-$H$38)*H30+$D$38-D30)</f>
        <v>-1.1293846153857885</v>
      </c>
      <c r="L30" s="2">
        <f>-(($E$2-$E$38)/($H$2-$H$38)*H30+$E$38-E30)</f>
        <v>-1.0117609230765083</v>
      </c>
      <c r="R30" s="74">
        <f t="shared" ref="R30:R38" si="9">E30/13-(I30*$P$38+H30*$P$2)/13</f>
        <v>1.2048690769230461</v>
      </c>
    </row>
    <row r="31" spans="1:24" ht="6.95" customHeight="1" x14ac:dyDescent="0.25">
      <c r="D31" s="8"/>
      <c r="E31" s="2"/>
      <c r="F31" s="11"/>
      <c r="G31" s="3"/>
      <c r="K31" s="8"/>
      <c r="L31" s="2"/>
      <c r="R31" s="74"/>
    </row>
    <row r="32" spans="1:24" ht="15" customHeight="1" x14ac:dyDescent="0.25">
      <c r="B32" s="7" t="s">
        <v>2485</v>
      </c>
      <c r="C32" s="7" t="s">
        <v>44</v>
      </c>
      <c r="D32" s="19">
        <v>-11896.5857</v>
      </c>
      <c r="E32" s="20">
        <v>-11898.666627000001</v>
      </c>
      <c r="F32" s="61">
        <v>0.99359399999999998</v>
      </c>
      <c r="G32" s="34">
        <v>0.17221999999999901</v>
      </c>
      <c r="H32" s="7">
        <v>2</v>
      </c>
      <c r="I32" s="7">
        <v>11</v>
      </c>
      <c r="K32" s="8">
        <f>-(($D$2-$D$38)/($H$2-$H$38)*H32+$D$38-D32)</f>
        <v>-0.56972307692376489</v>
      </c>
      <c r="L32" s="2">
        <f>-(($E$2-$E$38)/($H$2-$H$38)*H32+$E$38-E32)</f>
        <v>-0.97383361538413737</v>
      </c>
      <c r="R32" s="74">
        <f t="shared" ref="R32:R38" si="10">E32/13-(I32*$P$38+H32*$P$2)/13</f>
        <v>1.2113469230768033</v>
      </c>
    </row>
    <row r="33" spans="2:21" ht="15" customHeight="1" x14ac:dyDescent="0.25">
      <c r="C33" s="7" t="s">
        <v>26</v>
      </c>
      <c r="D33" s="5">
        <v>-11896.876200000001</v>
      </c>
      <c r="E33" s="23">
        <v>-11898.470911</v>
      </c>
      <c r="F33" s="61">
        <v>0.99646199999999996</v>
      </c>
      <c r="G33" s="34">
        <v>0.19008</v>
      </c>
      <c r="H33" s="7">
        <v>2</v>
      </c>
      <c r="I33" s="7">
        <v>11</v>
      </c>
      <c r="K33" s="8">
        <f>-(($D$2-$D$38)/($H$2-$H$38)*H33+$D$38-D33)</f>
        <v>-0.86022307692473987</v>
      </c>
      <c r="L33" s="2">
        <f>-(($E$2-$E$38)/($H$2-$H$38)*H33+$E$38-E33)</f>
        <v>-0.7781176153839624</v>
      </c>
      <c r="R33" s="74">
        <f t="shared" si="2"/>
        <v>1.2264019999998936</v>
      </c>
    </row>
    <row r="34" spans="2:21" ht="6.95" customHeight="1" x14ac:dyDescent="0.25">
      <c r="D34" s="8"/>
      <c r="E34" s="2"/>
      <c r="F34" s="11"/>
      <c r="G34" s="3"/>
      <c r="K34" s="8"/>
      <c r="L34" s="2"/>
      <c r="R34" s="74"/>
    </row>
    <row r="35" spans="2:21" ht="15" customHeight="1" x14ac:dyDescent="0.25">
      <c r="B35" s="7" t="s">
        <v>2511</v>
      </c>
      <c r="C35" s="7" t="s">
        <v>28</v>
      </c>
      <c r="D35" s="19">
        <v>-11803.059800000001</v>
      </c>
      <c r="E35" s="20">
        <v>-11805.113547000001</v>
      </c>
      <c r="F35" s="61">
        <v>0.99314999999999998</v>
      </c>
      <c r="G35" s="34">
        <v>0.17021</v>
      </c>
      <c r="H35" s="7">
        <v>1</v>
      </c>
      <c r="I35" s="7">
        <v>12</v>
      </c>
      <c r="K35" s="8">
        <f>-(($D$2-$D$38)/($H$2-$H$38)*H35+$D$38-D35)</f>
        <v>-0.32916153846235829</v>
      </c>
      <c r="L35" s="2">
        <f>-(($E$2-$E$38)/($H$2-$H$38)*H35+$E$38-E35)</f>
        <v>-0.65595330769247084</v>
      </c>
      <c r="R35" s="74">
        <f t="shared" si="2"/>
        <v>1.2393596153846147</v>
      </c>
    </row>
    <row r="36" spans="2:21" ht="15" customHeight="1" x14ac:dyDescent="0.25">
      <c r="C36" s="7" t="s">
        <v>20</v>
      </c>
      <c r="D36" s="5">
        <v>-11803.2778</v>
      </c>
      <c r="E36" s="23">
        <v>-11804.943549</v>
      </c>
      <c r="F36" s="61">
        <v>0.99440899999999999</v>
      </c>
      <c r="G36" s="34">
        <v>0.17646999999999999</v>
      </c>
      <c r="H36" s="7">
        <v>1</v>
      </c>
      <c r="I36" s="7">
        <v>12</v>
      </c>
      <c r="K36" s="8">
        <f>-(($D$2-$D$38)/($H$2-$H$38)*H36+$D$38-D36)</f>
        <v>-0.547161538461296</v>
      </c>
      <c r="L36" s="2">
        <f>-(($E$2-$E$38)/($H$2-$H$38)*H36+$E$38-E36)</f>
        <v>-0.48595530769125617</v>
      </c>
      <c r="R36" s="74">
        <f t="shared" ref="R36:R38" si="11">E36/13-(I36*$P$38+H36*$P$2)/13</f>
        <v>1.2524363846155211</v>
      </c>
    </row>
    <row r="37" spans="2:21" ht="6.95" customHeight="1" x14ac:dyDescent="0.25">
      <c r="D37" s="8"/>
      <c r="E37" s="2"/>
      <c r="K37" s="8"/>
      <c r="L37" s="2"/>
      <c r="R37" s="74"/>
    </row>
    <row r="38" spans="2:21" ht="15" customHeight="1" x14ac:dyDescent="0.25">
      <c r="B38" s="7" t="s">
        <v>2517</v>
      </c>
      <c r="C38" s="7" t="s">
        <v>20</v>
      </c>
      <c r="D38" s="5">
        <v>-11709.445299999999</v>
      </c>
      <c r="E38" s="20">
        <v>-11711.222394</v>
      </c>
      <c r="F38" s="61">
        <v>0.99520699999999995</v>
      </c>
      <c r="G38" s="34">
        <v>0.17901999999999901</v>
      </c>
      <c r="H38" s="7">
        <v>0</v>
      </c>
      <c r="I38" s="7">
        <v>13</v>
      </c>
      <c r="K38" s="8">
        <f>-(($D$2-$D$38)/($H$2-$H$38)*H38+$D$38-D38)</f>
        <v>0</v>
      </c>
      <c r="L38" s="2">
        <f>-(($E$2-$E$38)/($H$2-$H$38)*H38+$E$38-E38)</f>
        <v>0</v>
      </c>
      <c r="N38" s="60">
        <f>D38/13</f>
        <v>-900.72656153846151</v>
      </c>
      <c r="P38">
        <v>-902.15663900000004</v>
      </c>
      <c r="R38" s="74">
        <f t="shared" ref="R38" si="12">E38/13-(I38*$P$38+H38*$P$2)/13</f>
        <v>1.293377923076946</v>
      </c>
    </row>
    <row r="40" spans="2:21" ht="15" customHeight="1" x14ac:dyDescent="0.25">
      <c r="D40" s="8"/>
      <c r="E40" s="2"/>
      <c r="F40" s="11"/>
      <c r="G40" s="3"/>
    </row>
    <row r="41" spans="2:21" ht="18" customHeight="1" x14ac:dyDescent="0.35">
      <c r="B41" t="s">
        <v>2531</v>
      </c>
      <c r="D41" s="5" t="s">
        <v>0</v>
      </c>
      <c r="E41" s="6" t="s">
        <v>1</v>
      </c>
      <c r="F41" s="54" t="s">
        <v>2</v>
      </c>
      <c r="G41" s="54" t="s">
        <v>3</v>
      </c>
      <c r="H41" s="54" t="s">
        <v>4</v>
      </c>
      <c r="I41" s="54" t="s">
        <v>5</v>
      </c>
      <c r="K41" s="54" t="s">
        <v>2528</v>
      </c>
      <c r="L41" s="54" t="s">
        <v>2529</v>
      </c>
      <c r="M41" s="35" t="s">
        <v>2532</v>
      </c>
      <c r="O41" t="s">
        <v>2533</v>
      </c>
      <c r="P41" t="s">
        <v>2525</v>
      </c>
      <c r="Q41" t="s">
        <v>2526</v>
      </c>
    </row>
    <row r="42" spans="2:21" ht="15" customHeight="1" x14ac:dyDescent="0.25">
      <c r="B42" s="7" t="s">
        <v>19</v>
      </c>
      <c r="C42" s="7" t="s">
        <v>20</v>
      </c>
      <c r="D42" s="5">
        <v>-12922.154699999999</v>
      </c>
      <c r="E42" s="20">
        <v>-12923.279990000001</v>
      </c>
      <c r="F42" s="65">
        <v>0.99598399999999998</v>
      </c>
      <c r="G42" s="66">
        <v>0.18626000000000001</v>
      </c>
      <c r="H42" s="54">
        <v>13</v>
      </c>
      <c r="I42" s="54">
        <v>0</v>
      </c>
      <c r="K42" s="67">
        <v>0</v>
      </c>
      <c r="L42" s="68">
        <v>0</v>
      </c>
      <c r="M42" s="69">
        <f>(E42-H42*$P$42-I42*$Q$42)/13</f>
        <v>1.2470932307691187</v>
      </c>
      <c r="O42" t="s">
        <v>2539</v>
      </c>
      <c r="P42" s="60">
        <f>P43+P44/13.6*0</f>
        <v>-995.34555399999999</v>
      </c>
      <c r="Q42" s="60">
        <f>Q43+Q44/13.6*0</f>
        <v>-902.15663900000004</v>
      </c>
    </row>
    <row r="43" spans="2:21" ht="15" customHeight="1" x14ac:dyDescent="0.25">
      <c r="B43" s="7" t="s">
        <v>22</v>
      </c>
      <c r="C43" s="7" t="s">
        <v>26</v>
      </c>
      <c r="D43" s="5">
        <v>-12829.258</v>
      </c>
      <c r="E43" s="20">
        <v>-12830.413659</v>
      </c>
      <c r="F43" s="65">
        <v>0.996278</v>
      </c>
      <c r="G43" s="66">
        <v>0.18854000000000001</v>
      </c>
      <c r="H43" s="54">
        <v>12</v>
      </c>
      <c r="I43" s="54">
        <v>1</v>
      </c>
      <c r="K43" s="67">
        <v>-0.38863846153981302</v>
      </c>
      <c r="L43" s="68">
        <v>-0.36886869230693298</v>
      </c>
      <c r="M43" s="69">
        <f t="shared" ref="M43:M55" si="13">(E43-H43*$P$42-I43*$Q$42)/13</f>
        <v>1.2222790769230869</v>
      </c>
      <c r="O43" t="s">
        <v>2535</v>
      </c>
      <c r="P43" s="60">
        <v>-995.34555399999999</v>
      </c>
      <c r="Q43" s="60">
        <v>-902.15663900000004</v>
      </c>
      <c r="R43" s="2"/>
      <c r="T43" s="3"/>
      <c r="U43" s="2"/>
    </row>
    <row r="44" spans="2:21" ht="15" customHeight="1" x14ac:dyDescent="0.25">
      <c r="B44" s="7" t="s">
        <v>32</v>
      </c>
      <c r="C44" s="31" t="s">
        <v>50</v>
      </c>
      <c r="D44" s="5">
        <v>-12736.337299999999</v>
      </c>
      <c r="E44" s="20">
        <v>-12737.578846</v>
      </c>
      <c r="F44" s="70">
        <v>0.99658400000000003</v>
      </c>
      <c r="G44" s="71">
        <v>0.19112000000000001</v>
      </c>
      <c r="H44" s="72">
        <v>11</v>
      </c>
      <c r="I44" s="72">
        <v>2</v>
      </c>
      <c r="K44" s="67">
        <v>-0.75327692307655503</v>
      </c>
      <c r="L44" s="68">
        <v>-0.76925538461546294</v>
      </c>
      <c r="M44" s="69">
        <f t="shared" si="13"/>
        <v>1.1950404615384707</v>
      </c>
      <c r="O44" t="s">
        <v>2537</v>
      </c>
      <c r="P44">
        <v>-5.3479099999999997</v>
      </c>
      <c r="Q44" s="1">
        <v>-5.0609900000000003</v>
      </c>
      <c r="R44" s="2"/>
      <c r="T44" s="3"/>
      <c r="U44" s="2"/>
    </row>
    <row r="45" spans="2:21" ht="15" customHeight="1" x14ac:dyDescent="0.25">
      <c r="B45" s="7" t="s">
        <v>78</v>
      </c>
      <c r="C45" s="7" t="s">
        <v>79</v>
      </c>
      <c r="D45" s="19">
        <v>-12643.069799999999</v>
      </c>
      <c r="E45" s="20">
        <v>-12644.661555999999</v>
      </c>
      <c r="F45" s="65">
        <v>0.99532299999999996</v>
      </c>
      <c r="G45" s="66">
        <v>0.18160999999999999</v>
      </c>
      <c r="H45" s="54">
        <v>10</v>
      </c>
      <c r="I45" s="54">
        <v>3</v>
      </c>
      <c r="K45" s="67">
        <v>-0.77111538461576901</v>
      </c>
      <c r="L45" s="68">
        <v>-1.0871650769222501</v>
      </c>
      <c r="M45" s="69">
        <f t="shared" si="13"/>
        <v>1.1741462307692507</v>
      </c>
      <c r="O45" t="s">
        <v>2538</v>
      </c>
      <c r="P45" s="1">
        <f>P44-Q44</f>
        <v>-0.2869199999999994</v>
      </c>
      <c r="Q45" s="1">
        <f>P45/13.6</f>
        <v>-2.1097058823529368E-2</v>
      </c>
      <c r="R45" s="2"/>
      <c r="T45" s="3"/>
      <c r="U45" s="2"/>
    </row>
    <row r="46" spans="2:21" ht="15" customHeight="1" x14ac:dyDescent="0.25">
      <c r="B46" s="7" t="s">
        <v>297</v>
      </c>
      <c r="C46" s="7" t="s">
        <v>585</v>
      </c>
      <c r="D46" s="19">
        <v>-12550.0057</v>
      </c>
      <c r="E46" s="20">
        <v>-12551.705943000001</v>
      </c>
      <c r="F46" s="65">
        <v>0.99567600000000001</v>
      </c>
      <c r="G46" s="66">
        <v>0.18406</v>
      </c>
      <c r="H46" s="54">
        <v>9</v>
      </c>
      <c r="I46" s="54">
        <v>4</v>
      </c>
      <c r="K46" s="67">
        <v>-0.99235384615349098</v>
      </c>
      <c r="L46" s="68">
        <v>-1.36675176923018</v>
      </c>
      <c r="M46" s="69">
        <f t="shared" si="13"/>
        <v>1.1561999230768309</v>
      </c>
      <c r="Q46" s="1"/>
      <c r="R46" s="2"/>
      <c r="T46" s="3"/>
      <c r="U46" s="2"/>
    </row>
    <row r="47" spans="2:21" ht="15" customHeight="1" x14ac:dyDescent="0.25">
      <c r="B47" s="7" t="s">
        <v>607</v>
      </c>
      <c r="C47" s="7">
        <v>568</v>
      </c>
      <c r="D47" s="19">
        <v>-12456.903899999999</v>
      </c>
      <c r="E47" s="20">
        <v>-12458.63812</v>
      </c>
      <c r="F47" s="65">
        <v>0.99545099999999997</v>
      </c>
      <c r="G47" s="66">
        <v>0.182529999999999</v>
      </c>
      <c r="H47" s="54">
        <v>8</v>
      </c>
      <c r="I47" s="54">
        <v>5</v>
      </c>
      <c r="K47" s="67">
        <v>-1.17589230769227</v>
      </c>
      <c r="L47" s="68">
        <v>-1.5341284615369699</v>
      </c>
      <c r="M47" s="69">
        <f t="shared" si="13"/>
        <v>1.1468851538461773</v>
      </c>
      <c r="Q47" s="1"/>
      <c r="R47" s="2"/>
      <c r="T47" s="3"/>
      <c r="U47" s="2"/>
    </row>
    <row r="48" spans="2:21" ht="15" customHeight="1" x14ac:dyDescent="0.25">
      <c r="B48" s="7" t="s">
        <v>951</v>
      </c>
      <c r="C48" s="26">
        <v>542</v>
      </c>
      <c r="D48" s="63">
        <v>-12363.718594</v>
      </c>
      <c r="E48" s="20">
        <v>-12365.688034999999</v>
      </c>
      <c r="F48" s="70">
        <v>0.99701499999999998</v>
      </c>
      <c r="G48" s="71">
        <v>0.187219999999999</v>
      </c>
      <c r="H48" s="72">
        <v>7</v>
      </c>
      <c r="I48" s="72">
        <v>6</v>
      </c>
      <c r="K48" s="67">
        <v>-1.2759247692320099</v>
      </c>
      <c r="L48" s="68">
        <v>-1.8192431538445799</v>
      </c>
      <c r="M48" s="69">
        <f t="shared" si="13"/>
        <v>1.1285136153847606</v>
      </c>
    </row>
    <row r="49" spans="2:13" ht="15" customHeight="1" x14ac:dyDescent="0.25">
      <c r="B49" s="7" t="s">
        <v>1406</v>
      </c>
      <c r="C49" s="7">
        <v>451</v>
      </c>
      <c r="D49" s="27">
        <v>-12270.36</v>
      </c>
      <c r="E49" s="20">
        <v>-12272.269326</v>
      </c>
      <c r="F49" s="65">
        <v>0.99762200000000001</v>
      </c>
      <c r="G49" s="66">
        <v>0.20211999999999899</v>
      </c>
      <c r="H49" s="35">
        <v>6</v>
      </c>
      <c r="I49" s="54">
        <v>7</v>
      </c>
      <c r="J49" s="7"/>
      <c r="K49" s="67">
        <v>-1.20266923076997</v>
      </c>
      <c r="L49" s="68">
        <v>-1.63573384615302</v>
      </c>
      <c r="M49" s="69">
        <f t="shared" si="13"/>
        <v>1.146190076923141</v>
      </c>
    </row>
    <row r="50" spans="2:13" ht="15" customHeight="1" x14ac:dyDescent="0.25">
      <c r="B50" s="7" t="s">
        <v>1862</v>
      </c>
      <c r="C50" s="7">
        <v>452</v>
      </c>
      <c r="D50" s="19">
        <v>-12176.8598</v>
      </c>
      <c r="E50" s="20">
        <v>-12179.08856</v>
      </c>
      <c r="F50" s="65">
        <v>0.99436400000000003</v>
      </c>
      <c r="G50" s="66">
        <v>0.176089999999999</v>
      </c>
      <c r="H50" s="54">
        <v>5</v>
      </c>
      <c r="I50" s="54">
        <v>8</v>
      </c>
      <c r="K50" s="67">
        <v>-0.98780769230870602</v>
      </c>
      <c r="L50" s="68">
        <v>-1.69016753846154</v>
      </c>
      <c r="M50" s="69">
        <f t="shared" si="13"/>
        <v>1.1455632307692072</v>
      </c>
    </row>
    <row r="51" spans="2:13" ht="15" customHeight="1" x14ac:dyDescent="0.25">
      <c r="B51" s="7" t="s">
        <v>2207</v>
      </c>
      <c r="C51" s="51" t="s">
        <v>132</v>
      </c>
      <c r="D51" s="19">
        <v>-12083.4359</v>
      </c>
      <c r="E51" s="20">
        <v>-12085.716555000001</v>
      </c>
      <c r="F51" s="65">
        <v>0.99734900000000004</v>
      </c>
      <c r="G51" s="66">
        <v>0.19994000000000001</v>
      </c>
      <c r="H51" s="54">
        <v>4</v>
      </c>
      <c r="I51" s="54">
        <v>9</v>
      </c>
      <c r="K51" s="67">
        <v>-0.84924615384807101</v>
      </c>
      <c r="L51" s="68">
        <v>-1.5533622307702899</v>
      </c>
      <c r="M51" s="69">
        <f t="shared" si="13"/>
        <v>1.1596470769230178</v>
      </c>
    </row>
    <row r="52" spans="2:13" ht="15" customHeight="1" x14ac:dyDescent="0.25">
      <c r="B52" s="7" t="s">
        <v>2403</v>
      </c>
      <c r="C52" s="7" t="s">
        <v>186</v>
      </c>
      <c r="D52" s="19">
        <v>-11989.977800000001</v>
      </c>
      <c r="E52" s="20">
        <v>-11992.242337</v>
      </c>
      <c r="F52" s="65">
        <v>0.99731300000000001</v>
      </c>
      <c r="G52" s="66">
        <v>0.19832</v>
      </c>
      <c r="H52" s="54">
        <v>3</v>
      </c>
      <c r="I52" s="54">
        <v>10</v>
      </c>
      <c r="K52" s="67">
        <v>-0.67648461538556204</v>
      </c>
      <c r="L52" s="68">
        <v>-1.31434392307528</v>
      </c>
      <c r="M52" s="69">
        <f t="shared" si="13"/>
        <v>1.1815934615385162</v>
      </c>
    </row>
    <row r="53" spans="2:13" ht="15" customHeight="1" x14ac:dyDescent="0.25">
      <c r="B53" s="7" t="s">
        <v>2485</v>
      </c>
      <c r="C53" s="7" t="s">
        <v>44</v>
      </c>
      <c r="D53" s="19">
        <v>-11896.5857</v>
      </c>
      <c r="E53" s="20">
        <v>-11898.666627000001</v>
      </c>
      <c r="F53" s="65">
        <v>0.99359399999999998</v>
      </c>
      <c r="G53" s="66">
        <v>0.17221999999999901</v>
      </c>
      <c r="H53" s="54">
        <v>2</v>
      </c>
      <c r="I53" s="54">
        <v>11</v>
      </c>
      <c r="K53" s="67">
        <v>-0.569723076923765</v>
      </c>
      <c r="L53" s="68">
        <v>-0.97383361538413704</v>
      </c>
      <c r="M53" s="69">
        <f t="shared" si="13"/>
        <v>1.2113469230770044</v>
      </c>
    </row>
    <row r="54" spans="2:13" ht="15" customHeight="1" x14ac:dyDescent="0.25">
      <c r="B54" s="7" t="s">
        <v>2511</v>
      </c>
      <c r="C54" s="7" t="s">
        <v>28</v>
      </c>
      <c r="D54" s="19">
        <v>-11803.059800000001</v>
      </c>
      <c r="E54" s="20">
        <v>-11805.113547000001</v>
      </c>
      <c r="F54" s="65">
        <v>0.99314999999999998</v>
      </c>
      <c r="G54" s="66">
        <v>0.17021</v>
      </c>
      <c r="H54" s="54">
        <v>1</v>
      </c>
      <c r="I54" s="54">
        <v>12</v>
      </c>
      <c r="K54" s="67">
        <v>-0.32916153846235802</v>
      </c>
      <c r="L54" s="68">
        <v>-0.65595330769247095</v>
      </c>
      <c r="M54" s="69">
        <f t="shared" si="13"/>
        <v>1.2393596153846234</v>
      </c>
    </row>
    <row r="55" spans="2:13" ht="15" customHeight="1" x14ac:dyDescent="0.25">
      <c r="B55" s="7" t="s">
        <v>2517</v>
      </c>
      <c r="C55" s="7" t="s">
        <v>20</v>
      </c>
      <c r="D55" s="5">
        <v>-11709.445299999999</v>
      </c>
      <c r="E55" s="20">
        <v>-11711.222394</v>
      </c>
      <c r="F55" s="65">
        <v>0.99520699999999995</v>
      </c>
      <c r="G55" s="66">
        <v>0.17901999999999901</v>
      </c>
      <c r="H55" s="54">
        <v>0</v>
      </c>
      <c r="I55" s="54">
        <v>13</v>
      </c>
      <c r="K55" s="67">
        <v>0</v>
      </c>
      <c r="L55" s="68">
        <v>0</v>
      </c>
      <c r="M55" s="69">
        <f t="shared" si="13"/>
        <v>1.2933779230769198</v>
      </c>
    </row>
    <row r="56" spans="2:13" ht="15" customHeight="1" x14ac:dyDescent="0.25">
      <c r="B56" t="s">
        <v>2534</v>
      </c>
      <c r="D56" s="5" t="s">
        <v>0</v>
      </c>
      <c r="E56" s="6" t="s">
        <v>1</v>
      </c>
      <c r="F56" s="54" t="s">
        <v>2</v>
      </c>
      <c r="G56" s="54" t="s">
        <v>3</v>
      </c>
      <c r="H56" s="54" t="s">
        <v>4</v>
      </c>
      <c r="I56" s="54" t="s">
        <v>5</v>
      </c>
      <c r="K56" s="54" t="s">
        <v>2528</v>
      </c>
      <c r="L56" s="54" t="s">
        <v>2529</v>
      </c>
      <c r="M56" s="69"/>
    </row>
    <row r="57" spans="2:13" ht="15" customHeight="1" x14ac:dyDescent="0.25">
      <c r="B57" s="7" t="s">
        <v>19</v>
      </c>
      <c r="C57" s="7" t="s">
        <v>20</v>
      </c>
      <c r="D57" s="5">
        <v>-12922.154699999999</v>
      </c>
      <c r="E57" s="20">
        <v>-12923.279990000001</v>
      </c>
      <c r="F57" s="65">
        <v>0.99598399999999998</v>
      </c>
      <c r="G57" s="66">
        <v>0.18626000000000001</v>
      </c>
      <c r="H57" s="54">
        <v>13</v>
      </c>
      <c r="I57" s="54">
        <v>0</v>
      </c>
      <c r="K57" s="67">
        <v>0</v>
      </c>
      <c r="L57" s="68">
        <v>0</v>
      </c>
      <c r="M57" s="69">
        <f>(E57-H57*$P$42-I57*$Q$42)/13</f>
        <v>1.2470932307691187</v>
      </c>
    </row>
    <row r="58" spans="2:13" ht="15" customHeight="1" x14ac:dyDescent="0.25">
      <c r="B58" s="7" t="s">
        <v>22</v>
      </c>
      <c r="C58" s="7" t="s">
        <v>26</v>
      </c>
      <c r="D58" s="5">
        <v>-12829.258</v>
      </c>
      <c r="E58" s="20">
        <v>-12830.413659</v>
      </c>
      <c r="F58" s="65">
        <v>0.996278</v>
      </c>
      <c r="G58" s="66">
        <v>0.18854000000000001</v>
      </c>
      <c r="H58" s="54">
        <v>12</v>
      </c>
      <c r="I58" s="54">
        <v>1</v>
      </c>
      <c r="K58" s="67">
        <v>-0.38863846153981302</v>
      </c>
      <c r="L58" s="68">
        <v>-0.36886869230693298</v>
      </c>
      <c r="M58" s="69">
        <f t="shared" ref="M58:M70" si="14">(E58-H58*$P$42-I58*$Q$42)/13</f>
        <v>1.2222790769230869</v>
      </c>
    </row>
    <row r="59" spans="2:13" ht="15" customHeight="1" x14ac:dyDescent="0.25">
      <c r="B59" s="7" t="s">
        <v>32</v>
      </c>
      <c r="C59" s="31" t="s">
        <v>50</v>
      </c>
      <c r="D59" s="5">
        <v>-12736.337299999999</v>
      </c>
      <c r="E59" s="20">
        <v>-12737.578846</v>
      </c>
      <c r="F59" s="70">
        <v>0.99658400000000003</v>
      </c>
      <c r="G59" s="71">
        <v>0.19112000000000001</v>
      </c>
      <c r="H59" s="72">
        <v>11</v>
      </c>
      <c r="I59" s="72">
        <v>2</v>
      </c>
      <c r="K59" s="67">
        <v>-0.75327692307655503</v>
      </c>
      <c r="L59" s="68">
        <v>-0.76925538461546294</v>
      </c>
      <c r="M59" s="69">
        <f t="shared" si="14"/>
        <v>1.1950404615384707</v>
      </c>
    </row>
    <row r="60" spans="2:13" ht="15" customHeight="1" x14ac:dyDescent="0.25">
      <c r="B60" s="7" t="s">
        <v>78</v>
      </c>
      <c r="C60" s="7" t="s">
        <v>97</v>
      </c>
      <c r="D60" s="5">
        <v>-12643.294900000001</v>
      </c>
      <c r="E60" s="23">
        <v>-12644.488434999999</v>
      </c>
      <c r="F60" s="65">
        <v>0.99682000000000004</v>
      </c>
      <c r="G60" s="66">
        <v>0.19300999999999999</v>
      </c>
      <c r="H60" s="54">
        <v>10</v>
      </c>
      <c r="I60" s="54">
        <v>3</v>
      </c>
      <c r="K60" s="67">
        <v>-0.99621538461724402</v>
      </c>
      <c r="L60" s="68">
        <v>-0.91404407692243705</v>
      </c>
      <c r="M60" s="69">
        <f t="shared" si="14"/>
        <v>1.1874632307692361</v>
      </c>
    </row>
    <row r="61" spans="2:13" ht="15" customHeight="1" x14ac:dyDescent="0.25">
      <c r="B61" s="7" t="s">
        <v>297</v>
      </c>
      <c r="C61" s="7" t="s">
        <v>535</v>
      </c>
      <c r="D61" s="5">
        <v>-12550.225399999999</v>
      </c>
      <c r="E61" s="23">
        <v>-12551.492364</v>
      </c>
      <c r="F61" s="65">
        <v>0.998309</v>
      </c>
      <c r="G61" s="66">
        <v>0.21232999999999999</v>
      </c>
      <c r="H61" s="54">
        <v>9</v>
      </c>
      <c r="I61" s="54">
        <v>4</v>
      </c>
      <c r="K61" s="67">
        <v>-1.21205384615314</v>
      </c>
      <c r="L61" s="68">
        <v>-1.1531727692290601</v>
      </c>
      <c r="M61" s="69">
        <f t="shared" si="14"/>
        <v>1.1726290769230707</v>
      </c>
    </row>
    <row r="62" spans="2:13" ht="15" customHeight="1" x14ac:dyDescent="0.25">
      <c r="B62" s="7" t="s">
        <v>607</v>
      </c>
      <c r="C62" s="7">
        <v>548</v>
      </c>
      <c r="D62" s="5">
        <v>-12457.134099999999</v>
      </c>
      <c r="E62" s="23">
        <v>-12458.439358</v>
      </c>
      <c r="F62" s="65">
        <v>0.99779799999999996</v>
      </c>
      <c r="G62" s="66">
        <v>0.204369999999999</v>
      </c>
      <c r="H62" s="54">
        <v>8</v>
      </c>
      <c r="I62" s="54">
        <v>5</v>
      </c>
      <c r="K62" s="67">
        <v>-1.40609230769223</v>
      </c>
      <c r="L62" s="68">
        <v>-1.33536646153698</v>
      </c>
      <c r="M62" s="69">
        <f t="shared" si="14"/>
        <v>1.1621745384615609</v>
      </c>
    </row>
    <row r="63" spans="2:13" ht="15" customHeight="1" x14ac:dyDescent="0.25">
      <c r="B63" s="7" t="s">
        <v>951</v>
      </c>
      <c r="C63" s="31">
        <v>674</v>
      </c>
      <c r="D63" s="5">
        <v>-12363.863969</v>
      </c>
      <c r="E63" s="23">
        <v>-12365.244441000001</v>
      </c>
      <c r="F63" s="65">
        <v>0.99712900000000004</v>
      </c>
      <c r="G63" s="66">
        <v>0.19427999999999901</v>
      </c>
      <c r="H63" s="54">
        <v>7</v>
      </c>
      <c r="I63" s="54">
        <v>6</v>
      </c>
      <c r="K63" s="67">
        <v>-1.4212997692320599</v>
      </c>
      <c r="L63" s="68">
        <v>-1.3756491538461</v>
      </c>
      <c r="M63" s="69">
        <f t="shared" si="14"/>
        <v>1.1626362307692593</v>
      </c>
    </row>
    <row r="64" spans="2:13" ht="15" customHeight="1" x14ac:dyDescent="0.25">
      <c r="B64" s="7" t="s">
        <v>1406</v>
      </c>
      <c r="C64">
        <v>474</v>
      </c>
      <c r="D64" s="64">
        <v>-12270.582</v>
      </c>
      <c r="E64" s="2">
        <v>-12272.129091000001</v>
      </c>
      <c r="F64" s="73">
        <v>0.99611000000000005</v>
      </c>
      <c r="G64" s="69">
        <v>0.18725999999999901</v>
      </c>
      <c r="H64" s="35">
        <v>6</v>
      </c>
      <c r="I64" s="35">
        <v>7</v>
      </c>
      <c r="K64" s="67">
        <v>-1.42466923076972</v>
      </c>
      <c r="L64" s="68">
        <v>-1.4954988461540799</v>
      </c>
      <c r="M64" s="69">
        <f t="shared" si="14"/>
        <v>1.156977384615367</v>
      </c>
    </row>
    <row r="65" spans="2:13" ht="15" customHeight="1" x14ac:dyDescent="0.25">
      <c r="B65" s="7" t="s">
        <v>1862</v>
      </c>
      <c r="C65" s="7">
        <v>397</v>
      </c>
      <c r="D65" s="5">
        <v>-12177.2755</v>
      </c>
      <c r="E65" s="23">
        <v>-12178.669586</v>
      </c>
      <c r="F65" s="65">
        <v>0.99648599999999998</v>
      </c>
      <c r="G65" s="66">
        <v>0.18933</v>
      </c>
      <c r="H65" s="54">
        <v>5</v>
      </c>
      <c r="I65" s="54">
        <v>8</v>
      </c>
      <c r="K65" s="67">
        <v>-1.4035076923082701</v>
      </c>
      <c r="L65" s="68">
        <v>-1.2711935384613799</v>
      </c>
      <c r="M65" s="69">
        <f t="shared" si="14"/>
        <v>1.1777919999999891</v>
      </c>
    </row>
    <row r="66" spans="2:13" ht="15" customHeight="1" x14ac:dyDescent="0.25">
      <c r="B66" s="7" t="s">
        <v>2207</v>
      </c>
      <c r="C66" s="51" t="s">
        <v>76</v>
      </c>
      <c r="D66" s="5">
        <v>-12083.877699999999</v>
      </c>
      <c r="E66" s="23">
        <v>-12085.323372000001</v>
      </c>
      <c r="F66" s="65">
        <v>0.99770999999999999</v>
      </c>
      <c r="G66" s="66">
        <v>0.20441999999999899</v>
      </c>
      <c r="H66" s="54">
        <v>4</v>
      </c>
      <c r="I66" s="54">
        <v>9</v>
      </c>
      <c r="K66" s="67">
        <v>-1.2910461538467599</v>
      </c>
      <c r="L66" s="68">
        <v>-1.1601792307701499</v>
      </c>
      <c r="M66" s="69">
        <f t="shared" si="14"/>
        <v>1.1898919230768745</v>
      </c>
    </row>
    <row r="67" spans="2:13" ht="15" customHeight="1" x14ac:dyDescent="0.25">
      <c r="B67" s="7" t="s">
        <v>2403</v>
      </c>
      <c r="C67" s="7" t="s">
        <v>58</v>
      </c>
      <c r="D67" s="5">
        <v>-11990.430700000001</v>
      </c>
      <c r="E67" s="23">
        <v>-11991.939754000001</v>
      </c>
      <c r="F67" s="65">
        <v>0.997664</v>
      </c>
      <c r="G67" s="66">
        <v>0.20238999999999999</v>
      </c>
      <c r="H67" s="54">
        <v>3</v>
      </c>
      <c r="I67" s="54">
        <v>10</v>
      </c>
      <c r="K67" s="67">
        <v>-1.12938461538579</v>
      </c>
      <c r="L67" s="68">
        <v>-1.0117609230765101</v>
      </c>
      <c r="M67" s="69">
        <f t="shared" si="14"/>
        <v>1.2048690769230375</v>
      </c>
    </row>
    <row r="68" spans="2:13" ht="15" customHeight="1" x14ac:dyDescent="0.25">
      <c r="B68" s="7" t="s">
        <v>2485</v>
      </c>
      <c r="C68" s="7" t="s">
        <v>26</v>
      </c>
      <c r="D68" s="5">
        <v>-11896.876200000001</v>
      </c>
      <c r="E68" s="23">
        <v>-11898.470911</v>
      </c>
      <c r="F68" s="65">
        <v>0.99646199999999996</v>
      </c>
      <c r="G68" s="66">
        <v>0.19008</v>
      </c>
      <c r="H68" s="54">
        <v>2</v>
      </c>
      <c r="I68" s="54">
        <v>11</v>
      </c>
      <c r="K68" s="67">
        <v>-0.86022307692473998</v>
      </c>
      <c r="L68" s="68">
        <v>-0.77811761538396196</v>
      </c>
      <c r="M68" s="69">
        <f t="shared" si="14"/>
        <v>1.2264019999999549</v>
      </c>
    </row>
    <row r="69" spans="2:13" ht="15" customHeight="1" x14ac:dyDescent="0.25">
      <c r="B69" s="7" t="s">
        <v>2511</v>
      </c>
      <c r="C69" s="7" t="s">
        <v>20</v>
      </c>
      <c r="D69" s="5">
        <v>-11803.2778</v>
      </c>
      <c r="E69" s="23">
        <v>-11804.943549</v>
      </c>
      <c r="F69" s="65">
        <v>0.99440899999999999</v>
      </c>
      <c r="G69" s="66">
        <v>0.17646999999999999</v>
      </c>
      <c r="H69" s="54">
        <v>1</v>
      </c>
      <c r="I69" s="54">
        <v>12</v>
      </c>
      <c r="K69" s="67">
        <v>-0.547161538461296</v>
      </c>
      <c r="L69" s="68">
        <v>-0.485955307691256</v>
      </c>
      <c r="M69" s="69">
        <f t="shared" si="14"/>
        <v>1.252436384615486</v>
      </c>
    </row>
    <row r="70" spans="2:13" ht="15" customHeight="1" x14ac:dyDescent="0.25">
      <c r="B70" s="7" t="s">
        <v>2517</v>
      </c>
      <c r="C70" s="7" t="s">
        <v>20</v>
      </c>
      <c r="D70" s="5">
        <v>-11709.445299999999</v>
      </c>
      <c r="E70" s="20">
        <v>-11711.222394</v>
      </c>
      <c r="F70" s="65">
        <v>0.99520699999999995</v>
      </c>
      <c r="G70" s="66">
        <v>0.17901999999999901</v>
      </c>
      <c r="H70" s="54">
        <v>0</v>
      </c>
      <c r="I70" s="54">
        <v>13</v>
      </c>
      <c r="K70" s="67">
        <v>0</v>
      </c>
      <c r="L70" s="68">
        <v>0</v>
      </c>
      <c r="M70" s="69">
        <f t="shared" si="14"/>
        <v>1.2933779230769198</v>
      </c>
    </row>
    <row r="78" spans="2:13" ht="15" customHeight="1" x14ac:dyDescent="0.25">
      <c r="B78" t="s">
        <v>2534</v>
      </c>
      <c r="D78" s="5" t="s">
        <v>0</v>
      </c>
      <c r="E78" s="6" t="s">
        <v>1</v>
      </c>
      <c r="F78" s="7" t="s">
        <v>2</v>
      </c>
      <c r="G78" s="7" t="s">
        <v>3</v>
      </c>
      <c r="H78" s="7" t="s">
        <v>4</v>
      </c>
      <c r="I78" s="7" t="s">
        <v>5</v>
      </c>
      <c r="K78" s="7" t="s">
        <v>2528</v>
      </c>
      <c r="L78" s="7" t="s">
        <v>2529</v>
      </c>
    </row>
    <row r="79" spans="2:13" ht="15" customHeight="1" x14ac:dyDescent="0.25">
      <c r="B79" s="7" t="s">
        <v>19</v>
      </c>
      <c r="C79" s="7" t="s">
        <v>20</v>
      </c>
      <c r="D79" s="5">
        <v>-12922.154699999999</v>
      </c>
      <c r="E79" s="20">
        <v>-12923.279990000001</v>
      </c>
      <c r="F79" s="61">
        <v>0.99598399999999998</v>
      </c>
      <c r="G79" s="34">
        <v>0.18626000000000001</v>
      </c>
      <c r="H79" s="7">
        <v>13</v>
      </c>
      <c r="I79" s="7">
        <v>0</v>
      </c>
      <c r="K79" s="8">
        <v>0</v>
      </c>
      <c r="L79" s="2">
        <v>0</v>
      </c>
    </row>
    <row r="80" spans="2:13" ht="15" customHeight="1" x14ac:dyDescent="0.25">
      <c r="B80" s="7" t="s">
        <v>22</v>
      </c>
      <c r="C80" s="7" t="s">
        <v>26</v>
      </c>
      <c r="D80" s="5">
        <v>-12829.258</v>
      </c>
      <c r="E80" s="20">
        <v>-12830.413659</v>
      </c>
      <c r="F80" s="61">
        <v>0.996278</v>
      </c>
      <c r="G80" s="34">
        <v>0.18854000000000001</v>
      </c>
      <c r="H80" s="7">
        <v>12</v>
      </c>
      <c r="I80" s="7">
        <v>1</v>
      </c>
      <c r="K80" s="8">
        <v>-0.38863846153981302</v>
      </c>
      <c r="L80" s="2">
        <v>-0.36886869230693298</v>
      </c>
    </row>
    <row r="81" spans="2:12" ht="15" customHeight="1" x14ac:dyDescent="0.25">
      <c r="B81" s="7" t="s">
        <v>32</v>
      </c>
      <c r="C81" s="31" t="s">
        <v>50</v>
      </c>
      <c r="D81" s="5">
        <v>-12736.337299999999</v>
      </c>
      <c r="E81" s="20">
        <v>-12737.578846</v>
      </c>
      <c r="F81" s="62">
        <v>0.99658400000000003</v>
      </c>
      <c r="G81" s="29">
        <v>0.19112000000000001</v>
      </c>
      <c r="H81" s="31">
        <v>11</v>
      </c>
      <c r="I81" s="31">
        <v>2</v>
      </c>
      <c r="K81" s="8">
        <v>-0.75327692307655503</v>
      </c>
      <c r="L81" s="2">
        <v>-0.76925538461546294</v>
      </c>
    </row>
    <row r="82" spans="2:12" ht="15" customHeight="1" x14ac:dyDescent="0.25">
      <c r="B82" s="7" t="s">
        <v>78</v>
      </c>
      <c r="C82" s="7" t="s">
        <v>97</v>
      </c>
      <c r="D82" s="5">
        <v>-12643.294900000001</v>
      </c>
      <c r="E82" s="23">
        <v>-12644.488434999999</v>
      </c>
      <c r="F82" s="61">
        <v>0.99682000000000004</v>
      </c>
      <c r="G82" s="34">
        <v>0.19300999999999999</v>
      </c>
      <c r="H82" s="7">
        <v>10</v>
      </c>
      <c r="I82" s="7">
        <v>3</v>
      </c>
      <c r="K82" s="8">
        <v>-0.99621538461724402</v>
      </c>
      <c r="L82" s="2">
        <v>-0.91404407692243705</v>
      </c>
    </row>
    <row r="83" spans="2:12" ht="15" customHeight="1" x14ac:dyDescent="0.25">
      <c r="B83" s="7" t="s">
        <v>297</v>
      </c>
      <c r="C83" s="7" t="s">
        <v>535</v>
      </c>
      <c r="D83" s="5">
        <v>-12550.225399999999</v>
      </c>
      <c r="E83" s="23">
        <v>-12551.492364</v>
      </c>
      <c r="F83" s="61">
        <v>0.998309</v>
      </c>
      <c r="G83" s="34">
        <v>0.21232999999999999</v>
      </c>
      <c r="H83" s="7">
        <v>9</v>
      </c>
      <c r="I83" s="7">
        <v>4</v>
      </c>
      <c r="K83" s="8">
        <v>-1.21205384615314</v>
      </c>
      <c r="L83" s="2">
        <v>-1.1531727692290601</v>
      </c>
    </row>
    <row r="84" spans="2:12" ht="15" customHeight="1" x14ac:dyDescent="0.25">
      <c r="B84" s="7" t="s">
        <v>607</v>
      </c>
      <c r="C84" s="7">
        <v>548</v>
      </c>
      <c r="D84" s="5">
        <v>-12457.134099999999</v>
      </c>
      <c r="E84" s="23">
        <v>-12458.439358</v>
      </c>
      <c r="F84" s="61">
        <v>0.99779799999999996</v>
      </c>
      <c r="G84" s="34">
        <v>0.204369999999999</v>
      </c>
      <c r="H84" s="7">
        <v>8</v>
      </c>
      <c r="I84" s="7">
        <v>5</v>
      </c>
      <c r="K84" s="8">
        <v>-1.40609230769223</v>
      </c>
      <c r="L84" s="2">
        <v>-1.33536646153698</v>
      </c>
    </row>
    <row r="85" spans="2:12" ht="15" customHeight="1" x14ac:dyDescent="0.25">
      <c r="B85" s="7" t="s">
        <v>951</v>
      </c>
      <c r="C85" s="31">
        <v>674</v>
      </c>
      <c r="D85" s="5">
        <v>-12363.863969</v>
      </c>
      <c r="E85" s="23">
        <v>-12365.244441000001</v>
      </c>
      <c r="F85" s="61">
        <v>0.99712900000000004</v>
      </c>
      <c r="G85" s="34">
        <v>0.19427999999999901</v>
      </c>
      <c r="H85" s="7">
        <v>7</v>
      </c>
      <c r="I85" s="7">
        <v>6</v>
      </c>
      <c r="K85" s="8">
        <v>-1.4212997692320599</v>
      </c>
      <c r="L85" s="2">
        <v>-1.3756491538461</v>
      </c>
    </row>
    <row r="86" spans="2:12" ht="15" customHeight="1" x14ac:dyDescent="0.25">
      <c r="B86" s="7" t="s">
        <v>1406</v>
      </c>
      <c r="C86">
        <v>474</v>
      </c>
      <c r="D86" s="64">
        <v>-12270.582</v>
      </c>
      <c r="E86" s="2">
        <v>-12272.129091000001</v>
      </c>
      <c r="F86" s="11">
        <v>0.99611000000000005</v>
      </c>
      <c r="G86" s="3">
        <v>0.18725999999999901</v>
      </c>
      <c r="H86">
        <v>6</v>
      </c>
      <c r="I86">
        <v>7</v>
      </c>
      <c r="K86" s="8">
        <v>-1.42466923076972</v>
      </c>
      <c r="L86" s="2">
        <v>-1.4954988461540799</v>
      </c>
    </row>
    <row r="87" spans="2:12" ht="15" customHeight="1" x14ac:dyDescent="0.25">
      <c r="B87" s="7" t="s">
        <v>1862</v>
      </c>
      <c r="C87" s="7">
        <v>397</v>
      </c>
      <c r="D87" s="5">
        <v>-12177.2755</v>
      </c>
      <c r="E87" s="23">
        <v>-12178.669586</v>
      </c>
      <c r="F87" s="61">
        <v>0.99648599999999998</v>
      </c>
      <c r="G87" s="34">
        <v>0.18933</v>
      </c>
      <c r="H87" s="7">
        <v>5</v>
      </c>
      <c r="I87" s="7">
        <v>8</v>
      </c>
      <c r="K87" s="8">
        <v>-1.4035076923082701</v>
      </c>
      <c r="L87" s="2">
        <v>-1.2711935384613799</v>
      </c>
    </row>
    <row r="88" spans="2:12" ht="15" customHeight="1" x14ac:dyDescent="0.25">
      <c r="B88" s="7" t="s">
        <v>2207</v>
      </c>
      <c r="C88" s="51" t="s">
        <v>76</v>
      </c>
      <c r="D88" s="5">
        <v>-12083.877699999999</v>
      </c>
      <c r="E88" s="23">
        <v>-12085.323372000001</v>
      </c>
      <c r="F88" s="61">
        <v>0.99770999999999999</v>
      </c>
      <c r="G88" s="34">
        <v>0.20441999999999899</v>
      </c>
      <c r="H88" s="7">
        <v>4</v>
      </c>
      <c r="I88" s="7">
        <v>9</v>
      </c>
      <c r="K88" s="8">
        <v>-1.2910461538467599</v>
      </c>
      <c r="L88" s="2">
        <v>-1.1601792307701499</v>
      </c>
    </row>
    <row r="89" spans="2:12" ht="15" customHeight="1" x14ac:dyDescent="0.25">
      <c r="B89" s="7" t="s">
        <v>2403</v>
      </c>
      <c r="C89" s="7" t="s">
        <v>58</v>
      </c>
      <c r="D89" s="5">
        <v>-11990.430700000001</v>
      </c>
      <c r="E89" s="23">
        <v>-11991.939754000001</v>
      </c>
      <c r="F89" s="61">
        <v>0.997664</v>
      </c>
      <c r="G89" s="34">
        <v>0.20238999999999999</v>
      </c>
      <c r="H89" s="7">
        <v>3</v>
      </c>
      <c r="I89" s="7">
        <v>10</v>
      </c>
      <c r="K89" s="8">
        <v>-1.12938461538579</v>
      </c>
      <c r="L89" s="2">
        <v>-1.0117609230765101</v>
      </c>
    </row>
    <row r="90" spans="2:12" ht="15" customHeight="1" x14ac:dyDescent="0.25">
      <c r="B90" s="7" t="s">
        <v>2485</v>
      </c>
      <c r="C90" s="7" t="s">
        <v>26</v>
      </c>
      <c r="D90" s="5">
        <v>-11896.876200000001</v>
      </c>
      <c r="E90" s="23">
        <v>-11898.470911</v>
      </c>
      <c r="F90" s="61">
        <v>0.99646199999999996</v>
      </c>
      <c r="G90" s="34">
        <v>0.19008</v>
      </c>
      <c r="H90" s="7">
        <v>2</v>
      </c>
      <c r="I90" s="7">
        <v>11</v>
      </c>
      <c r="K90" s="8">
        <v>-0.86022307692473998</v>
      </c>
      <c r="L90" s="2">
        <v>-0.77811761538396196</v>
      </c>
    </row>
    <row r="91" spans="2:12" ht="15" customHeight="1" x14ac:dyDescent="0.25">
      <c r="B91" s="7" t="s">
        <v>2511</v>
      </c>
      <c r="C91" s="7" t="s">
        <v>20</v>
      </c>
      <c r="D91" s="5">
        <v>-11803.2778</v>
      </c>
      <c r="E91" s="23">
        <v>-11804.943549</v>
      </c>
      <c r="F91" s="61">
        <v>0.99440899999999999</v>
      </c>
      <c r="G91" s="34">
        <v>0.17646999999999999</v>
      </c>
      <c r="H91" s="7">
        <v>1</v>
      </c>
      <c r="I91" s="7">
        <v>12</v>
      </c>
      <c r="K91" s="8">
        <v>-0.547161538461296</v>
      </c>
      <c r="L91" s="2">
        <v>-0.485955307691256</v>
      </c>
    </row>
    <row r="92" spans="2:12" ht="15" customHeight="1" x14ac:dyDescent="0.25">
      <c r="B92" s="7" t="s">
        <v>2517</v>
      </c>
      <c r="C92" s="7" t="s">
        <v>20</v>
      </c>
      <c r="D92" s="5">
        <v>-11709.445299999999</v>
      </c>
      <c r="E92" s="20">
        <v>-11711.222394</v>
      </c>
      <c r="F92" s="61">
        <v>0.99520699999999995</v>
      </c>
      <c r="G92" s="34">
        <v>0.17901999999999901</v>
      </c>
      <c r="H92" s="7">
        <v>0</v>
      </c>
      <c r="I92" s="7">
        <v>13</v>
      </c>
      <c r="K92" s="8">
        <v>0</v>
      </c>
      <c r="L92" s="2">
        <v>0</v>
      </c>
    </row>
    <row r="93" spans="2:12" ht="15" customHeight="1" x14ac:dyDescent="0.25">
      <c r="B93" t="s">
        <v>2531</v>
      </c>
      <c r="C93" s="51"/>
      <c r="D93" s="5"/>
      <c r="E93" s="23"/>
      <c r="F93" s="61"/>
      <c r="G93" s="34"/>
      <c r="H93" s="7"/>
      <c r="I93" s="7"/>
      <c r="K93" s="8"/>
      <c r="L93" s="2"/>
    </row>
    <row r="94" spans="2:12" ht="15" customHeight="1" x14ac:dyDescent="0.25">
      <c r="B94" s="7" t="s">
        <v>19</v>
      </c>
      <c r="C94" s="7" t="s">
        <v>20</v>
      </c>
      <c r="D94" s="5">
        <v>-12922.154699999999</v>
      </c>
      <c r="E94" s="20">
        <v>-12923.279990000001</v>
      </c>
      <c r="F94" s="61">
        <v>0.99598399999999998</v>
      </c>
      <c r="G94" s="34">
        <v>0.18626000000000001</v>
      </c>
      <c r="H94" s="7">
        <v>13</v>
      </c>
      <c r="I94" s="7">
        <v>0</v>
      </c>
      <c r="K94" s="8">
        <v>0</v>
      </c>
      <c r="L94" s="2">
        <v>0</v>
      </c>
    </row>
    <row r="95" spans="2:12" ht="15" customHeight="1" x14ac:dyDescent="0.25">
      <c r="B95" s="7" t="s">
        <v>22</v>
      </c>
      <c r="C95" s="7" t="s">
        <v>26</v>
      </c>
      <c r="D95" s="5">
        <v>-12829.258</v>
      </c>
      <c r="E95" s="20">
        <v>-12830.413659</v>
      </c>
      <c r="F95" s="61">
        <v>0.996278</v>
      </c>
      <c r="G95" s="34">
        <v>0.18854000000000001</v>
      </c>
      <c r="H95" s="7">
        <v>12</v>
      </c>
      <c r="I95" s="7">
        <v>1</v>
      </c>
      <c r="K95" s="8">
        <v>-0.38863846153981302</v>
      </c>
      <c r="L95" s="2">
        <v>-0.36886869230693298</v>
      </c>
    </row>
    <row r="96" spans="2:12" ht="15" customHeight="1" x14ac:dyDescent="0.25">
      <c r="B96" s="7" t="s">
        <v>32</v>
      </c>
      <c r="C96" s="31" t="s">
        <v>50</v>
      </c>
      <c r="D96" s="5">
        <v>-12736.337299999999</v>
      </c>
      <c r="E96" s="20">
        <v>-12737.578846</v>
      </c>
      <c r="F96" s="62">
        <v>0.99658400000000003</v>
      </c>
      <c r="G96" s="29">
        <v>0.19112000000000001</v>
      </c>
      <c r="H96" s="31">
        <v>11</v>
      </c>
      <c r="I96" s="31">
        <v>2</v>
      </c>
      <c r="K96" s="8">
        <v>-0.75327692307655503</v>
      </c>
      <c r="L96" s="2">
        <v>-0.76925538461546294</v>
      </c>
    </row>
    <row r="97" spans="2:12" ht="15" customHeight="1" x14ac:dyDescent="0.25">
      <c r="B97" s="7" t="s">
        <v>78</v>
      </c>
      <c r="C97" s="7" t="s">
        <v>79</v>
      </c>
      <c r="D97" s="19">
        <v>-12643.069799999999</v>
      </c>
      <c r="E97" s="20">
        <v>-12644.661555999999</v>
      </c>
      <c r="F97" s="61">
        <v>0.99532299999999996</v>
      </c>
      <c r="G97" s="34">
        <v>0.18160999999999999</v>
      </c>
      <c r="H97" s="7">
        <v>10</v>
      </c>
      <c r="I97" s="7">
        <v>3</v>
      </c>
      <c r="K97" s="8">
        <v>-0.77111538461576901</v>
      </c>
      <c r="L97" s="2">
        <v>-1.0871650769222501</v>
      </c>
    </row>
    <row r="98" spans="2:12" ht="15" customHeight="1" x14ac:dyDescent="0.25">
      <c r="B98" s="7" t="s">
        <v>297</v>
      </c>
      <c r="C98" s="7" t="s">
        <v>585</v>
      </c>
      <c r="D98" s="19">
        <v>-12550.0057</v>
      </c>
      <c r="E98" s="20">
        <v>-12551.705943000001</v>
      </c>
      <c r="F98" s="61">
        <v>0.99567600000000001</v>
      </c>
      <c r="G98" s="34">
        <v>0.18406</v>
      </c>
      <c r="H98" s="7">
        <v>9</v>
      </c>
      <c r="I98" s="7">
        <v>4</v>
      </c>
      <c r="K98" s="8">
        <v>-0.99235384615349098</v>
      </c>
      <c r="L98" s="2">
        <v>-1.36675176923018</v>
      </c>
    </row>
    <row r="99" spans="2:12" ht="15" customHeight="1" x14ac:dyDescent="0.25">
      <c r="B99" s="7" t="s">
        <v>607</v>
      </c>
      <c r="C99" s="7">
        <v>568</v>
      </c>
      <c r="D99" s="19">
        <v>-12456.903899999999</v>
      </c>
      <c r="E99" s="20">
        <v>-12458.63812</v>
      </c>
      <c r="F99" s="61">
        <v>0.99545099999999997</v>
      </c>
      <c r="G99" s="34">
        <v>0.182529999999999</v>
      </c>
      <c r="H99" s="7">
        <v>8</v>
      </c>
      <c r="I99" s="7">
        <v>5</v>
      </c>
      <c r="K99" s="8">
        <v>-1.17589230769227</v>
      </c>
      <c r="L99" s="2">
        <v>-1.5341284615369699</v>
      </c>
    </row>
    <row r="100" spans="2:12" ht="15" customHeight="1" x14ac:dyDescent="0.25">
      <c r="B100" s="7" t="s">
        <v>951</v>
      </c>
      <c r="C100" s="26">
        <v>542</v>
      </c>
      <c r="D100" s="63">
        <v>-12363.718594</v>
      </c>
      <c r="E100" s="20">
        <v>-12365.688034999999</v>
      </c>
      <c r="F100" s="62">
        <v>0.99701499999999998</v>
      </c>
      <c r="G100" s="29">
        <v>0.187219999999999</v>
      </c>
      <c r="H100" s="31">
        <v>7</v>
      </c>
      <c r="I100" s="31">
        <v>6</v>
      </c>
      <c r="K100" s="8">
        <v>-1.2759247692320099</v>
      </c>
      <c r="L100" s="2">
        <v>-1.8192431538445799</v>
      </c>
    </row>
    <row r="101" spans="2:12" ht="15" customHeight="1" x14ac:dyDescent="0.25">
      <c r="B101" s="7" t="s">
        <v>1406</v>
      </c>
      <c r="C101" s="7">
        <v>451</v>
      </c>
      <c r="D101" s="27">
        <v>-12270.36</v>
      </c>
      <c r="E101" s="20">
        <v>-12272.269326</v>
      </c>
      <c r="F101" s="61">
        <v>0.99762200000000001</v>
      </c>
      <c r="G101" s="34">
        <v>0.20211999999999899</v>
      </c>
      <c r="H101">
        <v>6</v>
      </c>
      <c r="I101" s="7">
        <v>7</v>
      </c>
      <c r="J101" s="7"/>
      <c r="K101" s="8">
        <v>-1.20266923076997</v>
      </c>
      <c r="L101" s="2">
        <v>-1.63573384615302</v>
      </c>
    </row>
    <row r="102" spans="2:12" ht="15" customHeight="1" x14ac:dyDescent="0.25">
      <c r="B102" s="7" t="s">
        <v>1862</v>
      </c>
      <c r="C102" s="7">
        <v>452</v>
      </c>
      <c r="D102" s="19">
        <v>-12176.8598</v>
      </c>
      <c r="E102" s="20">
        <v>-12179.08856</v>
      </c>
      <c r="F102" s="61">
        <v>0.99436400000000003</v>
      </c>
      <c r="G102" s="34">
        <v>0.176089999999999</v>
      </c>
      <c r="H102" s="7">
        <v>5</v>
      </c>
      <c r="I102" s="7">
        <v>8</v>
      </c>
      <c r="K102" s="8">
        <v>-0.98780769230870602</v>
      </c>
      <c r="L102" s="2">
        <v>-1.69016753846154</v>
      </c>
    </row>
    <row r="103" spans="2:12" ht="15" customHeight="1" x14ac:dyDescent="0.25">
      <c r="B103" s="7" t="s">
        <v>2207</v>
      </c>
      <c r="C103" s="51" t="s">
        <v>132</v>
      </c>
      <c r="D103" s="19">
        <v>-12083.4359</v>
      </c>
      <c r="E103" s="20">
        <v>-12085.716555000001</v>
      </c>
      <c r="F103" s="61">
        <v>0.99734900000000004</v>
      </c>
      <c r="G103" s="34">
        <v>0.19994000000000001</v>
      </c>
      <c r="H103" s="7">
        <v>4</v>
      </c>
      <c r="I103" s="7">
        <v>9</v>
      </c>
      <c r="K103" s="8">
        <v>-0.84924615384807101</v>
      </c>
      <c r="L103" s="2">
        <v>-1.5533622307702899</v>
      </c>
    </row>
    <row r="104" spans="2:12" ht="15" customHeight="1" x14ac:dyDescent="0.25">
      <c r="B104" s="7" t="s">
        <v>2403</v>
      </c>
      <c r="C104" s="7" t="s">
        <v>186</v>
      </c>
      <c r="D104" s="19">
        <v>-11989.977800000001</v>
      </c>
      <c r="E104" s="20">
        <v>-11992.242337</v>
      </c>
      <c r="F104" s="61">
        <v>0.99731300000000001</v>
      </c>
      <c r="G104" s="34">
        <v>0.19832</v>
      </c>
      <c r="H104" s="7">
        <v>3</v>
      </c>
      <c r="I104" s="7">
        <v>10</v>
      </c>
      <c r="K104" s="8">
        <v>-0.67648461538556204</v>
      </c>
      <c r="L104" s="2">
        <v>-1.31434392307528</v>
      </c>
    </row>
    <row r="105" spans="2:12" ht="15" customHeight="1" x14ac:dyDescent="0.25">
      <c r="B105" s="7" t="s">
        <v>2485</v>
      </c>
      <c r="C105" s="7" t="s">
        <v>44</v>
      </c>
      <c r="D105" s="19">
        <v>-11896.5857</v>
      </c>
      <c r="E105" s="20">
        <v>-11898.666627000001</v>
      </c>
      <c r="F105" s="61">
        <v>0.99359399999999998</v>
      </c>
      <c r="G105" s="34">
        <v>0.17221999999999901</v>
      </c>
      <c r="H105" s="7">
        <v>2</v>
      </c>
      <c r="I105" s="7">
        <v>11</v>
      </c>
      <c r="K105" s="8">
        <v>-0.569723076923765</v>
      </c>
      <c r="L105" s="2">
        <v>-0.97383361538413704</v>
      </c>
    </row>
    <row r="106" spans="2:12" ht="15" customHeight="1" x14ac:dyDescent="0.25">
      <c r="B106" s="7" t="s">
        <v>2511</v>
      </c>
      <c r="C106" s="7" t="s">
        <v>28</v>
      </c>
      <c r="D106" s="19">
        <v>-11803.059800000001</v>
      </c>
      <c r="E106" s="20">
        <v>-11805.113547000001</v>
      </c>
      <c r="F106" s="61">
        <v>0.99314999999999998</v>
      </c>
      <c r="G106" s="34">
        <v>0.17021</v>
      </c>
      <c r="H106" s="7">
        <v>1</v>
      </c>
      <c r="I106" s="7">
        <v>12</v>
      </c>
      <c r="K106" s="8">
        <v>-0.32916153846235802</v>
      </c>
      <c r="L106" s="2">
        <v>-0.65595330769247095</v>
      </c>
    </row>
    <row r="107" spans="2:12" ht="15" customHeight="1" x14ac:dyDescent="0.25">
      <c r="B107" s="7" t="s">
        <v>2517</v>
      </c>
      <c r="C107" s="7" t="s">
        <v>20</v>
      </c>
      <c r="D107" s="5">
        <v>-11709.445299999999</v>
      </c>
      <c r="E107" s="20">
        <v>-11711.222394</v>
      </c>
      <c r="F107" s="61">
        <v>0.99520699999999995</v>
      </c>
      <c r="G107" s="34">
        <v>0.17901999999999901</v>
      </c>
      <c r="H107" s="7">
        <v>0</v>
      </c>
      <c r="I107" s="7">
        <v>13</v>
      </c>
      <c r="K107" s="8">
        <v>0</v>
      </c>
      <c r="L107" s="2">
        <v>0</v>
      </c>
    </row>
  </sheetData>
  <pageMargins left="0.7" right="0.7" top="0.75" bottom="0.75" header="0.51180555555555496" footer="0.51180555555555496"/>
  <pageSetup firstPageNumber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BBP complete</vt:lpstr>
      <vt:lpstr>Hoja2</vt:lpstr>
      <vt:lpstr>Hoja3</vt:lpstr>
      <vt:lpstr>DV-IDENTITY-0</vt:lpstr>
      <vt:lpstr>Minima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Lucas Fernandez Seivane</cp:lastModifiedBy>
  <cp:revision>0</cp:revision>
  <cp:lastPrinted>2012-09-24T22:31:03Z</cp:lastPrinted>
  <dcterms:created xsi:type="dcterms:W3CDTF">2012-09-17T19:41:29Z</dcterms:created>
  <dcterms:modified xsi:type="dcterms:W3CDTF">2013-03-18T22:33:10Z</dcterms:modified>
</cp:coreProperties>
</file>